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929"/>
  <workbookPr defaultThemeVersion="166925"/>
  <mc:AlternateContent xmlns:mc="http://schemas.openxmlformats.org/markup-compatibility/2006">
    <mc:Choice Requires="x15">
      <x15ac:absPath xmlns:x15ac="http://schemas.microsoft.com/office/spreadsheetml/2010/11/ac" url="C:\Projects\Cohorts\web\"/>
    </mc:Choice>
  </mc:AlternateContent>
  <xr:revisionPtr revIDLastSave="0" documentId="13_ncr:1_{19901ACA-AC54-4F6B-AF4A-8910978D07A3}" xr6:coauthVersionLast="46" xr6:coauthVersionMax="46" xr10:uidLastSave="{00000000-0000-0000-0000-000000000000}"/>
  <workbookProtection workbookAlgorithmName="SHA-512" workbookHashValue="8m/p43neJiOsq/KGI1/iqzlqruCDG2E5T6GFQL8y79oAV6j0O0/M0teS9EZZHckYlC1e9uDylQMUmXoJPMN2HQ==" workbookSaltValue="lw5ba0aiNinchFnrIzGU4A==" workbookSpinCount="100000" lockStructure="1"/>
  <bookViews>
    <workbookView xWindow="-98" yWindow="-98" windowWidth="19396" windowHeight="10395" activeTab="1" xr2:uid="{1C7A72A4-46D5-4130-84F6-E2BF1F1A15D0}"/>
  </bookViews>
  <sheets>
    <sheet name="Instructions" sheetId="4" r:id="rId1"/>
    <sheet name="Feb" sheetId="1" r:id="rId2"/>
  </sheets>
  <definedNames>
    <definedName name="_xlnm._FilterDatabase" localSheetId="0" hidden="1">Instructions!$B$2:$F$4</definedName>
    <definedName name="_xlnm.Print_Area" localSheetId="1">Feb!$A$1:$AB$252</definedName>
    <definedName name="_xlnm.Print_Area" localSheetId="0">Instructions!$B$1:$F$4</definedName>
    <definedName name="_xlnm.Print_Titles" localSheetId="1">Feb!$1:$6</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AC76" i="1" l="1"/>
  <c r="AC142" i="1"/>
  <c r="AC143" i="1"/>
  <c r="AD24" i="1"/>
  <c r="AC26" i="1"/>
  <c r="AC28" i="1"/>
  <c r="AC27" i="1"/>
  <c r="AC25" i="1"/>
  <c r="AC24" i="1"/>
  <c r="AB28" i="1"/>
  <c r="AB27" i="1"/>
  <c r="AB25" i="1"/>
  <c r="AB24" i="1"/>
  <c r="AE168" i="1"/>
  <c r="AE167" i="1"/>
  <c r="AE166" i="1"/>
  <c r="AE165" i="1"/>
  <c r="AE135" i="1"/>
  <c r="AC99" i="1" l="1"/>
  <c r="AC67" i="1" l="1"/>
  <c r="AC46" i="1"/>
  <c r="AF110" i="1"/>
  <c r="AF245" i="1"/>
  <c r="AF231" i="1"/>
  <c r="AF217" i="1"/>
  <c r="AF203" i="1"/>
  <c r="AF186" i="1"/>
  <c r="AF52" i="1"/>
  <c r="AF67" i="1"/>
  <c r="AF119" i="1"/>
  <c r="AF135" i="1"/>
  <c r="AF149" i="1"/>
  <c r="AC147" i="1"/>
  <c r="AC146" i="1"/>
  <c r="AC145" i="1"/>
  <c r="AC144" i="1"/>
  <c r="AC135" i="1"/>
  <c r="E135" i="1"/>
  <c r="F135" i="1"/>
  <c r="G135" i="1"/>
  <c r="H135" i="1"/>
  <c r="I135" i="1"/>
  <c r="J135" i="1"/>
  <c r="K135" i="1"/>
  <c r="L135" i="1"/>
  <c r="M135" i="1"/>
  <c r="N135" i="1"/>
  <c r="O135" i="1"/>
  <c r="P135" i="1"/>
  <c r="Q135" i="1"/>
  <c r="R135" i="1"/>
  <c r="S135" i="1"/>
  <c r="T135" i="1"/>
  <c r="U135" i="1"/>
  <c r="V135" i="1"/>
  <c r="W135" i="1"/>
  <c r="X135" i="1"/>
  <c r="Y135" i="1"/>
  <c r="Z135" i="1"/>
  <c r="AA135" i="1"/>
  <c r="E104" i="1"/>
  <c r="F104" i="1"/>
  <c r="G104" i="1"/>
  <c r="H104" i="1"/>
  <c r="I104" i="1"/>
  <c r="J104" i="1"/>
  <c r="K104" i="1"/>
  <c r="L104" i="1"/>
  <c r="M104" i="1"/>
  <c r="N104" i="1"/>
  <c r="O104" i="1"/>
  <c r="P104" i="1"/>
  <c r="Q104" i="1"/>
  <c r="R104" i="1"/>
  <c r="S104" i="1"/>
  <c r="T104" i="1"/>
  <c r="U104" i="1"/>
  <c r="V104" i="1"/>
  <c r="W104" i="1"/>
  <c r="X104" i="1"/>
  <c r="Y104" i="1"/>
  <c r="Z104" i="1"/>
  <c r="AA104" i="1"/>
  <c r="AB104" i="1"/>
  <c r="E106" i="1"/>
  <c r="F106" i="1"/>
  <c r="AC102" i="1" s="1"/>
  <c r="G106" i="1"/>
  <c r="H106" i="1"/>
  <c r="I106" i="1"/>
  <c r="J106" i="1"/>
  <c r="K106" i="1"/>
  <c r="L106" i="1"/>
  <c r="M106" i="1"/>
  <c r="N106" i="1"/>
  <c r="O106" i="1"/>
  <c r="P106" i="1"/>
  <c r="Q106" i="1"/>
  <c r="R106" i="1"/>
  <c r="S106" i="1"/>
  <c r="T106" i="1"/>
  <c r="U106" i="1"/>
  <c r="V106" i="1"/>
  <c r="W106" i="1"/>
  <c r="X106" i="1"/>
  <c r="Y106" i="1"/>
  <c r="Z106" i="1"/>
  <c r="AA106" i="1"/>
  <c r="AB106" i="1"/>
  <c r="M120" i="1"/>
  <c r="AC131" i="1" s="1"/>
  <c r="N120" i="1"/>
  <c r="O120" i="1"/>
  <c r="P120" i="1"/>
  <c r="Q120" i="1"/>
  <c r="R120" i="1"/>
  <c r="S120" i="1"/>
  <c r="T120" i="1"/>
  <c r="U120" i="1"/>
  <c r="V120" i="1"/>
  <c r="W120" i="1"/>
  <c r="X120" i="1"/>
  <c r="Y120" i="1"/>
  <c r="Z120" i="1"/>
  <c r="AA120" i="1"/>
  <c r="D120" i="1"/>
  <c r="E120" i="1"/>
  <c r="F120" i="1"/>
  <c r="G120" i="1"/>
  <c r="H120" i="1"/>
  <c r="I120" i="1"/>
  <c r="J120" i="1"/>
  <c r="K120" i="1"/>
  <c r="M105" i="1"/>
  <c r="N105" i="1"/>
  <c r="O105" i="1"/>
  <c r="P105" i="1"/>
  <c r="Q105" i="1"/>
  <c r="R105" i="1"/>
  <c r="S105" i="1"/>
  <c r="T105" i="1"/>
  <c r="U105" i="1"/>
  <c r="V105" i="1"/>
  <c r="W105" i="1"/>
  <c r="X105" i="1"/>
  <c r="Y105" i="1"/>
  <c r="Z105" i="1"/>
  <c r="AA105" i="1"/>
  <c r="D105" i="1"/>
  <c r="E105" i="1"/>
  <c r="F105" i="1"/>
  <c r="G105" i="1"/>
  <c r="H105" i="1"/>
  <c r="I105" i="1"/>
  <c r="J105" i="1"/>
  <c r="K105" i="1"/>
  <c r="D106" i="1"/>
  <c r="M102" i="1"/>
  <c r="N102" i="1"/>
  <c r="O102" i="1"/>
  <c r="P102" i="1"/>
  <c r="Q102" i="1"/>
  <c r="R102" i="1"/>
  <c r="S102" i="1"/>
  <c r="T102" i="1"/>
  <c r="U102" i="1"/>
  <c r="V102" i="1"/>
  <c r="W102" i="1"/>
  <c r="X102" i="1"/>
  <c r="Y102" i="1"/>
  <c r="Z102" i="1"/>
  <c r="AA102" i="1"/>
  <c r="AB102" i="1"/>
  <c r="D102" i="1"/>
  <c r="E102" i="1"/>
  <c r="F102" i="1"/>
  <c r="G102" i="1"/>
  <c r="H102" i="1"/>
  <c r="I102" i="1"/>
  <c r="J102" i="1"/>
  <c r="K102" i="1"/>
  <c r="D104" i="1"/>
  <c r="E101" i="1"/>
  <c r="F101" i="1"/>
  <c r="G101" i="1"/>
  <c r="H101" i="1"/>
  <c r="I101" i="1"/>
  <c r="J101" i="1"/>
  <c r="K101" i="1"/>
  <c r="L101" i="1"/>
  <c r="M101" i="1"/>
  <c r="N101" i="1"/>
  <c r="O101" i="1"/>
  <c r="P101" i="1"/>
  <c r="Q101" i="1"/>
  <c r="R101" i="1"/>
  <c r="S101" i="1"/>
  <c r="T101" i="1"/>
  <c r="U101" i="1"/>
  <c r="V101" i="1"/>
  <c r="W101" i="1"/>
  <c r="X101" i="1"/>
  <c r="Y101" i="1"/>
  <c r="Z101" i="1"/>
  <c r="AA101" i="1"/>
  <c r="AB101" i="1"/>
  <c r="E100" i="1"/>
  <c r="F100" i="1"/>
  <c r="G100" i="1"/>
  <c r="H100" i="1"/>
  <c r="I100" i="1"/>
  <c r="J100" i="1"/>
  <c r="K100" i="1"/>
  <c r="L100" i="1"/>
  <c r="M100" i="1"/>
  <c r="N100" i="1"/>
  <c r="O100" i="1"/>
  <c r="P100" i="1"/>
  <c r="Q100" i="1"/>
  <c r="R100" i="1"/>
  <c r="S100" i="1"/>
  <c r="T100" i="1"/>
  <c r="U100" i="1"/>
  <c r="V100" i="1"/>
  <c r="W100" i="1"/>
  <c r="X100" i="1"/>
  <c r="Y100" i="1"/>
  <c r="Z100" i="1"/>
  <c r="AA100" i="1"/>
  <c r="AB100" i="1"/>
  <c r="E99" i="1"/>
  <c r="F99" i="1"/>
  <c r="G99" i="1"/>
  <c r="H99" i="1"/>
  <c r="I99" i="1"/>
  <c r="J99" i="1"/>
  <c r="K99" i="1"/>
  <c r="L99" i="1"/>
  <c r="M99" i="1"/>
  <c r="N99" i="1"/>
  <c r="O99" i="1"/>
  <c r="P99" i="1"/>
  <c r="Q99" i="1"/>
  <c r="R99" i="1"/>
  <c r="S99" i="1"/>
  <c r="T99" i="1"/>
  <c r="U99" i="1"/>
  <c r="V99" i="1"/>
  <c r="W99" i="1"/>
  <c r="X99" i="1"/>
  <c r="Y99" i="1"/>
  <c r="Z99" i="1"/>
  <c r="AA99" i="1"/>
  <c r="AB99" i="1"/>
  <c r="E103" i="1"/>
  <c r="F103" i="1"/>
  <c r="G103" i="1"/>
  <c r="H103" i="1"/>
  <c r="I103" i="1"/>
  <c r="J103" i="1"/>
  <c r="K103" i="1"/>
  <c r="L103" i="1"/>
  <c r="M103" i="1"/>
  <c r="N103" i="1"/>
  <c r="O103" i="1"/>
  <c r="P103" i="1"/>
  <c r="Q103" i="1"/>
  <c r="R103" i="1"/>
  <c r="S103" i="1"/>
  <c r="T103" i="1"/>
  <c r="U103" i="1"/>
  <c r="V103" i="1"/>
  <c r="W103" i="1"/>
  <c r="X103" i="1"/>
  <c r="Y103" i="1"/>
  <c r="Z103" i="1"/>
  <c r="AA103" i="1"/>
  <c r="D101" i="1"/>
  <c r="L102" i="1"/>
  <c r="D100" i="1"/>
  <c r="D99" i="1"/>
  <c r="D103" i="1"/>
  <c r="L105" i="1"/>
  <c r="AC101" i="1" s="1"/>
  <c r="AC86" i="1"/>
  <c r="AC72" i="1"/>
  <c r="AC68" i="1"/>
  <c r="AE61" i="1"/>
  <c r="AC61" i="1"/>
  <c r="AC54" i="1"/>
  <c r="AC55" i="1"/>
  <c r="AC56" i="1"/>
  <c r="AC57" i="1"/>
  <c r="AC53" i="1"/>
  <c r="N45" i="1"/>
  <c r="O45" i="1"/>
  <c r="P45" i="1"/>
  <c r="Q45" i="1"/>
  <c r="R45" i="1"/>
  <c r="S45" i="1"/>
  <c r="T45" i="1"/>
  <c r="U45" i="1"/>
  <c r="V45" i="1"/>
  <c r="W45" i="1"/>
  <c r="X45" i="1"/>
  <c r="Y45" i="1"/>
  <c r="Z45" i="1"/>
  <c r="AA45" i="1"/>
  <c r="M45" i="1"/>
  <c r="E23" i="1"/>
  <c r="F23" i="1"/>
  <c r="G23" i="1"/>
  <c r="H23" i="1"/>
  <c r="I23" i="1"/>
  <c r="J23" i="1"/>
  <c r="K23" i="1"/>
  <c r="D23" i="1"/>
  <c r="M23" i="1"/>
  <c r="O23" i="1"/>
  <c r="W23" i="1"/>
  <c r="AC48" i="1"/>
  <c r="R23" i="1"/>
  <c r="V23" i="1"/>
  <c r="Z23" i="1"/>
  <c r="AA23" i="1"/>
  <c r="AE37" i="1"/>
  <c r="AC100" i="1" l="1"/>
  <c r="AC47" i="1"/>
  <c r="X23" i="1"/>
  <c r="T23" i="1"/>
  <c r="P23" i="1"/>
  <c r="N23" i="1"/>
  <c r="Y23" i="1"/>
  <c r="U23" i="1"/>
  <c r="S23" i="1"/>
  <c r="Q23" i="1"/>
  <c r="AD245" i="1"/>
  <c r="AD231" i="1"/>
  <c r="AD217" i="1"/>
  <c r="AD149" i="1"/>
  <c r="AD135" i="1"/>
  <c r="AD119" i="1"/>
  <c r="AD52" i="1"/>
  <c r="M142" i="1" l="1"/>
  <c r="N142" i="1"/>
  <c r="O142" i="1"/>
  <c r="P142" i="1"/>
  <c r="Q142" i="1"/>
  <c r="R142" i="1"/>
  <c r="S142" i="1"/>
  <c r="T142" i="1"/>
  <c r="U142" i="1"/>
  <c r="V142" i="1"/>
  <c r="W142" i="1"/>
  <c r="X142" i="1"/>
  <c r="Y142" i="1"/>
  <c r="Z142" i="1"/>
  <c r="AA142" i="1"/>
  <c r="M170" i="1"/>
  <c r="N170" i="1"/>
  <c r="O170" i="1"/>
  <c r="P170" i="1"/>
  <c r="Q170" i="1"/>
  <c r="R170" i="1"/>
  <c r="S170" i="1"/>
  <c r="T170" i="1"/>
  <c r="U170" i="1"/>
  <c r="V170" i="1"/>
  <c r="W170" i="1"/>
  <c r="X170" i="1"/>
  <c r="Y170" i="1"/>
  <c r="Z170" i="1"/>
  <c r="AA170" i="1"/>
  <c r="M157" i="1"/>
  <c r="N157" i="1"/>
  <c r="O157" i="1"/>
  <c r="P157" i="1"/>
  <c r="Q157" i="1"/>
  <c r="R157" i="1"/>
  <c r="S157" i="1"/>
  <c r="T157" i="1"/>
  <c r="U157" i="1"/>
  <c r="V157" i="1"/>
  <c r="W157" i="1"/>
  <c r="X157" i="1"/>
  <c r="Y157" i="1"/>
  <c r="Z157" i="1"/>
  <c r="AA157" i="1"/>
  <c r="M163" i="1"/>
  <c r="N163" i="1"/>
  <c r="O163" i="1"/>
  <c r="P163" i="1"/>
  <c r="Q163" i="1"/>
  <c r="R163" i="1"/>
  <c r="S163" i="1"/>
  <c r="T163" i="1"/>
  <c r="U163" i="1"/>
  <c r="V163" i="1"/>
  <c r="W163" i="1"/>
  <c r="X163" i="1"/>
  <c r="Y163" i="1"/>
  <c r="Z163" i="1"/>
  <c r="AA163" i="1"/>
  <c r="M176" i="1"/>
  <c r="N176" i="1"/>
  <c r="O176" i="1"/>
  <c r="P176" i="1"/>
  <c r="Q176" i="1"/>
  <c r="R176" i="1"/>
  <c r="S176" i="1"/>
  <c r="T176" i="1"/>
  <c r="U176" i="1"/>
  <c r="V176" i="1"/>
  <c r="W176" i="1"/>
  <c r="X176" i="1"/>
  <c r="Y176" i="1"/>
  <c r="Z176" i="1"/>
  <c r="AA176" i="1"/>
  <c r="AC168" i="1"/>
  <c r="AC162" i="1"/>
  <c r="AA156" i="1" l="1"/>
  <c r="W156" i="1"/>
  <c r="O156" i="1"/>
  <c r="Z156" i="1"/>
  <c r="V156" i="1"/>
  <c r="R156" i="1"/>
  <c r="N156" i="1"/>
  <c r="X156" i="1"/>
  <c r="T156" i="1"/>
  <c r="P156" i="1"/>
  <c r="Y156" i="1"/>
  <c r="U156" i="1"/>
  <c r="Q156" i="1"/>
  <c r="M156" i="1"/>
  <c r="S156" i="1"/>
  <c r="AB180" i="1"/>
  <c r="AB179" i="1"/>
  <c r="AB178" i="1"/>
  <c r="AB177" i="1"/>
  <c r="L176" i="1"/>
  <c r="K176" i="1"/>
  <c r="J176" i="1"/>
  <c r="I176" i="1"/>
  <c r="H176" i="1"/>
  <c r="G176" i="1"/>
  <c r="F176" i="1"/>
  <c r="E176" i="1"/>
  <c r="D176" i="1"/>
  <c r="AB174" i="1"/>
  <c r="AB173" i="1"/>
  <c r="AB172" i="1"/>
  <c r="AB171" i="1"/>
  <c r="X169" i="1"/>
  <c r="W169" i="1"/>
  <c r="V169" i="1"/>
  <c r="S169" i="1"/>
  <c r="R169" i="1"/>
  <c r="P169" i="1"/>
  <c r="O169" i="1"/>
  <c r="N169" i="1"/>
  <c r="L170" i="1"/>
  <c r="K170" i="1"/>
  <c r="J170" i="1"/>
  <c r="I170" i="1"/>
  <c r="H170" i="1"/>
  <c r="G170" i="1"/>
  <c r="F170" i="1"/>
  <c r="E170" i="1"/>
  <c r="D170" i="1"/>
  <c r="AA169" i="1"/>
  <c r="T169" i="1"/>
  <c r="AB167" i="1"/>
  <c r="AB166" i="1"/>
  <c r="AB165" i="1"/>
  <c r="AB164" i="1"/>
  <c r="L163" i="1"/>
  <c r="K163" i="1"/>
  <c r="J163" i="1"/>
  <c r="I163" i="1"/>
  <c r="H163" i="1"/>
  <c r="G163" i="1"/>
  <c r="F163" i="1"/>
  <c r="E163" i="1"/>
  <c r="D163" i="1"/>
  <c r="AB161" i="1"/>
  <c r="AB160" i="1"/>
  <c r="AB159" i="1"/>
  <c r="AB158" i="1"/>
  <c r="AE164" i="1" s="1"/>
  <c r="L157" i="1"/>
  <c r="K157" i="1"/>
  <c r="J157" i="1"/>
  <c r="I157" i="1"/>
  <c r="H157" i="1"/>
  <c r="G157" i="1"/>
  <c r="F157" i="1"/>
  <c r="E157" i="1"/>
  <c r="D157" i="1"/>
  <c r="AB153" i="1"/>
  <c r="AB152" i="1"/>
  <c r="AB151" i="1"/>
  <c r="AB150" i="1"/>
  <c r="AA149" i="1"/>
  <c r="Z149" i="1"/>
  <c r="Y149" i="1"/>
  <c r="X149" i="1"/>
  <c r="W149" i="1"/>
  <c r="V149" i="1"/>
  <c r="U149" i="1"/>
  <c r="T149" i="1"/>
  <c r="S149" i="1"/>
  <c r="R149" i="1"/>
  <c r="Q149" i="1"/>
  <c r="P149" i="1"/>
  <c r="O149" i="1"/>
  <c r="N149" i="1"/>
  <c r="M149" i="1"/>
  <c r="L149" i="1"/>
  <c r="K149" i="1"/>
  <c r="J149" i="1"/>
  <c r="I149" i="1"/>
  <c r="H149" i="1"/>
  <c r="G149" i="1"/>
  <c r="F149" i="1"/>
  <c r="E149" i="1"/>
  <c r="D149" i="1"/>
  <c r="AB146" i="1"/>
  <c r="AB145" i="1"/>
  <c r="AB144" i="1"/>
  <c r="AB143" i="1"/>
  <c r="L142" i="1"/>
  <c r="K142" i="1"/>
  <c r="J142" i="1"/>
  <c r="I142" i="1"/>
  <c r="H142" i="1"/>
  <c r="G142" i="1"/>
  <c r="F142" i="1"/>
  <c r="E142" i="1"/>
  <c r="D142" i="1"/>
  <c r="AB139" i="1"/>
  <c r="AB138" i="1"/>
  <c r="AB137" i="1"/>
  <c r="AB136" i="1"/>
  <c r="D135" i="1"/>
  <c r="AB56" i="1"/>
  <c r="AB55" i="1"/>
  <c r="AB54" i="1"/>
  <c r="AB53" i="1"/>
  <c r="AA52" i="1"/>
  <c r="Z52" i="1"/>
  <c r="Y52" i="1"/>
  <c r="X52" i="1"/>
  <c r="W52" i="1"/>
  <c r="V52" i="1"/>
  <c r="U52" i="1"/>
  <c r="T52" i="1"/>
  <c r="S52" i="1"/>
  <c r="R52" i="1"/>
  <c r="Q52" i="1"/>
  <c r="P52" i="1"/>
  <c r="O52" i="1"/>
  <c r="N52" i="1"/>
  <c r="M52" i="1"/>
  <c r="L52" i="1"/>
  <c r="K52" i="1"/>
  <c r="J52" i="1"/>
  <c r="I52" i="1"/>
  <c r="H52" i="1"/>
  <c r="G52" i="1"/>
  <c r="F52" i="1"/>
  <c r="E52" i="1"/>
  <c r="D52" i="1"/>
  <c r="AB49" i="1"/>
  <c r="AB48" i="1"/>
  <c r="AB47" i="1"/>
  <c r="AB46" i="1"/>
  <c r="L45" i="1"/>
  <c r="K45" i="1"/>
  <c r="J45" i="1"/>
  <c r="I45" i="1"/>
  <c r="H45" i="1"/>
  <c r="G45" i="1"/>
  <c r="F45" i="1"/>
  <c r="E45" i="1"/>
  <c r="D45" i="1"/>
  <c r="AC97" i="1"/>
  <c r="AC95" i="1"/>
  <c r="AC93" i="1"/>
  <c r="AC91" i="1"/>
  <c r="AC89" i="1"/>
  <c r="AC87" i="1"/>
  <c r="AC85" i="1"/>
  <c r="AC83" i="1"/>
  <c r="AC81" i="1"/>
  <c r="AC79" i="1"/>
  <c r="AC77" i="1"/>
  <c r="AC75" i="1"/>
  <c r="AB45" i="1" l="1"/>
  <c r="G156" i="1"/>
  <c r="K156" i="1"/>
  <c r="G169" i="1"/>
  <c r="K169" i="1"/>
  <c r="D156" i="1"/>
  <c r="H156" i="1"/>
  <c r="L156" i="1"/>
  <c r="D169" i="1"/>
  <c r="H169" i="1"/>
  <c r="L169" i="1"/>
  <c r="AB157" i="1"/>
  <c r="E156" i="1"/>
  <c r="I156" i="1"/>
  <c r="AC165" i="1"/>
  <c r="AC158" i="1"/>
  <c r="AC167" i="1"/>
  <c r="AC160" i="1"/>
  <c r="AC166" i="1"/>
  <c r="F156" i="1"/>
  <c r="J156" i="1"/>
  <c r="F169" i="1"/>
  <c r="J169" i="1"/>
  <c r="AC159" i="1"/>
  <c r="AC164" i="1"/>
  <c r="AC161" i="1"/>
  <c r="AB170" i="1"/>
  <c r="Z169" i="1"/>
  <c r="AC105" i="1"/>
  <c r="AC103" i="1"/>
  <c r="AB176" i="1"/>
  <c r="E169" i="1"/>
  <c r="I169" i="1"/>
  <c r="M169" i="1"/>
  <c r="Q169" i="1"/>
  <c r="U169" i="1"/>
  <c r="Y169" i="1"/>
  <c r="AB163" i="1"/>
  <c r="AB149" i="1"/>
  <c r="AB142" i="1"/>
  <c r="AB135" i="1"/>
  <c r="AB52" i="1"/>
  <c r="AC157" i="1" l="1"/>
  <c r="AC163" i="1"/>
  <c r="AB169" i="1"/>
  <c r="AB156" i="1"/>
  <c r="AC156" i="1" l="1"/>
  <c r="AE157" i="1"/>
  <c r="AF157" i="1" s="1"/>
  <c r="AD142" i="1"/>
  <c r="AE142" i="1"/>
  <c r="AF142" i="1" s="1"/>
  <c r="AD157" i="1"/>
  <c r="AC73" i="1"/>
  <c r="AC71" i="1"/>
  <c r="AC69" i="1"/>
  <c r="AB98" i="1"/>
  <c r="AB97" i="1"/>
  <c r="AB94" i="1"/>
  <c r="AB93" i="1"/>
  <c r="AB88" i="1"/>
  <c r="AB87" i="1"/>
  <c r="AB84" i="1"/>
  <c r="AB83" i="1"/>
  <c r="AB68" i="1"/>
  <c r="AB70" i="1"/>
  <c r="AB69" i="1"/>
  <c r="AB78" i="1"/>
  <c r="AB77" i="1"/>
  <c r="AB82" i="1"/>
  <c r="AB81" i="1"/>
  <c r="AB105" i="1" l="1"/>
  <c r="AB221" i="1"/>
  <c r="AB213" i="1"/>
  <c r="AB205" i="1"/>
  <c r="AB131" i="1"/>
  <c r="AB8" i="1"/>
  <c r="AF8" i="1"/>
  <c r="AB9" i="1"/>
  <c r="AB10" i="1"/>
  <c r="AC11" i="1"/>
  <c r="AB12" i="1"/>
  <c r="AC12" i="1"/>
  <c r="AB13" i="1"/>
  <c r="D14" i="1"/>
  <c r="E14" i="1"/>
  <c r="F14" i="1"/>
  <c r="G14" i="1"/>
  <c r="H14" i="1"/>
  <c r="I14" i="1"/>
  <c r="J14" i="1"/>
  <c r="K14" i="1"/>
  <c r="L14" i="1"/>
  <c r="M14" i="1"/>
  <c r="N14" i="1"/>
  <c r="O14" i="1"/>
  <c r="P14" i="1"/>
  <c r="Q14" i="1"/>
  <c r="R14" i="1"/>
  <c r="S14" i="1"/>
  <c r="T14" i="1"/>
  <c r="U14" i="1"/>
  <c r="V14" i="1"/>
  <c r="W14" i="1"/>
  <c r="X14" i="1"/>
  <c r="Y14" i="1"/>
  <c r="Z14" i="1"/>
  <c r="AA14" i="1"/>
  <c r="AB15" i="1"/>
  <c r="AC15" i="1"/>
  <c r="AB16" i="1"/>
  <c r="AC16" i="1"/>
  <c r="AB17" i="1"/>
  <c r="D18" i="1"/>
  <c r="E18" i="1"/>
  <c r="F18" i="1"/>
  <c r="G18" i="1"/>
  <c r="H18" i="1"/>
  <c r="I18" i="1"/>
  <c r="J18" i="1"/>
  <c r="K18" i="1"/>
  <c r="L18" i="1"/>
  <c r="M18" i="1"/>
  <c r="N18" i="1"/>
  <c r="O18" i="1"/>
  <c r="P18" i="1"/>
  <c r="Q18" i="1"/>
  <c r="R18" i="1"/>
  <c r="S18" i="1"/>
  <c r="T18" i="1"/>
  <c r="U18" i="1"/>
  <c r="V18" i="1"/>
  <c r="W18" i="1"/>
  <c r="X18" i="1"/>
  <c r="Y18" i="1"/>
  <c r="Z18" i="1"/>
  <c r="AA18" i="1"/>
  <c r="M217" i="1"/>
  <c r="N217" i="1"/>
  <c r="O217" i="1"/>
  <c r="P217" i="1"/>
  <c r="Q217" i="1"/>
  <c r="R217" i="1"/>
  <c r="S217" i="1"/>
  <c r="T217" i="1"/>
  <c r="U217" i="1"/>
  <c r="V217" i="1"/>
  <c r="W217" i="1"/>
  <c r="X217" i="1"/>
  <c r="Y217" i="1"/>
  <c r="Z217" i="1"/>
  <c r="AA217" i="1"/>
  <c r="M231" i="1"/>
  <c r="N231" i="1"/>
  <c r="O231" i="1"/>
  <c r="P231" i="1"/>
  <c r="Q231" i="1"/>
  <c r="R231" i="1"/>
  <c r="S231" i="1"/>
  <c r="T231" i="1"/>
  <c r="U231" i="1"/>
  <c r="V231" i="1"/>
  <c r="W231" i="1"/>
  <c r="X231" i="1"/>
  <c r="Y231" i="1"/>
  <c r="Z231" i="1"/>
  <c r="AA231" i="1"/>
  <c r="AF61" i="1"/>
  <c r="M186" i="1"/>
  <c r="N186" i="1"/>
  <c r="O186" i="1"/>
  <c r="P186" i="1"/>
  <c r="Q186" i="1"/>
  <c r="R186" i="1"/>
  <c r="S186" i="1"/>
  <c r="T186" i="1"/>
  <c r="U186" i="1"/>
  <c r="V186" i="1"/>
  <c r="W186" i="1"/>
  <c r="X186" i="1"/>
  <c r="Y186" i="1"/>
  <c r="Z186" i="1"/>
  <c r="AA186" i="1"/>
  <c r="L186" i="1"/>
  <c r="D186" i="1"/>
  <c r="E186" i="1"/>
  <c r="F186" i="1"/>
  <c r="G186" i="1"/>
  <c r="H186" i="1"/>
  <c r="I186" i="1"/>
  <c r="J186" i="1"/>
  <c r="K186" i="1"/>
  <c r="AB18" i="1" l="1"/>
  <c r="AC9" i="1"/>
  <c r="AB14" i="1"/>
  <c r="AC8" i="1"/>
  <c r="AC186" i="1"/>
  <c r="AD186" i="1" s="1"/>
  <c r="AB114" i="1"/>
  <c r="AB115" i="1"/>
  <c r="AC110" i="1"/>
  <c r="AC114" i="1"/>
  <c r="AD8" i="1" l="1"/>
  <c r="AD110" i="1"/>
  <c r="D119" i="1"/>
  <c r="E119" i="1"/>
  <c r="F119" i="1"/>
  <c r="G119" i="1"/>
  <c r="H119" i="1"/>
  <c r="I119" i="1"/>
  <c r="J119" i="1"/>
  <c r="K119" i="1"/>
  <c r="D245" i="1"/>
  <c r="E245" i="1"/>
  <c r="F245" i="1"/>
  <c r="G245" i="1"/>
  <c r="H245" i="1"/>
  <c r="I245" i="1"/>
  <c r="J245" i="1"/>
  <c r="K245" i="1"/>
  <c r="L245" i="1"/>
  <c r="M245" i="1"/>
  <c r="N245" i="1"/>
  <c r="O245" i="1"/>
  <c r="P245" i="1"/>
  <c r="Q245" i="1"/>
  <c r="R245" i="1"/>
  <c r="S245" i="1"/>
  <c r="T245" i="1"/>
  <c r="U245" i="1"/>
  <c r="V245" i="1"/>
  <c r="W245" i="1"/>
  <c r="X245" i="1"/>
  <c r="Y245" i="1"/>
  <c r="Z245" i="1"/>
  <c r="AA245" i="1"/>
  <c r="E231" i="1"/>
  <c r="F231" i="1"/>
  <c r="G231" i="1"/>
  <c r="H231" i="1"/>
  <c r="I231" i="1"/>
  <c r="J231" i="1"/>
  <c r="K231" i="1"/>
  <c r="L231" i="1"/>
  <c r="D231" i="1"/>
  <c r="D203" i="1"/>
  <c r="E203" i="1"/>
  <c r="F203" i="1"/>
  <c r="G203" i="1"/>
  <c r="H203" i="1"/>
  <c r="I203" i="1"/>
  <c r="J203" i="1"/>
  <c r="K203" i="1"/>
  <c r="D217" i="1"/>
  <c r="E217" i="1"/>
  <c r="F217" i="1"/>
  <c r="G217" i="1"/>
  <c r="H217" i="1"/>
  <c r="I217" i="1"/>
  <c r="J217" i="1"/>
  <c r="K217" i="1"/>
  <c r="M203" i="1"/>
  <c r="N203" i="1"/>
  <c r="O203" i="1"/>
  <c r="P203" i="1"/>
  <c r="Q203" i="1"/>
  <c r="R203" i="1"/>
  <c r="S203" i="1"/>
  <c r="T203" i="1"/>
  <c r="U203" i="1"/>
  <c r="V203" i="1"/>
  <c r="W203" i="1"/>
  <c r="X203" i="1"/>
  <c r="Y203" i="1"/>
  <c r="Z203" i="1"/>
  <c r="AA203" i="1"/>
  <c r="L203" i="1"/>
  <c r="L217" i="1"/>
  <c r="AB232" i="1"/>
  <c r="AB233" i="1"/>
  <c r="AB234" i="1"/>
  <c r="AB235" i="1"/>
  <c r="AB236" i="1"/>
  <c r="AB238" i="1"/>
  <c r="AB239" i="1"/>
  <c r="AB240" i="1"/>
  <c r="AB241" i="1"/>
  <c r="AB242" i="1"/>
  <c r="AB247" i="1"/>
  <c r="AB246" i="1"/>
  <c r="AB227" i="1"/>
  <c r="AB226" i="1"/>
  <c r="AB225" i="1"/>
  <c r="AB250" i="1"/>
  <c r="AB249" i="1"/>
  <c r="AB248" i="1"/>
  <c r="AB199" i="1"/>
  <c r="AB200" i="1"/>
  <c r="AB204" i="1"/>
  <c r="AB191" i="1"/>
  <c r="AB192" i="1"/>
  <c r="AB193" i="1"/>
  <c r="AB194" i="1"/>
  <c r="AB196" i="1"/>
  <c r="AB197" i="1"/>
  <c r="AB198" i="1"/>
  <c r="AB187" i="1"/>
  <c r="AB188" i="1"/>
  <c r="AB189" i="1"/>
  <c r="AB190" i="1"/>
  <c r="AB228" i="1"/>
  <c r="AB224" i="1"/>
  <c r="AB222" i="1"/>
  <c r="AB220" i="1"/>
  <c r="AB219" i="1"/>
  <c r="AB214" i="1"/>
  <c r="AB212" i="1"/>
  <c r="AB211" i="1"/>
  <c r="AB210" i="1"/>
  <c r="AB208" i="1"/>
  <c r="AB207" i="1"/>
  <c r="AB206" i="1"/>
  <c r="AB245" i="1" l="1"/>
  <c r="AB231" i="1"/>
  <c r="AB203" i="1"/>
  <c r="AB186" i="1"/>
  <c r="AB218" i="1"/>
  <c r="AB217" i="1" s="1"/>
  <c r="AC203" i="1" l="1"/>
  <c r="AD203" i="1" s="1"/>
  <c r="M119" i="1"/>
  <c r="N119" i="1"/>
  <c r="O119" i="1"/>
  <c r="P119" i="1"/>
  <c r="Q119" i="1"/>
  <c r="R119" i="1"/>
  <c r="S119" i="1"/>
  <c r="T119" i="1"/>
  <c r="U119" i="1"/>
  <c r="V119" i="1"/>
  <c r="W119" i="1"/>
  <c r="X119" i="1"/>
  <c r="Y119" i="1"/>
  <c r="Z119" i="1"/>
  <c r="AA119" i="1"/>
  <c r="L120" i="1"/>
  <c r="L119" i="1"/>
  <c r="AC50" i="1"/>
  <c r="AB29" i="1"/>
  <c r="AB30" i="1"/>
  <c r="AB31" i="1"/>
  <c r="AE31" i="1" s="1"/>
  <c r="AB32" i="1"/>
  <c r="AB33" i="1"/>
  <c r="AB34" i="1"/>
  <c r="AE34" i="1" s="1"/>
  <c r="AB38" i="1"/>
  <c r="AB39" i="1"/>
  <c r="AB40" i="1"/>
  <c r="AE40" i="1" s="1"/>
  <c r="AB41" i="1"/>
  <c r="AB42" i="1"/>
  <c r="AB43" i="1"/>
  <c r="AE43" i="1" s="1"/>
  <c r="AB61" i="1"/>
  <c r="AB63" i="1"/>
  <c r="AB67" i="1"/>
  <c r="AB75" i="1"/>
  <c r="AB76" i="1"/>
  <c r="AB79" i="1"/>
  <c r="AB80" i="1"/>
  <c r="AB85" i="1"/>
  <c r="AB86" i="1"/>
  <c r="AB89" i="1"/>
  <c r="AB90" i="1"/>
  <c r="AB91" i="1"/>
  <c r="AB92" i="1"/>
  <c r="AB95" i="1"/>
  <c r="AB103" i="1" s="1"/>
  <c r="AB96" i="1"/>
  <c r="AB110" i="1"/>
  <c r="AB111" i="1"/>
  <c r="AB112" i="1"/>
  <c r="AB121" i="1"/>
  <c r="AB124" i="1"/>
  <c r="AB125" i="1"/>
  <c r="AB126" i="1"/>
  <c r="AB127" i="1"/>
  <c r="AB129" i="1"/>
  <c r="AB132" i="1"/>
  <c r="AB133" i="1"/>
  <c r="AC80" i="1" l="1"/>
  <c r="AD67" i="1" s="1"/>
  <c r="AC49" i="1"/>
  <c r="L23" i="1"/>
  <c r="AC62" i="1" s="1"/>
  <c r="AD61" i="1" s="1"/>
  <c r="AF24" i="1"/>
  <c r="AB62" i="1"/>
  <c r="AB113" i="1"/>
  <c r="AB130" i="1"/>
  <c r="AB120" i="1" s="1"/>
  <c r="AB122" i="1"/>
  <c r="AB119" i="1" s="1"/>
  <c r="AE45" i="1" l="1"/>
  <c r="AF45" i="1" s="1"/>
  <c r="A278" i="1" s="1"/>
  <c r="AB23" i="1"/>
  <c r="AD45" i="1"/>
  <c r="A256" i="1" l="1"/>
  <c r="AD6" i="1" s="1"/>
  <c r="AF6" i="1"/>
  <c r="M256" i="1" l="1"/>
</calcChain>
</file>

<file path=xl/sharedStrings.xml><?xml version="1.0" encoding="utf-8"?>
<sst xmlns="http://schemas.openxmlformats.org/spreadsheetml/2006/main" count="1973" uniqueCount="808">
  <si>
    <t>&lt; 1</t>
  </si>
  <si>
    <t>1-4</t>
  </si>
  <si>
    <t>5-9</t>
  </si>
  <si>
    <t>10-14</t>
  </si>
  <si>
    <t>15-19</t>
  </si>
  <si>
    <t>20-24</t>
  </si>
  <si>
    <t>25-29</t>
  </si>
  <si>
    <t>30-34</t>
  </si>
  <si>
    <t>35-39</t>
  </si>
  <si>
    <t>50+</t>
  </si>
  <si>
    <t>M</t>
  </si>
  <si>
    <t>F</t>
  </si>
  <si>
    <t>Sub Total</t>
  </si>
  <si>
    <t>Other</t>
  </si>
  <si>
    <t>40-44</t>
  </si>
  <si>
    <t>45-49</t>
  </si>
  <si>
    <t>Data Element Description</t>
  </si>
  <si>
    <t>Indicator</t>
  </si>
  <si>
    <t>Data Element</t>
  </si>
  <si>
    <t>FINER AGE AND SEX DISAGGREGATION REPORTING FORM (FORM1A)</t>
  </si>
  <si>
    <t>codes</t>
  </si>
  <si>
    <t>Known Positive</t>
  </si>
  <si>
    <t>Positive</t>
  </si>
  <si>
    <t>Tested</t>
  </si>
  <si>
    <t>Code</t>
  </si>
  <si>
    <t>Sub-Indicator</t>
  </si>
  <si>
    <t>Errors</t>
  </si>
  <si>
    <t>Sub County</t>
  </si>
  <si>
    <t>Month</t>
  </si>
  <si>
    <t>Year</t>
  </si>
  <si>
    <t>WARNINGS &amp; ERRORS</t>
  </si>
  <si>
    <t>Errors per Section</t>
  </si>
  <si>
    <t>Early Warning Service Quality</t>
  </si>
  <si>
    <t>County</t>
  </si>
  <si>
    <t>People in prison and other closed settings</t>
  </si>
  <si>
    <t>Likii Dispensary</t>
  </si>
  <si>
    <t>15035</t>
  </si>
  <si>
    <t>Laikipia East</t>
  </si>
  <si>
    <t>Laikipia</t>
  </si>
  <si>
    <t>02</t>
  </si>
  <si>
    <t>Prepared By:</t>
  </si>
  <si>
    <t>1.0 HTS eligibility screening at OPD, IPD &amp; MCH</t>
  </si>
  <si>
    <t>No. eligible for HTS testing</t>
  </si>
  <si>
    <t xml:space="preserve">No. of clients seen at OPD (monthly workload)         </t>
  </si>
  <si>
    <t>No. screened for HTS eligibility</t>
  </si>
  <si>
    <t>Facility Details</t>
  </si>
  <si>
    <t>ART</t>
  </si>
  <si>
    <t>HTS</t>
  </si>
  <si>
    <t>PMTCT</t>
  </si>
  <si>
    <t>HTS eligibility screening at OPD</t>
  </si>
  <si>
    <t>HTS eligibility screening at IPD</t>
  </si>
  <si>
    <t>HTS eligibility screening at MCH</t>
  </si>
  <si>
    <t>F00-05</t>
  </si>
  <si>
    <t>F00-06</t>
  </si>
  <si>
    <t>F00-07</t>
  </si>
  <si>
    <t>F00-08</t>
  </si>
  <si>
    <t>F00-09</t>
  </si>
  <si>
    <t>F00-10</t>
  </si>
  <si>
    <t xml:space="preserve">No. of clients seen at IPD (monthly workload)         </t>
  </si>
  <si>
    <t xml:space="preserve">No. of clients seen at MCH (monthly workload)         </t>
  </si>
  <si>
    <t>Total Eligible For HTS Testing IPD and OPD</t>
  </si>
  <si>
    <t>Total Eligible IPD and OPD</t>
  </si>
  <si>
    <t>Warnings Summaries</t>
  </si>
  <si>
    <t>Errors Justifications</t>
  </si>
  <si>
    <t xml:space="preserve">Type any Justifications on the section below to explain reason for the warnings on the left </t>
  </si>
  <si>
    <t>Data Gaps Warnings</t>
  </si>
  <si>
    <t>Errors Summaries</t>
  </si>
  <si>
    <t>_F00-01</t>
  </si>
  <si>
    <t>_F00-02</t>
  </si>
  <si>
    <t>_F00-03</t>
  </si>
  <si>
    <t>_F00-04</t>
  </si>
  <si>
    <t>_F00-11</t>
  </si>
  <si>
    <t>INSTRUCTIONS FOR FILLING THE FINER AGE &amp; SEX DISGGREGATION KP FORM 1A</t>
  </si>
  <si>
    <t>DIC Name</t>
  </si>
  <si>
    <r>
      <t xml:space="preserve">1.0 KP_PREV : </t>
    </r>
    <r>
      <rPr>
        <b/>
        <sz val="22"/>
        <color theme="4"/>
        <rFont val="Browallia New"/>
        <family val="2"/>
        <charset val="222"/>
      </rPr>
      <t>Number of key populations reached with individual and/or small group-level HIV prevention interventions designed for the target population.</t>
    </r>
  </si>
  <si>
    <t>KP_PREV</t>
  </si>
  <si>
    <t>PWID</t>
  </si>
  <si>
    <t>MSM</t>
  </si>
  <si>
    <t>TransGender People</t>
  </si>
  <si>
    <t>FSW</t>
  </si>
  <si>
    <t>KP1-01</t>
  </si>
  <si>
    <t>KP1-02</t>
  </si>
  <si>
    <t>KP1-03</t>
  </si>
  <si>
    <t>KP1-04</t>
  </si>
  <si>
    <t>KP1-05</t>
  </si>
  <si>
    <t>KP1-06</t>
  </si>
  <si>
    <t>KP1-07</t>
  </si>
  <si>
    <t>KP1-08</t>
  </si>
  <si>
    <t>KP1-09</t>
  </si>
  <si>
    <t>KP1-10</t>
  </si>
  <si>
    <t>KP1-11</t>
  </si>
  <si>
    <t>KP1-12</t>
  </si>
  <si>
    <t>KP1-13</t>
  </si>
  <si>
    <t>KP1-14</t>
  </si>
  <si>
    <t>KP1-15</t>
  </si>
  <si>
    <t>KP1-16</t>
  </si>
  <si>
    <t>KP1-17</t>
  </si>
  <si>
    <t>KP1-18</t>
  </si>
  <si>
    <t>KP1-19</t>
  </si>
  <si>
    <t>KP1-20</t>
  </si>
  <si>
    <t>GBV</t>
  </si>
  <si>
    <t>Sexual Violence</t>
  </si>
  <si>
    <t>Physical or Emotional Violence</t>
  </si>
  <si>
    <t>Number of people receiving PEP Service </t>
  </si>
  <si>
    <t>Mobile Service Modality</t>
  </si>
  <si>
    <t>VCT Service Modality</t>
  </si>
  <si>
    <t>Other Service Modality</t>
  </si>
  <si>
    <t>HTS_INDEX (Community)</t>
  </si>
  <si>
    <t>Known Positives</t>
  </si>
  <si>
    <t>Number of contacts elicited</t>
  </si>
  <si>
    <t>HTS_SELF</t>
  </si>
  <si>
    <t>Unassisted self-testing kit used by</t>
  </si>
  <si>
    <t>Directly Assisted</t>
  </si>
  <si>
    <t>Unassisted</t>
  </si>
  <si>
    <t>Self</t>
  </si>
  <si>
    <t>Sex Partner</t>
  </si>
  <si>
    <t>Accepted index testing services</t>
  </si>
  <si>
    <t>Offered index testing services</t>
  </si>
  <si>
    <t>Self-test kits distributed for directly assisted testing</t>
  </si>
  <si>
    <t>Self-test kits distributed for unassisted testing</t>
  </si>
  <si>
    <t>DIC Code</t>
  </si>
  <si>
    <t>TX_CURR_VERIFY</t>
  </si>
  <si>
    <t>TX_CURR_VERIFY Dispensing Quantity</t>
  </si>
  <si>
    <t>Non-KP (general population)</t>
  </si>
  <si>
    <t>TX_CURR_VERIFY ALL</t>
  </si>
  <si>
    <t>ARV Dispensing Quantity &lt;3 months</t>
  </si>
  <si>
    <t>ARV Dispensing Quantity 3-5 months</t>
  </si>
  <si>
    <t>ARV Dispensing Quantity 6 months or more</t>
  </si>
  <si>
    <t>PEPFAR Supported</t>
  </si>
  <si>
    <t>Non-PEPFAR Supported</t>
  </si>
  <si>
    <t>TX_CURR_VERIFY General population</t>
  </si>
  <si>
    <t>TX_CURR_VERIFY MSM</t>
  </si>
  <si>
    <t>TX_CURR_VERIFY FSW</t>
  </si>
  <si>
    <t>TX_CURR_VERIFY People in prison and other closed settings</t>
  </si>
  <si>
    <t>TX_CURR_VERIFY TG</t>
  </si>
  <si>
    <t>TX_CURR_VERIFY PWID</t>
  </si>
  <si>
    <t>Non-Pepfar Supported</t>
  </si>
  <si>
    <t xml:space="preserve">TX_NEW_VERIFY </t>
  </si>
  <si>
    <t>TX_NEW_VERIFY ALL</t>
  </si>
  <si>
    <t>TX_NEW_VERIFY MSM</t>
  </si>
  <si>
    <t>TX_NEW_VERIFY General population</t>
  </si>
  <si>
    <t>TX_NEW_VERIFY People in prison and other closed settings</t>
  </si>
  <si>
    <t>TX_NEW_VERIFY PWID</t>
  </si>
  <si>
    <t>TX_NEW_VERIFY TG</t>
  </si>
  <si>
    <t>TX_NEW_VERIFY FSW</t>
  </si>
  <si>
    <t>TX_PVLS_VERIFY</t>
  </si>
  <si>
    <t>TX_RTT_VERIFY</t>
  </si>
  <si>
    <t>TX_PVLS_VERIFY Denominator</t>
  </si>
  <si>
    <t>TX_PVLS_Denominator_VERIFY FSW</t>
  </si>
  <si>
    <t>TX_PVLS_Denominator_VERIFY MSM</t>
  </si>
  <si>
    <t>TX_PVLS_Denominator_VERIFY Non-KP (general population)</t>
  </si>
  <si>
    <t>TX_PVLS_Denominator_VERIFY People in prison and other closed settings</t>
  </si>
  <si>
    <t>TX_PVLS_Denominator_VERIFY PWID</t>
  </si>
  <si>
    <t>TX_PVLS_Denominator_VERIFY TG</t>
  </si>
  <si>
    <t>TX_PVLS_VERIFY Numerator</t>
  </si>
  <si>
    <t>TX_PVLS_Numerator_VERIFY FSW</t>
  </si>
  <si>
    <t>TX_PVLS_Numerator_VERIFY MSM</t>
  </si>
  <si>
    <t>TX_PVLS_Numerator_VERIFY Non-KP (general population)</t>
  </si>
  <si>
    <t>TX_PVLS_Numerator_VERIFY People in prison and other closed settings</t>
  </si>
  <si>
    <t>TX_PVLS_Numerator_VERIFY PWID</t>
  </si>
  <si>
    <t>TX_PVLS_Numerator_VERIFY TG</t>
  </si>
  <si>
    <t>TX_RTT_VERIFY FSW</t>
  </si>
  <si>
    <t>TX_RTT_VERIFY MSM</t>
  </si>
  <si>
    <t>TX_RTT_VERIFY Non-KP (general population)</t>
  </si>
  <si>
    <t>TX_RTT_VERIFY People in prison and other closed settings</t>
  </si>
  <si>
    <t>TX_RTT_VERIFY PWID</t>
  </si>
  <si>
    <t>TX_RTT_VERIFY TG</t>
  </si>
  <si>
    <t>People in prison &amp; other closed settings</t>
  </si>
  <si>
    <r>
      <t>Total Eligible For HTS Testing in OPD</t>
    </r>
    <r>
      <rPr>
        <b/>
        <sz val="24"/>
        <color theme="9" tint="0.59999389629810485"/>
        <rFont val="Browallia New"/>
        <family val="2"/>
      </rPr>
      <t xml:space="preserve"> IPD and MCH</t>
    </r>
  </si>
  <si>
    <t>Note: Please DON'T cut paste any cell, this will interfere with the formulas.</t>
  </si>
  <si>
    <r>
      <t xml:space="preserve">Incase you copy data, please </t>
    </r>
    <r>
      <rPr>
        <b/>
        <sz val="26"/>
        <color theme="1"/>
        <rFont val="Browallia New"/>
        <family val="2"/>
      </rPr>
      <t>paste as value</t>
    </r>
    <r>
      <rPr>
        <b/>
        <sz val="26"/>
        <color rgb="FFFF0000"/>
        <rFont val="Browallia New"/>
        <family val="2"/>
      </rPr>
      <t xml:space="preserve"> to avoid unexpected Red alerts</t>
    </r>
  </si>
  <si>
    <t>Initial Tests</t>
  </si>
  <si>
    <t>Repeat Tests</t>
  </si>
  <si>
    <t>Initial Tests and Turned Positive</t>
  </si>
  <si>
    <t>Repeat Tests and Turned Positive</t>
  </si>
  <si>
    <t>Prep New</t>
  </si>
  <si>
    <t>Intiated on Prep FSW</t>
  </si>
  <si>
    <t>Initiated on Prep MSM</t>
  </si>
  <si>
    <t>Initiated on Prep People in prison and other closed settings</t>
  </si>
  <si>
    <t>Initiated on Prep PWID</t>
  </si>
  <si>
    <t>Initiated on Prep TG</t>
  </si>
  <si>
    <t>Prep Curr</t>
  </si>
  <si>
    <t>Current on Prep FSW</t>
  </si>
  <si>
    <t>Current on Prep MSM</t>
  </si>
  <si>
    <t>Current on Prep People in prison and other closed settings</t>
  </si>
  <si>
    <t>Current on Prep PWID</t>
  </si>
  <si>
    <t>Current on Prep TG</t>
  </si>
  <si>
    <r>
      <t xml:space="preserve">3.0 Prep Curr : </t>
    </r>
    <r>
      <rPr>
        <b/>
        <sz val="24"/>
        <color theme="4"/>
        <rFont val="Browallia New"/>
        <family val="2"/>
      </rPr>
      <t>Number of individuals, including those newly enrolled, receiving oral PrEP during the reporting period</t>
    </r>
  </si>
  <si>
    <t>Starting ART</t>
  </si>
  <si>
    <t>Starting ART MSM</t>
  </si>
  <si>
    <t>Starting ART People in prison and other closed settings</t>
  </si>
  <si>
    <t>Starting ART PWID</t>
  </si>
  <si>
    <t>Starting ART TG</t>
  </si>
  <si>
    <t>Starting ART FSW</t>
  </si>
  <si>
    <t>Current On ART</t>
  </si>
  <si>
    <t>Current on ART MSM</t>
  </si>
  <si>
    <t>Current on ART People in prison and other closed settings</t>
  </si>
  <si>
    <t>Current on ART PWID</t>
  </si>
  <si>
    <t>Current on ART TG</t>
  </si>
  <si>
    <t>Current on ART FSW</t>
  </si>
  <si>
    <t>TX_RTT</t>
  </si>
  <si>
    <t>TX_RTT MSM</t>
  </si>
  <si>
    <t>TX_RTT People in prison and other closed settings</t>
  </si>
  <si>
    <t>TX_RTT PWID</t>
  </si>
  <si>
    <t>TX_RTT TG</t>
  </si>
  <si>
    <t>TX_RTT FSW</t>
  </si>
  <si>
    <t>VL Done</t>
  </si>
  <si>
    <t>VL Done Routine</t>
  </si>
  <si>
    <t>VL Done Routine FSW</t>
  </si>
  <si>
    <t>VL Done Routine MSM</t>
  </si>
  <si>
    <t>VL Done Routine People in prison and other closed settings</t>
  </si>
  <si>
    <t>VL Done Routine PWID</t>
  </si>
  <si>
    <t>VL Done Routine TG</t>
  </si>
  <si>
    <t>VL Done Targeted</t>
  </si>
  <si>
    <t>VL Done Targeted FSW</t>
  </si>
  <si>
    <t>VL Done Targeted MSM</t>
  </si>
  <si>
    <t>VL Done Targeted People in prison and other closed settings</t>
  </si>
  <si>
    <t>VL Done Targeted PWID</t>
  </si>
  <si>
    <t>VL Done Targeted TG</t>
  </si>
  <si>
    <t>VL Done Total</t>
  </si>
  <si>
    <t>VL Suppressed Routine</t>
  </si>
  <si>
    <t>VL Suppressed Targeted</t>
  </si>
  <si>
    <t>VL Suppressed Total</t>
  </si>
  <si>
    <t>VL Suppressed Routine FSW</t>
  </si>
  <si>
    <t>VL Suppressed Routine MSM</t>
  </si>
  <si>
    <t>VL Suppressed Routine People in prison and other closed settings</t>
  </si>
  <si>
    <t>VL Suppressed Routine PWID</t>
  </si>
  <si>
    <t>VL Suppressed Routine TG</t>
  </si>
  <si>
    <t>VL Suppressed Targeted FSW</t>
  </si>
  <si>
    <t>VL Suppressed Targeted MSM</t>
  </si>
  <si>
    <t>VL Suppressed Targeted People in prison and other closed settings</t>
  </si>
  <si>
    <t>VL Suppressed Targeted PWID</t>
  </si>
  <si>
    <t>VL Suppressed Targeted TG</t>
  </si>
  <si>
    <t>VL Suppressed</t>
  </si>
  <si>
    <r>
      <t>2.0 Prep</t>
    </r>
    <r>
      <rPr>
        <b/>
        <sz val="24"/>
        <color theme="4"/>
        <rFont val="Browallia New"/>
        <family val="2"/>
      </rPr>
      <t xml:space="preserve"> New: Number of individuals who have been newly enrolled on oral antiretroviral pre-exposure prophylaxis (PrEP) in the reporting period to prevent HIV infection</t>
    </r>
  </si>
  <si>
    <r>
      <t xml:space="preserve">4.0 GEND_GBV : </t>
    </r>
    <r>
      <rPr>
        <b/>
        <sz val="24"/>
        <color theme="4"/>
        <rFont val="Browallia New"/>
        <family val="2"/>
        <charset val="222"/>
      </rPr>
      <t>Number of people receiving post-GBV care based on the minimum package</t>
    </r>
  </si>
  <si>
    <t>5.0 Testing HTS-TST</t>
  </si>
  <si>
    <t>6.0 HTS_TST (Community) - Index Testing Modality</t>
  </si>
  <si>
    <t>7.0 HTS_SELF</t>
  </si>
  <si>
    <r>
      <t>8.0 Starting ART :</t>
    </r>
    <r>
      <rPr>
        <b/>
        <sz val="24"/>
        <color theme="4"/>
        <rFont val="Browallia New"/>
        <family val="2"/>
      </rPr>
      <t xml:space="preserve"> Number of adults and children newly enrolled on antiretroviral therapy (ART)</t>
    </r>
  </si>
  <si>
    <r>
      <t>9.0 Current on ART :</t>
    </r>
    <r>
      <rPr>
        <b/>
        <sz val="24"/>
        <color theme="4"/>
        <rFont val="Browallia New"/>
        <family val="2"/>
      </rPr>
      <t xml:space="preserve"> Number of adults and children newly enrolled on antiretroviral therapy (ART)</t>
    </r>
  </si>
  <si>
    <r>
      <t xml:space="preserve">10.0 TX_RTT: </t>
    </r>
    <r>
      <rPr>
        <b/>
        <sz val="24"/>
        <color theme="4"/>
        <rFont val="Browallia New"/>
        <family val="2"/>
      </rPr>
      <t>Number of ART patients who experienced an interruption in treatment (IIT) during any previous reporting period, who successfully restarted ARVs within the reporting period and remained on treatment until the end of the reporting period</t>
    </r>
  </si>
  <si>
    <r>
      <t xml:space="preserve">11.0 TX_PVLS: </t>
    </r>
    <r>
      <rPr>
        <b/>
        <sz val="24"/>
        <color theme="4"/>
        <rFont val="Browallia New"/>
        <family val="2"/>
      </rPr>
      <t>Number of adults and pediatric ART patients with a viral load result documented in the medical records and/or supporting laboratory results within the past 12 months</t>
    </r>
  </si>
  <si>
    <t>USAID CUSTOM INDICATORS</t>
  </si>
  <si>
    <t>12.0 TX_CURR_VERIFY</t>
  </si>
  <si>
    <t>13.0 TX_NEW_VERIFY</t>
  </si>
  <si>
    <t>14.0 TX_PVLS_VERIFY ( Denominator)</t>
  </si>
  <si>
    <t>15.0 TX_PVLS_VERIFY ( Numerator)</t>
  </si>
  <si>
    <t>16.0 TX_RTT_VERIFY</t>
  </si>
  <si>
    <t>KP2-01</t>
  </si>
  <si>
    <t>KP2-02</t>
  </si>
  <si>
    <t>KP2-03</t>
  </si>
  <si>
    <t>KP2-04</t>
  </si>
  <si>
    <t>KP2-05</t>
  </si>
  <si>
    <t>KP2-06</t>
  </si>
  <si>
    <t>KP3-01</t>
  </si>
  <si>
    <t>KP3-02</t>
  </si>
  <si>
    <t>KP3-03</t>
  </si>
  <si>
    <t>KP3-04</t>
  </si>
  <si>
    <t>KP3-05</t>
  </si>
  <si>
    <t>KP3-06</t>
  </si>
  <si>
    <t>KP4-01</t>
  </si>
  <si>
    <t>KP4-02</t>
  </si>
  <si>
    <t>KP4-03</t>
  </si>
  <si>
    <t>KP5-01</t>
  </si>
  <si>
    <t>KP5-02</t>
  </si>
  <si>
    <t>KP5-03</t>
  </si>
  <si>
    <t>KP5-04</t>
  </si>
  <si>
    <t>KP5-05</t>
  </si>
  <si>
    <t>KP5-06</t>
  </si>
  <si>
    <t>KP5-07</t>
  </si>
  <si>
    <t>KP5-08</t>
  </si>
  <si>
    <t>KP5-09</t>
  </si>
  <si>
    <t>KP5-10</t>
  </si>
  <si>
    <t>KP5-11</t>
  </si>
  <si>
    <t>KP5-12</t>
  </si>
  <si>
    <t>KP5-13</t>
  </si>
  <si>
    <t>KP5-14</t>
  </si>
  <si>
    <t>KP5-15</t>
  </si>
  <si>
    <t>KP5-16</t>
  </si>
  <si>
    <t>KP5-17</t>
  </si>
  <si>
    <t>KP5-18</t>
  </si>
  <si>
    <t>KP5-19</t>
  </si>
  <si>
    <t>KP5-20</t>
  </si>
  <si>
    <t>KP5-21</t>
  </si>
  <si>
    <t>KP5-22</t>
  </si>
  <si>
    <t>KP5-23</t>
  </si>
  <si>
    <t>KP5-24</t>
  </si>
  <si>
    <t>KP5-25</t>
  </si>
  <si>
    <t>KP5-26</t>
  </si>
  <si>
    <t>KP5-27</t>
  </si>
  <si>
    <t>KP5-28</t>
  </si>
  <si>
    <t>KP5-29</t>
  </si>
  <si>
    <t>KP5-30</t>
  </si>
  <si>
    <t>KP5-31</t>
  </si>
  <si>
    <t>KP5-32</t>
  </si>
  <si>
    <t>KP5-33</t>
  </si>
  <si>
    <t>KP5-34</t>
  </si>
  <si>
    <t>KP5-35</t>
  </si>
  <si>
    <t>KP5-36</t>
  </si>
  <si>
    <t>Total Tests &amp; Test Results</t>
  </si>
  <si>
    <t>KP6-01</t>
  </si>
  <si>
    <t>KP6-02</t>
  </si>
  <si>
    <t>KP6-03</t>
  </si>
  <si>
    <t>KP6-04</t>
  </si>
  <si>
    <t>KP6-05</t>
  </si>
  <si>
    <t>KP6-06</t>
  </si>
  <si>
    <t>KP7-01</t>
  </si>
  <si>
    <t>KP7-02</t>
  </si>
  <si>
    <t>KP7-03</t>
  </si>
  <si>
    <t>KP7-04</t>
  </si>
  <si>
    <t>KP7-05</t>
  </si>
  <si>
    <t>KP7-06</t>
  </si>
  <si>
    <t>KP7-07</t>
  </si>
  <si>
    <t>KP7-08</t>
  </si>
  <si>
    <t>KP7-09</t>
  </si>
  <si>
    <t>KP7-10</t>
  </si>
  <si>
    <t>KP7-11</t>
  </si>
  <si>
    <t>KP7-12</t>
  </si>
  <si>
    <t>KP7-13</t>
  </si>
  <si>
    <t>KP7-14</t>
  </si>
  <si>
    <t>KP7-15</t>
  </si>
  <si>
    <t>KP8-01</t>
  </si>
  <si>
    <t>KP8-02</t>
  </si>
  <si>
    <t>KP8-03</t>
  </si>
  <si>
    <t>KP8-04</t>
  </si>
  <si>
    <t>KP8-05</t>
  </si>
  <si>
    <t>KP8-06</t>
  </si>
  <si>
    <t>KP9-01</t>
  </si>
  <si>
    <t>KP9-02</t>
  </si>
  <si>
    <t>KP9-03</t>
  </si>
  <si>
    <t>KP9-04</t>
  </si>
  <si>
    <t>KP9-05</t>
  </si>
  <si>
    <t>KP9-06</t>
  </si>
  <si>
    <t>KP10-01</t>
  </si>
  <si>
    <t>KP10-02</t>
  </si>
  <si>
    <t>KP10-03</t>
  </si>
  <si>
    <t>KP10-04</t>
  </si>
  <si>
    <t>KP10-05</t>
  </si>
  <si>
    <t>KP10-06</t>
  </si>
  <si>
    <t>KP11-01</t>
  </si>
  <si>
    <t>KP11-02</t>
  </si>
  <si>
    <t>KP11-03</t>
  </si>
  <si>
    <t>KP11-04</t>
  </si>
  <si>
    <t>KP11-05</t>
  </si>
  <si>
    <t>KP11-06</t>
  </si>
  <si>
    <t>KP11-07</t>
  </si>
  <si>
    <t>KP11-08</t>
  </si>
  <si>
    <t>KP11-09</t>
  </si>
  <si>
    <t>KP11-10</t>
  </si>
  <si>
    <t>KP11-11</t>
  </si>
  <si>
    <t>KP11-12</t>
  </si>
  <si>
    <t>KP11-13</t>
  </si>
  <si>
    <t>KP11-14</t>
  </si>
  <si>
    <t>KP11-15</t>
  </si>
  <si>
    <t>KP11-16</t>
  </si>
  <si>
    <t>KP11-17</t>
  </si>
  <si>
    <t>KP11-18</t>
  </si>
  <si>
    <t>KP11-19</t>
  </si>
  <si>
    <t>KP11-20</t>
  </si>
  <si>
    <t>KP11-21</t>
  </si>
  <si>
    <t>KP11-22</t>
  </si>
  <si>
    <t>KP11-23</t>
  </si>
  <si>
    <t>KP11-24</t>
  </si>
  <si>
    <t>KP11-25</t>
  </si>
  <si>
    <t>KP11-26</t>
  </si>
  <si>
    <t>KP12-01</t>
  </si>
  <si>
    <t>KP12-02</t>
  </si>
  <si>
    <t>KP12-03</t>
  </si>
  <si>
    <t>KP12-04</t>
  </si>
  <si>
    <t>KP12-05</t>
  </si>
  <si>
    <t>KP12-06</t>
  </si>
  <si>
    <t>KP12-07</t>
  </si>
  <si>
    <t>KP12-08</t>
  </si>
  <si>
    <t>KP12-09</t>
  </si>
  <si>
    <t>KP12-10</t>
  </si>
  <si>
    <t>KP12-11</t>
  </si>
  <si>
    <t>KP12-12</t>
  </si>
  <si>
    <t>KP12-13</t>
  </si>
  <si>
    <t>KP12-14</t>
  </si>
  <si>
    <t>KP12-15</t>
  </si>
  <si>
    <t>KP12-16</t>
  </si>
  <si>
    <t>KP13-01</t>
  </si>
  <si>
    <t>KP13-02</t>
  </si>
  <si>
    <t>KP13-03</t>
  </si>
  <si>
    <t>KP13-04</t>
  </si>
  <si>
    <t>KP13-05</t>
  </si>
  <si>
    <t>KP13-06</t>
  </si>
  <si>
    <t>KP13-07</t>
  </si>
  <si>
    <t>KP13-08</t>
  </si>
  <si>
    <t>KP13-09</t>
  </si>
  <si>
    <t>KP13-10</t>
  </si>
  <si>
    <t>KP13-11</t>
  </si>
  <si>
    <t>KP13-12</t>
  </si>
  <si>
    <t>KP13-13</t>
  </si>
  <si>
    <t>KP14-01</t>
  </si>
  <si>
    <t>KP14-02</t>
  </si>
  <si>
    <t>KP14-03</t>
  </si>
  <si>
    <t>KP14-04</t>
  </si>
  <si>
    <t>KP14-05</t>
  </si>
  <si>
    <t>KP14-06</t>
  </si>
  <si>
    <t>KP14-07</t>
  </si>
  <si>
    <t>KP14-08</t>
  </si>
  <si>
    <t>KP14-09</t>
  </si>
  <si>
    <t>KP14-10</t>
  </si>
  <si>
    <t>KP14-11</t>
  </si>
  <si>
    <t>KP14-12</t>
  </si>
  <si>
    <t>KP14-13</t>
  </si>
  <si>
    <t>KP15-01</t>
  </si>
  <si>
    <t>KP15-02</t>
  </si>
  <si>
    <t>KP15-03</t>
  </si>
  <si>
    <t>KP15-04</t>
  </si>
  <si>
    <t>KP15-05</t>
  </si>
  <si>
    <t>KP15-06</t>
  </si>
  <si>
    <t>KP15-07</t>
  </si>
  <si>
    <t>KP15-08</t>
  </si>
  <si>
    <t>KP15-09</t>
  </si>
  <si>
    <t>KP15-10</t>
  </si>
  <si>
    <t>KP15-11</t>
  </si>
  <si>
    <t>KP15-12</t>
  </si>
  <si>
    <t>KP15-13</t>
  </si>
  <si>
    <t>KP16-01</t>
  </si>
  <si>
    <t>KP16-02</t>
  </si>
  <si>
    <t>KP16-03</t>
  </si>
  <si>
    <t>KP16-04</t>
  </si>
  <si>
    <t>KP16-05</t>
  </si>
  <si>
    <t>KP16-06</t>
  </si>
  <si>
    <t>KP16-07</t>
  </si>
  <si>
    <t>DATIM INDICATORS</t>
  </si>
  <si>
    <t>KP Form  version 1.1.0</t>
  </si>
  <si>
    <t>Data source - indicate the code if available</t>
  </si>
  <si>
    <t xml:space="preserve">This is a count of People who Inject Drugs (PWID) who  reached with individual and/or small group-level HIV prevention interventions </t>
  </si>
  <si>
    <t>Cohort Register H8 and Q17/AZ52</t>
  </si>
  <si>
    <t xml:space="preserve">This is a count of Men who have sex with other men reached with individual and/or small group-level HIV prevention interventions </t>
  </si>
  <si>
    <t>Cohort register H8 and Q17/AT46/AW49</t>
  </si>
  <si>
    <t>Transgender People</t>
  </si>
  <si>
    <t xml:space="preserve">This is a count of Transgender People reached with individual and/or small group-level HIV prevention interventions </t>
  </si>
  <si>
    <t>Cohort register H8 and  Q17/AT46/AW49</t>
  </si>
  <si>
    <t xml:space="preserve">This is a count of Female Sex Workers reached with individual and/or small group-level HIV prevention interventions </t>
  </si>
  <si>
    <t xml:space="preserve">This is a count of People in prison and other closed settings reached with individual and/or small group-level HIV prevention interventions </t>
  </si>
  <si>
    <t xml:space="preserve">“Known positive status” refers to all those PWID, who at already know their HIV Positive status and are continuing receiving KP services </t>
  </si>
  <si>
    <t>Cohort register H8 and Q14/V22</t>
  </si>
  <si>
    <t>Newly tested and/or referred for testing</t>
  </si>
  <si>
    <t xml:space="preserve">This is a Counts all PWID who were newly enrolled in to KP Program and received a HIV tested </t>
  </si>
  <si>
    <t>Cohort register S19</t>
  </si>
  <si>
    <t>KP PREV Declined testing and/or referral</t>
  </si>
  <si>
    <t>This is a total number of PWID enrolled in the program who declined testing testing and or referral</t>
  </si>
  <si>
    <t>N/A</t>
  </si>
  <si>
    <t xml:space="preserve">“Known positive status” refers to all those MSM, who already know their HIV Positive status and are continuing receiving KP services </t>
  </si>
  <si>
    <t>Cohort register Q14</t>
  </si>
  <si>
    <t xml:space="preserve">This is a Counts all MSM who were newly enrolled in to KP Program and received a HIV tested </t>
  </si>
  <si>
    <t>This is a total number of MSM enrolled in the program who declined testing testing and or referral</t>
  </si>
  <si>
    <t xml:space="preserve">“Known positive status” refers to all those Transgender People, who already know their HIV Positive status and are continuing receiving KP services </t>
  </si>
  <si>
    <t>Cohort register Q14/V22</t>
  </si>
  <si>
    <t xml:space="preserve">This is a Counts all Transgender People who were newly enrolled in to KP Program and received a HIV tested </t>
  </si>
  <si>
    <t>This is a total number of Transgender People enrolled in the program who declined testing testing and or referral</t>
  </si>
  <si>
    <t xml:space="preserve">“Known positive status” refers to all those FSW, who already know their HIV Positive status and are continuing receiving KP services </t>
  </si>
  <si>
    <t xml:space="preserve">This is a Counts all FSW who were newly enrolled in to KP Program and received a HIV tested </t>
  </si>
  <si>
    <t>Cohort register H8 and S19</t>
  </si>
  <si>
    <t>This is a total number of FSW enrolled in the program who declined testing testing and or referral</t>
  </si>
  <si>
    <t xml:space="preserve">“Known positive status” refers to all those People in prison &amp; other closed settings, who already know their HIV Positive status and are continuing receiving KP services </t>
  </si>
  <si>
    <t xml:space="preserve">This is a Counts all People in prison &amp; other closed settings who were newly enrolled in to KP Program and received a HIV tested </t>
  </si>
  <si>
    <t>This is a total number of People in prison &amp; other closed settings enrolled in the program who declined testing testing and or referral</t>
  </si>
  <si>
    <t>Total Number of KPs who were newly enrolled on oral antiretroviral pre-exposure prophylaxis (PrEP) to prevent HIV infection in the reporting period</t>
  </si>
  <si>
    <t>Total Number of MSM who were newly enrolled/Initiated on oral antiretroviral pre-exposure prophylaxis (PrEP) to prevent HIV infection in the reporting period</t>
  </si>
  <si>
    <t>Cohort register H8 and AQ43</t>
  </si>
  <si>
    <t>Total Number of FSWs who were newly enrolled/Initiated on oral antiretroviral pre-exposure prophylaxis (PrEP) to prevent HIV infection in the reporting period</t>
  </si>
  <si>
    <t>Total Number of  People in prison and other closed settings who were newly enrolled/Initiated on oral antiretroviral pre-exposure prophylaxis (PrEP) to prevent HIV infection in the reporting period</t>
  </si>
  <si>
    <t>Total Number of PWID who were newly enrolled/Initiated on oral antiretroviral pre-exposure prophylaxis (PrEP) to prevent HIV infection in the reporting period</t>
  </si>
  <si>
    <t>Total Number of Transgender People who were newly enrolled/Initiated on oral antiretroviral pre-exposure prophylaxis (PrEP) to prevent HIV infection in the reporting period</t>
  </si>
  <si>
    <t>Total Number of KPs, inclusive of those newly enrolled, that received oral antiretroviral preexposure prophylaxis (PrEP) to prevent HIV during the reporting period</t>
  </si>
  <si>
    <t>Total Number of FSW, inclusive of those newly enrolled, that received oral antiretroviral preexposure prophylaxis (PrEP) to prevent HIV during the reporting period</t>
  </si>
  <si>
    <t>Cohort register H8 and AR44</t>
  </si>
  <si>
    <t>Total Number of MSM, inclusive of those newly enrolled, that received oral antiretroviral preexposure prophylaxis (PrEP) to prevent HIV during the reporting period</t>
  </si>
  <si>
    <t>Total Number of People in prison &amp; other closed settings, inclusive of those newly enrolled, that received oral antiretroviral preexposure prophylaxis (PrEP) to prevent HIV during the reporting period</t>
  </si>
  <si>
    <t>Total Number of PWID, inclusive of those newly enrolled, that received oral antiretroviral preexposure prophylaxis (PrEP) to prevent HIV during the reporting period</t>
  </si>
  <si>
    <t>Total Number of Transgender People, inclusive of those newly enrolled, that received oral antiretroviral preexposure prophylaxis (PrEP) to prevent HIV during the reporting period</t>
  </si>
  <si>
    <t>Number of KP GBV rape survivors who receiving post-rape care services based on the minimum package</t>
  </si>
  <si>
    <t>Cohort register BP68 &amp;/AN40</t>
  </si>
  <si>
    <t>Number of KP who presented with assulted Physically and or Emotionally  and receiving post-gender-based violence clinical care based on the minimum package</t>
  </si>
  <si>
    <t>Cohort register BP68</t>
  </si>
  <si>
    <t>This is a count of all KP  who received PEP services as a result of sexual  violence exposure to HIV and received the service within 72 hrs (a subset of KP4-01)</t>
  </si>
  <si>
    <t>Cohort register AO41</t>
  </si>
  <si>
    <t xml:space="preserve">This is a count of PWID who have never been tested or is tested 
for the first time by the programme received their test results in the reporting period (Sum of pos; neg results) </t>
  </si>
  <si>
    <t>Cohort register H8,S19 and U21</t>
  </si>
  <si>
    <t>This is a count of PWID who have never been tested or is tested 
for the first time by the programme and received a positive test results  (Pos ONLY)</t>
  </si>
  <si>
    <t>Cohort register H8, S19 U21 and V22</t>
  </si>
  <si>
    <t>This is a count of PWID who has been tested before by the programme and have returned for HIV testing as part of the routine testing 
recommended for KPs and received their test results in the reporting period</t>
  </si>
  <si>
    <t>This is a count of PWID who have been tested before by the programme and have returned for HIV testing as part of the routine testing 
recommended for KPs and received HIV positive test results in the reporting period</t>
  </si>
  <si>
    <t xml:space="preserve">This is a count of Transgender People who have never been tested or is tested for the first time by the programme received their test results in the reporting period (Sum of pos; neg results) </t>
  </si>
  <si>
    <t>This is a count of Transgender People who have never been tested or is tested for the first time by the programme and received a positive test results  (Pos ONLY)</t>
  </si>
  <si>
    <t>This is a count of Transgender People who have been tested before by the programme and have returned for HIV testing as part of the routine testing 
recommended for KPs and received their test results in the reporting period</t>
  </si>
  <si>
    <t>This is a count of Transgender People who have been tested before by the programme and have  returned for HIV testing as part of the routine testing 
recommended for KPs and received HIV positive test results in the reporting period</t>
  </si>
  <si>
    <t xml:space="preserve">This is a count of FSW who have never been tested or is tested 
for the first time by the programme received their test results in the reporting period (Sum of pos; neg results) </t>
  </si>
  <si>
    <t>This is a count of FSW who have never been tested or is tested 
for the first time by the programme and received a positive test results  (Pos ONLY)</t>
  </si>
  <si>
    <t>This is a count of FSW who has been tested before by the programme and has returned for HIV testing as part of the routine testing 
recommended for KPs and received their test results in the reporting period</t>
  </si>
  <si>
    <t>This is a count of FSW who have been tested before by the programme and have returned for HIV testing as part of the routine testing 
recommended for KPs and received HIV positive test results in the reporting period</t>
  </si>
  <si>
    <t xml:space="preserve">This is a count of People in prison &amp; other closed settings  who have never been tested or is tested for the first time by the programme received their test results in the reporting period (Sum of pos; neg results) </t>
  </si>
  <si>
    <t>This is a count of People in prison &amp; other closed settings who have never been tested or is tested for the first time by the programme and received a positive test results  (Pos ONLY)</t>
  </si>
  <si>
    <t>This is a count of People in prison &amp; other closed settings who have been tested before by the programme and have returned for HIV testing as part of the routine testing recommended for KPs and received their test results in the reporting period</t>
  </si>
  <si>
    <t>This is a count of People in prison &amp; other closed settings has been tested before by the programme and have returned for HIV testing as part of the routine testing recommended for KPs and received HIV positive test results in the reporting period</t>
  </si>
  <si>
    <t xml:space="preserve">This is a count of MSM who have never been tested or is tested 
for the first time by the programme received their test results in the reporting period (Sum of pos; neg results) </t>
  </si>
  <si>
    <t>This is a count of MSM who have never been tested or is tested 
for the first time by the programme and received a positive test results  (Pos ONLY)</t>
  </si>
  <si>
    <t>This is a count of MSM who have been tested before by the programme and have returned for HIV testing as part of the routine testing 
recommended for KPs and received their test results in the reporting period</t>
  </si>
  <si>
    <t>This is a count of MSM who have been tested before by the programme and have returned for HIV testing as part of the routine testing 
recommended for KPs and received HIV positive test results in the reporting period</t>
  </si>
  <si>
    <t xml:space="preserve">This is a count of KP tested in the Clinical Outreach who received the initial HIV Testing Services (HTS) and received their test results  (Sum of pos; neg results) </t>
  </si>
  <si>
    <t>Cohort register S19, U21 and T20</t>
  </si>
  <si>
    <t>This is a count of KP tested in the Clinical Outreach who received the initial HIV testing services and received a positive test results in the reporting period  (Pos ONLY)</t>
  </si>
  <si>
    <t>Cohort register S19,T20, U21 and V22</t>
  </si>
  <si>
    <t>This is a count of KP tested in the Clinical Outreach who received their repeat HIV Testing Services (HTS) and received their test results in the reporting period</t>
  </si>
  <si>
    <t>Cohort register S19,U21 and T20</t>
  </si>
  <si>
    <t xml:space="preserve">This is a count of KP tested in the Clinical Outreach who received their repeat HIV Testing Services (HTS) and received HIV positive test results </t>
  </si>
  <si>
    <t xml:space="preserve">This is a count of VCT Service Modality who received the initial HIV Testing Services (HTS) and received their test results  (Sum of pos; neg results) </t>
  </si>
  <si>
    <t>This is a count of VCT Service Modality who received the initial HIV testing services and received a positive test results  (Pos ONLY)</t>
  </si>
  <si>
    <t>Cohort register S19, T20, U21 and V22</t>
  </si>
  <si>
    <t xml:space="preserve">This is a count of VCT Service Modality who received their repeat HIV Testing Services (HTS) and received their test results </t>
  </si>
  <si>
    <t xml:space="preserve">This is a count of VCT Service Modality who received their repeat HIV Testing Services (HTS) and received HIV positive test results </t>
  </si>
  <si>
    <t xml:space="preserve">This is a count of Other Service Modality who received the initial HIV Testing Services (HTS) and received their test results in the reporting period (Sum of pos; neg results) </t>
  </si>
  <si>
    <t>This is a count of Other Service Modality who received the initial HIV testing services and received a positive test results in the reporting period  (Pos ONLY)</t>
  </si>
  <si>
    <t>This is a count of Other Service Modality who received their repeat HIV Testing Services (HTS) and received their test results in the reporting period</t>
  </si>
  <si>
    <t xml:space="preserve">This is a count of Other Service Modality who received their repeat HIV Testing Services (HTS) and received HIV positive test results </t>
  </si>
  <si>
    <t>Cohort register T20, S19 U21 and V22</t>
  </si>
  <si>
    <t xml:space="preserve">This is a count of Other Service Modality who received the initial HIV Testing Services (HTS) and received their test results in the reporting period  (Sum of pos; neg results) </t>
  </si>
  <si>
    <t>Cohort register S19, U21</t>
  </si>
  <si>
    <t>Cohort register S19, U21, and V22</t>
  </si>
  <si>
    <t>This is a count of Other Service Modality who received their repeat HIV Testing Services (HTS) and received HIV positive test results in the reporting period</t>
  </si>
  <si>
    <t>This is a count of index clients (newly diagnosed positive or previously known positives who may or may not be on ART) who were offered (e.g., counseled on) index testing services (regardless of whether or not those services were accepted by the index client)</t>
  </si>
  <si>
    <t>Index testing register, colm "d"</t>
  </si>
  <si>
    <t>This is a count of index clients who accepted (e.g., agreed to) provision of index testing services by a provider (including, counseling on index testing, elicitation of current or past sexual partners/partner notification etc.</t>
  </si>
  <si>
    <t>Index testing register, colm "d" vs "I"</t>
  </si>
  <si>
    <t>This is a count of contacts provided by the index client as a result of accepting index testing services.  Note: contacts are only sexual partners, biological children/parents, and anyone with whom a needle was shared.</t>
  </si>
  <si>
    <t>Index testing register, colm "I"</t>
  </si>
  <si>
    <t>Known positive status refers to all those clients, who have documented evidence of their positive HIV status</t>
  </si>
  <si>
    <t>Index testing register, colm "0"</t>
  </si>
  <si>
    <t>This is account of contacts of an index client, tested through index testing services and received results</t>
  </si>
  <si>
    <t>Index testing register, colm "u"</t>
  </si>
  <si>
    <t>Positive results means that the client tested positive and was made aware of their HIV positive results after the test</t>
  </si>
  <si>
    <t>Number of individual HIV self-test kits distributed; Directly assisted HIVST refers to trained providers or peers giving individuals an in-person demonstration before or during HIVST of how to perform the test and interpret the test result</t>
  </si>
  <si>
    <t>Self Testing Register</t>
  </si>
  <si>
    <t>Number of individual HIV self-test kits distributed;Unassisted HIVST refers to when individuals self-test for HIV and only use an HIVST kit with manufacturer-provided instructions for use</t>
  </si>
  <si>
    <t>Directly assisted HIVST refers to trained providers or peers giving individuals an in-person demonstration before or during HIVST of how to perform the test and interpret the test result (Report PWID)</t>
  </si>
  <si>
    <t>Directly assisted HIVST refers to trained providers or peers giving individuals an in-person demonstration before or during HIVST of how to perform the test and interpret the test result (Report (MSM)</t>
  </si>
  <si>
    <t>Directly assisted HIVST refers to trained providers or peers giving individuals an in-person demonstration before or during HIVST of how to perform the test and interpret the test result (Report TG)</t>
  </si>
  <si>
    <t>Directly assisted HIVST refers to trained providers or peers giving individuals an in-person demonstration before or during HIVST of how to perform the test and interpret the test result (Report FSW)</t>
  </si>
  <si>
    <t>Directly assisted HIVST refers to trained providers or peers giving individuals an in-person demonstration before or during HIVST of how to perform the test and interpret the test result (Report people in Prison &amp; other closed settings)</t>
  </si>
  <si>
    <t>Unassisted HIVST refers to when individuals self-test for HIV and only use an HIVST kit with manufacturer-provided instructions for use (Report PWID)</t>
  </si>
  <si>
    <t>Unassisted HIVST refers to when individuals self-test for HIV and only use an HIVST kit with manufacturer-provided instructions for use (Report MSM)</t>
  </si>
  <si>
    <t>Unassisted HIVST refers to when individuals self-test for HIV and only use an HIVST kit with manufacturer-provided instructions for use (Report TG)</t>
  </si>
  <si>
    <t>Unassisted HIVST refers to when individuals self-test for HIV and only use an HIVST kit with manufacturer-provided instructions for use (Report FSW)</t>
  </si>
  <si>
    <t>Unassisted HIVST refers to when individuals self-test for HIV and only use an HIVST kit with manufacturer-provided instructions for use (Report People in Prison &amp; other closed settings)</t>
  </si>
  <si>
    <t>Total Unassisted selft testing done on self</t>
  </si>
  <si>
    <t>Total Unassisted selft testing done for sex partner</t>
  </si>
  <si>
    <t xml:space="preserve">Total Unassisted selft testing done for other </t>
  </si>
  <si>
    <t xml:space="preserve">Total KP starting ART </t>
  </si>
  <si>
    <t xml:space="preserve">Number of FSW newly enrolled on antiretroviral therapy (ART) </t>
  </si>
  <si>
    <t>Cohort register H8,Z26. KPLHIV Tracker with respect to the month initiated (New)</t>
  </si>
  <si>
    <t>Number of MSM newly enrolled on antiretroviral therapy (ART)</t>
  </si>
  <si>
    <t xml:space="preserve">Number of People in prison &amp; other closed settings newly enrolled on antiretroviral therapy (ART) </t>
  </si>
  <si>
    <t xml:space="preserve">Number of PWID newly enrolled on antiretroviral therapy (ART) </t>
  </si>
  <si>
    <t>Number of Transgender People newly enrolled on antiretroviral therapy (ART)</t>
  </si>
  <si>
    <t xml:space="preserve">Total KP currently receiving antiretroviral therapy (ART) </t>
  </si>
  <si>
    <t>Number of FSW currently receiving antiretroviral therapy (ART)</t>
  </si>
  <si>
    <t>Cohort register H8, AA27, AC29, AD30</t>
  </si>
  <si>
    <t>Number of MSM currently receiving antiretroviral therapy (ART)</t>
  </si>
  <si>
    <t>Number of People in prison &amp; other closed settings currently receiving antiretroviral therapy (ART)</t>
  </si>
  <si>
    <t>Number of PWID currently receiving antiretroviral therapy (ART)</t>
  </si>
  <si>
    <t>Number of Transgender People currently receiving antiretroviral therapy (ART)</t>
  </si>
  <si>
    <t>Number of ART KP patients who experienced an interruption in treatment (IIT) during any previous reporting period, who successfully restarted ARVs within the reporting period and remained on treatment until the end of the reporting period.</t>
  </si>
  <si>
    <t>Number of ART FSW patients who experienced an interruption in treatment (IIT) during any previous reporting period, who successfully restarted ARVs within the reporting period and remained on treatment until the end of the reporting period.</t>
  </si>
  <si>
    <t>KPLHIV Tracker Reports row 46, Filter by KP Type</t>
  </si>
  <si>
    <t>Number of ART MSM patients who experienced an interruption in treatment (IIT) during any previous reporting period, who successfully restarted ARVs within the reporting period and remained on treatment until the end of the reporting period.</t>
  </si>
  <si>
    <t>Number of ART People in prison &amp; other closed settings patients who experienced an interruption in treatment (IIT) during any previous reporting period, who successfully restarted ARVs within the reporting period and remained on treatment until the end of the reporting period.</t>
  </si>
  <si>
    <t>Number of ART PWID patients who experienced an interruption in treatment (IIT) during any previous reporting period, who successfully restarted ARVs within the reporting period and remained on treatment until the end of the reporting period.</t>
  </si>
  <si>
    <t>Number of ART TG  patients who experienced an interruption in treatment (IIT) during any previous reporting period, who successfully restarted ARVs within the reporting period and remained on treatment until the end of the reporting period.</t>
  </si>
  <si>
    <t>Number of ART patients with suppressed VL results (&lt;1,000 copies/ml) documented in the medical or laboratory records/LIS within the past 12 months; • If there is more than one VL result for a patient during the past 12 months, report the most recent result.</t>
  </si>
  <si>
    <t>Total Routine VL done (obtained at stadard intervals)</t>
  </si>
  <si>
    <t>Total FSW with a Routine VL done</t>
  </si>
  <si>
    <t>Cohort register AE31, KPLHIV Tracker reports (row 87) filter by KP Type</t>
  </si>
  <si>
    <t>Total MSM with a Routine VL done</t>
  </si>
  <si>
    <t>Total People in prison &amp; other closed settings FSW with a Routine VL done</t>
  </si>
  <si>
    <t>Total PWID with a Routine VL done</t>
  </si>
  <si>
    <t>Total Transgender People with a Routine VL done</t>
  </si>
  <si>
    <t>Total VL done Targeted refers to viral load tests ordered based on a specific clinical indication</t>
  </si>
  <si>
    <t>Total FSW with a Targeted VL done</t>
  </si>
  <si>
    <t>VL Tracking Log Register</t>
  </si>
  <si>
    <t>Total MSM with  a Targeted VL done</t>
  </si>
  <si>
    <t>Total People in prison &amp; other closed settings FSW with  a Targeted VL done</t>
  </si>
  <si>
    <t>Total PWID with  a Targeted VL done</t>
  </si>
  <si>
    <t>Total Transgender People with a Targeted VL done</t>
  </si>
  <si>
    <t>Total Number of ART patients (FSW) with suppressed VL results (&lt;1,000 copies/ml) documented in the medical or laboratory records/LIS within the past 12 months</t>
  </si>
  <si>
    <t>Cohort register H9,AF32, KPLHIV Tracker reports (row 87) filter by KP Type</t>
  </si>
  <si>
    <t>Total Number of ART patients (MSM) with suppressed VL results (&lt;1,000 copies/ml) documented in the medical or laboratory records/LIS within the past 12 months</t>
  </si>
  <si>
    <t>Total Number of ART patients (People in prison &amp;Other closed settings) with suppressed VL results (&lt;1,000 copies/ml) documented in the medical or laboratory records/LIS within the past 12 months</t>
  </si>
  <si>
    <t>Total Number of ART patients (PWID) with suppressed VL results (&lt;1,000 copies/ml) documented in the medical or laboratory records/LIS within the past 12 months</t>
  </si>
  <si>
    <t>Total Number of ART patients (Transgender people) with suppressed VL results (&lt;1,000 copies/ml) documented in the medical or laboratory records/LIS within the past 12 months</t>
  </si>
  <si>
    <t>Total Number of ART patients (FSW) with re-suppressed VL results (&lt;1,000 copies/ml) documented in the medical or laboratory records/LIS within the past 12 months</t>
  </si>
  <si>
    <t xml:space="preserve">Cohort register H9,AG33, KPLHIV Tracker reports (row 87) filter by KP Type </t>
  </si>
  <si>
    <t>Total Number of ART patients (MSM) with re-suppressed VL results (&lt;1,000 copies/ml) documented in the medical or laboratory records/LIS within the past 12 months</t>
  </si>
  <si>
    <t>Total Number of ART patients (People in prison &amp;Other closed settings) with re-suppressed VL results (&lt;1,000 copies/ml) documented in the medical or laboratory records/LIS within the past 12 months</t>
  </si>
  <si>
    <t>Total Number of ART patients (PWID) with re-suppressed VL results (&lt;1,000 copies/ml) documented in the medical or laboratory records/LIS within the past 12 months</t>
  </si>
  <si>
    <t>Total Number of ART patients (Transgender people) with re-suppressed VL results (&lt;1,000 copies/ml) documented in the medical or laboratory records/LIS within the past 12 months</t>
  </si>
  <si>
    <t>Total Number of HIV-positive KP clients that have been reached by KP programs and are verified as currently enrolled on ART at the end
of the reporting period</t>
  </si>
  <si>
    <t>Total Number of HIV-positive KP clients that have been reached by Kp Programs and are verified to have received &lt;3 months of ARVs</t>
  </si>
  <si>
    <t>KPLHIV Tracker reports row 139 filter by KP Type</t>
  </si>
  <si>
    <t>Total Number of HIV-positive KP clients that have been reached by Kp Programs and are verified to have received 3-5 months of ARVs</t>
  </si>
  <si>
    <t>Total Number of HIV-positive KP clients that have been reached by Kp Programs and are verified to have received 6 months of ARVs</t>
  </si>
  <si>
    <t>Number of HIV-positive FSW  that have been reached by KP programs and are verified as currently enrolled on ART at the end of the reporting period</t>
  </si>
  <si>
    <t>KPLHIV Tracker reports row 29 filter by KP Type</t>
  </si>
  <si>
    <t>Number of HIV-positive MSM  that have been reached by KP programs and are verified as currently enrolled on ART at the end of the reporting period</t>
  </si>
  <si>
    <t>Number of HIV-positive general Population that have been reached by KP programs and are verified as currently enrolled on ART at the end of the reporting period</t>
  </si>
  <si>
    <t>Number of HIV-positive People in prison and other closed settings clients that have been reached by KP programs and are verified as currently enrolled on ART at the end of the reporting period</t>
  </si>
  <si>
    <t>Number of HIV-positive PWID that have been reached by KP programs and are verified as currently enrolled on ART at the end of the reporting period</t>
  </si>
  <si>
    <t>Number of HIV-positive TG that have been reached by KP programs and are verified as currently enrolled on ART at the end of the reporting period</t>
  </si>
  <si>
    <t>KPLHIV Tracker Col. Q. Filter by KP Type</t>
  </si>
  <si>
    <t>Total Number of HIV-positive KPs verified as newly enrolled on antiretroviral therapy (ART)</t>
  </si>
  <si>
    <t>Number of  HIV-positive KPs (FSW) verified as newly enrolled on antiretroviral therapy (ART)</t>
  </si>
  <si>
    <t>KPLHIV Tracker reports row 12. Filter by KP Type. Check NEW every month</t>
  </si>
  <si>
    <t>Number of HIV-positive KPs (MSM) verified as newly enrolled on antiretroviral therapy (ART)</t>
  </si>
  <si>
    <t>Number of HIV-positive Gen. Pop verified as newly enrolled on antiretroviral therapy (ART)</t>
  </si>
  <si>
    <t>Number of HIV-positive KPs People in prison and other closed settings verified as newly enrolled on antiretroviral therapy (ART)</t>
  </si>
  <si>
    <t>Number of HIV-positive KPs PWID verified as newly enrolled on antiretroviral therapy (ART)</t>
  </si>
  <si>
    <t>Number of HIV-positive KPs TG verified as newly enrolled on antiretroviral therapy (ART)</t>
  </si>
  <si>
    <t>KPLHIV Tracker Col. Q, Reports row 12. Filter by KP Type. Check NEW every month</t>
  </si>
  <si>
    <t>Number of KP (FSW) ART patients that have been reached by KP programs and are confirmed as having a VL result (&lt;1,000 copies/mL) documented in the medical or laboratory records/LIS within the past 12 months</t>
  </si>
  <si>
    <t>KPLHIV Tracker Col.AZ, BB, Reports row 87</t>
  </si>
  <si>
    <t>Number of KP (MSM) ART patients that have been reached by KP programs and are confirmed as having a VL result (&lt;1,000 copies/mL) documented in the medical or laboratory records/LIS within the past 12 months</t>
  </si>
  <si>
    <t>Number of KP (GP) ART patients that have been reached by KP programs and are confirmed as having a VL result (&lt;1,000 copies/mL) documented in the medical or laboratory records/LIS within the past 12 months</t>
  </si>
  <si>
    <t>Number of KP (People in prison and other closed settings) ART patients that have been reached by KP programs and are confirmed as having a VL result (&lt;1,000 copies/mL) documented in the medical or laboratory records/LIS within the past 12 months</t>
  </si>
  <si>
    <t>Number of KP (PWID) ART patients that have been reached by KP programs and are confirmed as having a VL result (&lt;1,000 copies/mL) documented in the medical or laboratory records/LIS within the past 12 months</t>
  </si>
  <si>
    <t>Number of KP (TG) ART patients that have been reached by KP programs and are confirmed as having a VL result (&lt;1,000 copies/mL) documented in the medical or laboratory records/LIS within the past 12 months</t>
  </si>
  <si>
    <t>KPLHIV Tracker Col.Q,AZ, BB, Reports row 87</t>
  </si>
  <si>
    <t>Number of KP(FSW) ART patients that are confirmed as having a suppressed VL result (&lt;1,000 copies/ml) documented in the medical or laboratory records/LIS within the past 12 months</t>
  </si>
  <si>
    <t>KPLHIV Tracker Col.Q, AZ, BB, Reports row 87</t>
  </si>
  <si>
    <t>Number of KP(MSM) ART patients that are confirmed as having a suppressed VL result (&lt;1,000 copies/ml) documented in the medical or laboratory records/LIS within the past 12 months</t>
  </si>
  <si>
    <t>Number of KP(GP) ART patients that are confirmed as having a suppressed VL result (&lt;1,000 copies/ml) documented in the medical or laboratory records/LIS within the past 12 months</t>
  </si>
  <si>
    <t>Number of KP(People in prison and other closed settings) ART patients that are confirmed as having a suppressed VL result (&lt;1,000 copies/ml) documented in the medical or laboratory records/LIS within the past 12 months</t>
  </si>
  <si>
    <t>Number of KP(PWID) ART patients that are confirmed as having a suppressed VL result (&lt;1,000 copies/ml) documented in the medical or laboratory records/LIS within the past 12 months</t>
  </si>
  <si>
    <t>Number of KP(TG) ART patients that are confirmed as having a suppressed VL result (&lt;1,000 copies/ml) documented in the medical or laboratory records/LIS within the past 12 months</t>
  </si>
  <si>
    <t>Number of HIV positive, treatment-experienced KPs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</si>
  <si>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t>
  </si>
  <si>
    <t>Number of HIV positive, treatment-experienced KPs (FSW)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</si>
  <si>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(MSM)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</si>
  <si>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Non-KP (general Population)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</si>
  <si>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(People in prison &amp; other closed settings)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</si>
  <si>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(PWID)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</si>
  <si>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Number of HIV positive, treatment-experienced KPs (TG) who experienced an interruption in treatment (IIT), during any previous reporting period, i.e. were off treatment for &gt;= 28 days, who are successfully navigated by the KP partner to a service delivery point and verified as re-enrolled into treatment and remained on treatment until the end of the reporting period.</t>
  </si>
  <si>
    <t>KPLHIV Tracker reports row 46. Filter by KP type / Defaulter Tracing Register</t>
  </si>
  <si>
    <r>
      <t xml:space="preserve">1.0 KP_PREV : </t>
    </r>
    <r>
      <rPr>
        <b/>
        <sz val="24"/>
        <color theme="4"/>
        <rFont val="Browallia New"/>
        <family val="2"/>
      </rPr>
      <t>Number of key populations reached with individual and/or small group-level HIV prevention interventions designed for the target population.</t>
    </r>
  </si>
  <si>
    <r>
      <t xml:space="preserve">4.0 GEND_GBV : </t>
    </r>
    <r>
      <rPr>
        <b/>
        <sz val="24"/>
        <color theme="4"/>
        <rFont val="Browallia New"/>
        <family val="2"/>
      </rPr>
      <t>Number of people receiving post-GBV care based on the minimum package</t>
    </r>
  </si>
  <si>
    <r>
      <t>Total Number of ART patients (KPs) with suppressed VL results (&lt;</t>
    </r>
    <r>
      <rPr>
        <sz val="24"/>
        <color rgb="FFFF0000"/>
        <rFont val="Browallia New"/>
        <family val="2"/>
      </rPr>
      <t>1,000</t>
    </r>
    <r>
      <rPr>
        <sz val="24"/>
        <color theme="1"/>
        <rFont val="Browallia New"/>
        <family val="2"/>
      </rPr>
      <t xml:space="preserve"> copies/ml) documented in the medical or laboratory records/LIS within the past 12 months</t>
    </r>
  </si>
  <si>
    <t>Newly tested and / or referred for testing</t>
  </si>
  <si>
    <t>Declined testing and / or referral</t>
  </si>
  <si>
    <t>Repeat tests</t>
  </si>
  <si>
    <t>Initial tests</t>
  </si>
  <si>
    <t>Initial tests and turned positive</t>
  </si>
  <si>
    <t>Repeat tests and turned positive</t>
  </si>
  <si>
    <r>
      <t xml:space="preserve">Total Tests &amp; Test Results by </t>
    </r>
    <r>
      <rPr>
        <b/>
        <sz val="24"/>
        <color theme="1"/>
        <rFont val="Browallia New"/>
        <family val="2"/>
      </rPr>
      <t>KP Type</t>
    </r>
  </si>
  <si>
    <r>
      <t xml:space="preserve">Total Tests &amp; Test Results by </t>
    </r>
    <r>
      <rPr>
        <b/>
        <sz val="24"/>
        <color theme="1"/>
        <rFont val="Browallia New"/>
        <family val="2"/>
      </rPr>
      <t>Modality</t>
    </r>
  </si>
  <si>
    <t xml:space="preserve"> Prep New FSW is more than KP_PREV FSW</t>
  </si>
  <si>
    <t>Show a Red Flag when</t>
  </si>
  <si>
    <t>KP2-03&gt;KP1-02</t>
  </si>
  <si>
    <t>KP2-02&gt;KP1-04</t>
  </si>
  <si>
    <t xml:space="preserve"> Prep New FSW is more than KP_PREV MSM</t>
  </si>
  <si>
    <t xml:space="preserve"> Prep New FSW is more than KP_PREV People in Prison &amp; other enclosed settings</t>
  </si>
  <si>
    <t xml:space="preserve"> Prep New FSW is more than KP_PREV PWID</t>
  </si>
  <si>
    <t xml:space="preserve"> Prep New FSW is more than KP_PREV Transgender People</t>
  </si>
  <si>
    <t>KP2-04&gt;KP1-05</t>
  </si>
  <si>
    <t>KP2-05&gt;KP1-01</t>
  </si>
  <si>
    <t>KP2-06&gt;KP1-03</t>
  </si>
  <si>
    <t xml:space="preserve"> Prep New FSW is more than PREP_CURR FSW</t>
  </si>
  <si>
    <t xml:space="preserve"> Prep New FSW is more than PREP_CURR MSM</t>
  </si>
  <si>
    <t xml:space="preserve"> Prep New FSW is more than PREP_CURR People in Prison &amp; other enclosed settings</t>
  </si>
  <si>
    <t xml:space="preserve"> Prep New FSW is more than PREP_CURR PWID</t>
  </si>
  <si>
    <t xml:space="preserve"> Prep New FSW is more than PREP_CURR Transgender People</t>
  </si>
  <si>
    <t>KP2-02&gt;KP3-02</t>
  </si>
  <si>
    <t>KP2-03&gt;KP3-03</t>
  </si>
  <si>
    <t>KP2-04&gt;KP3-04</t>
  </si>
  <si>
    <t>KP2-05&gt;KP3-05</t>
  </si>
  <si>
    <t>KP2-06&gt;KP3-06</t>
  </si>
  <si>
    <t>Gend_GBV Number of people receiving PEP Service  is more than Sexual violence + Physical violence Cases</t>
  </si>
  <si>
    <t>KP4-03&gt;KP4-01+KP4-02</t>
  </si>
  <si>
    <t>Gend GBV Cases is more than KP_PREV</t>
  </si>
  <si>
    <t>KP1-00</t>
  </si>
  <si>
    <t>KP4-01+KP4-02&gt;KP1-00</t>
  </si>
  <si>
    <t>Codes</t>
  </si>
  <si>
    <t xml:space="preserve"> Initial Tests + Repeat Tests Is more than Newly Tested and/or referred for testing</t>
  </si>
  <si>
    <t>KP5-01 + KP5-03 &gt; KP1-07</t>
  </si>
  <si>
    <t>KP5-05 + KP5-07 &gt; KP1-13</t>
  </si>
  <si>
    <t>KP5-09 + KP5-11 &gt; KP1-16</t>
  </si>
  <si>
    <t>KP5-13 + KP5-15 &gt; KP1-19</t>
  </si>
  <si>
    <t>KP5-17 + KP5-19 &gt; KP1-10</t>
  </si>
  <si>
    <t>Initial Test and Turned Positive is more than Initial Test</t>
  </si>
  <si>
    <t>KP5-02&gt;KP5-01</t>
  </si>
  <si>
    <t>KP5-06&gt;KP5-05</t>
  </si>
  <si>
    <t>KP5-10&gt;KP5-09</t>
  </si>
  <si>
    <t>KP5-14&gt;KP5-13</t>
  </si>
  <si>
    <t>KP5-18&gt;KP5-17</t>
  </si>
  <si>
    <t>Repeat Test and Turned Positive is more than Repeat Test</t>
  </si>
  <si>
    <t>KP5-04&gt;KP5-03</t>
  </si>
  <si>
    <t>KP5-08&gt;KP5-07</t>
  </si>
  <si>
    <t>KP5-12&gt;KP5-11</t>
  </si>
  <si>
    <t>KP5-16&gt;KP5-15</t>
  </si>
  <si>
    <t>KP5-20&gt;KP5-19</t>
  </si>
  <si>
    <t>KP5-21&gt;KP5-22</t>
  </si>
  <si>
    <t>KP5-25&gt;KP5-26</t>
  </si>
  <si>
    <t>KP5-29&gt;KP5-30</t>
  </si>
  <si>
    <t>KP5-23&gt;KP5-24</t>
  </si>
  <si>
    <t>KP5-27&gt;KP5-28</t>
  </si>
  <si>
    <t>KP5-31&gt;KP5-32</t>
  </si>
  <si>
    <t>Total Initial tests by KP Type is not equal to Total Initial Tests By Modality</t>
  </si>
  <si>
    <t>Total Initial tests and turned positive by KP Type is not equal to Initial tests and turned positiveBy Modality</t>
  </si>
  <si>
    <t>Total Repeat tests by KP Type is not equal to Total Initial Tests By Modality</t>
  </si>
  <si>
    <t>Total Repeat tests and turned positive by KP Type is not equal to Initial tests and turned positiveBy Modality</t>
  </si>
  <si>
    <t>KP5-37</t>
  </si>
  <si>
    <t>KP5-38</t>
  </si>
  <si>
    <t>KP5-39</t>
  </si>
  <si>
    <t>KP5-40</t>
  </si>
  <si>
    <t>KP5-33!=KP5-37</t>
  </si>
  <si>
    <t>KP5-34!=KP5-38</t>
  </si>
  <si>
    <t>KP5-35!=KP5-39</t>
  </si>
  <si>
    <t>KP5-36!=KP5-40</t>
  </si>
  <si>
    <t>Accepted Index Testing is more than Offered Index Testing</t>
  </si>
  <si>
    <t>KP6-02&gt;KP6-01</t>
  </si>
  <si>
    <t>Positive HTS_INDEX is more than Tested HTS_INDEX</t>
  </si>
  <si>
    <t>KP6-06&gt;KP6-05</t>
  </si>
  <si>
    <t>Total Hts Self by KP_Type  Is more than Total Hts Self by Self + Sex partner + Other</t>
  </si>
  <si>
    <t>KP7-13+KP7-14+KP7-15!=KP7-02</t>
  </si>
  <si>
    <t xml:space="preserve"> Started on ART Is more Total Positive By modality</t>
  </si>
  <si>
    <t>KP8-01&gt;KP5-38+KP5-40</t>
  </si>
  <si>
    <t>VL Done is more than TX_CURR MSM</t>
  </si>
  <si>
    <t>VL Done  is more than TX_CURR People in Prison</t>
  </si>
  <si>
    <t>VL Done is more than TX_CURR FSW</t>
  </si>
  <si>
    <t>KP9-02&lt;KP11-03+KP11-09</t>
  </si>
  <si>
    <t>KP9-03&lt;KP11-04+KP11-10</t>
  </si>
  <si>
    <t>KP9-04&lt;KP11-05+KP11-11</t>
  </si>
  <si>
    <t>VL Done is more than TX_CURR PWID</t>
  </si>
  <si>
    <t>VL Done is more than TX_CURR Transgender</t>
  </si>
  <si>
    <t>KP9-05&lt;KP11-06+KP11-12</t>
  </si>
  <si>
    <t>KP9-06&lt;KP11-06+KP11-12</t>
  </si>
  <si>
    <t>VL Suppressed Routine is more than VL Done FSW</t>
  </si>
  <si>
    <t>VL Suppressed Routine is more than VL Done MSM</t>
  </si>
  <si>
    <t>VL Suppressed Routine is more than VL Done People in Prison</t>
  </si>
  <si>
    <t>VL Suppressed Routine is more than VL Done PWID</t>
  </si>
  <si>
    <t>VL Suppressed Routine is more than VL Done Transgender</t>
  </si>
  <si>
    <t>VL Suppressed Targeted is more than VL Done FSW</t>
  </si>
  <si>
    <t>VL Suppressed Targeted is more than VL Done MSM</t>
  </si>
  <si>
    <t>VL Suppressed Targeted is more than VL Done People in Prison</t>
  </si>
  <si>
    <t>VL Suppressed Targeted is more than VL Done PWID</t>
  </si>
  <si>
    <t>VL Suppressed Targeted is more than VL Done Transgender</t>
  </si>
  <si>
    <t>KP11-03&lt;KP11-16</t>
  </si>
  <si>
    <t>KP11-04&lt;KP11-17</t>
  </si>
  <si>
    <t>KP11-05&lt;KP11-18</t>
  </si>
  <si>
    <t>KP11-06&lt;KP11-19</t>
  </si>
  <si>
    <t>KP11-07&lt;KP11-20</t>
  </si>
  <si>
    <t>KP11-09&lt;KP11-22</t>
  </si>
  <si>
    <t>KP11-10&lt;KP11-23</t>
  </si>
  <si>
    <t>KP11-11&lt;KP11-24</t>
  </si>
  <si>
    <t>KP11-12&lt;KP11-25</t>
  </si>
  <si>
    <t>KP11-13&lt;KP11-26</t>
  </si>
  <si>
    <t>sum of ARV Dispensing Quantity is not equal to TX_CURR_VERIFY ALL</t>
  </si>
  <si>
    <t>KP12-01!=KP12-02+KP12-03+KP12-04</t>
  </si>
  <si>
    <t>Total TX_New + Total TX_New_Verify should not be more than Total Initial Tests and Turned Positive + Repeat Tests and turned Positives by Modality</t>
  </si>
  <si>
    <t>KP8-01+KP13-01&gt;KP5-38+KP5-40</t>
  </si>
  <si>
    <t>You have patients who declined Testing on PWID Section. This needs explanation</t>
  </si>
  <si>
    <t xml:space="preserve"> You have patients who declined Testing on MSM Section.This needs explanation</t>
  </si>
  <si>
    <t>You have patients who declined Testing on Transgender Section. This needs explanation</t>
  </si>
  <si>
    <t>You have patients who declined Testing on FSW. This needs explanation</t>
  </si>
  <si>
    <t xml:space="preserve"> You have patients who declined Testing on People in Prison and Other enclosed settings. This needs explanation</t>
  </si>
  <si>
    <t>some KP_Prev Patients have not been initiated on Prep. This needs explanation</t>
  </si>
  <si>
    <t>Some GBV Cases have not been started on Pep Service</t>
  </si>
  <si>
    <t>KP1-00&gt;KP2-01</t>
  </si>
  <si>
    <t>KP4-01+KP4-02&gt;KP4-03</t>
  </si>
  <si>
    <t>Early Warning Service Gaps</t>
  </si>
  <si>
    <t>Data Errors Validaton Checks</t>
  </si>
  <si>
    <t>KP8-01&lt;KP5-38+KP5-40</t>
  </si>
  <si>
    <t xml:space="preserve"> Started on ART Is less than  Total HTS Positive By modality</t>
  </si>
  <si>
    <t>KP9-01&gt;KP11-01</t>
  </si>
  <si>
    <t xml:space="preserve">Patients who are current on ART do have a VL Done </t>
  </si>
  <si>
    <t>(KP11-01-KP11-14)/100&lt;95%</t>
  </si>
  <si>
    <t>VL suppression is below 95% Please provide an explanation</t>
  </si>
  <si>
    <t>VL Done FSW Targeted is more than VL Done Routine</t>
  </si>
  <si>
    <t>VL Done MSM Targeted is more than VL Done Routine</t>
  </si>
  <si>
    <t>VL Done People in prison &amp; other closed settings Targeted is more than VL Done Routine</t>
  </si>
  <si>
    <t>VL Done PWID Targeted is more than VL Done Routine</t>
  </si>
  <si>
    <t>VL Done Transgender People Targeted is more than VL Done Routine</t>
  </si>
  <si>
    <t>KP11-09&gt;KP11-03</t>
  </si>
  <si>
    <t>KP11-10&gt;KP11-04</t>
  </si>
  <si>
    <t>KP11-11&gt;KP11-05</t>
  </si>
  <si>
    <t>KP11-12&gt;KP11-06</t>
  </si>
  <si>
    <t>KP11-13&gt;KP11-07</t>
  </si>
  <si>
    <t>Data Validation Checks In the tool</t>
  </si>
  <si>
    <t>#</t>
  </si>
  <si>
    <t>PWID by Status</t>
  </si>
  <si>
    <t>MSM by Status</t>
  </si>
  <si>
    <t>FSW by Status</t>
  </si>
  <si>
    <t>People in prison &amp; other closed settings by status</t>
  </si>
  <si>
    <t>Transgender People by Status</t>
  </si>
  <si>
    <t>KP_PREV Numerator</t>
  </si>
  <si>
    <t>KP1-06+KP1-07+KP1-08 &gt; KP1-01</t>
  </si>
  <si>
    <t>KP1-09+KP1-10+KP1-11&gt;KP1-02</t>
  </si>
  <si>
    <t>KP1-12+KP1-13+KP1-14&gt;KP1-03</t>
  </si>
  <si>
    <t>KP1-15+KP1-16+KP1-17&gt;KP1-04</t>
  </si>
  <si>
    <t>KP1-18+KP1-19+KP1-20&gt;KP1-05</t>
  </si>
  <si>
    <t>KP_Prev PWID By status Is more than KP_Prev by KP Type</t>
  </si>
  <si>
    <t>KP_Prev MSM By status Is more than KP_Prev by KP Type</t>
  </si>
  <si>
    <t>KP_Prev Transgender People By status Is more than KP_Prev by KP Type</t>
  </si>
  <si>
    <t>KP_Prev FSW By status Is more than KP_Prev by KP Type</t>
  </si>
  <si>
    <t>KP_Prev People in Prison By status Is more than KP_Prev by KP Type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</si>
</sst>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46" x14ac:knownFonts="1">
    <font>
      <sz val="11"/>
      <color theme="1"/>
      <name val="Calibri"/>
      <family val="2"/>
      <scheme val="minor"/>
    </font>
    <font>
      <sz val="10"/>
      <name val="Arial"/>
      <family val="2"/>
    </font>
    <font>
      <sz val="8"/>
      <name val="Calibri"/>
      <family val="2"/>
      <scheme val="minor"/>
    </font>
    <font>
      <b/>
      <sz val="18"/>
      <color theme="1"/>
      <name val="Browallia New"/>
      <family val="2"/>
      <charset val="222"/>
    </font>
    <font>
      <sz val="18"/>
      <color theme="1"/>
      <name val="Browallia New"/>
      <family val="2"/>
      <charset val="222"/>
    </font>
    <font>
      <b/>
      <sz val="18"/>
      <name val="Browallia New"/>
      <family val="2"/>
      <charset val="222"/>
    </font>
    <font>
      <sz val="18"/>
      <color theme="5"/>
      <name val="Browallia New"/>
      <family val="2"/>
      <charset val="222"/>
    </font>
    <font>
      <b/>
      <sz val="18"/>
      <color theme="5"/>
      <name val="Browallia New"/>
      <family val="2"/>
      <charset val="222"/>
    </font>
    <font>
      <b/>
      <sz val="24"/>
      <color rgb="FFFF0000"/>
      <name val="Browallia New"/>
      <family val="2"/>
      <charset val="222"/>
    </font>
    <font>
      <b/>
      <sz val="20"/>
      <color theme="1"/>
      <name val="Browallia New"/>
      <family val="2"/>
      <charset val="222"/>
    </font>
    <font>
      <b/>
      <sz val="22"/>
      <color theme="1"/>
      <name val="Browallia New"/>
      <family val="2"/>
      <charset val="222"/>
    </font>
    <font>
      <b/>
      <sz val="20"/>
      <color theme="1"/>
      <name val="Browallia New"/>
      <family val="2"/>
    </font>
    <font>
      <sz val="20"/>
      <color theme="1"/>
      <name val="Browallia New"/>
      <family val="2"/>
    </font>
    <font>
      <sz val="22"/>
      <color theme="1"/>
      <name val="Browallia New"/>
      <family val="2"/>
    </font>
    <font>
      <b/>
      <sz val="16"/>
      <color theme="1"/>
      <name val="Browallia New"/>
      <family val="2"/>
      <charset val="222"/>
    </font>
    <font>
      <b/>
      <sz val="22"/>
      <color theme="1"/>
      <name val="Browallia New"/>
      <family val="2"/>
    </font>
    <font>
      <b/>
      <sz val="26"/>
      <color theme="1"/>
      <name val="Browallia New"/>
      <family val="2"/>
    </font>
    <font>
      <sz val="26"/>
      <color theme="1"/>
      <name val="Browallia New"/>
      <family val="2"/>
    </font>
    <font>
      <b/>
      <sz val="26"/>
      <color rgb="FFFF0000"/>
      <name val="Browallia New"/>
      <family val="2"/>
    </font>
    <font>
      <b/>
      <sz val="20"/>
      <color theme="0"/>
      <name val="Browallia New"/>
      <family val="2"/>
    </font>
    <font>
      <b/>
      <sz val="24"/>
      <color theme="1"/>
      <name val="Browallia New"/>
      <family val="2"/>
    </font>
    <font>
      <b/>
      <sz val="28"/>
      <color theme="1"/>
      <name val="Browallia New"/>
      <family val="2"/>
    </font>
    <font>
      <sz val="28"/>
      <color theme="1"/>
      <name val="Browallia New"/>
      <family val="2"/>
    </font>
    <font>
      <sz val="36"/>
      <color theme="0"/>
      <name val="Browallia New"/>
      <family val="2"/>
    </font>
    <font>
      <sz val="36"/>
      <color theme="1"/>
      <name val="Browallia New"/>
      <family val="2"/>
    </font>
    <font>
      <sz val="28"/>
      <color theme="0"/>
      <name val="Browallia New"/>
      <family val="2"/>
    </font>
    <font>
      <b/>
      <sz val="36"/>
      <color theme="0"/>
      <name val="Browallia New"/>
      <family val="2"/>
    </font>
    <font>
      <b/>
      <i/>
      <sz val="28"/>
      <color theme="2" tint="-0.499984740745262"/>
      <name val="Browallia New"/>
      <family val="2"/>
    </font>
    <font>
      <sz val="28"/>
      <color theme="2" tint="-0.499984740745262"/>
      <name val="Browallia New"/>
      <family val="2"/>
      <charset val="222"/>
    </font>
    <font>
      <b/>
      <sz val="22"/>
      <color theme="0"/>
      <name val="Browallia New"/>
      <family val="2"/>
    </font>
    <font>
      <sz val="18"/>
      <color theme="0"/>
      <name val="Browallia New"/>
      <family val="2"/>
    </font>
    <font>
      <b/>
      <sz val="22"/>
      <color theme="4"/>
      <name val="Browallia New"/>
      <family val="2"/>
      <charset val="222"/>
    </font>
    <font>
      <b/>
      <sz val="24"/>
      <color theme="4"/>
      <name val="Browallia New"/>
      <family val="2"/>
      <charset val="222"/>
    </font>
    <font>
      <b/>
      <sz val="20"/>
      <color theme="0"/>
      <name val="Browallia New"/>
      <family val="2"/>
      <charset val="222"/>
    </font>
    <font>
      <b/>
      <sz val="22"/>
      <name val="Browallia New"/>
      <family val="2"/>
    </font>
    <font>
      <sz val="24"/>
      <color theme="1"/>
      <name val="Browallia New"/>
      <family val="2"/>
    </font>
    <font>
      <b/>
      <sz val="24"/>
      <color rgb="FFFF0000"/>
      <name val="Browallia New"/>
      <family val="2"/>
    </font>
    <font>
      <b/>
      <sz val="24"/>
      <color theme="9" tint="0.59999389629810485"/>
      <name val="Browallia New"/>
      <family val="2"/>
    </font>
    <font>
      <sz val="22"/>
      <color theme="0"/>
      <name val="Browallia New"/>
      <family val="2"/>
    </font>
    <font>
      <sz val="26"/>
      <color theme="0"/>
      <name val="Browallia New"/>
      <family val="2"/>
    </font>
    <font>
      <sz val="24"/>
      <color theme="0"/>
      <name val="Browallia New"/>
      <family val="2"/>
    </font>
    <font>
      <b/>
      <sz val="20"/>
      <color rgb="FFFF0000"/>
      <name val="Browallia New"/>
      <family val="2"/>
    </font>
    <font>
      <b/>
      <sz val="24"/>
      <color theme="4"/>
      <name val="Browallia New"/>
      <family val="2"/>
    </font>
    <font>
      <sz val="24"/>
      <color rgb="FFFF0000"/>
      <name val="Browallia New"/>
      <family val="2"/>
    </font>
    <font>
      <b/>
      <sz val="24"/>
      <color theme="1"/>
      <name val="Browallia New"/>
      <family val="2"/>
      <charset val="222"/>
    </font>
    <font>
      <b/>
      <sz val="28"/>
      <color theme="0"/>
      <name val="Browallia New"/>
      <family val="2"/>
    </font>
  </fonts>
  <fills count="15">
    <fill>
      <patternFill patternType="none"/>
    </fill>
    <fill>
      <patternFill patternType="gray125"/>
    </fill>
    <fill>
      <patternFill patternType="solid">
        <fgColor theme="0" tint="-0.14999847407452621"/>
        <bgColor indexed="64"/>
      </patternFill>
    </fill>
    <fill>
      <patternFill patternType="solid">
        <fgColor theme="9" tint="0.39997558519241921"/>
        <bgColor indexed="64"/>
      </patternFill>
    </fill>
    <fill>
      <patternFill patternType="solid">
        <fgColor theme="0" tint="-0.249977111117893"/>
        <bgColor indexed="64"/>
      </patternFill>
    </fill>
    <fill>
      <patternFill patternType="solid">
        <fgColor theme="0"/>
        <bgColor indexed="64"/>
      </patternFill>
    </fill>
    <fill>
      <patternFill patternType="solid">
        <fgColor theme="9" tint="0.59999389629810485"/>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79998168889431442"/>
        <bgColor indexed="64"/>
      </patternFill>
    </fill>
    <fill>
      <patternFill patternType="solid">
        <fgColor theme="2" tint="-9.9978637043366805E-2"/>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0000"/>
        <bgColor indexed="64"/>
      </patternFill>
    </fill>
    <fill>
      <patternFill patternType="solid">
        <fgColor theme="6" tint="0.59999389629810485"/>
        <bgColor indexed="64"/>
      </patternFill>
    </fill>
  </fills>
  <borders count="191">
    <border>
      <left/>
      <right/>
      <top/>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style="thin">
        <color theme="2" tint="-0.249977111117893"/>
      </left>
      <right style="thin">
        <color theme="2" tint="-0.249977111117893"/>
      </right>
      <top style="thin">
        <color theme="2" tint="-0.249977111117893"/>
      </top>
      <bottom style="thin">
        <color theme="2" tint="-0.249977111117893"/>
      </bottom>
      <diagonal/>
    </border>
    <border>
      <left/>
      <right style="thin">
        <color theme="2" tint="-0.249977111117893"/>
      </right>
      <top style="thin">
        <color theme="2" tint="-0.249977111117893"/>
      </top>
      <bottom style="thin">
        <color theme="2" tint="-0.249977111117893"/>
      </bottom>
      <diagonal/>
    </border>
    <border>
      <left style="thin">
        <color theme="2" tint="-0.249977111117893"/>
      </left>
      <right style="thin">
        <color theme="2" tint="-0.249977111117893"/>
      </right>
      <top/>
      <bottom style="thin">
        <color theme="2" tint="-0.249977111117893"/>
      </bottom>
      <diagonal/>
    </border>
    <border>
      <left style="medium">
        <color theme="9"/>
      </left>
      <right style="medium">
        <color theme="9"/>
      </right>
      <top style="medium">
        <color theme="9"/>
      </top>
      <bottom style="medium">
        <color theme="9"/>
      </bottom>
      <diagonal/>
    </border>
    <border>
      <left style="thin">
        <color theme="2" tint="-0.249977111117893"/>
      </left>
      <right style="thin">
        <color theme="2" tint="-0.249977111117893"/>
      </right>
      <top style="medium">
        <color theme="9"/>
      </top>
      <bottom style="thin">
        <color theme="2" tint="-0.249977111117893"/>
      </bottom>
      <diagonal/>
    </border>
    <border>
      <left style="thin">
        <color theme="2" tint="-0.249977111117893"/>
      </left>
      <right style="medium">
        <color theme="9"/>
      </right>
      <top style="medium">
        <color theme="9"/>
      </top>
      <bottom style="thin">
        <color theme="2" tint="-0.249977111117893"/>
      </bottom>
      <diagonal/>
    </border>
    <border>
      <left style="thin">
        <color theme="2" tint="-0.249977111117893"/>
      </left>
      <right style="medium">
        <color theme="9"/>
      </right>
      <top style="thin">
        <color theme="2" tint="-0.249977111117893"/>
      </top>
      <bottom style="thin">
        <color theme="2" tint="-0.249977111117893"/>
      </bottom>
      <diagonal/>
    </border>
    <border>
      <left style="thin">
        <color theme="2" tint="-0.249977111117893"/>
      </left>
      <right style="thin">
        <color theme="2" tint="-0.249977111117893"/>
      </right>
      <top style="thin">
        <color theme="2" tint="-0.249977111117893"/>
      </top>
      <bottom style="medium">
        <color theme="9"/>
      </bottom>
      <diagonal/>
    </border>
    <border>
      <left style="thin">
        <color theme="2" tint="-0.249977111117893"/>
      </left>
      <right style="thin">
        <color theme="2" tint="-0.249977111117893"/>
      </right>
      <top/>
      <bottom/>
      <diagonal/>
    </border>
    <border>
      <left style="thin">
        <color theme="2" tint="-0.249977111117893"/>
      </left>
      <right style="thin">
        <color theme="2" tint="-0.249977111117893"/>
      </right>
      <top style="medium">
        <color theme="9"/>
      </top>
      <bottom style="medium">
        <color theme="9"/>
      </bottom>
      <diagonal/>
    </border>
    <border>
      <left style="thin">
        <color theme="2" tint="-0.249977111117893"/>
      </left>
      <right/>
      <top/>
      <bottom style="thin">
        <color theme="2" tint="-0.249977111117893"/>
      </bottom>
      <diagonal/>
    </border>
    <border>
      <left style="thin">
        <color theme="2" tint="-0.249977111117893"/>
      </left>
      <right/>
      <top style="thin">
        <color theme="2" tint="-0.249977111117893"/>
      </top>
      <bottom style="thin">
        <color theme="2" tint="-0.249977111117893"/>
      </bottom>
      <diagonal/>
    </border>
    <border>
      <left/>
      <right/>
      <top style="thin">
        <color theme="2" tint="-0.249977111117893"/>
      </top>
      <bottom style="thin">
        <color theme="2" tint="-0.249977111117893"/>
      </bottom>
      <diagonal/>
    </border>
    <border>
      <left style="medium">
        <color theme="9"/>
      </left>
      <right style="medium">
        <color theme="9"/>
      </right>
      <top style="medium">
        <color theme="9"/>
      </top>
      <bottom style="thin">
        <color theme="2" tint="-0.249977111117893"/>
      </bottom>
      <diagonal/>
    </border>
    <border>
      <left style="medium">
        <color theme="9"/>
      </left>
      <right style="medium">
        <color theme="9"/>
      </right>
      <top style="thin">
        <color theme="2" tint="-0.249977111117893"/>
      </top>
      <bottom style="thin">
        <color theme="2" tint="-0.249977111117893"/>
      </bottom>
      <diagonal/>
    </border>
    <border>
      <left style="medium">
        <color theme="9"/>
      </left>
      <right style="medium">
        <color theme="9"/>
      </right>
      <top style="thin">
        <color theme="2" tint="-0.249977111117893"/>
      </top>
      <bottom style="medium">
        <color theme="9"/>
      </bottom>
      <diagonal/>
    </border>
    <border>
      <left style="medium">
        <color theme="9"/>
      </left>
      <right/>
      <top style="medium">
        <color theme="9"/>
      </top>
      <bottom style="thin">
        <color theme="2" tint="-0.249977111117893"/>
      </bottom>
      <diagonal/>
    </border>
    <border>
      <left style="medium">
        <color theme="9"/>
      </left>
      <right/>
      <top style="thin">
        <color theme="2" tint="-0.249977111117893"/>
      </top>
      <bottom style="thin">
        <color theme="2" tint="-0.249977111117893"/>
      </bottom>
      <diagonal/>
    </border>
    <border>
      <left style="medium">
        <color theme="9"/>
      </left>
      <right/>
      <top style="thin">
        <color theme="2" tint="-0.249977111117893"/>
      </top>
      <bottom style="medium">
        <color theme="9"/>
      </bottom>
      <diagonal/>
    </border>
    <border>
      <left/>
      <right style="thin">
        <color theme="2" tint="-0.249977111117893"/>
      </right>
      <top style="medium">
        <color theme="9"/>
      </top>
      <bottom style="thin">
        <color theme="2" tint="-0.249977111117893"/>
      </bottom>
      <diagonal/>
    </border>
    <border>
      <left/>
      <right style="thin">
        <color theme="2" tint="-0.249977111117893"/>
      </right>
      <top style="thin">
        <color theme="2" tint="-0.249977111117893"/>
      </top>
      <bottom style="medium">
        <color theme="9"/>
      </bottom>
      <diagonal/>
    </border>
    <border>
      <left/>
      <right style="thin">
        <color theme="2" tint="-0.249977111117893"/>
      </right>
      <top/>
      <bottom/>
      <diagonal/>
    </border>
    <border>
      <left style="thin">
        <color theme="2" tint="-0.249977111117893"/>
      </left>
      <right style="medium">
        <color theme="9"/>
      </right>
      <top/>
      <bottom style="thin">
        <color theme="2" tint="-0.249977111117893"/>
      </bottom>
      <diagonal/>
    </border>
    <border>
      <left/>
      <right style="thin">
        <color theme="2" tint="-0.249977111117893"/>
      </right>
      <top/>
      <bottom style="thin">
        <color theme="2" tint="-0.249977111117893"/>
      </bottom>
      <diagonal/>
    </border>
    <border>
      <left style="medium">
        <color theme="9"/>
      </left>
      <right/>
      <top style="medium">
        <color theme="9"/>
      </top>
      <bottom style="medium">
        <color theme="9"/>
      </bottom>
      <diagonal/>
    </border>
    <border>
      <left style="medium">
        <color theme="9"/>
      </left>
      <right style="medium">
        <color theme="9"/>
      </right>
      <top/>
      <bottom style="thin">
        <color theme="2" tint="-0.249977111117893"/>
      </bottom>
      <diagonal/>
    </border>
    <border>
      <left style="medium">
        <color theme="9"/>
      </left>
      <right style="medium">
        <color theme="9"/>
      </right>
      <top style="thin">
        <color theme="2" tint="-0.249977111117893"/>
      </top>
      <bottom/>
      <diagonal/>
    </border>
    <border>
      <left/>
      <right/>
      <top style="thin">
        <color theme="2" tint="-0.249977111117893"/>
      </top>
      <bottom/>
      <diagonal/>
    </border>
    <border>
      <left/>
      <right/>
      <top/>
      <bottom style="thin">
        <color theme="2" tint="-0.249977111117893"/>
      </bottom>
      <diagonal/>
    </border>
    <border>
      <left style="medium">
        <color theme="9"/>
      </left>
      <right/>
      <top/>
      <bottom style="thin">
        <color theme="2" tint="-0.249977111117893"/>
      </bottom>
      <diagonal/>
    </border>
    <border>
      <left style="thin">
        <color theme="2" tint="-0.249977111117893"/>
      </left>
      <right/>
      <top style="thin">
        <color theme="2" tint="-0.249977111117893"/>
      </top>
      <bottom style="medium">
        <color theme="9"/>
      </bottom>
      <diagonal/>
    </border>
    <border>
      <left style="medium">
        <color theme="9"/>
      </left>
      <right style="thin">
        <color theme="9"/>
      </right>
      <top style="medium">
        <color theme="9"/>
      </top>
      <bottom style="medium">
        <color theme="9"/>
      </bottom>
      <diagonal/>
    </border>
    <border>
      <left/>
      <right/>
      <top style="medium">
        <color theme="9"/>
      </top>
      <bottom style="medium">
        <color theme="9"/>
      </bottom>
      <diagonal/>
    </border>
    <border>
      <left style="medium">
        <color theme="9"/>
      </left>
      <right/>
      <top/>
      <bottom/>
      <diagonal/>
    </border>
    <border>
      <left style="medium">
        <color theme="9"/>
      </left>
      <right style="medium">
        <color theme="9"/>
      </right>
      <top/>
      <bottom/>
      <diagonal/>
    </border>
    <border>
      <left style="medium">
        <color theme="9"/>
      </left>
      <right/>
      <top style="thin">
        <color theme="2" tint="-0.249977111117893"/>
      </top>
      <bottom/>
      <diagonal/>
    </border>
    <border>
      <left style="thin">
        <color theme="2" tint="-0.249977111117893"/>
      </left>
      <right/>
      <top style="medium">
        <color theme="9"/>
      </top>
      <bottom style="medium">
        <color theme="9"/>
      </bottom>
      <diagonal/>
    </border>
    <border>
      <left/>
      <right/>
      <top style="thin">
        <color theme="2" tint="-0.249977111117893"/>
      </top>
      <bottom style="medium">
        <color theme="9"/>
      </bottom>
      <diagonal/>
    </border>
    <border>
      <left/>
      <right/>
      <top style="medium">
        <color theme="9"/>
      </top>
      <bottom style="thin">
        <color theme="2" tint="-0.249977111117893"/>
      </bottom>
      <diagonal/>
    </border>
    <border>
      <left style="medium">
        <color theme="9"/>
      </left>
      <right/>
      <top style="medium">
        <color theme="9"/>
      </top>
      <bottom/>
      <diagonal/>
    </border>
    <border>
      <left style="medium">
        <color theme="9"/>
      </left>
      <right style="thin">
        <color theme="2" tint="-0.249977111117893"/>
      </right>
      <top style="medium">
        <color theme="9"/>
      </top>
      <bottom/>
      <diagonal/>
    </border>
    <border>
      <left style="medium">
        <color theme="9"/>
      </left>
      <right style="medium">
        <color theme="9"/>
      </right>
      <top style="medium">
        <color theme="9"/>
      </top>
      <bottom/>
      <diagonal/>
    </border>
    <border>
      <left style="medium">
        <color theme="9"/>
      </left>
      <right style="medium">
        <color theme="9"/>
      </right>
      <top/>
      <bottom style="medium">
        <color theme="9"/>
      </bottom>
      <diagonal/>
    </border>
    <border>
      <left/>
      <right style="medium">
        <color theme="9"/>
      </right>
      <top style="thin">
        <color theme="2" tint="-0.249977111117893"/>
      </top>
      <bottom style="medium">
        <color theme="9"/>
      </bottom>
      <diagonal/>
    </border>
    <border>
      <left style="thin">
        <color theme="2" tint="-0.249977111117893"/>
      </left>
      <right style="thin">
        <color theme="2" tint="-0.249977111117893"/>
      </right>
      <top/>
      <bottom style="medium">
        <color theme="9"/>
      </bottom>
      <diagonal/>
    </border>
    <border>
      <left style="thin">
        <color theme="2" tint="-0.249977111117893"/>
      </left>
      <right style="thin">
        <color theme="2" tint="-0.249977111117893"/>
      </right>
      <top style="medium">
        <color theme="9"/>
      </top>
      <bottom/>
      <diagonal/>
    </border>
    <border>
      <left/>
      <right style="medium">
        <color theme="9"/>
      </right>
      <top style="medium">
        <color theme="9"/>
      </top>
      <bottom style="thin">
        <color theme="2" tint="-0.249977111117893"/>
      </bottom>
      <diagonal/>
    </border>
    <border>
      <left/>
      <right style="medium">
        <color theme="9"/>
      </right>
      <top style="thin">
        <color theme="2" tint="-0.249977111117893"/>
      </top>
      <bottom style="thin">
        <color theme="2" tint="-0.249977111117893"/>
      </bottom>
      <diagonal/>
    </border>
    <border>
      <left/>
      <right style="medium">
        <color theme="9"/>
      </right>
      <top/>
      <bottom/>
      <diagonal/>
    </border>
    <border>
      <left style="medium">
        <color theme="9"/>
      </left>
      <right style="thin">
        <color theme="2" tint="-0.249977111117893"/>
      </right>
      <top/>
      <bottom style="medium">
        <color theme="9"/>
      </bottom>
      <diagonal/>
    </border>
    <border>
      <left style="medium">
        <color theme="9"/>
      </left>
      <right style="thin">
        <color theme="2" tint="-0.249977111117893"/>
      </right>
      <top style="medium">
        <color theme="9"/>
      </top>
      <bottom style="thin">
        <color theme="2" tint="-0.249977111117893"/>
      </bottom>
      <diagonal/>
    </border>
    <border>
      <left/>
      <right style="thin">
        <color theme="2" tint="-0.249977111117893"/>
      </right>
      <top/>
      <bottom style="medium">
        <color theme="9"/>
      </bottom>
      <diagonal/>
    </border>
    <border>
      <left style="thin">
        <color theme="2" tint="-0.249977111117893"/>
      </left>
      <right style="medium">
        <color theme="9"/>
      </right>
      <top/>
      <bottom/>
      <diagonal/>
    </border>
    <border>
      <left/>
      <right style="medium">
        <color theme="9"/>
      </right>
      <top/>
      <bottom style="thin">
        <color theme="2" tint="-0.249977111117893"/>
      </bottom>
      <diagonal/>
    </border>
    <border>
      <left style="medium">
        <color theme="9"/>
      </left>
      <right/>
      <top/>
      <bottom style="medium">
        <color theme="9"/>
      </bottom>
      <diagonal/>
    </border>
    <border>
      <left style="thin">
        <color theme="2" tint="-0.249977111117893"/>
      </left>
      <right style="medium">
        <color theme="9"/>
      </right>
      <top/>
      <bottom style="medium">
        <color theme="9"/>
      </bottom>
      <diagonal/>
    </border>
    <border>
      <left/>
      <right style="thin">
        <color indexed="64"/>
      </right>
      <top style="thin">
        <color indexed="64"/>
      </top>
      <bottom/>
      <diagonal/>
    </border>
    <border>
      <left style="medium">
        <color theme="9"/>
      </left>
      <right style="thin">
        <color theme="9"/>
      </right>
      <top style="thin">
        <color theme="9"/>
      </top>
      <bottom style="medium">
        <color theme="9"/>
      </bottom>
      <diagonal/>
    </border>
    <border>
      <left style="medium">
        <color theme="4"/>
      </left>
      <right/>
      <top/>
      <bottom/>
      <diagonal/>
    </border>
    <border>
      <left/>
      <right style="medium">
        <color theme="4"/>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rgb="FFFF0000"/>
      </left>
      <right/>
      <top style="medium">
        <color rgb="FFFF0000"/>
      </top>
      <bottom/>
      <diagonal/>
    </border>
    <border>
      <left/>
      <right/>
      <top style="medium">
        <color rgb="FFFF0000"/>
      </top>
      <bottom/>
      <diagonal/>
    </border>
    <border>
      <left/>
      <right style="medium">
        <color rgb="FFFF0000"/>
      </right>
      <top style="medium">
        <color rgb="FFFF0000"/>
      </top>
      <bottom/>
      <diagonal/>
    </border>
    <border>
      <left style="medium">
        <color rgb="FFFF0000"/>
      </left>
      <right/>
      <top/>
      <bottom/>
      <diagonal/>
    </border>
    <border>
      <left/>
      <right style="medium">
        <color rgb="FFFF0000"/>
      </right>
      <top/>
      <bottom/>
      <diagonal/>
    </border>
    <border>
      <left style="medium">
        <color rgb="FFFF0000"/>
      </left>
      <right/>
      <top/>
      <bottom style="medium">
        <color rgb="FFFF0000"/>
      </bottom>
      <diagonal/>
    </border>
    <border>
      <left/>
      <right/>
      <top/>
      <bottom style="medium">
        <color rgb="FFFF0000"/>
      </bottom>
      <diagonal/>
    </border>
    <border>
      <left/>
      <right style="medium">
        <color rgb="FFFF0000"/>
      </right>
      <top/>
      <bottom style="medium">
        <color rgb="FFFF0000"/>
      </bottom>
      <diagonal/>
    </border>
    <border>
      <left style="medium">
        <color rgb="FFFF0000"/>
      </left>
      <right/>
      <top style="medium">
        <color rgb="FFFF0000"/>
      </top>
      <bottom style="medium">
        <color rgb="FFFF0000"/>
      </bottom>
      <diagonal/>
    </border>
    <border>
      <left/>
      <right/>
      <top style="medium">
        <color rgb="FFFF0000"/>
      </top>
      <bottom style="medium">
        <color rgb="FFFF0000"/>
      </bottom>
      <diagonal/>
    </border>
    <border>
      <left/>
      <right style="medium">
        <color rgb="FFFF0000"/>
      </right>
      <top style="medium">
        <color rgb="FFFF0000"/>
      </top>
      <bottom style="medium">
        <color rgb="FFFF0000"/>
      </bottom>
      <diagonal/>
    </border>
    <border>
      <left style="thin">
        <color theme="0"/>
      </left>
      <right/>
      <top style="medium">
        <color rgb="FFFF0000"/>
      </top>
      <bottom style="medium">
        <color rgb="FFFF0000"/>
      </bottom>
      <diagonal/>
    </border>
    <border>
      <left style="thin">
        <color theme="9"/>
      </left>
      <right/>
      <top/>
      <bottom/>
      <diagonal/>
    </border>
    <border>
      <left style="thin">
        <color theme="2" tint="-9.9978637043366805E-2"/>
      </left>
      <right style="thin">
        <color theme="2" tint="-9.9978637043366805E-2"/>
      </right>
      <top style="thin">
        <color theme="2" tint="-9.9978637043366805E-2"/>
      </top>
      <bottom style="thin">
        <color theme="2" tint="-9.9978637043366805E-2"/>
      </bottom>
      <diagonal/>
    </border>
    <border>
      <left/>
      <right style="medium">
        <color theme="9"/>
      </right>
      <top/>
      <bottom style="medium">
        <color theme="9"/>
      </bottom>
      <diagonal/>
    </border>
    <border>
      <left style="medium">
        <color theme="9"/>
      </left>
      <right style="thin">
        <color theme="2" tint="-9.9978637043366805E-2"/>
      </right>
      <top style="medium">
        <color theme="9"/>
      </top>
      <bottom style="thin">
        <color theme="2" tint="-9.9978637043366805E-2"/>
      </bottom>
      <diagonal/>
    </border>
    <border>
      <left style="thin">
        <color theme="2" tint="-9.9978637043366805E-2"/>
      </left>
      <right style="thin">
        <color theme="2" tint="-9.9978637043366805E-2"/>
      </right>
      <top style="medium">
        <color theme="9"/>
      </top>
      <bottom style="thin">
        <color theme="2" tint="-9.9978637043366805E-2"/>
      </bottom>
      <diagonal/>
    </border>
    <border>
      <left style="thin">
        <color theme="2" tint="-9.9978637043366805E-2"/>
      </left>
      <right style="medium">
        <color theme="9"/>
      </right>
      <top style="medium">
        <color theme="9"/>
      </top>
      <bottom style="thin">
        <color theme="2" tint="-9.9978637043366805E-2"/>
      </bottom>
      <diagonal/>
    </border>
    <border>
      <left style="medium">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medium">
        <color theme="9"/>
      </right>
      <top style="thin">
        <color theme="2" tint="-9.9978637043366805E-2"/>
      </top>
      <bottom style="thin">
        <color theme="2" tint="-9.9978637043366805E-2"/>
      </bottom>
      <diagonal/>
    </border>
    <border>
      <left style="medium">
        <color theme="9"/>
      </left>
      <right style="thin">
        <color theme="2" tint="-9.9978637043366805E-2"/>
      </right>
      <top style="thin">
        <color theme="2" tint="-9.9978637043366805E-2"/>
      </top>
      <bottom style="medium">
        <color theme="9"/>
      </bottom>
      <diagonal/>
    </border>
    <border>
      <left style="thin">
        <color theme="2" tint="-9.9978637043366805E-2"/>
      </left>
      <right style="thin">
        <color theme="2" tint="-9.9978637043366805E-2"/>
      </right>
      <top style="thin">
        <color theme="2" tint="-9.9978637043366805E-2"/>
      </top>
      <bottom style="medium">
        <color theme="9"/>
      </bottom>
      <diagonal/>
    </border>
    <border>
      <left style="thin">
        <color theme="2" tint="-9.9978637043366805E-2"/>
      </left>
      <right style="medium">
        <color theme="9"/>
      </right>
      <top style="thin">
        <color theme="2" tint="-9.9978637043366805E-2"/>
      </top>
      <bottom style="medium">
        <color theme="9"/>
      </bottom>
      <diagonal/>
    </border>
    <border>
      <left style="medium">
        <color theme="9"/>
      </left>
      <right style="thin">
        <color theme="2" tint="-9.9978637043366805E-2"/>
      </right>
      <top/>
      <bottom style="thin">
        <color theme="2" tint="-9.9978637043366805E-2"/>
      </bottom>
      <diagonal/>
    </border>
    <border>
      <left style="thin">
        <color theme="2" tint="-9.9978637043366805E-2"/>
      </left>
      <right style="thin">
        <color theme="2" tint="-9.9978637043366805E-2"/>
      </right>
      <top/>
      <bottom style="thin">
        <color theme="2" tint="-9.9978637043366805E-2"/>
      </bottom>
      <diagonal/>
    </border>
    <border>
      <left style="thin">
        <color theme="2" tint="-9.9978637043366805E-2"/>
      </left>
      <right style="medium">
        <color theme="9"/>
      </right>
      <top/>
      <bottom style="thin">
        <color theme="2" tint="-9.9978637043366805E-2"/>
      </bottom>
      <diagonal/>
    </border>
    <border>
      <left/>
      <right style="medium">
        <color theme="9"/>
      </right>
      <top style="medium">
        <color theme="9"/>
      </top>
      <bottom style="medium">
        <color theme="9"/>
      </bottom>
      <diagonal/>
    </border>
    <border>
      <left/>
      <right style="thin">
        <color theme="2" tint="-9.9978637043366805E-2"/>
      </right>
      <top style="thin">
        <color theme="2" tint="-9.9978637043366805E-2"/>
      </top>
      <bottom style="thin">
        <color theme="2" tint="-9.9978637043366805E-2"/>
      </bottom>
      <diagonal/>
    </border>
    <border>
      <left/>
      <right style="thin">
        <color theme="2" tint="-9.9978637043366805E-2"/>
      </right>
      <top style="thin">
        <color theme="2" tint="-9.9978637043366805E-2"/>
      </top>
      <bottom style="medium">
        <color theme="9"/>
      </bottom>
      <diagonal/>
    </border>
    <border>
      <left style="thin">
        <color theme="9"/>
      </left>
      <right style="thin">
        <color theme="2" tint="-9.9978637043366805E-2"/>
      </right>
      <top style="thin">
        <color theme="9"/>
      </top>
      <bottom style="thin">
        <color theme="2" tint="-9.9978637043366805E-2"/>
      </bottom>
      <diagonal/>
    </border>
    <border>
      <left style="thin">
        <color theme="2" tint="-9.9978637043366805E-2"/>
      </left>
      <right style="thin">
        <color theme="2" tint="-9.9978637043366805E-2"/>
      </right>
      <top style="thin">
        <color theme="9"/>
      </top>
      <bottom style="thin">
        <color theme="2" tint="-9.9978637043366805E-2"/>
      </bottom>
      <diagonal/>
    </border>
    <border>
      <left style="thin">
        <color theme="2" tint="-9.9978637043366805E-2"/>
      </left>
      <right style="thin">
        <color theme="9"/>
      </right>
      <top style="thin">
        <color theme="9"/>
      </top>
      <bottom style="thin">
        <color theme="2" tint="-9.9978637043366805E-2"/>
      </bottom>
      <diagonal/>
    </border>
    <border>
      <left style="thin">
        <color theme="9"/>
      </left>
      <right style="thin">
        <color theme="2" tint="-9.9978637043366805E-2"/>
      </right>
      <top/>
      <bottom style="thin">
        <color theme="2" tint="-9.9978637043366805E-2"/>
      </bottom>
      <diagonal/>
    </border>
    <border>
      <left style="thin">
        <color theme="2" tint="-9.9978637043366805E-2"/>
      </left>
      <right style="thin">
        <color theme="9"/>
      </right>
      <top/>
      <bottom style="thin">
        <color theme="2" tint="-9.9978637043366805E-2"/>
      </bottom>
      <diagonal/>
    </border>
    <border>
      <left style="thin">
        <color theme="9"/>
      </left>
      <right style="thin">
        <color theme="2" tint="-9.9978637043366805E-2"/>
      </right>
      <top/>
      <bottom style="thin">
        <color theme="9"/>
      </bottom>
      <diagonal/>
    </border>
    <border>
      <left style="thin">
        <color theme="2" tint="-9.9978637043366805E-2"/>
      </left>
      <right style="thin">
        <color theme="2" tint="-9.9978637043366805E-2"/>
      </right>
      <top/>
      <bottom style="thin">
        <color theme="9"/>
      </bottom>
      <diagonal/>
    </border>
    <border>
      <left style="thin">
        <color theme="2" tint="-9.9978637043366805E-2"/>
      </left>
      <right style="thin">
        <color theme="9"/>
      </right>
      <top/>
      <bottom style="thin">
        <color theme="9"/>
      </bottom>
      <diagonal/>
    </border>
    <border>
      <left style="thin">
        <color theme="2" tint="-9.9978637043366805E-2"/>
      </left>
      <right/>
      <top/>
      <bottom style="thin">
        <color theme="2" tint="-9.9978637043366805E-2"/>
      </bottom>
      <diagonal/>
    </border>
    <border>
      <left style="thin">
        <color theme="9"/>
      </left>
      <right style="thin">
        <color theme="2" tint="-9.9978637043366805E-2"/>
      </right>
      <top style="thin">
        <color theme="2" tint="-9.9978637043366805E-2"/>
      </top>
      <bottom style="thin">
        <color theme="2" tint="-9.9978637043366805E-2"/>
      </bottom>
      <diagonal/>
    </border>
    <border>
      <left style="thin">
        <color theme="2" tint="-9.9978637043366805E-2"/>
      </left>
      <right style="thin">
        <color theme="9"/>
      </right>
      <top style="thin">
        <color theme="2" tint="-9.9978637043366805E-2"/>
      </top>
      <bottom style="thin">
        <color theme="2" tint="-9.9978637043366805E-2"/>
      </bottom>
      <diagonal/>
    </border>
    <border>
      <left style="thin">
        <color theme="9"/>
      </left>
      <right style="thin">
        <color theme="2" tint="-9.9978637043366805E-2"/>
      </right>
      <top style="thin">
        <color theme="2" tint="-9.9978637043366805E-2"/>
      </top>
      <bottom style="thin">
        <color theme="9"/>
      </bottom>
      <diagonal/>
    </border>
    <border>
      <left style="thin">
        <color theme="2" tint="-9.9978637043366805E-2"/>
      </left>
      <right style="thin">
        <color theme="2" tint="-9.9978637043366805E-2"/>
      </right>
      <top style="thin">
        <color theme="2" tint="-9.9978637043366805E-2"/>
      </top>
      <bottom style="thin">
        <color theme="9"/>
      </bottom>
      <diagonal/>
    </border>
    <border>
      <left style="thin">
        <color theme="2" tint="-9.9978637043366805E-2"/>
      </left>
      <right style="thin">
        <color theme="9"/>
      </right>
      <top style="thin">
        <color theme="2" tint="-9.9978637043366805E-2"/>
      </top>
      <bottom style="thin">
        <color theme="9"/>
      </bottom>
      <diagonal/>
    </border>
    <border>
      <left style="thin">
        <color theme="2" tint="-0.249977111117893"/>
      </left>
      <right style="medium">
        <color theme="9"/>
      </right>
      <top style="medium">
        <color theme="9"/>
      </top>
      <bottom/>
      <diagonal/>
    </border>
    <border>
      <left style="thin">
        <color theme="2" tint="-0.249977111117893"/>
      </left>
      <right/>
      <top style="medium">
        <color theme="9"/>
      </top>
      <bottom style="thin">
        <color theme="2" tint="-0.249977111117893"/>
      </bottom>
      <diagonal/>
    </border>
    <border>
      <left/>
      <right/>
      <top style="medium">
        <color theme="9"/>
      </top>
      <bottom/>
      <diagonal/>
    </border>
    <border>
      <left/>
      <right style="medium">
        <color theme="9"/>
      </right>
      <top style="medium">
        <color theme="9"/>
      </top>
      <bottom/>
      <diagonal/>
    </border>
    <border>
      <left/>
      <right/>
      <top/>
      <bottom style="medium">
        <color theme="9"/>
      </bottom>
      <diagonal/>
    </border>
    <border>
      <left style="thin">
        <color theme="9"/>
      </left>
      <right/>
      <top/>
      <bottom style="thin">
        <color theme="9"/>
      </bottom>
      <diagonal/>
    </border>
    <border>
      <left style="medium">
        <color theme="9"/>
      </left>
      <right style="thin">
        <color theme="9"/>
      </right>
      <top/>
      <bottom style="medium">
        <color theme="9"/>
      </bottom>
      <diagonal/>
    </border>
    <border>
      <left style="medium">
        <color theme="9"/>
      </left>
      <right style="thin">
        <color theme="9"/>
      </right>
      <top/>
      <bottom/>
      <diagonal/>
    </border>
    <border>
      <left/>
      <right style="medium">
        <color theme="9"/>
      </right>
      <top style="thin">
        <color theme="2" tint="-0.249977111117893"/>
      </top>
      <bottom/>
      <diagonal/>
    </border>
    <border>
      <left style="medium">
        <color theme="9"/>
      </left>
      <right style="thin">
        <color theme="2" tint="-0.249977111117893"/>
      </right>
      <top/>
      <bottom style="thin">
        <color theme="2" tint="-0.249977111117893"/>
      </bottom>
      <diagonal/>
    </border>
    <border>
      <left style="thin">
        <color theme="2" tint="-0.249977111117893"/>
      </left>
      <right/>
      <top/>
      <bottom/>
      <diagonal/>
    </border>
    <border>
      <left style="thin">
        <color theme="2" tint="-0.249977111117893"/>
      </left>
      <right/>
      <top/>
      <bottom style="medium">
        <color theme="9"/>
      </bottom>
      <diagonal/>
    </border>
    <border>
      <left/>
      <right style="thin">
        <color theme="2" tint="-0.249977111117893"/>
      </right>
      <top style="medium">
        <color theme="9"/>
      </top>
      <bottom style="medium">
        <color theme="9"/>
      </bottom>
      <diagonal/>
    </border>
    <border>
      <left style="medium">
        <color theme="4"/>
      </left>
      <right/>
      <top style="medium">
        <color theme="4"/>
      </top>
      <bottom style="medium">
        <color theme="4"/>
      </bottom>
      <diagonal/>
    </border>
    <border>
      <left/>
      <right/>
      <top style="medium">
        <color theme="4"/>
      </top>
      <bottom style="medium">
        <color theme="4"/>
      </bottom>
      <diagonal/>
    </border>
    <border>
      <left/>
      <right style="medium">
        <color theme="4"/>
      </right>
      <top style="medium">
        <color theme="4"/>
      </top>
      <bottom style="medium">
        <color theme="4"/>
      </bottom>
      <diagonal/>
    </border>
    <border>
      <left style="medium">
        <color theme="4"/>
      </left>
      <right/>
      <top style="thin">
        <color indexed="64"/>
      </top>
      <bottom/>
      <diagonal/>
    </border>
    <border>
      <left/>
      <right style="medium">
        <color theme="9"/>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style="thin">
        <color indexed="64"/>
      </bottom>
      <diagonal/>
    </border>
    <border>
      <left style="medium">
        <color theme="9"/>
      </left>
      <right style="thin">
        <color indexed="64"/>
      </right>
      <top style="medium">
        <color theme="9"/>
      </top>
      <bottom style="thin">
        <color theme="2" tint="-0.249977111117893"/>
      </bottom>
      <diagonal/>
    </border>
    <border>
      <left style="medium">
        <color theme="9"/>
      </left>
      <right style="thin">
        <color theme="2" tint="-0.249977111117893"/>
      </right>
      <top style="medium">
        <color theme="9"/>
      </top>
      <bottom style="medium">
        <color theme="9"/>
      </bottom>
      <diagonal/>
    </border>
    <border>
      <left style="thin">
        <color theme="2" tint="-0.249977111117893"/>
      </left>
      <right style="thin">
        <color theme="2" tint="-0.249977111117893"/>
      </right>
      <top style="thin">
        <color theme="2" tint="-0.249977111117893"/>
      </top>
      <bottom/>
      <diagonal/>
    </border>
    <border>
      <left style="thin">
        <color theme="2" tint="-0.249977111117893"/>
      </left>
      <right/>
      <top style="thin">
        <color theme="2" tint="-0.249977111117893"/>
      </top>
      <bottom/>
      <diagonal/>
    </border>
    <border>
      <left style="medium">
        <color theme="9"/>
      </left>
      <right style="thin">
        <color theme="0" tint="-0.34998626667073579"/>
      </right>
      <top style="medium">
        <color theme="9"/>
      </top>
      <bottom style="thin">
        <color theme="0" tint="-0.34998626667073579"/>
      </bottom>
      <diagonal/>
    </border>
    <border>
      <left style="thin">
        <color theme="0" tint="-0.34998626667073579"/>
      </left>
      <right style="thin">
        <color theme="0" tint="-0.34998626667073579"/>
      </right>
      <top style="medium">
        <color theme="9"/>
      </top>
      <bottom style="thin">
        <color theme="0" tint="-0.34998626667073579"/>
      </bottom>
      <diagonal/>
    </border>
    <border>
      <left style="thin">
        <color theme="0" tint="-0.34998626667073579"/>
      </left>
      <right style="medium">
        <color theme="9"/>
      </right>
      <top style="medium">
        <color theme="9"/>
      </top>
      <bottom style="thin">
        <color theme="0" tint="-0.34998626667073579"/>
      </bottom>
      <diagonal/>
    </border>
    <border>
      <left style="medium">
        <color theme="9"/>
      </left>
      <right style="thin">
        <color theme="0" tint="-0.34998626667073579"/>
      </right>
      <top style="thin">
        <color theme="0" tint="-0.34998626667073579"/>
      </top>
      <bottom style="medium">
        <color theme="9"/>
      </bottom>
      <diagonal/>
    </border>
    <border>
      <left style="thin">
        <color theme="0" tint="-0.34998626667073579"/>
      </left>
      <right style="thin">
        <color theme="0" tint="-0.34998626667073579"/>
      </right>
      <top style="thin">
        <color theme="0" tint="-0.34998626667073579"/>
      </top>
      <bottom style="medium">
        <color theme="9"/>
      </bottom>
      <diagonal/>
    </border>
    <border>
      <left style="thin">
        <color theme="0" tint="-0.34998626667073579"/>
      </left>
      <right style="medium">
        <color theme="9"/>
      </right>
      <top style="thin">
        <color theme="0" tint="-0.34998626667073579"/>
      </top>
      <bottom style="medium">
        <color theme="9"/>
      </bottom>
      <diagonal/>
    </border>
    <border>
      <left style="thin">
        <color theme="9"/>
      </left>
      <right style="thin">
        <color theme="9"/>
      </right>
      <top style="thin">
        <color theme="9"/>
      </top>
      <bottom style="thin">
        <color theme="9"/>
      </bottom>
      <diagonal/>
    </border>
    <border>
      <left/>
      <right style="thin">
        <color theme="0" tint="-0.34998626667073579"/>
      </right>
      <top style="thin">
        <color theme="0" tint="-0.34998626667073579"/>
      </top>
      <bottom style="thin">
        <color theme="0" tint="-0.34998626667073579"/>
      </bottom>
      <diagonal/>
    </border>
    <border>
      <left/>
      <right style="thin">
        <color theme="0" tint="-0.34998626667073579"/>
      </right>
      <top style="thin">
        <color theme="0" tint="-0.34998626667073579"/>
      </top>
      <bottom style="medium">
        <color theme="9"/>
      </bottom>
      <diagonal/>
    </border>
    <border>
      <left/>
      <right style="thin">
        <color theme="2" tint="-0.249977111117893"/>
      </right>
      <top style="medium">
        <color theme="9"/>
      </top>
      <bottom/>
      <diagonal/>
    </border>
    <border>
      <left style="thin">
        <color theme="9"/>
      </left>
      <right style="thin">
        <color theme="9"/>
      </right>
      <top style="thin">
        <color theme="9"/>
      </top>
      <bottom/>
      <diagonal/>
    </border>
    <border>
      <left style="medium">
        <color theme="9"/>
      </left>
      <right style="medium">
        <color theme="9"/>
      </right>
      <top style="medium">
        <color theme="9"/>
      </top>
      <bottom style="thin">
        <color indexed="64"/>
      </bottom>
      <diagonal/>
    </border>
    <border>
      <left style="medium">
        <color theme="9"/>
      </left>
      <right style="medium">
        <color theme="9"/>
      </right>
      <top style="thin">
        <color indexed="64"/>
      </top>
      <bottom style="thin">
        <color indexed="64"/>
      </bottom>
      <diagonal/>
    </border>
    <border>
      <left style="medium">
        <color theme="9"/>
      </left>
      <right style="medium">
        <color theme="9"/>
      </right>
      <top style="thin">
        <color indexed="64"/>
      </top>
      <bottom style="medium">
        <color theme="9"/>
      </bottom>
      <diagonal/>
    </border>
    <border>
      <left/>
      <right style="medium">
        <color theme="4"/>
      </right>
      <top/>
      <bottom style="medium">
        <color theme="4"/>
      </bottom>
      <diagonal/>
    </border>
    <border>
      <left style="thin">
        <color theme="9"/>
      </left>
      <right/>
      <top style="thin">
        <color theme="9"/>
      </top>
      <bottom/>
      <diagonal/>
    </border>
    <border>
      <left/>
      <right style="thin">
        <color theme="9"/>
      </right>
      <top style="thin">
        <color theme="9"/>
      </top>
      <bottom/>
      <diagonal/>
    </border>
    <border>
      <left/>
      <right style="thin">
        <color theme="9"/>
      </right>
      <top/>
      <bottom style="thin">
        <color theme="9"/>
      </bottom>
      <diagonal/>
    </border>
    <border>
      <left style="thin">
        <color theme="9"/>
      </left>
      <right/>
      <top style="thin">
        <color theme="9"/>
      </top>
      <bottom style="thin">
        <color theme="9"/>
      </bottom>
      <diagonal/>
    </border>
    <border>
      <left style="medium">
        <color theme="9"/>
      </left>
      <right style="medium">
        <color theme="9"/>
      </right>
      <top style="medium">
        <color theme="9"/>
      </top>
      <bottom style="thin">
        <color theme="9"/>
      </bottom>
      <diagonal/>
    </border>
    <border>
      <left style="medium">
        <color theme="9"/>
      </left>
      <right style="medium">
        <color theme="9"/>
      </right>
      <top style="thin">
        <color theme="9"/>
      </top>
      <bottom style="thin">
        <color theme="9"/>
      </bottom>
      <diagonal/>
    </border>
    <border>
      <left style="medium">
        <color theme="9"/>
      </left>
      <right style="medium">
        <color theme="9"/>
      </right>
      <top style="thin">
        <color theme="9"/>
      </top>
      <bottom style="medium">
        <color theme="9"/>
      </bottom>
      <diagonal/>
    </border>
    <border>
      <left style="medium">
        <color theme="9"/>
      </left>
      <right/>
      <top style="medium">
        <color theme="9"/>
      </top>
      <bottom style="thin">
        <color theme="9"/>
      </bottom>
      <diagonal/>
    </border>
    <border>
      <left style="medium">
        <color theme="9"/>
      </left>
      <right/>
      <top style="thin">
        <color theme="9"/>
      </top>
      <bottom style="thin">
        <color theme="9"/>
      </bottom>
      <diagonal/>
    </border>
    <border>
      <left style="medium">
        <color theme="9"/>
      </left>
      <right/>
      <top style="thin">
        <color theme="9"/>
      </top>
      <bottom style="medium">
        <color theme="9"/>
      </bottom>
      <diagonal/>
    </border>
    <border>
      <left/>
      <right style="thin">
        <color theme="9"/>
      </right>
      <top style="thin">
        <color theme="9"/>
      </top>
      <bottom style="thin">
        <color theme="9"/>
      </bottom>
      <diagonal/>
    </border>
    <border>
      <left style="medium">
        <color theme="9"/>
      </left>
      <right style="medium">
        <color theme="9"/>
      </right>
      <top/>
      <bottom style="thin">
        <color theme="9"/>
      </bottom>
      <diagonal/>
    </border>
    <border>
      <left style="thin">
        <color theme="9"/>
      </left>
      <right style="thin">
        <color theme="9"/>
      </right>
      <top/>
      <bottom style="thin">
        <color theme="9"/>
      </bottom>
      <diagonal/>
    </border>
    <border>
      <left/>
      <right style="thin">
        <color theme="9"/>
      </right>
      <top style="medium">
        <color theme="9"/>
      </top>
      <bottom style="thin">
        <color theme="9"/>
      </bottom>
      <diagonal/>
    </border>
    <border>
      <left style="thin">
        <color theme="9"/>
      </left>
      <right style="medium">
        <color theme="9"/>
      </right>
      <top style="medium">
        <color theme="9"/>
      </top>
      <bottom style="thin">
        <color theme="9"/>
      </bottom>
      <diagonal/>
    </border>
    <border>
      <left style="thin">
        <color theme="9"/>
      </left>
      <right style="medium">
        <color theme="9"/>
      </right>
      <top style="thin">
        <color theme="9"/>
      </top>
      <bottom style="thin">
        <color theme="9"/>
      </bottom>
      <diagonal/>
    </border>
    <border>
      <left/>
      <right style="thin">
        <color theme="9"/>
      </right>
      <top style="thin">
        <color theme="9"/>
      </top>
      <bottom style="medium">
        <color theme="9"/>
      </bottom>
      <diagonal/>
    </border>
    <border>
      <left style="thin">
        <color theme="9"/>
      </left>
      <right style="medium">
        <color theme="9"/>
      </right>
      <top style="thin">
        <color theme="9"/>
      </top>
      <bottom style="medium">
        <color theme="9"/>
      </bottom>
      <diagonal/>
    </border>
    <border>
      <left/>
      <right style="medium">
        <color theme="9"/>
      </right>
      <top style="medium">
        <color theme="9"/>
      </top>
      <bottom style="thin">
        <color theme="9"/>
      </bottom>
      <diagonal/>
    </border>
    <border>
      <left/>
      <right style="medium">
        <color theme="9"/>
      </right>
      <top style="thin">
        <color theme="9"/>
      </top>
      <bottom style="thin">
        <color theme="9"/>
      </bottom>
      <diagonal/>
    </border>
    <border>
      <left/>
      <right style="medium">
        <color theme="9"/>
      </right>
      <top style="thin">
        <color theme="9"/>
      </top>
      <bottom style="medium">
        <color theme="9"/>
      </bottom>
      <diagonal/>
    </border>
    <border>
      <left style="medium">
        <color theme="9"/>
      </left>
      <right style="medium">
        <color theme="9"/>
      </right>
      <top style="thin">
        <color theme="9"/>
      </top>
      <bottom/>
      <diagonal/>
    </border>
    <border>
      <left style="thin">
        <color theme="9"/>
      </left>
      <right style="thin">
        <color theme="9"/>
      </right>
      <top style="medium">
        <color theme="9"/>
      </top>
      <bottom style="thin">
        <color theme="9"/>
      </bottom>
      <diagonal/>
    </border>
    <border>
      <left style="thin">
        <color theme="9"/>
      </left>
      <right style="thin">
        <color theme="9"/>
      </right>
      <top style="thin">
        <color theme="9"/>
      </top>
      <bottom style="medium">
        <color theme="9"/>
      </bottom>
      <diagonal/>
    </border>
    <border>
      <left style="thin">
        <color theme="9"/>
      </left>
      <right style="thin">
        <color theme="9"/>
      </right>
      <top style="medium">
        <color theme="9"/>
      </top>
      <bottom/>
      <diagonal/>
    </border>
    <border>
      <left style="thin">
        <color theme="9"/>
      </left>
      <right style="medium">
        <color theme="9"/>
      </right>
      <top style="thin">
        <color theme="9"/>
      </top>
      <bottom/>
      <diagonal/>
    </border>
    <border>
      <left style="medium">
        <color theme="9"/>
      </left>
      <right style="thin">
        <color theme="9"/>
      </right>
      <top style="medium">
        <color theme="9"/>
      </top>
      <bottom style="thin">
        <color theme="9"/>
      </bottom>
      <diagonal/>
    </border>
    <border>
      <left style="medium">
        <color theme="9"/>
      </left>
      <right style="thin">
        <color theme="9"/>
      </right>
      <top style="thin">
        <color theme="9"/>
      </top>
      <bottom style="thin">
        <color theme="9"/>
      </bottom>
      <diagonal/>
    </border>
    <border>
      <left style="medium">
        <color theme="9"/>
      </left>
      <right style="thin">
        <color theme="9"/>
      </right>
      <top style="thin">
        <color theme="9"/>
      </top>
      <bottom/>
      <diagonal/>
    </border>
    <border>
      <left style="thin">
        <color theme="9"/>
      </left>
      <right/>
      <top style="medium">
        <color theme="9"/>
      </top>
      <bottom style="thin">
        <color theme="9"/>
      </bottom>
      <diagonal/>
    </border>
    <border>
      <left style="medium">
        <color theme="9"/>
      </left>
      <right style="thin">
        <color theme="9"/>
      </right>
      <top style="medium">
        <color theme="9"/>
      </top>
      <bottom/>
      <diagonal/>
    </border>
  </borders>
  <cellStyleXfs count="2">
    <xf numFmtId="0" fontId="0" fillId="0" borderId="0"/>
    <xf numFmtId="0" fontId="1" fillId="0" borderId="0" applyNumberFormat="0" applyFont="0" applyFill="0" applyBorder="0" applyAlignment="0" applyProtection="0"/>
  </cellStyleXfs>
  <cellXfs count="645">
    <xf numFmtId="0" fontId="0" fillId="0" borderId="0" xfId="0"/>
    <xf numFmtId="0" fontId="4" fillId="0" borderId="0" xfId="0" applyFont="1"/>
    <xf numFmtId="0" fontId="3" fillId="0" borderId="0" xfId="0" applyFont="1"/>
    <xf numFmtId="0" fontId="4" fillId="5" borderId="0" xfId="0" applyFont="1" applyFill="1"/>
    <xf numFmtId="0" fontId="4" fillId="0" borderId="0" xfId="0" applyFont="1" applyAlignment="1">
      <alignment vertical="center"/>
    </xf>
    <xf numFmtId="0" fontId="4" fillId="0" borderId="0" xfId="0" applyFont="1" applyAlignment="1"/>
    <xf numFmtId="0" fontId="3" fillId="0" borderId="0" xfId="0" applyFont="1" applyAlignment="1">
      <alignment vertical="center"/>
    </xf>
    <xf numFmtId="0" fontId="6" fillId="0" borderId="14" xfId="0" applyFont="1" applyBorder="1" applyAlignment="1" applyProtection="1">
      <alignment horizontal="center" vertical="center"/>
      <protection locked="0"/>
    </xf>
    <xf numFmtId="0" fontId="4" fillId="5" borderId="11" xfId="0" applyFont="1" applyFill="1" applyBorder="1" applyAlignment="1" applyProtection="1">
      <alignment horizontal="center" vertical="center"/>
      <protection locked="0"/>
    </xf>
    <xf numFmtId="0" fontId="4" fillId="0" borderId="11" xfId="0" applyFont="1" applyBorder="1" applyAlignment="1" applyProtection="1">
      <alignment horizontal="center" vertical="center" wrapText="1"/>
      <protection locked="0"/>
    </xf>
    <xf numFmtId="0" fontId="4" fillId="0" borderId="14" xfId="0" applyFont="1" applyBorder="1" applyAlignment="1" applyProtection="1">
      <alignment horizontal="center" vertical="center" wrapText="1"/>
      <protection locked="0"/>
    </xf>
    <xf numFmtId="0" fontId="4" fillId="5" borderId="14" xfId="0" applyFont="1" applyFill="1" applyBorder="1" applyAlignment="1" applyProtection="1">
      <alignment horizontal="center" vertical="center"/>
      <protection locked="0"/>
    </xf>
    <xf numFmtId="49" fontId="5" fillId="4" borderId="14" xfId="1" applyNumberFormat="1" applyFont="1" applyFill="1" applyBorder="1" applyAlignment="1">
      <alignment horizontal="center" vertical="center"/>
    </xf>
    <xf numFmtId="0" fontId="3" fillId="2" borderId="19" xfId="0" applyFont="1" applyFill="1" applyBorder="1" applyAlignment="1">
      <alignment vertical="top"/>
    </xf>
    <xf numFmtId="0" fontId="4" fillId="10" borderId="19" xfId="0" applyFont="1" applyFill="1" applyBorder="1" applyAlignment="1">
      <alignment horizontal="left" vertical="top" wrapText="1"/>
    </xf>
    <xf numFmtId="0" fontId="3" fillId="0" borderId="0" xfId="0" applyFont="1" applyAlignment="1"/>
    <xf numFmtId="0" fontId="4" fillId="0" borderId="30" xfId="0" applyFont="1" applyBorder="1" applyAlignment="1" applyProtection="1">
      <alignment horizontal="center" vertical="center"/>
      <protection locked="0"/>
    </xf>
    <xf numFmtId="0" fontId="4" fillId="0" borderId="27" xfId="0" applyFont="1" applyBorder="1" applyAlignment="1" applyProtection="1">
      <alignment horizontal="center" vertical="center"/>
      <protection locked="0"/>
    </xf>
    <xf numFmtId="0" fontId="4" fillId="0" borderId="26" xfId="0" applyFont="1" applyBorder="1" applyAlignment="1" applyProtection="1">
      <alignment horizontal="center" vertical="center"/>
      <protection locked="0"/>
    </xf>
    <xf numFmtId="0" fontId="4" fillId="0" borderId="8" xfId="0" applyFont="1" applyBorder="1" applyAlignment="1" applyProtection="1">
      <alignment horizontal="center" vertical="center"/>
      <protection locked="0"/>
    </xf>
    <xf numFmtId="0" fontId="11" fillId="0" borderId="0" xfId="0" applyFont="1" applyAlignment="1">
      <alignment horizontal="center" wrapText="1"/>
    </xf>
    <xf numFmtId="0" fontId="11" fillId="0" borderId="0" xfId="0" applyFont="1" applyAlignment="1">
      <alignment wrapText="1"/>
    </xf>
    <xf numFmtId="0" fontId="12" fillId="0" borderId="0" xfId="0" applyFont="1" applyAlignment="1">
      <alignment wrapText="1"/>
    </xf>
    <xf numFmtId="0" fontId="3" fillId="2" borderId="19" xfId="0" applyFont="1" applyFill="1" applyBorder="1" applyAlignment="1">
      <alignment horizontal="left" vertical="top"/>
    </xf>
    <xf numFmtId="0" fontId="4" fillId="0" borderId="0" xfId="0" applyFont="1" applyAlignment="1"/>
    <xf numFmtId="0" fontId="4" fillId="0" borderId="7" xfId="0" applyFont="1" applyBorder="1" applyAlignment="1" applyProtection="1">
      <alignment horizontal="center" vertical="center"/>
      <protection locked="0"/>
    </xf>
    <xf numFmtId="0" fontId="4" fillId="0" borderId="9" xfId="0" applyFont="1" applyBorder="1" applyAlignment="1" applyProtection="1">
      <alignment horizontal="center" vertical="center"/>
      <protection locked="0"/>
    </xf>
    <xf numFmtId="0" fontId="4" fillId="4" borderId="9" xfId="0" applyFont="1" applyFill="1" applyBorder="1" applyAlignment="1" applyProtection="1">
      <alignment horizontal="center" vertical="center"/>
    </xf>
    <xf numFmtId="0" fontId="4" fillId="4" borderId="11" xfId="0" applyFont="1" applyFill="1" applyBorder="1" applyAlignment="1" applyProtection="1">
      <alignment horizontal="center" vertical="center"/>
    </xf>
    <xf numFmtId="0" fontId="4" fillId="0" borderId="11" xfId="0" applyFont="1" applyBorder="1" applyAlignment="1" applyProtection="1">
      <alignment horizontal="center" vertical="center"/>
      <protection locked="0"/>
    </xf>
    <xf numFmtId="0" fontId="3" fillId="6" borderId="12" xfId="0" applyFont="1" applyFill="1" applyBorder="1" applyAlignment="1">
      <alignment horizontal="center" vertical="center"/>
    </xf>
    <xf numFmtId="0" fontId="3" fillId="6" borderId="13" xfId="0" applyFont="1" applyFill="1" applyBorder="1" applyAlignment="1">
      <alignment horizontal="center" vertical="center"/>
    </xf>
    <xf numFmtId="0" fontId="4" fillId="0" borderId="14" xfId="0" applyFont="1" applyBorder="1" applyAlignment="1" applyProtection="1">
      <alignment horizontal="center" vertical="center"/>
      <protection locked="0"/>
    </xf>
    <xf numFmtId="0" fontId="3" fillId="2" borderId="19" xfId="0" applyFont="1" applyFill="1" applyBorder="1" applyAlignment="1">
      <alignment vertical="top"/>
    </xf>
    <xf numFmtId="0" fontId="4" fillId="10" borderId="19" xfId="0" applyFont="1" applyFill="1" applyBorder="1" applyAlignment="1">
      <alignment horizontal="left" vertical="top"/>
    </xf>
    <xf numFmtId="0" fontId="3" fillId="6" borderId="29" xfId="0" applyFont="1" applyFill="1" applyBorder="1" applyAlignment="1">
      <alignment horizontal="center" vertical="center"/>
    </xf>
    <xf numFmtId="0" fontId="4" fillId="4" borderId="30" xfId="0" applyFont="1" applyFill="1" applyBorder="1" applyAlignment="1" applyProtection="1">
      <alignment horizontal="center" vertical="center"/>
    </xf>
    <xf numFmtId="0" fontId="4" fillId="4" borderId="26" xfId="0" applyFont="1" applyFill="1" applyBorder="1" applyAlignment="1" applyProtection="1">
      <alignment horizontal="center" vertical="center"/>
    </xf>
    <xf numFmtId="0" fontId="4" fillId="4" borderId="57" xfId="0" applyFont="1" applyFill="1" applyBorder="1" applyAlignment="1" applyProtection="1">
      <alignment horizontal="center" vertical="center"/>
    </xf>
    <xf numFmtId="49" fontId="3" fillId="6" borderId="58" xfId="0" applyNumberFormat="1" applyFont="1" applyFill="1" applyBorder="1" applyAlignment="1" applyProtection="1">
      <alignment horizontal="center" vertical="center"/>
    </xf>
    <xf numFmtId="0" fontId="3" fillId="6" borderId="59" xfId="0" applyFont="1" applyFill="1" applyBorder="1" applyAlignment="1">
      <alignment horizontal="center" vertical="center"/>
    </xf>
    <xf numFmtId="0" fontId="3" fillId="6" borderId="60" xfId="0" applyFont="1" applyFill="1" applyBorder="1" applyAlignment="1">
      <alignment horizontal="center" vertical="center"/>
    </xf>
    <xf numFmtId="0" fontId="3" fillId="6" borderId="62" xfId="0" applyFont="1" applyFill="1" applyBorder="1" applyAlignment="1">
      <alignment horizontal="center" vertical="center"/>
    </xf>
    <xf numFmtId="49" fontId="3" fillId="6" borderId="28" xfId="0" applyNumberFormat="1" applyFont="1" applyFill="1" applyBorder="1" applyAlignment="1" applyProtection="1">
      <alignment horizontal="center" vertical="center"/>
    </xf>
    <xf numFmtId="0" fontId="22" fillId="0" borderId="0" xfId="0" applyFont="1"/>
    <xf numFmtId="0" fontId="24" fillId="0" borderId="0" xfId="0" applyFont="1" applyAlignment="1">
      <alignment vertical="center"/>
    </xf>
    <xf numFmtId="0" fontId="15" fillId="7" borderId="32" xfId="0" applyFont="1" applyFill="1" applyBorder="1" applyAlignment="1">
      <alignment horizontal="center" vertical="center" wrapText="1"/>
    </xf>
    <xf numFmtId="0" fontId="3" fillId="8" borderId="17" xfId="0" applyFont="1" applyFill="1" applyBorder="1" applyAlignment="1">
      <alignment vertical="center"/>
    </xf>
    <xf numFmtId="0" fontId="15" fillId="0" borderId="22" xfId="0" applyFont="1" applyFill="1" applyBorder="1" applyAlignment="1">
      <alignment horizontal="center" vertical="center" wrapText="1"/>
    </xf>
    <xf numFmtId="0" fontId="10" fillId="0" borderId="37" xfId="0" applyFont="1" applyFill="1" applyBorder="1" applyAlignment="1">
      <alignment vertical="center"/>
    </xf>
    <xf numFmtId="0" fontId="4" fillId="4" borderId="88" xfId="0" applyFont="1" applyFill="1" applyBorder="1" applyAlignment="1" applyProtection="1">
      <alignment horizontal="center" vertical="center"/>
    </xf>
    <xf numFmtId="0" fontId="3" fillId="6" borderId="89" xfId="0" applyFont="1" applyFill="1" applyBorder="1" applyAlignment="1">
      <alignment horizontal="center" vertical="center"/>
    </xf>
    <xf numFmtId="0" fontId="4" fillId="4" borderId="90" xfId="0" applyFont="1" applyFill="1" applyBorder="1" applyAlignment="1" applyProtection="1">
      <alignment horizontal="center" vertical="center"/>
    </xf>
    <xf numFmtId="0" fontId="4" fillId="4" borderId="91" xfId="0" applyFont="1" applyFill="1" applyBorder="1" applyAlignment="1" applyProtection="1">
      <alignment horizontal="center" vertical="center"/>
    </xf>
    <xf numFmtId="0" fontId="4" fillId="4" borderId="92" xfId="0" applyFont="1" applyFill="1" applyBorder="1" applyAlignment="1" applyProtection="1">
      <alignment horizontal="center" vertical="center"/>
    </xf>
    <xf numFmtId="0" fontId="4" fillId="4" borderId="93" xfId="0" applyFont="1" applyFill="1" applyBorder="1" applyAlignment="1" applyProtection="1">
      <alignment horizontal="center" vertical="center"/>
    </xf>
    <xf numFmtId="0" fontId="4" fillId="4" borderId="94" xfId="0" applyFont="1" applyFill="1" applyBorder="1" applyAlignment="1" applyProtection="1">
      <alignment horizontal="center" vertical="center"/>
    </xf>
    <xf numFmtId="0" fontId="4" fillId="4" borderId="95" xfId="0" applyFont="1" applyFill="1" applyBorder="1" applyAlignment="1" applyProtection="1">
      <alignment horizontal="center" vertical="center"/>
    </xf>
    <xf numFmtId="0" fontId="4" fillId="4" borderId="96" xfId="0" applyFont="1" applyFill="1" applyBorder="1" applyAlignment="1" applyProtection="1">
      <alignment horizontal="center" vertical="center"/>
    </xf>
    <xf numFmtId="0" fontId="4" fillId="4" borderId="97" xfId="0" applyFont="1" applyFill="1" applyBorder="1" applyAlignment="1" applyProtection="1">
      <alignment horizontal="center" vertical="center"/>
    </xf>
    <xf numFmtId="0" fontId="4" fillId="4" borderId="98" xfId="0" applyFont="1" applyFill="1" applyBorder="1" applyAlignment="1" applyProtection="1">
      <alignment horizontal="center" vertical="center"/>
    </xf>
    <xf numFmtId="0" fontId="4" fillId="4" borderId="99" xfId="0" applyFont="1" applyFill="1" applyBorder="1" applyAlignment="1" applyProtection="1">
      <alignment horizontal="center" vertical="center"/>
    </xf>
    <xf numFmtId="0" fontId="4" fillId="4" borderId="100" xfId="0" applyFont="1" applyFill="1" applyBorder="1" applyAlignment="1" applyProtection="1">
      <alignment horizontal="center" vertical="center"/>
    </xf>
    <xf numFmtId="0" fontId="11" fillId="0" borderId="89" xfId="0" applyFont="1" applyBorder="1" applyAlignment="1" applyProtection="1">
      <alignment horizontal="center" vertical="center"/>
      <protection locked="0"/>
    </xf>
    <xf numFmtId="0" fontId="4" fillId="6" borderId="7" xfId="0" applyFont="1" applyFill="1" applyBorder="1" applyAlignment="1" applyProtection="1">
      <alignment horizontal="center" vertical="center"/>
    </xf>
    <xf numFmtId="0" fontId="4" fillId="5" borderId="88" xfId="0" applyFont="1" applyFill="1" applyBorder="1" applyAlignment="1" applyProtection="1">
      <alignment horizontal="center" vertical="center"/>
      <protection locked="0"/>
    </xf>
    <xf numFmtId="0" fontId="4" fillId="5" borderId="96" xfId="0" applyFont="1" applyFill="1" applyBorder="1" applyAlignment="1" applyProtection="1">
      <alignment horizontal="center" vertical="center"/>
      <protection locked="0"/>
    </xf>
    <xf numFmtId="0" fontId="4" fillId="5" borderId="102" xfId="0" applyFont="1" applyFill="1" applyBorder="1" applyAlignment="1" applyProtection="1">
      <alignment horizontal="center" vertical="center"/>
      <protection locked="0"/>
    </xf>
    <xf numFmtId="0" fontId="4" fillId="5" borderId="103" xfId="0" applyFont="1" applyFill="1" applyBorder="1" applyAlignment="1" applyProtection="1">
      <alignment horizontal="center" vertical="center"/>
      <protection locked="0"/>
    </xf>
    <xf numFmtId="0" fontId="4" fillId="4" borderId="104" xfId="0" applyFont="1" applyFill="1" applyBorder="1" applyAlignment="1" applyProtection="1">
      <alignment horizontal="center" vertical="center"/>
    </xf>
    <xf numFmtId="0" fontId="4" fillId="4" borderId="105" xfId="0" applyFont="1" applyFill="1" applyBorder="1" applyAlignment="1" applyProtection="1">
      <alignment horizontal="center" vertical="center"/>
    </xf>
    <xf numFmtId="0" fontId="4" fillId="4" borderId="106" xfId="0" applyFont="1" applyFill="1" applyBorder="1" applyAlignment="1" applyProtection="1">
      <alignment horizontal="center" vertical="center"/>
    </xf>
    <xf numFmtId="0" fontId="4" fillId="4" borderId="107" xfId="0" applyFont="1" applyFill="1" applyBorder="1" applyAlignment="1" applyProtection="1">
      <alignment horizontal="center" vertical="center"/>
    </xf>
    <xf numFmtId="0" fontId="4" fillId="4" borderId="108" xfId="0" applyFont="1" applyFill="1" applyBorder="1" applyAlignment="1" applyProtection="1">
      <alignment horizontal="center" vertical="center"/>
    </xf>
    <xf numFmtId="0" fontId="4" fillId="4" borderId="109" xfId="0" applyFont="1" applyFill="1" applyBorder="1" applyAlignment="1" applyProtection="1">
      <alignment horizontal="center" vertical="center"/>
    </xf>
    <xf numFmtId="0" fontId="4" fillId="4" borderId="110" xfId="0" applyFont="1" applyFill="1" applyBorder="1" applyAlignment="1" applyProtection="1">
      <alignment horizontal="center" vertical="center"/>
    </xf>
    <xf numFmtId="0" fontId="4" fillId="4" borderId="111" xfId="0" applyFont="1" applyFill="1" applyBorder="1" applyAlignment="1" applyProtection="1">
      <alignment horizontal="center" vertical="center"/>
    </xf>
    <xf numFmtId="0" fontId="4" fillId="4" borderId="112" xfId="0" applyFont="1" applyFill="1" applyBorder="1" applyAlignment="1" applyProtection="1">
      <alignment horizontal="center" vertical="center"/>
    </xf>
    <xf numFmtId="0" fontId="4" fillId="5" borderId="104" xfId="0" applyFont="1" applyFill="1" applyBorder="1" applyAlignment="1" applyProtection="1">
      <alignment horizontal="center" vertical="center"/>
      <protection locked="0"/>
    </xf>
    <xf numFmtId="0" fontId="4" fillId="5" borderId="105" xfId="0" applyFont="1" applyFill="1" applyBorder="1" applyAlignment="1" applyProtection="1">
      <alignment horizontal="center" vertical="center"/>
      <protection locked="0"/>
    </xf>
    <xf numFmtId="0" fontId="4" fillId="5" borderId="106" xfId="0" applyFont="1" applyFill="1" applyBorder="1" applyAlignment="1" applyProtection="1">
      <alignment horizontal="center" vertical="center"/>
      <protection locked="0"/>
    </xf>
    <xf numFmtId="0" fontId="4" fillId="5" borderId="113" xfId="0" applyFont="1" applyFill="1" applyBorder="1" applyAlignment="1" applyProtection="1">
      <alignment horizontal="center" vertical="center"/>
      <protection locked="0"/>
    </xf>
    <xf numFmtId="0" fontId="4" fillId="5" borderId="114" xfId="0" applyFont="1" applyFill="1" applyBorder="1" applyAlignment="1" applyProtection="1">
      <alignment horizontal="center" vertical="center"/>
      <protection locked="0"/>
    </xf>
    <xf numFmtId="0" fontId="4" fillId="5" borderId="115" xfId="0" applyFont="1" applyFill="1" applyBorder="1" applyAlignment="1" applyProtection="1">
      <alignment horizontal="center" vertical="center"/>
      <protection locked="0"/>
    </xf>
    <xf numFmtId="0" fontId="4" fillId="5" borderId="116" xfId="0" applyFont="1" applyFill="1" applyBorder="1" applyAlignment="1" applyProtection="1">
      <alignment horizontal="center" vertical="center"/>
      <protection locked="0"/>
    </xf>
    <xf numFmtId="0" fontId="4" fillId="5" borderId="117" xfId="0" applyFont="1" applyFill="1" applyBorder="1" applyAlignment="1" applyProtection="1">
      <alignment horizontal="center" vertical="center"/>
      <protection locked="0"/>
    </xf>
    <xf numFmtId="0" fontId="3" fillId="0" borderId="5" xfId="0" applyFont="1" applyBorder="1" applyAlignment="1">
      <alignment wrapText="1"/>
    </xf>
    <xf numFmtId="0" fontId="14" fillId="0" borderId="63" xfId="0" applyFont="1" applyBorder="1" applyAlignment="1">
      <alignment wrapText="1"/>
    </xf>
    <xf numFmtId="0" fontId="3" fillId="0" borderId="5" xfId="0" applyFont="1" applyBorder="1"/>
    <xf numFmtId="0" fontId="3" fillId="0" borderId="63" xfId="0" applyFont="1" applyBorder="1"/>
    <xf numFmtId="0" fontId="30" fillId="0" borderId="0" xfId="0" applyFont="1" applyFill="1" applyBorder="1" applyAlignment="1">
      <alignment horizontal="center"/>
    </xf>
    <xf numFmtId="0" fontId="30" fillId="0" borderId="40" xfId="0" applyFont="1" applyFill="1" applyBorder="1" applyAlignment="1">
      <alignment horizontal="center"/>
    </xf>
    <xf numFmtId="0" fontId="30" fillId="0" borderId="0" xfId="0" applyFont="1" applyFill="1" applyBorder="1"/>
    <xf numFmtId="0" fontId="23" fillId="0" borderId="0" xfId="0" applyFont="1" applyFill="1" applyBorder="1" applyAlignment="1">
      <alignment vertical="center"/>
    </xf>
    <xf numFmtId="0" fontId="25" fillId="0" borderId="0" xfId="0" applyFont="1" applyFill="1" applyBorder="1"/>
    <xf numFmtId="0" fontId="4" fillId="4" borderId="28" xfId="0" applyFont="1" applyFill="1" applyBorder="1" applyAlignment="1" applyProtection="1">
      <alignment horizontal="center" vertical="center"/>
    </xf>
    <xf numFmtId="0" fontId="4" fillId="4" borderId="15" xfId="0" applyFont="1" applyFill="1" applyBorder="1" applyAlignment="1" applyProtection="1">
      <alignment horizontal="center" vertical="center"/>
    </xf>
    <xf numFmtId="0" fontId="4" fillId="4" borderId="58" xfId="0" applyFont="1" applyFill="1" applyBorder="1" applyAlignment="1" applyProtection="1">
      <alignment horizontal="center" vertical="center"/>
    </xf>
    <xf numFmtId="0" fontId="4" fillId="4" borderId="51" xfId="0" applyFont="1" applyFill="1" applyBorder="1" applyAlignment="1" applyProtection="1">
      <alignment horizontal="center" vertical="center"/>
    </xf>
    <xf numFmtId="0" fontId="3" fillId="6" borderId="20" xfId="0" applyFont="1" applyFill="1" applyBorder="1" applyAlignment="1">
      <alignment horizontal="center" vertical="center"/>
    </xf>
    <xf numFmtId="0" fontId="3" fillId="6" borderId="21" xfId="0" applyFont="1" applyFill="1" applyBorder="1" applyAlignment="1">
      <alignment horizontal="center" vertical="center"/>
    </xf>
    <xf numFmtId="0" fontId="3" fillId="6" borderId="22" xfId="0" applyFont="1" applyFill="1" applyBorder="1" applyAlignment="1">
      <alignment horizontal="center" vertical="center"/>
    </xf>
    <xf numFmtId="0" fontId="4" fillId="0" borderId="119" xfId="0" applyFont="1" applyBorder="1" applyAlignment="1" applyProtection="1">
      <alignment horizontal="center" vertical="center"/>
      <protection locked="0"/>
    </xf>
    <xf numFmtId="0" fontId="4" fillId="0" borderId="18" xfId="0" applyFont="1" applyBorder="1" applyAlignment="1" applyProtection="1">
      <alignment horizontal="center" vertical="center"/>
      <protection locked="0"/>
    </xf>
    <xf numFmtId="0" fontId="4" fillId="0" borderId="37" xfId="0" applyFont="1" applyBorder="1" applyAlignment="1" applyProtection="1">
      <alignment horizontal="center" vertical="center"/>
      <protection locked="0"/>
    </xf>
    <xf numFmtId="0" fontId="4" fillId="0" borderId="17" xfId="0" applyFont="1" applyBorder="1" applyAlignment="1" applyProtection="1">
      <alignment horizontal="center" vertical="center"/>
      <protection locked="0"/>
    </xf>
    <xf numFmtId="0" fontId="3" fillId="6" borderId="32" xfId="0" applyFont="1" applyFill="1" applyBorder="1" applyAlignment="1">
      <alignment horizontal="center" vertical="center"/>
    </xf>
    <xf numFmtId="0" fontId="4" fillId="4" borderId="12" xfId="0" applyFont="1" applyFill="1" applyBorder="1" applyAlignment="1" applyProtection="1">
      <alignment horizontal="center" vertical="center"/>
    </xf>
    <xf numFmtId="0" fontId="30" fillId="0" borderId="40" xfId="0" applyFont="1" applyFill="1" applyBorder="1" applyAlignment="1">
      <alignment horizontal="center" vertical="center"/>
    </xf>
    <xf numFmtId="0" fontId="4" fillId="0" borderId="12" xfId="0" applyFont="1" applyBorder="1" applyAlignment="1" applyProtection="1">
      <alignment horizontal="center" vertical="center"/>
      <protection locked="0"/>
    </xf>
    <xf numFmtId="0" fontId="4" fillId="4" borderId="127" xfId="0" applyFont="1" applyFill="1" applyBorder="1" applyAlignment="1" applyProtection="1">
      <alignment horizontal="center" vertical="center"/>
    </xf>
    <xf numFmtId="0" fontId="4" fillId="0" borderId="13" xfId="0" applyFont="1" applyBorder="1" applyAlignment="1" applyProtection="1">
      <alignment horizontal="center" vertical="center"/>
      <protection locked="0"/>
    </xf>
    <xf numFmtId="0" fontId="4" fillId="4" borderId="56" xfId="0" applyFont="1" applyFill="1" applyBorder="1" applyAlignment="1" applyProtection="1">
      <alignment horizontal="center" vertical="center"/>
    </xf>
    <xf numFmtId="0" fontId="19" fillId="2" borderId="41" xfId="0" applyFont="1" applyFill="1" applyBorder="1" applyAlignment="1">
      <alignment vertical="center" wrapText="1"/>
    </xf>
    <xf numFmtId="0" fontId="11" fillId="10" borderId="41" xfId="0" applyFont="1" applyFill="1" applyBorder="1" applyAlignment="1">
      <alignment vertical="center" wrapText="1"/>
    </xf>
    <xf numFmtId="0" fontId="4" fillId="6" borderId="9" xfId="0" applyFont="1" applyFill="1" applyBorder="1" applyAlignment="1" applyProtection="1">
      <alignment horizontal="center" vertical="center"/>
    </xf>
    <xf numFmtId="0" fontId="4" fillId="6" borderId="17" xfId="0" applyFont="1" applyFill="1" applyBorder="1" applyAlignment="1" applyProtection="1">
      <alignment horizontal="center" vertical="center"/>
    </xf>
    <xf numFmtId="0" fontId="3" fillId="6" borderId="33" xfId="0" applyFont="1" applyFill="1" applyBorder="1" applyAlignment="1">
      <alignment horizontal="center" vertical="center"/>
    </xf>
    <xf numFmtId="0" fontId="4" fillId="4" borderId="29" xfId="0" applyFont="1" applyFill="1" applyBorder="1" applyAlignment="1" applyProtection="1">
      <alignment horizontal="center" vertical="center"/>
    </xf>
    <xf numFmtId="0" fontId="4" fillId="4" borderId="62" xfId="0" applyFont="1" applyFill="1" applyBorder="1" applyAlignment="1" applyProtection="1">
      <alignment horizontal="center" vertical="center"/>
    </xf>
    <xf numFmtId="0" fontId="4" fillId="10" borderId="35" xfId="0" applyFont="1" applyFill="1" applyBorder="1" applyAlignment="1">
      <alignment horizontal="left" vertical="center" wrapText="1"/>
    </xf>
    <xf numFmtId="0" fontId="4" fillId="10" borderId="19" xfId="0" applyFont="1" applyFill="1" applyBorder="1" applyAlignment="1">
      <alignment horizontal="left" vertical="center" wrapText="1"/>
    </xf>
    <xf numFmtId="0" fontId="4" fillId="10" borderId="19" xfId="0" applyFont="1" applyFill="1" applyBorder="1" applyAlignment="1">
      <alignment horizontal="left" vertical="center"/>
    </xf>
    <xf numFmtId="0" fontId="4" fillId="2" borderId="19" xfId="0" applyFont="1" applyFill="1" applyBorder="1" applyAlignment="1">
      <alignment horizontal="left" vertical="center"/>
    </xf>
    <xf numFmtId="0" fontId="4" fillId="2" borderId="35" xfId="0" applyFont="1" applyFill="1" applyBorder="1" applyAlignment="1">
      <alignment horizontal="left" vertical="center"/>
    </xf>
    <xf numFmtId="0" fontId="4" fillId="10" borderId="35" xfId="0" applyFont="1" applyFill="1" applyBorder="1" applyAlignment="1">
      <alignment horizontal="left" vertical="center"/>
    </xf>
    <xf numFmtId="0" fontId="4" fillId="5" borderId="0" xfId="0" applyFont="1" applyFill="1" applyAlignment="1">
      <alignment vertical="center"/>
    </xf>
    <xf numFmtId="0" fontId="4" fillId="2" borderId="34" xfId="0" applyFont="1" applyFill="1" applyBorder="1" applyAlignment="1">
      <alignment horizontal="left" vertical="center"/>
    </xf>
    <xf numFmtId="0" fontId="4" fillId="2" borderId="53" xfId="0" applyFont="1" applyFill="1" applyBorder="1" applyAlignment="1">
      <alignment horizontal="left" vertical="center"/>
    </xf>
    <xf numFmtId="0" fontId="4" fillId="2" borderId="54" xfId="0" applyFont="1" applyFill="1" applyBorder="1" applyAlignment="1">
      <alignment horizontal="left" vertical="center"/>
    </xf>
    <xf numFmtId="0" fontId="4" fillId="2" borderId="50" xfId="0" applyFont="1" applyFill="1" applyBorder="1" applyAlignment="1">
      <alignment horizontal="left" vertical="center"/>
    </xf>
    <xf numFmtId="0" fontId="3" fillId="6" borderId="41" xfId="0" applyFont="1" applyFill="1" applyBorder="1" applyAlignment="1">
      <alignment horizontal="center" vertical="center"/>
    </xf>
    <xf numFmtId="0" fontId="4" fillId="6" borderId="16" xfId="0" applyFont="1" applyFill="1" applyBorder="1" applyAlignment="1" applyProtection="1">
      <alignment horizontal="center" vertical="center"/>
    </xf>
    <xf numFmtId="0" fontId="4" fillId="2" borderId="126" xfId="0" applyFont="1" applyFill="1" applyBorder="1" applyAlignment="1">
      <alignment horizontal="left" vertical="center"/>
    </xf>
    <xf numFmtId="0" fontId="4" fillId="2" borderId="89" xfId="0" applyFont="1" applyFill="1" applyBorder="1" applyAlignment="1">
      <alignment horizontal="left" vertical="center"/>
    </xf>
    <xf numFmtId="0" fontId="4" fillId="2" borderId="101" xfId="0" applyFont="1" applyFill="1" applyBorder="1" applyAlignment="1">
      <alignment horizontal="left" vertical="center"/>
    </xf>
    <xf numFmtId="0" fontId="3" fillId="6" borderId="16" xfId="0" applyFont="1" applyFill="1" applyBorder="1" applyAlignment="1" applyProtection="1">
      <alignment horizontal="center" vertical="center"/>
    </xf>
    <xf numFmtId="0" fontId="3" fillId="2" borderId="54" xfId="0" applyFont="1" applyFill="1" applyBorder="1" applyAlignment="1">
      <alignment horizontal="left" vertical="center"/>
    </xf>
    <xf numFmtId="0" fontId="3" fillId="10" borderId="19" xfId="0" applyFont="1" applyFill="1" applyBorder="1" applyAlignment="1">
      <alignment horizontal="left" vertical="center" wrapText="1"/>
    </xf>
    <xf numFmtId="0" fontId="20" fillId="0" borderId="0" xfId="0" applyFont="1" applyAlignment="1">
      <alignment wrapText="1"/>
    </xf>
    <xf numFmtId="0" fontId="35" fillId="0" borderId="45" xfId="0" applyFont="1" applyFill="1" applyBorder="1" applyAlignment="1">
      <alignment horizontal="left" vertical="center" wrapText="1"/>
    </xf>
    <xf numFmtId="0" fontId="35" fillId="0" borderId="19" xfId="0" applyFont="1" applyBorder="1" applyAlignment="1">
      <alignment horizontal="left" vertical="center" wrapText="1"/>
    </xf>
    <xf numFmtId="0" fontId="35" fillId="0" borderId="44" xfId="0" applyFont="1" applyBorder="1" applyAlignment="1">
      <alignment horizontal="left" vertical="center" wrapText="1"/>
    </xf>
    <xf numFmtId="0" fontId="35" fillId="0" borderId="23" xfId="0" applyFont="1" applyFill="1" applyBorder="1" applyAlignment="1">
      <alignment horizontal="left" vertical="center" wrapText="1"/>
    </xf>
    <xf numFmtId="0" fontId="35" fillId="0" borderId="24" xfId="0" applyFont="1" applyFill="1" applyBorder="1" applyAlignment="1">
      <alignment horizontal="left" vertical="center" wrapText="1"/>
    </xf>
    <xf numFmtId="0" fontId="35" fillId="0" borderId="25" xfId="0" applyFont="1" applyFill="1" applyBorder="1" applyAlignment="1">
      <alignment horizontal="left" vertical="center" wrapText="1"/>
    </xf>
    <xf numFmtId="0" fontId="20" fillId="6" borderId="10" xfId="0" applyFont="1" applyFill="1" applyBorder="1" applyAlignment="1">
      <alignment horizontal="left" vertical="center"/>
    </xf>
    <xf numFmtId="0" fontId="35" fillId="0" borderId="23" xfId="0" applyFont="1" applyFill="1" applyBorder="1" applyAlignment="1">
      <alignment horizontal="left" vertical="center"/>
    </xf>
    <xf numFmtId="0" fontId="35" fillId="0" borderId="24" xfId="0" applyFont="1" applyFill="1" applyBorder="1" applyAlignment="1">
      <alignment horizontal="left" vertical="center"/>
    </xf>
    <xf numFmtId="0" fontId="35" fillId="0" borderId="25" xfId="0" applyFont="1" applyFill="1" applyBorder="1" applyAlignment="1">
      <alignment horizontal="left" vertical="center"/>
    </xf>
    <xf numFmtId="0" fontId="35" fillId="0" borderId="36" xfId="0" applyFont="1" applyFill="1" applyBorder="1" applyAlignment="1">
      <alignment horizontal="left" vertical="center"/>
    </xf>
    <xf numFmtId="0" fontId="35" fillId="0" borderId="42" xfId="0" applyFont="1" applyFill="1" applyBorder="1" applyAlignment="1">
      <alignment horizontal="left" vertical="center"/>
    </xf>
    <xf numFmtId="0" fontId="20" fillId="0" borderId="122" xfId="0" applyFont="1" applyBorder="1" applyAlignment="1" applyProtection="1">
      <alignment horizontal="left" wrapText="1"/>
      <protection locked="0"/>
    </xf>
    <xf numFmtId="0" fontId="35" fillId="0" borderId="0" xfId="0" applyFont="1" applyAlignment="1">
      <alignment horizontal="left" wrapText="1"/>
    </xf>
    <xf numFmtId="0" fontId="20" fillId="0" borderId="0" xfId="0" applyFont="1" applyAlignment="1">
      <alignment horizontal="left" wrapText="1"/>
    </xf>
    <xf numFmtId="0" fontId="20" fillId="6" borderId="38" xfId="0" applyFont="1" applyFill="1" applyBorder="1" applyAlignment="1">
      <alignment vertical="center"/>
    </xf>
    <xf numFmtId="0" fontId="20" fillId="6" borderId="10" xfId="0" applyFont="1" applyFill="1" applyBorder="1" applyAlignment="1">
      <alignment horizontal="left" vertical="center" wrapText="1"/>
    </xf>
    <xf numFmtId="0" fontId="35" fillId="0" borderId="23" xfId="0" applyFont="1" applyBorder="1" applyAlignment="1">
      <alignment horizontal="left" wrapText="1"/>
    </xf>
    <xf numFmtId="0" fontId="35" fillId="0" borderId="42" xfId="0" applyFont="1" applyBorder="1" applyAlignment="1">
      <alignment horizontal="left" wrapText="1"/>
    </xf>
    <xf numFmtId="0" fontId="35" fillId="0" borderId="25" xfId="0" applyFont="1" applyBorder="1" applyAlignment="1">
      <alignment horizontal="left" wrapText="1"/>
    </xf>
    <xf numFmtId="0" fontId="20" fillId="6" borderId="43" xfId="0" applyFont="1" applyFill="1" applyBorder="1" applyAlignment="1">
      <alignment horizontal="left" wrapText="1"/>
    </xf>
    <xf numFmtId="0" fontId="35" fillId="0" borderId="24" xfId="0" applyFont="1" applyBorder="1" applyAlignment="1">
      <alignment horizontal="left" wrapText="1"/>
    </xf>
    <xf numFmtId="0" fontId="38" fillId="0" borderId="40" xfId="0" applyFont="1" applyFill="1" applyBorder="1" applyAlignment="1">
      <alignment horizontal="center"/>
    </xf>
    <xf numFmtId="0" fontId="13" fillId="5" borderId="0" xfId="0" applyFont="1" applyFill="1"/>
    <xf numFmtId="49" fontId="34" fillId="4" borderId="14" xfId="1" applyNumberFormat="1" applyFont="1" applyFill="1" applyBorder="1" applyAlignment="1">
      <alignment horizontal="center" vertical="center"/>
    </xf>
    <xf numFmtId="0" fontId="39" fillId="0" borderId="0" xfId="0" applyFont="1" applyFill="1" applyBorder="1" applyAlignment="1">
      <alignment horizontal="center"/>
    </xf>
    <xf numFmtId="0" fontId="20" fillId="0" borderId="10" xfId="0" applyFont="1" applyBorder="1" applyAlignment="1">
      <alignment horizontal="center" vertical="center"/>
    </xf>
    <xf numFmtId="0" fontId="20" fillId="6" borderId="39" xfId="0" applyFont="1" applyFill="1" applyBorder="1" applyAlignment="1">
      <alignment vertical="center"/>
    </xf>
    <xf numFmtId="0" fontId="40" fillId="0" borderId="0" xfId="0" applyFont="1" applyFill="1" applyBorder="1" applyAlignment="1">
      <alignment horizontal="center"/>
    </xf>
    <xf numFmtId="0" fontId="20" fillId="0" borderId="0" xfId="0" applyFont="1" applyAlignment="1">
      <alignment horizontal="left"/>
    </xf>
    <xf numFmtId="0" fontId="16" fillId="0" borderId="0" xfId="0" applyFont="1" applyAlignment="1">
      <alignment vertical="center"/>
    </xf>
    <xf numFmtId="0" fontId="11" fillId="4" borderId="48" xfId="0" applyFont="1" applyFill="1" applyBorder="1" applyAlignment="1">
      <alignment horizontal="center" vertical="center"/>
    </xf>
    <xf numFmtId="0" fontId="41" fillId="4" borderId="41" xfId="0" applyFont="1" applyFill="1" applyBorder="1" applyAlignment="1">
      <alignment horizontal="center" vertical="center"/>
    </xf>
    <xf numFmtId="0" fontId="41" fillId="4" borderId="49" xfId="0" applyFont="1" applyFill="1" applyBorder="1" applyAlignment="1">
      <alignment horizontal="center" vertical="center"/>
    </xf>
    <xf numFmtId="0" fontId="41" fillId="4" borderId="48" xfId="0" applyFont="1" applyFill="1" applyBorder="1" applyAlignment="1">
      <alignment horizontal="center" vertical="center"/>
    </xf>
    <xf numFmtId="0" fontId="11" fillId="4" borderId="10" xfId="0" applyFont="1" applyFill="1" applyBorder="1" applyAlignment="1">
      <alignment horizontal="center" vertical="center"/>
    </xf>
    <xf numFmtId="0" fontId="11" fillId="0" borderId="0" xfId="0" applyFont="1" applyAlignment="1"/>
    <xf numFmtId="0" fontId="11" fillId="4" borderId="101" xfId="0" applyFont="1" applyFill="1" applyBorder="1" applyAlignment="1">
      <alignment horizontal="center" vertical="center"/>
    </xf>
    <xf numFmtId="0" fontId="11" fillId="6" borderId="121" xfId="0" applyFont="1" applyFill="1" applyBorder="1" applyAlignment="1">
      <alignment horizontal="center" vertical="center"/>
    </xf>
    <xf numFmtId="0" fontId="11" fillId="0" borderId="0" xfId="0" applyFont="1" applyAlignment="1">
      <alignment horizontal="center"/>
    </xf>
    <xf numFmtId="0" fontId="35" fillId="0" borderId="23" xfId="0" applyFont="1" applyBorder="1" applyAlignment="1">
      <alignment horizontal="left" vertical="center" wrapText="1"/>
    </xf>
    <xf numFmtId="0" fontId="35" fillId="0" borderId="24" xfId="0" applyFont="1" applyBorder="1" applyAlignment="1">
      <alignment horizontal="left" vertical="center" wrapText="1"/>
    </xf>
    <xf numFmtId="0" fontId="35" fillId="0" borderId="25" xfId="0" applyFont="1" applyBorder="1" applyAlignment="1">
      <alignment horizontal="left" vertical="center"/>
    </xf>
    <xf numFmtId="0" fontId="35" fillId="0" borderId="25" xfId="0" applyFont="1" applyBorder="1" applyAlignment="1">
      <alignment horizontal="left" vertical="center" wrapText="1"/>
    </xf>
    <xf numFmtId="0" fontId="20" fillId="0" borderId="25" xfId="0" applyFont="1" applyFill="1" applyBorder="1" applyAlignment="1">
      <alignment horizontal="left" vertical="center" wrapText="1"/>
    </xf>
    <xf numFmtId="0" fontId="4" fillId="6" borderId="30" xfId="0" applyFont="1" applyFill="1" applyBorder="1" applyAlignment="1" applyProtection="1">
      <alignment horizontal="center" vertical="center"/>
    </xf>
    <xf numFmtId="0" fontId="6" fillId="0" borderId="37" xfId="0" applyFont="1" applyBorder="1" applyAlignment="1" applyProtection="1">
      <alignment horizontal="center" vertical="center"/>
      <protection locked="0"/>
    </xf>
    <xf numFmtId="0" fontId="4" fillId="0" borderId="119" xfId="0" applyFont="1" applyBorder="1" applyAlignment="1" applyProtection="1">
      <alignment horizontal="center" vertical="center" wrapText="1"/>
      <protection locked="0"/>
    </xf>
    <xf numFmtId="0" fontId="4" fillId="0" borderId="37" xfId="0" applyFont="1" applyBorder="1" applyAlignment="1" applyProtection="1">
      <alignment horizontal="center" vertical="center" wrapText="1"/>
      <protection locked="0"/>
    </xf>
    <xf numFmtId="0" fontId="4" fillId="5" borderId="119" xfId="0" applyFont="1" applyFill="1" applyBorder="1" applyAlignment="1" applyProtection="1">
      <alignment horizontal="center" vertical="center"/>
      <protection locked="0"/>
    </xf>
    <xf numFmtId="0" fontId="4" fillId="5" borderId="37" xfId="0" applyFont="1" applyFill="1" applyBorder="1" applyAlignment="1" applyProtection="1">
      <alignment horizontal="center" vertical="center"/>
      <protection locked="0"/>
    </xf>
    <xf numFmtId="0" fontId="8" fillId="3" borderId="31" xfId="0" applyFont="1" applyFill="1" applyBorder="1" applyAlignment="1">
      <alignment horizontal="left" vertical="center"/>
    </xf>
    <xf numFmtId="0" fontId="11" fillId="4" borderId="48" xfId="0" applyFont="1" applyFill="1" applyBorder="1" applyAlignment="1">
      <alignment horizontal="center" vertical="center"/>
    </xf>
    <xf numFmtId="0" fontId="11" fillId="4" borderId="41" xfId="0" applyFont="1" applyFill="1" applyBorder="1" applyAlignment="1">
      <alignment horizontal="center" vertical="center"/>
    </xf>
    <xf numFmtId="0" fontId="3" fillId="2" borderId="35" xfId="0" applyFont="1" applyFill="1" applyBorder="1" applyAlignment="1">
      <alignment horizontal="left" vertical="center"/>
    </xf>
    <xf numFmtId="0" fontId="3" fillId="2" borderId="19" xfId="0" applyFont="1" applyFill="1" applyBorder="1" applyAlignment="1">
      <alignment horizontal="left" vertical="center"/>
    </xf>
    <xf numFmtId="0" fontId="8" fillId="3" borderId="120" xfId="0" applyFont="1" applyFill="1" applyBorder="1" applyAlignment="1">
      <alignment horizontal="left" vertical="center"/>
    </xf>
    <xf numFmtId="0" fontId="8" fillId="3" borderId="121" xfId="0" applyFont="1" applyFill="1" applyBorder="1" applyAlignment="1">
      <alignment horizontal="left" vertical="center"/>
    </xf>
    <xf numFmtId="0" fontId="11" fillId="4" borderId="49" xfId="0" applyFont="1" applyFill="1" applyBorder="1" applyAlignment="1">
      <alignment horizontal="center" vertical="center"/>
    </xf>
    <xf numFmtId="0" fontId="4" fillId="4" borderId="128" xfId="0" applyFont="1" applyFill="1" applyBorder="1" applyAlignment="1" applyProtection="1">
      <alignment horizontal="center" vertical="center"/>
    </xf>
    <xf numFmtId="0" fontId="35" fillId="0" borderId="20" xfId="0" applyFont="1" applyBorder="1" applyAlignment="1">
      <alignment horizontal="left" vertical="center" wrapText="1"/>
    </xf>
    <xf numFmtId="0" fontId="20" fillId="0" borderId="22" xfId="0" applyFont="1" applyBorder="1" applyAlignment="1">
      <alignment horizontal="left" vertical="center" wrapText="1"/>
    </xf>
    <xf numFmtId="0" fontId="20" fillId="0" borderId="42" xfId="0" applyFont="1" applyBorder="1" applyAlignment="1">
      <alignment horizontal="left" vertical="center" wrapText="1"/>
    </xf>
    <xf numFmtId="0" fontId="20" fillId="6" borderId="10" xfId="0" applyFont="1" applyFill="1" applyBorder="1" applyAlignment="1">
      <alignment vertical="top" wrapText="1"/>
    </xf>
    <xf numFmtId="0" fontId="20" fillId="0" borderId="0" xfId="0" applyFont="1" applyAlignment="1">
      <alignment vertical="top" wrapText="1"/>
    </xf>
    <xf numFmtId="0" fontId="35" fillId="11" borderId="41" xfId="0" applyFont="1" applyFill="1" applyBorder="1" applyAlignment="1">
      <alignment vertical="top" wrapText="1"/>
    </xf>
    <xf numFmtId="0" fontId="35" fillId="6" borderId="31" xfId="0" applyFont="1" applyFill="1" applyBorder="1" applyAlignment="1">
      <alignment vertical="top" wrapText="1"/>
    </xf>
    <xf numFmtId="0" fontId="35" fillId="0" borderId="20" xfId="0" applyFont="1" applyFill="1" applyBorder="1" applyAlignment="1">
      <alignment vertical="center" wrapText="1"/>
    </xf>
    <xf numFmtId="0" fontId="35" fillId="0" borderId="21" xfId="0" applyFont="1" applyFill="1" applyBorder="1" applyAlignment="1">
      <alignment vertical="center" wrapText="1"/>
    </xf>
    <xf numFmtId="0" fontId="35" fillId="0" borderId="64" xfId="0" applyFont="1" applyBorder="1" applyAlignment="1">
      <alignment vertical="center"/>
    </xf>
    <xf numFmtId="0" fontId="20" fillId="6" borderId="125" xfId="0" applyFont="1" applyFill="1" applyBorder="1" applyAlignment="1">
      <alignment vertical="center"/>
    </xf>
    <xf numFmtId="0" fontId="20" fillId="6" borderId="20" xfId="0" applyFont="1" applyFill="1" applyBorder="1" applyAlignment="1">
      <alignment vertical="center" wrapText="1"/>
    </xf>
    <xf numFmtId="0" fontId="20" fillId="6" borderId="10" xfId="0" applyFont="1" applyFill="1" applyBorder="1" applyAlignment="1">
      <alignment vertical="center" wrapText="1"/>
    </xf>
    <xf numFmtId="0" fontId="35" fillId="0" borderId="32" xfId="0" applyFont="1" applyFill="1" applyBorder="1" applyAlignment="1">
      <alignment vertical="center" wrapText="1"/>
    </xf>
    <xf numFmtId="0" fontId="35" fillId="0" borderId="22" xfId="0" applyFont="1" applyFill="1" applyBorder="1" applyAlignment="1">
      <alignment vertical="center" wrapText="1"/>
    </xf>
    <xf numFmtId="0" fontId="36" fillId="0" borderId="0" xfId="0" applyFont="1" applyAlignment="1">
      <alignment vertical="top" wrapText="1"/>
    </xf>
    <xf numFmtId="0" fontId="35" fillId="0" borderId="0" xfId="0" applyFont="1" applyAlignment="1">
      <alignment vertical="top" wrapText="1"/>
    </xf>
    <xf numFmtId="0" fontId="35" fillId="14" borderId="20" xfId="0" applyFont="1" applyFill="1" applyBorder="1" applyAlignment="1">
      <alignment horizontal="left" vertical="center" wrapText="1"/>
    </xf>
    <xf numFmtId="0" fontId="20" fillId="14" borderId="22" xfId="0" applyFont="1" applyFill="1" applyBorder="1" applyAlignment="1">
      <alignment horizontal="left" vertical="center" wrapText="1"/>
    </xf>
    <xf numFmtId="0" fontId="3" fillId="6" borderId="23" xfId="0" applyFont="1" applyFill="1" applyBorder="1" applyAlignment="1">
      <alignment horizontal="center" vertical="center"/>
    </xf>
    <xf numFmtId="0" fontId="3" fillId="6" borderId="25" xfId="0" applyFont="1" applyFill="1" applyBorder="1" applyAlignment="1">
      <alignment horizontal="center" vertical="center"/>
    </xf>
    <xf numFmtId="0" fontId="3" fillId="6" borderId="36" xfId="0" applyFont="1" applyFill="1" applyBorder="1" applyAlignment="1">
      <alignment horizontal="center" vertical="center"/>
    </xf>
    <xf numFmtId="0" fontId="3" fillId="2" borderId="21" xfId="0" applyFont="1" applyFill="1" applyBorder="1" applyAlignment="1">
      <alignment vertical="center"/>
    </xf>
    <xf numFmtId="0" fontId="4" fillId="2" borderId="32" xfId="0" applyFont="1" applyFill="1" applyBorder="1" applyAlignment="1">
      <alignment vertical="center"/>
    </xf>
    <xf numFmtId="0" fontId="4" fillId="2" borderId="21" xfId="0" applyFont="1" applyFill="1" applyBorder="1" applyAlignment="1">
      <alignment vertical="center"/>
    </xf>
    <xf numFmtId="0" fontId="4" fillId="2" borderId="21" xfId="0" applyFont="1" applyFill="1" applyBorder="1" applyAlignment="1">
      <alignment horizontal="left" vertical="center"/>
    </xf>
    <xf numFmtId="0" fontId="4" fillId="2" borderId="32" xfId="0" applyFont="1" applyFill="1" applyBorder="1" applyAlignment="1">
      <alignment horizontal="left" vertical="center"/>
    </xf>
    <xf numFmtId="0" fontId="4" fillId="4" borderId="129" xfId="0" applyFont="1" applyFill="1" applyBorder="1" applyAlignment="1" applyProtection="1">
      <alignment horizontal="center" vertical="center"/>
    </xf>
    <xf numFmtId="0" fontId="6" fillId="0" borderId="10" xfId="0" applyFont="1" applyBorder="1" applyAlignment="1" applyProtection="1">
      <alignment horizontal="center" vertical="center"/>
      <protection locked="0"/>
    </xf>
    <xf numFmtId="0" fontId="8" fillId="3" borderId="0" xfId="0" applyFont="1" applyFill="1" applyBorder="1" applyAlignment="1">
      <alignment horizontal="left" vertical="center"/>
    </xf>
    <xf numFmtId="0" fontId="3" fillId="6" borderId="43" xfId="0" applyFont="1" applyFill="1" applyBorder="1" applyAlignment="1" applyProtection="1">
      <alignment horizontal="center" vertical="center"/>
    </xf>
    <xf numFmtId="0" fontId="8" fillId="3" borderId="10" xfId="0" applyFont="1" applyFill="1" applyBorder="1" applyAlignment="1">
      <alignment horizontal="left" vertical="center"/>
    </xf>
    <xf numFmtId="0" fontId="4" fillId="4" borderId="17" xfId="0" applyFont="1" applyFill="1" applyBorder="1" applyAlignment="1" applyProtection="1">
      <alignment horizontal="center" vertical="center"/>
    </xf>
    <xf numFmtId="0" fontId="4" fillId="0" borderId="10" xfId="0" applyFont="1" applyBorder="1" applyAlignment="1" applyProtection="1">
      <alignment horizontal="center" vertical="center"/>
      <protection locked="0"/>
    </xf>
    <xf numFmtId="0" fontId="4" fillId="4" borderId="119" xfId="0" applyFont="1" applyFill="1" applyBorder="1" applyAlignment="1" applyProtection="1">
      <alignment horizontal="center" vertical="center"/>
    </xf>
    <xf numFmtId="0" fontId="4" fillId="0" borderId="20" xfId="0" applyFont="1" applyBorder="1" applyAlignment="1" applyProtection="1">
      <alignment horizontal="center" vertical="center"/>
      <protection locked="0"/>
    </xf>
    <xf numFmtId="0" fontId="6" fillId="0" borderId="22" xfId="0" applyFont="1" applyBorder="1" applyAlignment="1" applyProtection="1">
      <alignment horizontal="center" vertical="center"/>
      <protection locked="0"/>
    </xf>
    <xf numFmtId="0" fontId="4" fillId="6" borderId="20" xfId="0" applyFont="1" applyFill="1" applyBorder="1" applyAlignment="1" applyProtection="1">
      <alignment horizontal="center" vertical="center"/>
    </xf>
    <xf numFmtId="0" fontId="4" fillId="6" borderId="22" xfId="0" applyFont="1" applyFill="1" applyBorder="1" applyAlignment="1" applyProtection="1">
      <alignment horizontal="center" vertical="center"/>
    </xf>
    <xf numFmtId="0" fontId="20" fillId="6" borderId="31" xfId="0" applyFont="1" applyFill="1" applyBorder="1" applyAlignment="1">
      <alignment vertical="center" wrapText="1"/>
    </xf>
    <xf numFmtId="0" fontId="3" fillId="6" borderId="130" xfId="0" applyFont="1" applyFill="1" applyBorder="1" applyAlignment="1" applyProtection="1">
      <alignment horizontal="center" vertical="center"/>
    </xf>
    <xf numFmtId="0" fontId="20" fillId="6" borderId="36" xfId="0" applyFont="1" applyFill="1" applyBorder="1" applyAlignment="1">
      <alignment horizontal="left" vertical="center" wrapText="1"/>
    </xf>
    <xf numFmtId="0" fontId="20" fillId="6" borderId="25" xfId="0" applyFont="1" applyFill="1" applyBorder="1" applyAlignment="1">
      <alignment horizontal="left" vertical="center" wrapText="1"/>
    </xf>
    <xf numFmtId="0" fontId="35" fillId="6" borderId="20" xfId="0" applyFont="1" applyFill="1" applyBorder="1" applyAlignment="1">
      <alignment horizontal="left" vertical="center" wrapText="1"/>
    </xf>
    <xf numFmtId="0" fontId="20" fillId="6" borderId="22" xfId="0" applyFont="1" applyFill="1" applyBorder="1" applyAlignment="1">
      <alignment horizontal="left" vertical="center" wrapText="1"/>
    </xf>
    <xf numFmtId="0" fontId="20" fillId="6" borderId="31" xfId="0" applyFont="1" applyFill="1" applyBorder="1" applyAlignment="1">
      <alignment horizontal="left" vertical="center"/>
    </xf>
    <xf numFmtId="0" fontId="4" fillId="6" borderId="130" xfId="0" applyFont="1" applyFill="1" applyBorder="1" applyAlignment="1" applyProtection="1">
      <alignment horizontal="center" vertical="center"/>
    </xf>
    <xf numFmtId="0" fontId="20" fillId="6" borderId="23" xfId="0" applyFont="1" applyFill="1" applyBorder="1" applyAlignment="1">
      <alignment horizontal="left" vertical="center"/>
    </xf>
    <xf numFmtId="0" fontId="11" fillId="6" borderId="10" xfId="0" applyFont="1" applyFill="1" applyBorder="1" applyAlignment="1">
      <alignment horizontal="center" vertical="center"/>
    </xf>
    <xf numFmtId="0" fontId="4" fillId="2" borderId="45" xfId="0" applyFont="1" applyFill="1" applyBorder="1" applyAlignment="1">
      <alignment horizontal="left" vertical="center"/>
    </xf>
    <xf numFmtId="0" fontId="4" fillId="2" borderId="44" xfId="0" applyFont="1" applyFill="1" applyBorder="1" applyAlignment="1">
      <alignment horizontal="left" vertical="center"/>
    </xf>
    <xf numFmtId="0" fontId="4" fillId="6" borderId="26" xfId="0" applyFont="1" applyFill="1" applyBorder="1" applyAlignment="1" applyProtection="1">
      <alignment horizontal="center" vertical="center"/>
    </xf>
    <xf numFmtId="0" fontId="30" fillId="0" borderId="0" xfId="0" applyFont="1" applyFill="1" applyBorder="1" applyAlignment="1">
      <alignment horizontal="center" vertical="center"/>
    </xf>
    <xf numFmtId="0" fontId="35" fillId="0" borderId="33" xfId="0" applyFont="1" applyFill="1" applyBorder="1" applyAlignment="1">
      <alignment vertical="center" wrapText="1"/>
    </xf>
    <xf numFmtId="0" fontId="6" fillId="0" borderId="48" xfId="0" applyFont="1" applyBorder="1" applyAlignment="1" applyProtection="1">
      <alignment horizontal="center" vertical="center"/>
      <protection locked="0"/>
    </xf>
    <xf numFmtId="0" fontId="4" fillId="2" borderId="120" xfId="0" applyFont="1" applyFill="1" applyBorder="1" applyAlignment="1">
      <alignment horizontal="left" vertical="center"/>
    </xf>
    <xf numFmtId="0" fontId="4" fillId="10" borderId="34" xfId="0" applyFont="1" applyFill="1" applyBorder="1" applyAlignment="1">
      <alignment horizontal="left" vertical="center" wrapText="1"/>
    </xf>
    <xf numFmtId="0" fontId="35" fillId="0" borderId="64" xfId="0" applyFont="1" applyBorder="1" applyAlignment="1">
      <alignment vertical="center" wrapText="1"/>
    </xf>
    <xf numFmtId="0" fontId="20" fillId="6" borderId="31" xfId="0" applyFont="1" applyFill="1" applyBorder="1" applyAlignment="1">
      <alignment horizontal="left" vertical="center" wrapText="1"/>
    </xf>
    <xf numFmtId="0" fontId="20" fillId="6" borderId="125" xfId="0" applyFont="1" applyFill="1" applyBorder="1" applyAlignment="1">
      <alignment vertical="center" wrapText="1"/>
    </xf>
    <xf numFmtId="0" fontId="20" fillId="6" borderId="23" xfId="0" applyFont="1" applyFill="1" applyBorder="1" applyAlignment="1">
      <alignment horizontal="left" vertical="center" wrapText="1"/>
    </xf>
    <xf numFmtId="0" fontId="20" fillId="6" borderId="38" xfId="0" applyFont="1" applyFill="1" applyBorder="1" applyAlignment="1">
      <alignment vertical="center" wrapText="1"/>
    </xf>
    <xf numFmtId="0" fontId="8" fillId="3" borderId="0" xfId="0" applyFont="1" applyFill="1" applyBorder="1" applyAlignment="1">
      <alignment horizontal="left" vertical="center"/>
    </xf>
    <xf numFmtId="0" fontId="8" fillId="3" borderId="120" xfId="0" applyFont="1" applyFill="1" applyBorder="1" applyAlignment="1">
      <alignment horizontal="left" vertical="center"/>
    </xf>
    <xf numFmtId="0" fontId="11" fillId="4" borderId="46" xfId="0" applyFont="1" applyFill="1" applyBorder="1" applyAlignment="1">
      <alignment horizontal="center" vertical="center"/>
    </xf>
    <xf numFmtId="0" fontId="13" fillId="5" borderId="0" xfId="0" applyFont="1" applyFill="1" applyAlignment="1">
      <alignment horizontal="left"/>
    </xf>
    <xf numFmtId="0" fontId="13" fillId="5" borderId="0" xfId="0" applyFont="1" applyFill="1" applyAlignment="1">
      <alignment vertical="top" wrapText="1"/>
    </xf>
    <xf numFmtId="0" fontId="13" fillId="5" borderId="0" xfId="0" applyFont="1" applyFill="1" applyAlignment="1">
      <alignment horizontal="left" vertical="center"/>
    </xf>
    <xf numFmtId="0" fontId="13" fillId="5" borderId="0" xfId="0" applyFont="1" applyFill="1" applyAlignment="1">
      <alignment horizontal="left" wrapText="1"/>
    </xf>
    <xf numFmtId="0" fontId="35" fillId="0" borderId="44" xfId="0" applyFont="1" applyFill="1" applyBorder="1" applyAlignment="1">
      <alignment horizontal="left" vertical="center" wrapText="1"/>
    </xf>
    <xf numFmtId="0" fontId="20" fillId="5" borderId="2" xfId="0" applyFont="1" applyFill="1" applyBorder="1"/>
    <xf numFmtId="0" fontId="20" fillId="5" borderId="1" xfId="0" applyFont="1" applyFill="1" applyBorder="1" applyAlignment="1">
      <alignment horizontal="left" wrapText="1"/>
    </xf>
    <xf numFmtId="0" fontId="20" fillId="5" borderId="1" xfId="0" applyFont="1" applyFill="1" applyBorder="1" applyAlignment="1">
      <alignment horizontal="left" vertical="top" wrapText="1"/>
    </xf>
    <xf numFmtId="0" fontId="20" fillId="12" borderId="1" xfId="0" applyFont="1" applyFill="1" applyBorder="1" applyAlignment="1">
      <alignment horizontal="left" vertical="center"/>
    </xf>
    <xf numFmtId="0" fontId="35" fillId="0" borderId="141" xfId="0" applyFont="1" applyBorder="1" applyAlignment="1">
      <alignment horizontal="left" vertical="center" wrapText="1"/>
    </xf>
    <xf numFmtId="0" fontId="35" fillId="0" borderId="19" xfId="0" applyFont="1" applyFill="1" applyBorder="1" applyAlignment="1">
      <alignment horizontal="left" vertical="center" wrapText="1"/>
    </xf>
    <xf numFmtId="0" fontId="35" fillId="5" borderId="1" xfId="0" applyFont="1" applyFill="1" applyBorder="1"/>
    <xf numFmtId="0" fontId="35" fillId="0" borderId="32" xfId="0" applyFont="1" applyBorder="1" applyAlignment="1">
      <alignment vertical="center" wrapText="1"/>
    </xf>
    <xf numFmtId="0" fontId="35" fillId="0" borderId="36" xfId="0" applyFont="1" applyBorder="1" applyAlignment="1">
      <alignment horizontal="left" vertical="center" wrapText="1"/>
    </xf>
    <xf numFmtId="0" fontId="35" fillId="0" borderId="21" xfId="0" applyFont="1" applyBorder="1" applyAlignment="1">
      <alignment vertical="center" wrapText="1"/>
    </xf>
    <xf numFmtId="0" fontId="35" fillId="0" borderId="22" xfId="0" applyFont="1" applyBorder="1" applyAlignment="1">
      <alignment vertical="center" wrapText="1"/>
    </xf>
    <xf numFmtId="0" fontId="35" fillId="5" borderId="1" xfId="0" applyFont="1" applyFill="1" applyBorder="1" applyAlignment="1">
      <alignment vertical="center"/>
    </xf>
    <xf numFmtId="0" fontId="20" fillId="0" borderId="25" xfId="0" applyFont="1" applyBorder="1" applyAlignment="1">
      <alignment horizontal="left" vertical="center" wrapText="1"/>
    </xf>
    <xf numFmtId="0" fontId="36" fillId="3" borderId="31" xfId="0" applyFont="1" applyFill="1" applyBorder="1" applyAlignment="1">
      <alignment vertical="center" wrapText="1"/>
    </xf>
    <xf numFmtId="0" fontId="36" fillId="3" borderId="0" xfId="0" applyFont="1" applyFill="1" applyAlignment="1">
      <alignment vertical="center" wrapText="1"/>
    </xf>
    <xf numFmtId="0" fontId="36" fillId="3" borderId="55" xfId="0" applyFont="1" applyFill="1" applyBorder="1" applyAlignment="1">
      <alignment vertical="center" wrapText="1"/>
    </xf>
    <xf numFmtId="0" fontId="35" fillId="0" borderId="20" xfId="0" applyFont="1" applyBorder="1" applyAlignment="1">
      <alignment vertical="center" wrapText="1"/>
    </xf>
    <xf numFmtId="0" fontId="36" fillId="3" borderId="31" xfId="0" applyFont="1" applyFill="1" applyBorder="1" applyAlignment="1">
      <alignment horizontal="left" vertical="center" wrapText="1"/>
    </xf>
    <xf numFmtId="0" fontId="35" fillId="5" borderId="140" xfId="0" applyFont="1" applyFill="1" applyBorder="1" applyAlignment="1">
      <alignment horizontal="left" vertical="center"/>
    </xf>
    <xf numFmtId="0" fontId="35" fillId="5" borderId="1" xfId="0" applyFont="1" applyFill="1" applyBorder="1" applyAlignment="1">
      <alignment horizontal="left" vertical="center"/>
    </xf>
    <xf numFmtId="0" fontId="35" fillId="5" borderId="1" xfId="0" applyFont="1" applyFill="1" applyBorder="1" applyAlignment="1">
      <alignment vertical="top" wrapText="1"/>
    </xf>
    <xf numFmtId="0" fontId="35" fillId="0" borderId="33" xfId="0" applyFont="1" applyBorder="1" applyAlignment="1">
      <alignment vertical="center" wrapText="1"/>
    </xf>
    <xf numFmtId="0" fontId="35" fillId="0" borderId="42" xfId="0" applyFont="1" applyBorder="1" applyAlignment="1">
      <alignment horizontal="left" vertical="center" wrapText="1"/>
    </xf>
    <xf numFmtId="0" fontId="36" fillId="5" borderId="136" xfId="0" applyFont="1" applyFill="1" applyBorder="1" applyAlignment="1">
      <alignment vertical="center" wrapText="1"/>
    </xf>
    <xf numFmtId="0" fontId="36" fillId="5" borderId="138" xfId="0" applyFont="1" applyFill="1" applyBorder="1" applyAlignment="1">
      <alignment vertical="center" wrapText="1"/>
    </xf>
    <xf numFmtId="0" fontId="36" fillId="5" borderId="139" xfId="0" applyFont="1" applyFill="1" applyBorder="1" applyAlignment="1">
      <alignment vertical="center" wrapText="1"/>
    </xf>
    <xf numFmtId="0" fontId="35" fillId="5" borderId="0" xfId="0" applyFont="1" applyFill="1" applyAlignment="1">
      <alignment vertical="top" wrapText="1"/>
    </xf>
    <xf numFmtId="0" fontId="35" fillId="5" borderId="0" xfId="0" applyFont="1" applyFill="1" applyAlignment="1">
      <alignment horizontal="left" vertical="center"/>
    </xf>
    <xf numFmtId="0" fontId="3" fillId="2" borderId="35" xfId="0" applyFont="1" applyFill="1" applyBorder="1" applyAlignment="1">
      <alignment vertical="center"/>
    </xf>
    <xf numFmtId="0" fontId="44" fillId="3" borderId="142" xfId="0" applyFont="1" applyFill="1" applyBorder="1" applyAlignment="1">
      <alignment horizontal="center" vertical="center"/>
    </xf>
    <xf numFmtId="0" fontId="44" fillId="3" borderId="130" xfId="0" applyFont="1" applyFill="1" applyBorder="1" applyAlignment="1">
      <alignment horizontal="center" vertical="center"/>
    </xf>
    <xf numFmtId="0" fontId="11" fillId="4" borderId="61" xfId="0" applyFont="1" applyFill="1" applyBorder="1" applyAlignment="1">
      <alignment horizontal="center" vertical="center"/>
    </xf>
    <xf numFmtId="0" fontId="4" fillId="5" borderId="143" xfId="0" applyFont="1" applyFill="1" applyBorder="1" applyAlignment="1" applyProtection="1">
      <alignment horizontal="center" vertical="center"/>
      <protection locked="0"/>
    </xf>
    <xf numFmtId="0" fontId="4" fillId="5" borderId="144" xfId="0" applyFont="1" applyFill="1" applyBorder="1" applyAlignment="1" applyProtection="1">
      <alignment horizontal="center" vertical="center"/>
      <protection locked="0"/>
    </xf>
    <xf numFmtId="0" fontId="3" fillId="6" borderId="42" xfId="0" applyFont="1" applyFill="1" applyBorder="1" applyAlignment="1">
      <alignment horizontal="center" vertical="center"/>
    </xf>
    <xf numFmtId="0" fontId="4" fillId="6" borderId="145" xfId="0" applyFont="1" applyFill="1" applyBorder="1" applyAlignment="1" applyProtection="1">
      <alignment horizontal="center" vertical="center"/>
    </xf>
    <xf numFmtId="0" fontId="4" fillId="6" borderId="146" xfId="0" applyFont="1" applyFill="1" applyBorder="1" applyAlignment="1" applyProtection="1">
      <alignment horizontal="center" vertical="center"/>
    </xf>
    <xf numFmtId="0" fontId="4" fillId="6" borderId="147" xfId="0" applyFont="1" applyFill="1" applyBorder="1" applyAlignment="1" applyProtection="1">
      <alignment horizontal="center" vertical="center"/>
    </xf>
    <xf numFmtId="0" fontId="4" fillId="6" borderId="148" xfId="0" applyFont="1" applyFill="1" applyBorder="1" applyAlignment="1" applyProtection="1">
      <alignment horizontal="center" vertical="center"/>
    </xf>
    <xf numFmtId="0" fontId="4" fillId="6" borderId="149" xfId="0" applyFont="1" applyFill="1" applyBorder="1" applyAlignment="1" applyProtection="1">
      <alignment horizontal="center" vertical="center"/>
    </xf>
    <xf numFmtId="0" fontId="4" fillId="6" borderId="150" xfId="0" applyFont="1" applyFill="1" applyBorder="1" applyAlignment="1" applyProtection="1">
      <alignment horizontal="center" vertical="center"/>
    </xf>
    <xf numFmtId="0" fontId="4" fillId="6" borderId="151" xfId="0" applyFont="1" applyFill="1" applyBorder="1" applyAlignment="1" applyProtection="1">
      <alignment horizontal="center" vertical="center"/>
    </xf>
    <xf numFmtId="0" fontId="4" fillId="6" borderId="152" xfId="0" applyFont="1" applyFill="1" applyBorder="1" applyAlignment="1" applyProtection="1">
      <alignment horizontal="center" vertical="center"/>
    </xf>
    <xf numFmtId="0" fontId="4" fillId="6" borderId="153" xfId="0" applyFont="1" applyFill="1" applyBorder="1" applyAlignment="1" applyProtection="1">
      <alignment horizontal="center" vertical="center"/>
    </xf>
    <xf numFmtId="0" fontId="4" fillId="6" borderId="53" xfId="0" applyFont="1" applyFill="1" applyBorder="1" applyAlignment="1" applyProtection="1">
      <alignment horizontal="center" vertical="center"/>
    </xf>
    <xf numFmtId="0" fontId="4" fillId="6" borderId="47" xfId="0" applyFont="1" applyFill="1" applyBorder="1" applyAlignment="1" applyProtection="1">
      <alignment horizontal="center" vertical="center"/>
    </xf>
    <xf numFmtId="0" fontId="4" fillId="6" borderId="154" xfId="0" applyFont="1" applyFill="1" applyBorder="1" applyAlignment="1" applyProtection="1">
      <alignment horizontal="center" vertical="center"/>
    </xf>
    <xf numFmtId="0" fontId="4" fillId="6" borderId="28" xfId="0" applyFont="1" applyFill="1" applyBorder="1" applyAlignment="1" applyProtection="1">
      <alignment horizontal="center" vertical="center"/>
    </xf>
    <xf numFmtId="0" fontId="4" fillId="6" borderId="155" xfId="0" applyFont="1" applyFill="1" applyBorder="1" applyAlignment="1" applyProtection="1">
      <alignment horizontal="center" vertical="center"/>
    </xf>
    <xf numFmtId="0" fontId="21" fillId="5" borderId="0" xfId="0" applyFont="1" applyFill="1" applyBorder="1" applyAlignment="1">
      <alignment horizontal="left" vertical="center" wrapText="1"/>
    </xf>
    <xf numFmtId="0" fontId="13" fillId="5" borderId="0" xfId="0" applyFont="1" applyFill="1" applyAlignment="1">
      <alignment horizontal="left" vertical="top"/>
    </xf>
    <xf numFmtId="0" fontId="21" fillId="5" borderId="151" xfId="0" applyFont="1" applyFill="1" applyBorder="1" applyAlignment="1">
      <alignment horizontal="left" vertical="center" wrapText="1"/>
    </xf>
    <xf numFmtId="0" fontId="20" fillId="5" borderId="1" xfId="0" applyFont="1" applyFill="1" applyBorder="1" applyAlignment="1">
      <alignment horizontal="left" vertical="center" wrapText="1"/>
    </xf>
    <xf numFmtId="0" fontId="36" fillId="3" borderId="0" xfId="0" applyFont="1" applyFill="1" applyAlignment="1">
      <alignment horizontal="left" vertical="center" wrapText="1"/>
    </xf>
    <xf numFmtId="0" fontId="36" fillId="5" borderId="137" xfId="0" applyFont="1" applyFill="1" applyBorder="1" applyAlignment="1">
      <alignment horizontal="left" vertical="center" wrapText="1"/>
    </xf>
    <xf numFmtId="0" fontId="13" fillId="5" borderId="0" xfId="0" applyFont="1" applyFill="1" applyAlignment="1">
      <alignment horizontal="left" vertical="center" wrapText="1"/>
    </xf>
    <xf numFmtId="0" fontId="20" fillId="5" borderId="1" xfId="0" applyFont="1" applyFill="1" applyBorder="1" applyAlignment="1">
      <alignment horizontal="left" vertical="top"/>
    </xf>
    <xf numFmtId="0" fontId="21" fillId="5" borderId="170" xfId="0" applyFont="1" applyFill="1" applyBorder="1" applyAlignment="1">
      <alignment horizontal="left" vertical="center" wrapText="1"/>
    </xf>
    <xf numFmtId="0" fontId="13" fillId="5" borderId="0" xfId="0" applyFont="1" applyFill="1" applyAlignment="1"/>
    <xf numFmtId="0" fontId="20" fillId="4" borderId="46" xfId="0" applyFont="1" applyFill="1" applyBorder="1" applyAlignment="1">
      <alignment horizontal="left" vertical="center"/>
    </xf>
    <xf numFmtId="0" fontId="20" fillId="4" borderId="40" xfId="0" applyFont="1" applyFill="1" applyBorder="1" applyAlignment="1">
      <alignment horizontal="left" vertical="center"/>
    </xf>
    <xf numFmtId="0" fontId="20" fillId="4" borderId="61" xfId="0" applyFont="1" applyFill="1" applyBorder="1" applyAlignment="1">
      <alignment horizontal="left" vertical="center"/>
    </xf>
    <xf numFmtId="0" fontId="20" fillId="4" borderId="31" xfId="0" applyFont="1" applyFill="1" applyBorder="1" applyAlignment="1">
      <alignment horizontal="left" vertical="center"/>
    </xf>
    <xf numFmtId="0" fontId="36" fillId="3" borderId="0" xfId="0" applyFont="1" applyFill="1" applyAlignment="1">
      <alignment horizontal="left" vertical="center"/>
    </xf>
    <xf numFmtId="0" fontId="20" fillId="4" borderId="39" xfId="0" applyFont="1" applyFill="1" applyBorder="1" applyAlignment="1">
      <alignment horizontal="left" vertical="center"/>
    </xf>
    <xf numFmtId="0" fontId="36" fillId="5" borderId="137" xfId="0" applyFont="1" applyFill="1" applyBorder="1" applyAlignment="1">
      <alignment horizontal="left" vertical="center"/>
    </xf>
    <xf numFmtId="0" fontId="20" fillId="6" borderId="120" xfId="0" applyFont="1" applyFill="1" applyBorder="1" applyAlignment="1">
      <alignment horizontal="left" vertical="center"/>
    </xf>
    <xf numFmtId="0" fontId="22" fillId="5" borderId="172" xfId="0" applyFont="1" applyFill="1" applyBorder="1" applyAlignment="1">
      <alignment horizontal="center" vertical="center" wrapText="1"/>
    </xf>
    <xf numFmtId="0" fontId="22" fillId="5" borderId="151" xfId="0" applyFont="1" applyFill="1" applyBorder="1" applyAlignment="1">
      <alignment vertical="center" wrapText="1"/>
    </xf>
    <xf numFmtId="0" fontId="21" fillId="5" borderId="151" xfId="0" applyFont="1" applyFill="1" applyBorder="1" applyAlignment="1">
      <alignment horizontal="left" vertical="top" wrapText="1"/>
    </xf>
    <xf numFmtId="0" fontId="22" fillId="5" borderId="151" xfId="0" applyFont="1" applyFill="1" applyBorder="1" applyAlignment="1">
      <alignment horizontal="left" vertical="top" wrapText="1"/>
    </xf>
    <xf numFmtId="0" fontId="22" fillId="5" borderId="151" xfId="0" applyFont="1" applyFill="1" applyBorder="1" applyAlignment="1">
      <alignment vertical="top" wrapText="1"/>
    </xf>
    <xf numFmtId="0" fontId="22" fillId="5" borderId="151" xfId="0" applyFont="1" applyFill="1" applyBorder="1" applyAlignment="1">
      <alignment horizontal="center" vertical="center" wrapText="1"/>
    </xf>
    <xf numFmtId="0" fontId="22" fillId="5" borderId="0" xfId="0" applyFont="1" applyFill="1" applyAlignment="1">
      <alignment vertical="top" wrapText="1"/>
    </xf>
    <xf numFmtId="0" fontId="22" fillId="5" borderId="151" xfId="0" applyFont="1" applyFill="1" applyBorder="1" applyAlignment="1">
      <alignment horizontal="left" wrapText="1"/>
    </xf>
    <xf numFmtId="0" fontId="22" fillId="5" borderId="155" xfId="0" applyFont="1" applyFill="1" applyBorder="1" applyAlignment="1">
      <alignment horizontal="left" wrapText="1"/>
    </xf>
    <xf numFmtId="0" fontId="21" fillId="5" borderId="155" xfId="0" applyFont="1" applyFill="1" applyBorder="1" applyAlignment="1">
      <alignment horizontal="left" vertical="center" wrapText="1"/>
    </xf>
    <xf numFmtId="0" fontId="22" fillId="5" borderId="155" xfId="0" applyFont="1" applyFill="1" applyBorder="1" applyAlignment="1">
      <alignment horizontal="left" vertical="top" wrapText="1"/>
    </xf>
    <xf numFmtId="0" fontId="22" fillId="5" borderId="164" xfId="0" applyFont="1" applyFill="1" applyBorder="1" applyAlignment="1">
      <alignment horizontal="left" wrapText="1"/>
    </xf>
    <xf numFmtId="0" fontId="21" fillId="5" borderId="173" xfId="0" applyFont="1" applyFill="1" applyBorder="1" applyAlignment="1">
      <alignment horizontal="left" vertical="center" wrapText="1"/>
    </xf>
    <xf numFmtId="0" fontId="22" fillId="5" borderId="174" xfId="0" applyFont="1" applyFill="1" applyBorder="1" applyAlignment="1">
      <alignment horizontal="left" vertical="top" wrapText="1"/>
    </xf>
    <xf numFmtId="0" fontId="22" fillId="5" borderId="165" xfId="0" applyFont="1" applyFill="1" applyBorder="1" applyAlignment="1">
      <alignment horizontal="left" wrapText="1"/>
    </xf>
    <xf numFmtId="0" fontId="22" fillId="5" borderId="175" xfId="0" applyFont="1" applyFill="1" applyBorder="1" applyAlignment="1">
      <alignment horizontal="left" vertical="top" wrapText="1"/>
    </xf>
    <xf numFmtId="0" fontId="22" fillId="5" borderId="166" xfId="0" applyFont="1" applyFill="1" applyBorder="1" applyAlignment="1">
      <alignment horizontal="left" wrapText="1"/>
    </xf>
    <xf numFmtId="0" fontId="21" fillId="5" borderId="176" xfId="0" applyFont="1" applyFill="1" applyBorder="1" applyAlignment="1">
      <alignment horizontal="left" vertical="center" wrapText="1"/>
    </xf>
    <xf numFmtId="0" fontId="22" fillId="5" borderId="177" xfId="0" applyFont="1" applyFill="1" applyBorder="1" applyAlignment="1">
      <alignment horizontal="left" vertical="top" wrapText="1"/>
    </xf>
    <xf numFmtId="0" fontId="22" fillId="5" borderId="171" xfId="0" applyFont="1" applyFill="1" applyBorder="1" applyAlignment="1">
      <alignment horizontal="left" wrapText="1"/>
    </xf>
    <xf numFmtId="0" fontId="21" fillId="5" borderId="162" xfId="0" applyFont="1" applyFill="1" applyBorder="1" applyAlignment="1">
      <alignment horizontal="left" vertical="center" wrapText="1"/>
    </xf>
    <xf numFmtId="0" fontId="21" fillId="5" borderId="161" xfId="0" applyFont="1" applyFill="1" applyBorder="1" applyAlignment="1">
      <alignment horizontal="left" vertical="center" wrapText="1"/>
    </xf>
    <xf numFmtId="0" fontId="22" fillId="5" borderId="167" xfId="0" applyFont="1" applyFill="1" applyBorder="1" applyAlignment="1">
      <alignment horizontal="left" wrapText="1"/>
    </xf>
    <xf numFmtId="0" fontId="21" fillId="0" borderId="164" xfId="0" applyFont="1" applyFill="1" applyBorder="1" applyAlignment="1">
      <alignment horizontal="left" vertical="center" wrapText="1"/>
    </xf>
    <xf numFmtId="0" fontId="22" fillId="5" borderId="178" xfId="0" applyFont="1" applyFill="1" applyBorder="1" applyAlignment="1">
      <alignment horizontal="left" vertical="top" wrapText="1"/>
    </xf>
    <xf numFmtId="0" fontId="22" fillId="5" borderId="168" xfId="0" applyFont="1" applyFill="1" applyBorder="1" applyAlignment="1">
      <alignment horizontal="left" wrapText="1"/>
    </xf>
    <xf numFmtId="0" fontId="21" fillId="0" borderId="165" xfId="0" applyFont="1" applyFill="1" applyBorder="1" applyAlignment="1">
      <alignment horizontal="left" vertical="center" wrapText="1"/>
    </xf>
    <xf numFmtId="0" fontId="22" fillId="5" borderId="179" xfId="0" applyFont="1" applyFill="1" applyBorder="1" applyAlignment="1">
      <alignment horizontal="left" vertical="top" wrapText="1"/>
    </xf>
    <xf numFmtId="0" fontId="22" fillId="5" borderId="169" xfId="0" applyFont="1" applyFill="1" applyBorder="1" applyAlignment="1">
      <alignment horizontal="left" wrapText="1"/>
    </xf>
    <xf numFmtId="0" fontId="21" fillId="5" borderId="166" xfId="0" applyFont="1" applyFill="1" applyBorder="1" applyAlignment="1">
      <alignment horizontal="left" vertical="center" wrapText="1"/>
    </xf>
    <xf numFmtId="0" fontId="22" fillId="5" borderId="180" xfId="0" applyFont="1" applyFill="1" applyBorder="1" applyAlignment="1">
      <alignment horizontal="left" vertical="top" wrapText="1"/>
    </xf>
    <xf numFmtId="0" fontId="22" fillId="5" borderId="182" xfId="0" applyFont="1" applyFill="1" applyBorder="1" applyAlignment="1">
      <alignment horizontal="left" vertical="center" wrapText="1"/>
    </xf>
    <xf numFmtId="0" fontId="22" fillId="5" borderId="41" xfId="0" applyFont="1" applyFill="1" applyBorder="1" applyAlignment="1">
      <alignment horizontal="left" wrapText="1"/>
    </xf>
    <xf numFmtId="0" fontId="22" fillId="5" borderId="184" xfId="0" applyFont="1" applyFill="1" applyBorder="1" applyAlignment="1">
      <alignment horizontal="left" vertical="center" wrapText="1"/>
    </xf>
    <xf numFmtId="0" fontId="22" fillId="5" borderId="185" xfId="0" applyFont="1" applyFill="1" applyBorder="1" applyAlignment="1">
      <alignment horizontal="left" vertical="top" wrapText="1"/>
    </xf>
    <xf numFmtId="0" fontId="22" fillId="5" borderId="186" xfId="0" applyFont="1" applyFill="1" applyBorder="1" applyAlignment="1">
      <alignment horizontal="left" wrapText="1"/>
    </xf>
    <xf numFmtId="0" fontId="22" fillId="5" borderId="187" xfId="0" applyFont="1" applyFill="1" applyBorder="1" applyAlignment="1">
      <alignment horizontal="left" wrapText="1"/>
    </xf>
    <xf numFmtId="0" fontId="22" fillId="5" borderId="151" xfId="0" applyFont="1" applyFill="1" applyBorder="1" applyAlignment="1">
      <alignment horizontal="left" vertical="center" wrapText="1"/>
    </xf>
    <xf numFmtId="0" fontId="22" fillId="5" borderId="188" xfId="0" applyFont="1" applyFill="1" applyBorder="1" applyAlignment="1">
      <alignment horizontal="left" wrapText="1"/>
    </xf>
    <xf numFmtId="0" fontId="22" fillId="5" borderId="155" xfId="0" applyFont="1" applyFill="1" applyBorder="1" applyAlignment="1">
      <alignment horizontal="left" vertical="center" wrapText="1"/>
    </xf>
    <xf numFmtId="0" fontId="22" fillId="0" borderId="151" xfId="0" applyFont="1" applyFill="1" applyBorder="1" applyAlignment="1">
      <alignment horizontal="left" vertical="center" wrapText="1"/>
    </xf>
    <xf numFmtId="0" fontId="21" fillId="0" borderId="151" xfId="0" applyFont="1" applyFill="1" applyBorder="1" applyAlignment="1">
      <alignment horizontal="left" vertical="center" wrapText="1"/>
    </xf>
    <xf numFmtId="0" fontId="22" fillId="0" borderId="155" xfId="0" applyFont="1" applyFill="1" applyBorder="1" applyAlignment="1">
      <alignment horizontal="left" vertical="center" wrapText="1"/>
    </xf>
    <xf numFmtId="0" fontId="21" fillId="0" borderId="155" xfId="0" applyFont="1" applyFill="1" applyBorder="1" applyAlignment="1">
      <alignment horizontal="left" vertical="center" wrapText="1"/>
    </xf>
    <xf numFmtId="0" fontId="22" fillId="0" borderId="186" xfId="0" applyFont="1" applyFill="1" applyBorder="1" applyAlignment="1">
      <alignment horizontal="left" wrapText="1"/>
    </xf>
    <xf numFmtId="0" fontId="22" fillId="0" borderId="182" xfId="0" applyFont="1" applyFill="1" applyBorder="1" applyAlignment="1">
      <alignment horizontal="left" vertical="center" wrapText="1"/>
    </xf>
    <xf numFmtId="0" fontId="22" fillId="0" borderId="174" xfId="0" applyFont="1" applyFill="1" applyBorder="1" applyAlignment="1">
      <alignment horizontal="left" vertical="center" wrapText="1"/>
    </xf>
    <xf numFmtId="0" fontId="22" fillId="0" borderId="187" xfId="0" applyFont="1" applyFill="1" applyBorder="1" applyAlignment="1">
      <alignment horizontal="left" wrapText="1"/>
    </xf>
    <xf numFmtId="0" fontId="22" fillId="0" borderId="175" xfId="0" applyFont="1" applyFill="1" applyBorder="1" applyAlignment="1">
      <alignment horizontal="left" vertical="center" wrapText="1"/>
    </xf>
    <xf numFmtId="0" fontId="22" fillId="0" borderId="188" xfId="0" applyFont="1" applyFill="1" applyBorder="1" applyAlignment="1">
      <alignment horizontal="left" wrapText="1"/>
    </xf>
    <xf numFmtId="0" fontId="22" fillId="0" borderId="185" xfId="0" applyFont="1" applyFill="1" applyBorder="1" applyAlignment="1">
      <alignment horizontal="left" vertical="center" wrapText="1"/>
    </xf>
    <xf numFmtId="0" fontId="22" fillId="0" borderId="64" xfId="0" applyFont="1" applyFill="1" applyBorder="1" applyAlignment="1">
      <alignment horizontal="left" wrapText="1"/>
    </xf>
    <xf numFmtId="0" fontId="22" fillId="5" borderId="183" xfId="0" applyFont="1" applyFill="1" applyBorder="1" applyAlignment="1">
      <alignment horizontal="left" vertical="center" wrapText="1"/>
    </xf>
    <xf numFmtId="0" fontId="22" fillId="0" borderId="164" xfId="0" applyFont="1" applyFill="1" applyBorder="1" applyAlignment="1">
      <alignment horizontal="left" wrapText="1"/>
    </xf>
    <xf numFmtId="0" fontId="22" fillId="0" borderId="189" xfId="0" applyFont="1" applyFill="1" applyBorder="1" applyAlignment="1">
      <alignment horizontal="left" vertical="center" wrapText="1"/>
    </xf>
    <xf numFmtId="0" fontId="22" fillId="0" borderId="165" xfId="0" applyFont="1" applyFill="1" applyBorder="1" applyAlignment="1">
      <alignment horizontal="left" wrapText="1"/>
    </xf>
    <xf numFmtId="0" fontId="22" fillId="5" borderId="163" xfId="0" applyFont="1" applyFill="1" applyBorder="1" applyAlignment="1">
      <alignment horizontal="left" vertical="center" wrapText="1"/>
    </xf>
    <xf numFmtId="0" fontId="22" fillId="0" borderId="181" xfId="0" applyFont="1" applyFill="1" applyBorder="1" applyAlignment="1">
      <alignment horizontal="left" wrapText="1"/>
    </xf>
    <xf numFmtId="0" fontId="22" fillId="5" borderId="160" xfId="0" applyFont="1" applyFill="1" applyBorder="1" applyAlignment="1">
      <alignment horizontal="left" vertical="center" wrapText="1"/>
    </xf>
    <xf numFmtId="0" fontId="22" fillId="5" borderId="190" xfId="0" applyFont="1" applyFill="1" applyBorder="1" applyAlignment="1">
      <alignment horizontal="left" wrapText="1"/>
    </xf>
    <xf numFmtId="0" fontId="22" fillId="5" borderId="151" xfId="0" applyFont="1" applyFill="1" applyBorder="1" applyAlignment="1">
      <alignment wrapText="1"/>
    </xf>
    <xf numFmtId="0" fontId="22" fillId="0" borderId="60" xfId="0" applyFont="1" applyFill="1" applyBorder="1" applyAlignment="1">
      <alignment vertical="center" wrapText="1"/>
    </xf>
    <xf numFmtId="0" fontId="22" fillId="0" borderId="54" xfId="0" applyFont="1" applyFill="1" applyBorder="1" applyAlignment="1">
      <alignment vertical="center" wrapText="1"/>
    </xf>
    <xf numFmtId="0" fontId="22" fillId="4" borderId="10" xfId="0" applyFont="1" applyFill="1" applyBorder="1" applyAlignment="1">
      <alignment wrapText="1"/>
    </xf>
    <xf numFmtId="0" fontId="21" fillId="4" borderId="170" xfId="0" applyFont="1" applyFill="1" applyBorder="1" applyAlignment="1">
      <alignment horizontal="left" vertical="center" wrapText="1"/>
    </xf>
    <xf numFmtId="0" fontId="21" fillId="4" borderId="151" xfId="0" applyFont="1" applyFill="1" applyBorder="1" applyAlignment="1">
      <alignment horizontal="left" vertical="center" wrapText="1"/>
    </xf>
    <xf numFmtId="0" fontId="4" fillId="6" borderId="23" xfId="0" applyFont="1" applyFill="1" applyBorder="1" applyAlignment="1" applyProtection="1">
      <alignment horizontal="center" vertical="center"/>
    </xf>
    <xf numFmtId="0" fontId="7" fillId="6" borderId="23" xfId="0" applyFont="1" applyFill="1" applyBorder="1" applyAlignment="1">
      <alignment horizontal="center" vertical="center"/>
    </xf>
    <xf numFmtId="0" fontId="3" fillId="6" borderId="24" xfId="0" applyFont="1" applyFill="1" applyBorder="1" applyAlignment="1">
      <alignment horizontal="center" vertical="center"/>
    </xf>
    <xf numFmtId="0" fontId="4" fillId="0" borderId="23" xfId="0" applyFont="1" applyBorder="1" applyAlignment="1" applyProtection="1">
      <alignment horizontal="center" vertical="center"/>
      <protection locked="0"/>
    </xf>
    <xf numFmtId="0" fontId="4" fillId="0" borderId="24" xfId="0" applyFont="1" applyBorder="1" applyAlignment="1" applyProtection="1">
      <alignment horizontal="center" vertical="center"/>
      <protection locked="0"/>
    </xf>
    <xf numFmtId="0" fontId="4" fillId="0" borderId="25" xfId="0" applyFont="1" applyBorder="1" applyAlignment="1" applyProtection="1">
      <alignment horizontal="center" vertical="center"/>
      <protection locked="0"/>
    </xf>
    <xf numFmtId="0" fontId="3" fillId="2" borderId="34" xfId="0" applyFont="1" applyFill="1" applyBorder="1" applyAlignment="1">
      <alignment horizontal="left" vertical="center"/>
    </xf>
    <xf numFmtId="0" fontId="3" fillId="2" borderId="163" xfId="0" applyFont="1" applyFill="1" applyBorder="1" applyAlignment="1">
      <alignment horizontal="left" vertical="center"/>
    </xf>
    <xf numFmtId="0" fontId="3" fillId="2" borderId="163" xfId="0" applyFont="1" applyFill="1" applyBorder="1" applyAlignment="1">
      <alignment vertical="center"/>
    </xf>
    <xf numFmtId="0" fontId="13" fillId="5" borderId="151" xfId="0" applyFont="1" applyFill="1" applyBorder="1" applyAlignment="1">
      <alignment horizontal="left" wrapText="1"/>
    </xf>
    <xf numFmtId="0" fontId="22" fillId="0" borderId="126" xfId="0" applyFont="1" applyFill="1" applyBorder="1" applyAlignment="1">
      <alignment vertical="center" wrapText="1"/>
    </xf>
    <xf numFmtId="0" fontId="13" fillId="5" borderId="151" xfId="0" applyFont="1" applyFill="1" applyBorder="1" applyAlignment="1">
      <alignment horizontal="left" vertical="center" wrapText="1"/>
    </xf>
    <xf numFmtId="0" fontId="13" fillId="5" borderId="151" xfId="0" applyFont="1" applyFill="1" applyBorder="1" applyAlignment="1">
      <alignment horizontal="left" vertical="top"/>
    </xf>
    <xf numFmtId="0" fontId="13" fillId="5" borderId="0" xfId="0" applyFont="1" applyFill="1" applyBorder="1" applyAlignment="1">
      <alignment horizontal="left" wrapText="1"/>
    </xf>
    <xf numFmtId="0" fontId="13" fillId="5" borderId="0" xfId="0" applyFont="1" applyFill="1" applyBorder="1" applyAlignment="1">
      <alignment horizontal="left" vertical="center" wrapText="1"/>
    </xf>
    <xf numFmtId="0" fontId="13" fillId="5" borderId="0" xfId="0" applyFont="1" applyFill="1" applyBorder="1" applyAlignment="1">
      <alignment horizontal="left" vertical="top"/>
    </xf>
    <xf numFmtId="0" fontId="11" fillId="0" borderId="0" xfId="0" applyFont="1" applyFill="1" applyBorder="1" applyAlignment="1">
      <alignment horizontal="center" vertical="center"/>
    </xf>
    <xf numFmtId="0" fontId="21" fillId="12" borderId="31" xfId="0" applyFont="1" applyFill="1" applyBorder="1" applyAlignment="1">
      <alignment horizontal="center" wrapText="1"/>
    </xf>
    <xf numFmtId="0" fontId="21" fillId="12" borderId="39" xfId="0" applyFont="1" applyFill="1" applyBorder="1" applyAlignment="1">
      <alignment horizontal="center" wrapText="1"/>
    </xf>
    <xf numFmtId="0" fontId="21" fillId="12" borderId="101" xfId="0" applyFont="1" applyFill="1" applyBorder="1" applyAlignment="1">
      <alignment horizontal="center" wrapText="1"/>
    </xf>
    <xf numFmtId="0" fontId="36" fillId="3" borderId="40" xfId="0" applyFont="1" applyFill="1" applyBorder="1" applyAlignment="1">
      <alignment horizontal="center" vertical="center" wrapText="1"/>
    </xf>
    <xf numFmtId="0" fontId="36" fillId="3" borderId="0" xfId="0" applyFont="1" applyFill="1" applyAlignment="1">
      <alignment horizontal="center" vertical="center" wrapText="1"/>
    </xf>
    <xf numFmtId="0" fontId="36" fillId="3" borderId="55" xfId="0" applyFont="1" applyFill="1" applyBorder="1" applyAlignment="1">
      <alignment horizontal="center" vertical="center" wrapText="1"/>
    </xf>
    <xf numFmtId="0" fontId="35" fillId="0" borderId="48" xfId="0" applyFont="1" applyBorder="1" applyAlignment="1">
      <alignment vertical="center" wrapText="1"/>
    </xf>
    <xf numFmtId="0" fontId="35" fillId="0" borderId="41" xfId="0" applyFont="1" applyBorder="1" applyAlignment="1">
      <alignment vertical="center" wrapText="1"/>
    </xf>
    <xf numFmtId="0" fontId="35" fillId="0" borderId="49" xfId="0" applyFont="1" applyBorder="1" applyAlignment="1">
      <alignment vertical="center" wrapText="1"/>
    </xf>
    <xf numFmtId="0" fontId="35" fillId="0" borderId="32" xfId="0" applyFont="1" applyBorder="1" applyAlignment="1">
      <alignment vertical="center" wrapText="1"/>
    </xf>
    <xf numFmtId="0" fontId="35" fillId="5" borderId="46" xfId="0" applyFont="1" applyFill="1" applyBorder="1" applyAlignment="1">
      <alignment vertical="center" wrapText="1"/>
    </xf>
    <xf numFmtId="0" fontId="35" fillId="5" borderId="40" xfId="0" applyFont="1" applyFill="1" applyBorder="1" applyAlignment="1">
      <alignment vertical="center" wrapText="1"/>
    </xf>
    <xf numFmtId="0" fontId="35" fillId="5" borderId="61" xfId="0" applyFont="1" applyFill="1" applyBorder="1" applyAlignment="1">
      <alignment vertical="center" wrapText="1"/>
    </xf>
    <xf numFmtId="0" fontId="36" fillId="5" borderId="134" xfId="0" applyFont="1" applyFill="1" applyBorder="1" applyAlignment="1">
      <alignment horizontal="center" vertical="center" wrapText="1"/>
    </xf>
    <xf numFmtId="0" fontId="36" fillId="5" borderId="6" xfId="0" applyFont="1" applyFill="1" applyBorder="1" applyAlignment="1">
      <alignment horizontal="center" vertical="center" wrapText="1"/>
    </xf>
    <xf numFmtId="0" fontId="36" fillId="5" borderId="135" xfId="0" applyFont="1" applyFill="1" applyBorder="1" applyAlignment="1">
      <alignment horizontal="center" vertical="center" wrapText="1"/>
    </xf>
    <xf numFmtId="0" fontId="20" fillId="5" borderId="3" xfId="0" applyFont="1" applyFill="1" applyBorder="1" applyAlignment="1">
      <alignment horizontal="center"/>
    </xf>
    <xf numFmtId="0" fontId="20" fillId="5" borderId="4" xfId="0" applyFont="1" applyFill="1" applyBorder="1" applyAlignment="1">
      <alignment horizontal="center"/>
    </xf>
    <xf numFmtId="0" fontId="20" fillId="0" borderId="48" xfId="0" applyFont="1" applyFill="1" applyBorder="1" applyAlignment="1">
      <alignment vertical="center" wrapText="1"/>
    </xf>
    <xf numFmtId="0" fontId="20" fillId="0" borderId="41" xfId="0" applyFont="1" applyFill="1" applyBorder="1" applyAlignment="1">
      <alignment vertical="center" wrapText="1"/>
    </xf>
    <xf numFmtId="0" fontId="20" fillId="0" borderId="49" xfId="0" applyFont="1" applyFill="1" applyBorder="1" applyAlignment="1">
      <alignment vertical="center" wrapText="1"/>
    </xf>
    <xf numFmtId="0" fontId="45" fillId="13" borderId="0" xfId="0" applyFont="1" applyFill="1" applyBorder="1" applyAlignment="1">
      <alignment horizontal="center" vertical="center" wrapText="1"/>
    </xf>
    <xf numFmtId="0" fontId="21" fillId="5" borderId="46" xfId="0" applyFont="1" applyFill="1" applyBorder="1" applyAlignment="1">
      <alignment horizontal="left" vertical="center" wrapText="1"/>
    </xf>
    <xf numFmtId="0" fontId="21" fillId="5" borderId="120" xfId="0" applyFont="1" applyFill="1" applyBorder="1" applyAlignment="1">
      <alignment horizontal="left" vertical="center" wrapText="1"/>
    </xf>
    <xf numFmtId="0" fontId="21" fillId="5" borderId="121" xfId="0" applyFont="1" applyFill="1" applyBorder="1" applyAlignment="1">
      <alignment horizontal="left" vertical="center" wrapText="1"/>
    </xf>
    <xf numFmtId="0" fontId="21" fillId="5" borderId="61" xfId="0" applyFont="1" applyFill="1" applyBorder="1" applyAlignment="1">
      <alignment horizontal="left" vertical="center" wrapText="1"/>
    </xf>
    <xf numFmtId="0" fontId="21" fillId="5" borderId="122" xfId="0" applyFont="1" applyFill="1" applyBorder="1" applyAlignment="1">
      <alignment horizontal="left" vertical="center" wrapText="1"/>
    </xf>
    <xf numFmtId="0" fontId="21" fillId="5" borderId="89" xfId="0" applyFont="1" applyFill="1" applyBorder="1" applyAlignment="1">
      <alignment horizontal="left" vertical="center" wrapText="1"/>
    </xf>
    <xf numFmtId="0" fontId="35" fillId="0" borderId="125" xfId="0" applyFont="1" applyBorder="1" applyAlignment="1">
      <alignment vertical="center" wrapText="1"/>
    </xf>
    <xf numFmtId="0" fontId="35" fillId="0" borderId="124" xfId="0" applyFont="1" applyBorder="1" applyAlignment="1">
      <alignment vertical="center" wrapText="1"/>
    </xf>
    <xf numFmtId="0" fontId="35" fillId="5" borderId="48" xfId="0" applyFont="1" applyFill="1" applyBorder="1" applyAlignment="1">
      <alignment vertical="center" wrapText="1"/>
    </xf>
    <xf numFmtId="0" fontId="35" fillId="5" borderId="41" xfId="0" applyFont="1" applyFill="1" applyBorder="1" applyAlignment="1">
      <alignment vertical="center" wrapText="1"/>
    </xf>
    <xf numFmtId="0" fontId="35" fillId="5" borderId="49" xfId="0" applyFont="1" applyFill="1" applyBorder="1" applyAlignment="1">
      <alignment vertical="center" wrapText="1"/>
    </xf>
    <xf numFmtId="0" fontId="20" fillId="0" borderId="87" xfId="0" applyFont="1" applyBorder="1" applyAlignment="1">
      <alignment vertical="center" wrapText="1"/>
    </xf>
    <xf numFmtId="0" fontId="20" fillId="0" borderId="123" xfId="0" applyFont="1" applyBorder="1" applyAlignment="1">
      <alignment vertical="center" wrapText="1"/>
    </xf>
    <xf numFmtId="0" fontId="35" fillId="11" borderId="48" xfId="0" applyFont="1" applyFill="1" applyBorder="1" applyAlignment="1">
      <alignment vertical="top" wrapText="1"/>
    </xf>
    <xf numFmtId="0" fontId="35" fillId="11" borderId="41" xfId="0" applyFont="1" applyFill="1" applyBorder="1" applyAlignment="1">
      <alignment vertical="top" wrapText="1"/>
    </xf>
    <xf numFmtId="0" fontId="35" fillId="11" borderId="49" xfId="0" applyFont="1" applyFill="1" applyBorder="1" applyAlignment="1">
      <alignment vertical="top" wrapText="1"/>
    </xf>
    <xf numFmtId="0" fontId="11" fillId="10" borderId="48" xfId="0" applyFont="1" applyFill="1" applyBorder="1" applyAlignment="1">
      <alignment horizontal="center" vertical="center" wrapText="1"/>
    </xf>
    <xf numFmtId="0" fontId="11" fillId="10" borderId="41" xfId="0" applyFont="1" applyFill="1" applyBorder="1" applyAlignment="1">
      <alignment horizontal="center" vertical="center" wrapText="1"/>
    </xf>
    <xf numFmtId="0" fontId="11" fillId="10" borderId="49" xfId="0" applyFont="1" applyFill="1" applyBorder="1" applyAlignment="1">
      <alignment horizontal="center" vertical="center" wrapText="1"/>
    </xf>
    <xf numFmtId="0" fontId="19" fillId="2" borderId="41" xfId="0" applyFont="1" applyFill="1" applyBorder="1" applyAlignment="1">
      <alignment horizontal="center" vertical="center" wrapText="1"/>
    </xf>
    <xf numFmtId="0" fontId="19" fillId="2" borderId="49" xfId="0" applyFont="1" applyFill="1" applyBorder="1" applyAlignment="1">
      <alignment horizontal="center" vertical="center" wrapText="1"/>
    </xf>
    <xf numFmtId="0" fontId="3" fillId="8" borderId="48" xfId="0" applyFont="1" applyFill="1" applyBorder="1" applyAlignment="1">
      <alignment horizontal="center" vertical="center"/>
    </xf>
    <xf numFmtId="0" fontId="3" fillId="8" borderId="32" xfId="0" applyFont="1" applyFill="1" applyBorder="1" applyAlignment="1">
      <alignment horizontal="center" vertical="center"/>
    </xf>
    <xf numFmtId="49" fontId="5" fillId="4" borderId="119" xfId="1" applyNumberFormat="1" applyFont="1" applyFill="1" applyBorder="1" applyAlignment="1">
      <alignment horizontal="center" vertical="center"/>
    </xf>
    <xf numFmtId="49" fontId="5" fillId="4" borderId="26" xfId="1" applyNumberFormat="1" applyFont="1" applyFill="1" applyBorder="1" applyAlignment="1">
      <alignment horizontal="center" vertical="center"/>
    </xf>
    <xf numFmtId="0" fontId="11" fillId="7" borderId="48" xfId="0" applyFont="1" applyFill="1" applyBorder="1" applyAlignment="1">
      <alignment horizontal="center" vertical="center" wrapText="1"/>
    </xf>
    <xf numFmtId="0" fontId="11" fillId="7" borderId="49" xfId="0" applyFont="1" applyFill="1" applyBorder="1" applyAlignment="1">
      <alignment horizontal="center" vertical="center" wrapText="1"/>
    </xf>
    <xf numFmtId="0" fontId="3" fillId="8" borderId="49" xfId="0" applyFont="1" applyFill="1" applyBorder="1" applyAlignment="1">
      <alignment horizontal="center" vertical="center"/>
    </xf>
    <xf numFmtId="0" fontId="3" fillId="4" borderId="52" xfId="0" applyFont="1" applyFill="1" applyBorder="1" applyAlignment="1">
      <alignment horizontal="center" vertical="center" wrapText="1"/>
    </xf>
    <xf numFmtId="0" fontId="3" fillId="4" borderId="51" xfId="0" applyFont="1" applyFill="1" applyBorder="1" applyAlignment="1">
      <alignment horizontal="center" vertical="center" wrapText="1"/>
    </xf>
    <xf numFmtId="0" fontId="3" fillId="7" borderId="118" xfId="0" applyFont="1" applyFill="1" applyBorder="1" applyAlignment="1">
      <alignment horizontal="center" vertical="center"/>
    </xf>
    <xf numFmtId="0" fontId="3" fillId="7" borderId="62" xfId="0" applyFont="1" applyFill="1" applyBorder="1" applyAlignment="1">
      <alignment horizontal="center" vertical="center"/>
    </xf>
    <xf numFmtId="0" fontId="8" fillId="3" borderId="31" xfId="0" applyFont="1" applyFill="1" applyBorder="1" applyAlignment="1">
      <alignment horizontal="left" vertical="center"/>
    </xf>
    <xf numFmtId="0" fontId="8" fillId="3" borderId="39" xfId="0" applyFont="1" applyFill="1" applyBorder="1" applyAlignment="1">
      <alignment horizontal="left" vertical="center"/>
    </xf>
    <xf numFmtId="0" fontId="8" fillId="3" borderId="122" xfId="0" applyFont="1" applyFill="1" applyBorder="1" applyAlignment="1">
      <alignment horizontal="left" vertical="center"/>
    </xf>
    <xf numFmtId="0" fontId="8" fillId="3" borderId="101" xfId="0" applyFont="1" applyFill="1" applyBorder="1" applyAlignment="1">
      <alignment horizontal="left" vertical="center"/>
    </xf>
    <xf numFmtId="0" fontId="19" fillId="2" borderId="48" xfId="0" applyFont="1" applyFill="1" applyBorder="1" applyAlignment="1">
      <alignment horizontal="center" vertical="center" wrapText="1"/>
    </xf>
    <xf numFmtId="0" fontId="8" fillId="3" borderId="0" xfId="0" applyFont="1" applyFill="1" applyBorder="1" applyAlignment="1">
      <alignment horizontal="left" vertical="center"/>
    </xf>
    <xf numFmtId="49" fontId="34" fillId="4" borderId="119" xfId="1" applyNumberFormat="1" applyFont="1" applyFill="1" applyBorder="1" applyAlignment="1">
      <alignment horizontal="center" vertical="center"/>
    </xf>
    <xf numFmtId="49" fontId="34" fillId="4" borderId="26" xfId="1" applyNumberFormat="1" applyFont="1" applyFill="1" applyBorder="1" applyAlignment="1">
      <alignment horizontal="center" vertical="center"/>
    </xf>
    <xf numFmtId="49" fontId="34" fillId="4" borderId="23" xfId="1" applyNumberFormat="1" applyFont="1" applyFill="1" applyBorder="1" applyAlignment="1">
      <alignment horizontal="center" vertical="center"/>
    </xf>
    <xf numFmtId="49" fontId="5" fillId="4" borderId="9" xfId="1" applyNumberFormat="1" applyFont="1" applyFill="1" applyBorder="1" applyAlignment="1">
      <alignment horizontal="center" vertical="center"/>
    </xf>
    <xf numFmtId="0" fontId="20" fillId="2" borderId="41" xfId="0" applyFont="1" applyFill="1" applyBorder="1" applyAlignment="1">
      <alignment vertical="center" wrapText="1"/>
    </xf>
    <xf numFmtId="0" fontId="20" fillId="2" borderId="49" xfId="0" applyFont="1" applyFill="1" applyBorder="1" applyAlignment="1">
      <alignment vertical="center" wrapText="1"/>
    </xf>
    <xf numFmtId="0" fontId="20" fillId="2" borderId="41" xfId="0" applyFont="1" applyFill="1" applyBorder="1" applyAlignment="1">
      <alignment horizontal="left" vertical="center" wrapText="1"/>
    </xf>
    <xf numFmtId="0" fontId="20" fillId="2" borderId="49" xfId="0" applyFont="1" applyFill="1" applyBorder="1" applyAlignment="1">
      <alignment horizontal="left" vertical="center" wrapText="1"/>
    </xf>
    <xf numFmtId="0" fontId="11" fillId="4" borderId="40" xfId="0" applyFont="1" applyFill="1" applyBorder="1" applyAlignment="1">
      <alignment horizontal="center" vertical="center"/>
    </xf>
    <xf numFmtId="49" fontId="5" fillId="4" borderId="17" xfId="1" applyNumberFormat="1" applyFont="1" applyFill="1" applyBorder="1" applyAlignment="1">
      <alignment horizontal="center" vertical="center"/>
    </xf>
    <xf numFmtId="49" fontId="5" fillId="4" borderId="30" xfId="1" applyNumberFormat="1" applyFont="1" applyFill="1" applyBorder="1" applyAlignment="1">
      <alignment horizontal="center" vertical="center"/>
    </xf>
    <xf numFmtId="0" fontId="20" fillId="2" borderId="48" xfId="0" applyFont="1" applyFill="1" applyBorder="1" applyAlignment="1">
      <alignment horizontal="left" vertical="center" wrapText="1"/>
    </xf>
    <xf numFmtId="0" fontId="17" fillId="0" borderId="67" xfId="0" applyFont="1" applyBorder="1" applyAlignment="1">
      <alignment horizontal="left" vertical="top" wrapText="1"/>
    </xf>
    <xf numFmtId="0" fontId="17" fillId="0" borderId="68" xfId="0" applyFont="1" applyBorder="1" applyAlignment="1">
      <alignment horizontal="left" vertical="top" wrapText="1"/>
    </xf>
    <xf numFmtId="0" fontId="17" fillId="0" borderId="69" xfId="0" applyFont="1" applyBorder="1" applyAlignment="1">
      <alignment horizontal="left" vertical="top" wrapText="1"/>
    </xf>
    <xf numFmtId="0" fontId="17" fillId="0" borderId="70" xfId="0" applyFont="1" applyBorder="1" applyAlignment="1">
      <alignment horizontal="left" vertical="top" wrapText="1"/>
    </xf>
    <xf numFmtId="0" fontId="17" fillId="0" borderId="0" xfId="0" applyFont="1" applyBorder="1" applyAlignment="1">
      <alignment horizontal="left" vertical="top" wrapText="1"/>
    </xf>
    <xf numFmtId="0" fontId="17" fillId="0" borderId="71" xfId="0" applyFont="1" applyBorder="1" applyAlignment="1">
      <alignment horizontal="left" vertical="top" wrapText="1"/>
    </xf>
    <xf numFmtId="0" fontId="17" fillId="0" borderId="72" xfId="0" applyFont="1" applyBorder="1" applyAlignment="1">
      <alignment horizontal="left" vertical="top" wrapText="1"/>
    </xf>
    <xf numFmtId="0" fontId="17" fillId="0" borderId="73" xfId="0" applyFont="1" applyBorder="1" applyAlignment="1">
      <alignment horizontal="left" vertical="top" wrapText="1"/>
    </xf>
    <xf numFmtId="0" fontId="17" fillId="0" borderId="74" xfId="0" applyFont="1" applyBorder="1" applyAlignment="1">
      <alignment horizontal="left" vertical="top" wrapText="1"/>
    </xf>
    <xf numFmtId="0" fontId="28" fillId="0" borderId="67" xfId="0" applyFont="1" applyBorder="1" applyAlignment="1" applyProtection="1">
      <alignment horizontal="left" vertical="top"/>
      <protection locked="0"/>
    </xf>
    <xf numFmtId="0" fontId="28" fillId="0" borderId="68" xfId="0" applyFont="1" applyBorder="1" applyAlignment="1" applyProtection="1">
      <alignment horizontal="left" vertical="top"/>
      <protection locked="0"/>
    </xf>
    <xf numFmtId="0" fontId="28" fillId="0" borderId="69" xfId="0" applyFont="1" applyBorder="1" applyAlignment="1" applyProtection="1">
      <alignment horizontal="left" vertical="top"/>
      <protection locked="0"/>
    </xf>
    <xf numFmtId="0" fontId="28" fillId="0" borderId="70" xfId="0" applyFont="1" applyBorder="1" applyAlignment="1" applyProtection="1">
      <alignment horizontal="left" vertical="top"/>
      <protection locked="0"/>
    </xf>
    <xf numFmtId="0" fontId="28" fillId="0" borderId="0" xfId="0" applyFont="1" applyBorder="1" applyAlignment="1" applyProtection="1">
      <alignment horizontal="left" vertical="top"/>
      <protection locked="0"/>
    </xf>
    <xf numFmtId="0" fontId="28" fillId="0" borderId="71" xfId="0" applyFont="1" applyBorder="1" applyAlignment="1" applyProtection="1">
      <alignment horizontal="left" vertical="top"/>
      <protection locked="0"/>
    </xf>
    <xf numFmtId="0" fontId="28" fillId="0" borderId="72" xfId="0" applyFont="1" applyBorder="1" applyAlignment="1" applyProtection="1">
      <alignment horizontal="left" vertical="top"/>
      <protection locked="0"/>
    </xf>
    <xf numFmtId="0" fontId="28" fillId="0" borderId="73" xfId="0" applyFont="1" applyBorder="1" applyAlignment="1" applyProtection="1">
      <alignment horizontal="left" vertical="top"/>
      <protection locked="0"/>
    </xf>
    <xf numFmtId="0" fontId="28" fillId="0" borderId="74" xfId="0" applyFont="1" applyBorder="1" applyAlignment="1" applyProtection="1">
      <alignment horizontal="left" vertical="top"/>
      <protection locked="0"/>
    </xf>
    <xf numFmtId="0" fontId="21" fillId="12" borderId="65" xfId="0" applyFont="1" applyFill="1" applyBorder="1" applyAlignment="1">
      <alignment horizontal="center" vertical="top" wrapText="1"/>
    </xf>
    <xf numFmtId="0" fontId="21" fillId="12" borderId="0" xfId="0" applyFont="1" applyFill="1" applyBorder="1" applyAlignment="1">
      <alignment horizontal="center" vertical="top" wrapText="1"/>
    </xf>
    <xf numFmtId="0" fontId="21" fillId="12" borderId="66" xfId="0" applyFont="1" applyFill="1" applyBorder="1" applyAlignment="1">
      <alignment horizontal="center" vertical="top" wrapText="1"/>
    </xf>
    <xf numFmtId="0" fontId="21" fillId="12" borderId="0" xfId="0" applyFont="1" applyFill="1" applyBorder="1" applyAlignment="1">
      <alignment horizontal="left" vertical="top" wrapText="1"/>
    </xf>
    <xf numFmtId="0" fontId="21" fillId="12" borderId="55" xfId="0" applyFont="1" applyFill="1" applyBorder="1" applyAlignment="1">
      <alignment horizontal="left" vertical="top" wrapText="1"/>
    </xf>
    <xf numFmtId="0" fontId="20" fillId="0" borderId="75" xfId="0" applyFont="1" applyBorder="1" applyAlignment="1">
      <alignment horizontal="left" vertical="top" wrapText="1"/>
    </xf>
    <xf numFmtId="0" fontId="20" fillId="0" borderId="76" xfId="0" applyFont="1" applyBorder="1" applyAlignment="1">
      <alignment horizontal="left" vertical="top" wrapText="1"/>
    </xf>
    <xf numFmtId="0" fontId="20" fillId="0" borderId="77" xfId="0" applyFont="1" applyBorder="1" applyAlignment="1">
      <alignment horizontal="left" vertical="top" wrapText="1"/>
    </xf>
    <xf numFmtId="0" fontId="20" fillId="0" borderId="78" xfId="0" applyFont="1" applyBorder="1" applyAlignment="1">
      <alignment horizontal="left" vertical="top" wrapText="1"/>
    </xf>
    <xf numFmtId="0" fontId="20" fillId="0" borderId="0" xfId="0" applyFont="1" applyBorder="1" applyAlignment="1">
      <alignment horizontal="left" vertical="top" wrapText="1"/>
    </xf>
    <xf numFmtId="0" fontId="20" fillId="0" borderId="79" xfId="0" applyFont="1" applyBorder="1" applyAlignment="1">
      <alignment horizontal="left" vertical="top" wrapText="1"/>
    </xf>
    <xf numFmtId="0" fontId="20" fillId="0" borderId="80" xfId="0" applyFont="1" applyBorder="1" applyAlignment="1">
      <alignment horizontal="left" vertical="top" wrapText="1"/>
    </xf>
    <xf numFmtId="0" fontId="20" fillId="0" borderId="81" xfId="0" applyFont="1" applyBorder="1" applyAlignment="1">
      <alignment horizontal="left" vertical="top" wrapText="1"/>
    </xf>
    <xf numFmtId="0" fontId="20" fillId="0" borderId="82" xfId="0" applyFont="1" applyBorder="1" applyAlignment="1">
      <alignment horizontal="left" vertical="top" wrapText="1"/>
    </xf>
    <xf numFmtId="0" fontId="26" fillId="13" borderId="83" xfId="0" applyFont="1" applyFill="1" applyBorder="1" applyAlignment="1">
      <alignment horizontal="center" vertical="center" wrapText="1"/>
    </xf>
    <xf numFmtId="0" fontId="26" fillId="13" borderId="84" xfId="0" applyFont="1" applyFill="1" applyBorder="1" applyAlignment="1">
      <alignment horizontal="center" vertical="center" wrapText="1"/>
    </xf>
    <xf numFmtId="0" fontId="26" fillId="13" borderId="86" xfId="0" applyFont="1" applyFill="1" applyBorder="1" applyAlignment="1">
      <alignment horizontal="center" vertical="center" wrapText="1"/>
    </xf>
    <xf numFmtId="0" fontId="26" fillId="13" borderId="85" xfId="0" applyFont="1" applyFill="1" applyBorder="1" applyAlignment="1">
      <alignment horizontal="center" vertical="center" wrapText="1"/>
    </xf>
    <xf numFmtId="0" fontId="27" fillId="0" borderId="75" xfId="0" applyFont="1" applyBorder="1" applyAlignment="1" applyProtection="1">
      <alignment horizontal="left" vertical="top" wrapText="1"/>
      <protection locked="0"/>
    </xf>
    <xf numFmtId="0" fontId="27" fillId="0" borderId="76" xfId="0" applyFont="1" applyBorder="1" applyAlignment="1" applyProtection="1">
      <alignment horizontal="left" vertical="top" wrapText="1"/>
      <protection locked="0"/>
    </xf>
    <xf numFmtId="0" fontId="27" fillId="0" borderId="77" xfId="0" applyFont="1" applyBorder="1" applyAlignment="1" applyProtection="1">
      <alignment horizontal="left" vertical="top" wrapText="1"/>
      <protection locked="0"/>
    </xf>
    <xf numFmtId="0" fontId="27" fillId="0" borderId="78" xfId="0" applyFont="1" applyBorder="1" applyAlignment="1" applyProtection="1">
      <alignment horizontal="left" vertical="top" wrapText="1"/>
      <protection locked="0"/>
    </xf>
    <xf numFmtId="0" fontId="27" fillId="0" borderId="0" xfId="0" applyFont="1" applyBorder="1" applyAlignment="1" applyProtection="1">
      <alignment horizontal="left" vertical="top" wrapText="1"/>
      <protection locked="0"/>
    </xf>
    <xf numFmtId="0" fontId="27" fillId="0" borderId="79" xfId="0" applyFont="1" applyBorder="1" applyAlignment="1" applyProtection="1">
      <alignment horizontal="left" vertical="top" wrapText="1"/>
      <protection locked="0"/>
    </xf>
    <xf numFmtId="0" fontId="27" fillId="0" borderId="80" xfId="0" applyFont="1" applyBorder="1" applyAlignment="1" applyProtection="1">
      <alignment horizontal="left" vertical="top" wrapText="1"/>
      <protection locked="0"/>
    </xf>
    <xf numFmtId="0" fontId="27" fillId="0" borderId="81" xfId="0" applyFont="1" applyBorder="1" applyAlignment="1" applyProtection="1">
      <alignment horizontal="left" vertical="top" wrapText="1"/>
      <protection locked="0"/>
    </xf>
    <xf numFmtId="0" fontId="27" fillId="0" borderId="82" xfId="0" applyFont="1" applyBorder="1" applyAlignment="1" applyProtection="1">
      <alignment horizontal="left" vertical="top" wrapText="1"/>
      <protection locked="0"/>
    </xf>
    <xf numFmtId="0" fontId="35" fillId="0" borderId="48" xfId="0" applyFont="1" applyFill="1" applyBorder="1" applyAlignment="1">
      <alignment vertical="center" wrapText="1"/>
    </xf>
    <xf numFmtId="0" fontId="35" fillId="0" borderId="41" xfId="0" applyFont="1" applyFill="1" applyBorder="1" applyAlignment="1">
      <alignment vertical="center" wrapText="1"/>
    </xf>
    <xf numFmtId="0" fontId="35" fillId="0" borderId="49" xfId="0" applyFont="1" applyFill="1" applyBorder="1" applyAlignment="1">
      <alignment vertical="center" wrapText="1"/>
    </xf>
    <xf numFmtId="0" fontId="35" fillId="0" borderId="32" xfId="0" applyFont="1" applyFill="1" applyBorder="1" applyAlignment="1">
      <alignment vertical="center" wrapText="1"/>
    </xf>
    <xf numFmtId="0" fontId="33" fillId="2" borderId="48" xfId="0" applyFont="1" applyFill="1" applyBorder="1" applyAlignment="1">
      <alignment horizontal="center" vertical="center" wrapText="1"/>
    </xf>
    <xf numFmtId="0" fontId="33" fillId="2" borderId="41" xfId="0" applyFont="1" applyFill="1" applyBorder="1" applyAlignment="1">
      <alignment horizontal="center" vertical="center" wrapText="1"/>
    </xf>
    <xf numFmtId="0" fontId="33" fillId="2" borderId="49" xfId="0" applyFont="1" applyFill="1" applyBorder="1" applyAlignment="1">
      <alignment horizontal="center" vertical="center" wrapText="1"/>
    </xf>
    <xf numFmtId="0" fontId="9" fillId="10" borderId="48" xfId="0" applyFont="1" applyFill="1" applyBorder="1" applyAlignment="1">
      <alignment horizontal="center" vertical="center" wrapText="1"/>
    </xf>
    <xf numFmtId="0" fontId="9" fillId="10" borderId="41" xfId="0" applyFont="1" applyFill="1" applyBorder="1" applyAlignment="1">
      <alignment horizontal="center" vertical="center" wrapText="1"/>
    </xf>
    <xf numFmtId="0" fontId="9" fillId="10" borderId="49" xfId="0" applyFont="1" applyFill="1" applyBorder="1" applyAlignment="1">
      <alignment horizontal="center" vertical="center" wrapText="1"/>
    </xf>
    <xf numFmtId="0" fontId="35" fillId="0" borderId="41" xfId="0" applyFont="1" applyBorder="1" applyAlignment="1">
      <alignment vertical="center"/>
    </xf>
    <xf numFmtId="0" fontId="20" fillId="6" borderId="31" xfId="0" applyFont="1" applyFill="1" applyBorder="1" applyAlignment="1">
      <alignment horizontal="center" vertical="center"/>
    </xf>
    <xf numFmtId="0" fontId="20" fillId="6" borderId="39" xfId="0" applyFont="1" applyFill="1" applyBorder="1" applyAlignment="1">
      <alignment horizontal="center" vertical="center"/>
    </xf>
    <xf numFmtId="0" fontId="20" fillId="6" borderId="101" xfId="0" applyFont="1" applyFill="1" applyBorder="1" applyAlignment="1">
      <alignment horizontal="center" vertical="center"/>
    </xf>
    <xf numFmtId="0" fontId="8" fillId="3" borderId="46" xfId="0" applyFont="1" applyFill="1" applyBorder="1" applyAlignment="1">
      <alignment horizontal="left" vertical="center"/>
    </xf>
    <xf numFmtId="0" fontId="8" fillId="3" borderId="120" xfId="0" applyFont="1" applyFill="1" applyBorder="1" applyAlignment="1">
      <alignment horizontal="left" vertical="center"/>
    </xf>
    <xf numFmtId="0" fontId="8" fillId="3" borderId="121" xfId="0" applyFont="1" applyFill="1" applyBorder="1" applyAlignment="1">
      <alignment horizontal="left" vertical="center"/>
    </xf>
    <xf numFmtId="0" fontId="20" fillId="2" borderId="32" xfId="0" applyFont="1" applyFill="1" applyBorder="1" applyAlignment="1">
      <alignment vertical="top" wrapText="1"/>
    </xf>
    <xf numFmtId="0" fontId="20" fillId="2" borderId="22" xfId="0" applyFont="1" applyFill="1" applyBorder="1" applyAlignment="1">
      <alignment vertical="top" wrapText="1"/>
    </xf>
    <xf numFmtId="0" fontId="20" fillId="2" borderId="32" xfId="0" applyFont="1" applyFill="1" applyBorder="1" applyAlignment="1">
      <alignment horizontal="left" wrapText="1"/>
    </xf>
    <xf numFmtId="0" fontId="20" fillId="2" borderId="22" xfId="0" applyFont="1" applyFill="1" applyBorder="1" applyAlignment="1">
      <alignment horizontal="left" wrapText="1"/>
    </xf>
    <xf numFmtId="0" fontId="11" fillId="4" borderId="32" xfId="0" applyFont="1" applyFill="1" applyBorder="1" applyAlignment="1">
      <alignment horizontal="center" vertical="center"/>
    </xf>
    <xf numFmtId="0" fontId="11" fillId="4" borderId="22" xfId="0" applyFont="1" applyFill="1" applyBorder="1" applyAlignment="1">
      <alignment horizontal="center" vertical="center"/>
    </xf>
    <xf numFmtId="0" fontId="18" fillId="0" borderId="39" xfId="0" applyFont="1" applyBorder="1" applyAlignment="1">
      <alignment horizontal="center" wrapText="1"/>
    </xf>
    <xf numFmtId="0" fontId="20" fillId="0" borderId="31" xfId="0" applyFont="1" applyBorder="1" applyAlignment="1">
      <alignment horizontal="center" vertical="center"/>
    </xf>
    <xf numFmtId="0" fontId="20" fillId="0" borderId="39" xfId="0" applyFont="1" applyBorder="1" applyAlignment="1">
      <alignment horizontal="center" vertical="center"/>
    </xf>
    <xf numFmtId="0" fontId="20" fillId="0" borderId="101" xfId="0" applyFont="1" applyBorder="1" applyAlignment="1">
      <alignment horizontal="center" vertical="center"/>
    </xf>
    <xf numFmtId="0" fontId="18" fillId="0" borderId="39" xfId="0" applyFont="1" applyBorder="1" applyAlignment="1">
      <alignment horizontal="center" vertical="center" wrapText="1"/>
    </xf>
    <xf numFmtId="0" fontId="18" fillId="0" borderId="101" xfId="0" applyFont="1" applyBorder="1" applyAlignment="1">
      <alignment horizontal="center" vertical="center" wrapText="1"/>
    </xf>
    <xf numFmtId="0" fontId="18" fillId="0" borderId="31" xfId="0" applyFont="1" applyBorder="1" applyAlignment="1">
      <alignment horizontal="center" vertical="center" wrapText="1"/>
    </xf>
    <xf numFmtId="0" fontId="3" fillId="4" borderId="9" xfId="0" applyFont="1" applyFill="1" applyBorder="1" applyAlignment="1">
      <alignment horizontal="center" wrapText="1"/>
    </xf>
    <xf numFmtId="0" fontId="3" fillId="4" borderId="14" xfId="0" applyFont="1" applyFill="1" applyBorder="1" applyAlignment="1">
      <alignment horizontal="center" wrapText="1"/>
    </xf>
    <xf numFmtId="0" fontId="3" fillId="7" borderId="17" xfId="0" applyFont="1" applyFill="1" applyBorder="1" applyAlignment="1">
      <alignment horizontal="center" vertical="center"/>
    </xf>
    <xf numFmtId="0" fontId="3" fillId="7" borderId="37" xfId="0" applyFont="1" applyFill="1" applyBorder="1" applyAlignment="1">
      <alignment horizontal="center" vertical="center"/>
    </xf>
    <xf numFmtId="0" fontId="3" fillId="8" borderId="30" xfId="0" applyFont="1" applyFill="1" applyBorder="1" applyAlignment="1">
      <alignment horizontal="center" vertical="center"/>
    </xf>
    <xf numFmtId="0" fontId="3" fillId="8" borderId="27" xfId="0" applyFont="1" applyFill="1" applyBorder="1" applyAlignment="1">
      <alignment horizontal="center" vertical="center"/>
    </xf>
    <xf numFmtId="0" fontId="11" fillId="4" borderId="46" xfId="0" applyFont="1" applyFill="1" applyBorder="1" applyAlignment="1">
      <alignment horizontal="center" vertical="center"/>
    </xf>
    <xf numFmtId="0" fontId="20" fillId="2" borderId="48" xfId="0" applyFont="1" applyFill="1" applyBorder="1" applyAlignment="1">
      <alignment vertical="center" wrapText="1"/>
    </xf>
    <xf numFmtId="0" fontId="3" fillId="4" borderId="118" xfId="0" applyFont="1" applyFill="1" applyBorder="1" applyAlignment="1">
      <alignment horizontal="center" vertical="center" wrapText="1"/>
    </xf>
    <xf numFmtId="0" fontId="3" fillId="4" borderId="62" xfId="0" applyFont="1" applyFill="1" applyBorder="1" applyAlignment="1">
      <alignment horizontal="center" vertical="center" wrapText="1"/>
    </xf>
    <xf numFmtId="0" fontId="20" fillId="0" borderId="31" xfId="0" applyFont="1" applyBorder="1" applyAlignment="1">
      <alignment horizontal="center" vertical="center" wrapText="1"/>
    </xf>
    <xf numFmtId="0" fontId="20" fillId="0" borderId="101" xfId="0" applyFont="1" applyBorder="1" applyAlignment="1">
      <alignment horizontal="center" vertical="center" wrapText="1"/>
    </xf>
    <xf numFmtId="0" fontId="15" fillId="8" borderId="118" xfId="0" applyFont="1" applyFill="1" applyBorder="1" applyAlignment="1">
      <alignment horizontal="center" vertical="center" wrapText="1"/>
    </xf>
    <xf numFmtId="0" fontId="15" fillId="8" borderId="62" xfId="0" applyFont="1" applyFill="1" applyBorder="1" applyAlignment="1">
      <alignment horizontal="center" vertical="center" wrapText="1"/>
    </xf>
    <xf numFmtId="0" fontId="8" fillId="3" borderId="56" xfId="0" applyFont="1" applyFill="1" applyBorder="1" applyAlignment="1">
      <alignment horizontal="left" vertical="center"/>
    </xf>
    <xf numFmtId="0" fontId="8" fillId="3" borderId="51" xfId="0" applyFont="1" applyFill="1" applyBorder="1" applyAlignment="1">
      <alignment horizontal="left" vertical="center"/>
    </xf>
    <xf numFmtId="0" fontId="8" fillId="3" borderId="15" xfId="0" applyFont="1" applyFill="1" applyBorder="1" applyAlignment="1">
      <alignment horizontal="left" vertical="center"/>
    </xf>
    <xf numFmtId="0" fontId="8" fillId="3" borderId="16" xfId="0" applyFont="1" applyFill="1" applyBorder="1" applyAlignment="1">
      <alignment horizontal="left" vertical="center"/>
    </xf>
    <xf numFmtId="0" fontId="8" fillId="3" borderId="43" xfId="0" applyFont="1" applyFill="1" applyBorder="1" applyAlignment="1">
      <alignment horizontal="left" vertical="center"/>
    </xf>
    <xf numFmtId="0" fontId="36" fillId="9" borderId="31" xfId="0" applyFont="1" applyFill="1" applyBorder="1" applyAlignment="1">
      <alignment horizontal="center" vertical="center" wrapText="1"/>
    </xf>
    <xf numFmtId="0" fontId="36" fillId="9" borderId="39" xfId="0" applyFont="1" applyFill="1" applyBorder="1" applyAlignment="1">
      <alignment horizontal="center" vertical="center" wrapText="1"/>
    </xf>
    <xf numFmtId="0" fontId="36" fillId="9" borderId="101" xfId="0" applyFont="1" applyFill="1" applyBorder="1" applyAlignment="1">
      <alignment horizontal="center" vertical="center" wrapText="1"/>
    </xf>
    <xf numFmtId="0" fontId="3" fillId="0" borderId="0" xfId="0" applyFont="1" applyAlignment="1">
      <alignment horizontal="center" wrapText="1"/>
    </xf>
    <xf numFmtId="0" fontId="15" fillId="7" borderId="118" xfId="0" applyFont="1" applyFill="1" applyBorder="1" applyAlignment="1">
      <alignment horizontal="center" vertical="center"/>
    </xf>
    <xf numFmtId="0" fontId="15" fillId="7" borderId="62" xfId="0" applyFont="1" applyFill="1" applyBorder="1" applyAlignment="1">
      <alignment horizontal="center" vertical="center"/>
    </xf>
    <xf numFmtId="0" fontId="15" fillId="4" borderId="52" xfId="0" applyFont="1" applyFill="1" applyBorder="1" applyAlignment="1">
      <alignment horizontal="center" wrapText="1"/>
    </xf>
    <xf numFmtId="0" fontId="15" fillId="4" borderId="51" xfId="0" applyFont="1" applyFill="1" applyBorder="1" applyAlignment="1">
      <alignment horizontal="center" wrapText="1"/>
    </xf>
    <xf numFmtId="0" fontId="11" fillId="4" borderId="48" xfId="0" applyFont="1" applyFill="1" applyBorder="1" applyAlignment="1">
      <alignment horizontal="center" vertical="center"/>
    </xf>
    <xf numFmtId="0" fontId="11" fillId="4" borderId="49" xfId="0" applyFont="1" applyFill="1" applyBorder="1" applyAlignment="1">
      <alignment horizontal="center" vertical="center"/>
    </xf>
    <xf numFmtId="0" fontId="15" fillId="2" borderId="48" xfId="0" applyFont="1" applyFill="1" applyBorder="1" applyAlignment="1">
      <alignment horizontal="left" wrapText="1"/>
    </xf>
    <xf numFmtId="0" fontId="15" fillId="2" borderId="49" xfId="0" applyFont="1" applyFill="1" applyBorder="1" applyAlignment="1">
      <alignment horizontal="left" wrapText="1"/>
    </xf>
    <xf numFmtId="0" fontId="15" fillId="2" borderId="48" xfId="0" applyFont="1" applyFill="1" applyBorder="1" applyAlignment="1">
      <alignment vertical="top" wrapText="1"/>
    </xf>
    <xf numFmtId="0" fontId="15" fillId="2" borderId="41" xfId="0" applyFont="1" applyFill="1" applyBorder="1" applyAlignment="1">
      <alignment vertical="top" wrapText="1"/>
    </xf>
    <xf numFmtId="0" fontId="15" fillId="8" borderId="47" xfId="0" applyFont="1" applyFill="1" applyBorder="1" applyAlignment="1">
      <alignment horizontal="center" vertical="center"/>
    </xf>
    <xf numFmtId="0" fontId="15" fillId="8" borderId="56" xfId="0" applyFont="1" applyFill="1" applyBorder="1" applyAlignment="1">
      <alignment horizontal="center" vertical="center"/>
    </xf>
    <xf numFmtId="0" fontId="3" fillId="7" borderId="121" xfId="0" applyFont="1" applyFill="1" applyBorder="1" applyAlignment="1">
      <alignment horizontal="center" vertical="center"/>
    </xf>
    <xf numFmtId="0" fontId="3" fillId="7" borderId="60" xfId="0" applyFont="1" applyFill="1" applyBorder="1" applyAlignment="1">
      <alignment horizontal="center" vertical="center"/>
    </xf>
    <xf numFmtId="0" fontId="9" fillId="8" borderId="48" xfId="0" applyFont="1" applyFill="1" applyBorder="1" applyAlignment="1">
      <alignment horizontal="center" vertical="center" wrapText="1"/>
    </xf>
    <xf numFmtId="0" fontId="9" fillId="8" borderId="41" xfId="0" applyFont="1" applyFill="1" applyBorder="1" applyAlignment="1">
      <alignment horizontal="center" vertical="center" wrapText="1"/>
    </xf>
    <xf numFmtId="0" fontId="9" fillId="8" borderId="49" xfId="0" applyFont="1" applyFill="1" applyBorder="1" applyAlignment="1">
      <alignment horizontal="center" vertical="center" wrapText="1"/>
    </xf>
    <xf numFmtId="0" fontId="15" fillId="7" borderId="48" xfId="0" applyFont="1" applyFill="1" applyBorder="1" applyAlignment="1">
      <alignment horizontal="center" vertical="center" wrapText="1"/>
    </xf>
    <xf numFmtId="0" fontId="15" fillId="7" borderId="49" xfId="0" applyFont="1" applyFill="1" applyBorder="1" applyAlignment="1">
      <alignment horizontal="center" vertical="center" wrapText="1"/>
    </xf>
    <xf numFmtId="0" fontId="20" fillId="0" borderId="48" xfId="0" applyFont="1" applyBorder="1" applyAlignment="1">
      <alignment vertical="center" wrapText="1"/>
    </xf>
    <xf numFmtId="0" fontId="20" fillId="0" borderId="41" xfId="0" applyFont="1" applyBorder="1" applyAlignment="1">
      <alignment vertical="center" wrapText="1"/>
    </xf>
    <xf numFmtId="0" fontId="20" fillId="0" borderId="49" xfId="0" applyFont="1" applyBorder="1" applyAlignment="1">
      <alignment vertical="center" wrapText="1"/>
    </xf>
    <xf numFmtId="0" fontId="20" fillId="0" borderId="48" xfId="0" applyFont="1" applyBorder="1" applyAlignment="1">
      <alignment vertical="center"/>
    </xf>
    <xf numFmtId="0" fontId="20" fillId="0" borderId="41" xfId="0" applyFont="1" applyBorder="1" applyAlignment="1">
      <alignment vertical="center"/>
    </xf>
    <xf numFmtId="0" fontId="20" fillId="0" borderId="49" xfId="0" applyFont="1" applyBorder="1" applyAlignment="1">
      <alignment vertical="center"/>
    </xf>
    <xf numFmtId="0" fontId="29" fillId="2" borderId="48" xfId="0" applyFont="1" applyFill="1" applyBorder="1" applyAlignment="1">
      <alignment horizontal="center" vertical="center" wrapText="1"/>
    </xf>
    <xf numFmtId="0" fontId="29" fillId="2" borderId="41" xfId="0" applyFont="1" applyFill="1" applyBorder="1" applyAlignment="1">
      <alignment horizontal="center" vertical="center" wrapText="1"/>
    </xf>
    <xf numFmtId="0" fontId="29" fillId="2" borderId="49" xfId="0" applyFont="1" applyFill="1" applyBorder="1" applyAlignment="1">
      <alignment horizontal="center" vertical="center" wrapText="1"/>
    </xf>
    <xf numFmtId="0" fontId="8" fillId="5" borderId="131" xfId="0" applyFont="1" applyFill="1" applyBorder="1" applyAlignment="1">
      <alignment horizontal="left" vertical="center"/>
    </xf>
    <xf numFmtId="0" fontId="8" fillId="5" borderId="132" xfId="0" applyFont="1" applyFill="1" applyBorder="1" applyAlignment="1">
      <alignment horizontal="left" vertical="center"/>
    </xf>
    <xf numFmtId="0" fontId="8" fillId="5" borderId="133" xfId="0" applyFont="1" applyFill="1" applyBorder="1" applyAlignment="1">
      <alignment horizontal="left" vertical="center"/>
    </xf>
    <xf numFmtId="0" fontId="9" fillId="2" borderId="48" xfId="0" applyFont="1" applyFill="1" applyBorder="1" applyAlignment="1">
      <alignment horizontal="center" vertical="center" wrapText="1"/>
    </xf>
    <xf numFmtId="0" fontId="9" fillId="2" borderId="41" xfId="0" applyFont="1" applyFill="1" applyBorder="1" applyAlignment="1">
      <alignment horizontal="center" vertical="center" wrapText="1"/>
    </xf>
    <xf numFmtId="0" fontId="9" fillId="2" borderId="49" xfId="0" applyFont="1" applyFill="1" applyBorder="1" applyAlignment="1">
      <alignment horizontal="center" vertical="center" wrapText="1"/>
    </xf>
    <xf numFmtId="0" fontId="11" fillId="4" borderId="41" xfId="0" applyFont="1" applyFill="1" applyBorder="1" applyAlignment="1">
      <alignment horizontal="center" vertical="center"/>
    </xf>
    <xf numFmtId="0" fontId="3" fillId="7" borderId="89" xfId="0" applyFont="1" applyFill="1" applyBorder="1" applyAlignment="1">
      <alignment horizontal="center" vertical="center"/>
    </xf>
    <xf numFmtId="0" fontId="8" fillId="3" borderId="40" xfId="0" applyFont="1" applyFill="1" applyBorder="1" applyAlignment="1">
      <alignment horizontal="left" vertical="center"/>
    </xf>
    <xf numFmtId="0" fontId="3" fillId="8" borderId="41" xfId="0" applyFont="1" applyFill="1" applyBorder="1" applyAlignment="1">
      <alignment horizontal="center" vertical="center"/>
    </xf>
    <xf numFmtId="0" fontId="3" fillId="4" borderId="15" xfId="0" applyFont="1" applyFill="1" applyBorder="1" applyAlignment="1">
      <alignment horizontal="center" vertical="center" wrapText="1"/>
    </xf>
    <xf numFmtId="0" fontId="3" fillId="7" borderId="55" xfId="0" applyFont="1" applyFill="1" applyBorder="1" applyAlignment="1">
      <alignment horizontal="center" vertical="center"/>
    </xf>
    <xf numFmtId="49" fontId="5" fillId="4" borderId="11" xfId="1" applyNumberFormat="1" applyFont="1" applyFill="1" applyBorder="1" applyAlignment="1">
      <alignment horizontal="center" vertical="center"/>
    </xf>
    <xf numFmtId="0" fontId="8" fillId="5" borderId="159" xfId="0" applyFont="1" applyFill="1" applyBorder="1" applyAlignment="1">
      <alignment horizontal="left" vertical="center"/>
    </xf>
    <xf numFmtId="0" fontId="35" fillId="0" borderId="125" xfId="0" applyFont="1" applyBorder="1" applyAlignment="1">
      <alignment vertical="center"/>
    </xf>
    <xf numFmtId="0" fontId="35" fillId="0" borderId="124" xfId="0" applyFont="1" applyBorder="1" applyAlignment="1">
      <alignment vertical="center"/>
    </xf>
    <xf numFmtId="0" fontId="35" fillId="0" borderId="48" xfId="0" applyFont="1" applyBorder="1" applyAlignment="1">
      <alignment vertical="center"/>
    </xf>
    <xf numFmtId="0" fontId="35" fillId="0" borderId="49" xfId="0" applyFont="1" applyBorder="1" applyAlignment="1">
      <alignment vertical="center"/>
    </xf>
    <xf numFmtId="0" fontId="8" fillId="3" borderId="61" xfId="0" applyFont="1" applyFill="1" applyBorder="1" applyAlignment="1">
      <alignment horizontal="left" vertical="center"/>
    </xf>
    <xf numFmtId="0" fontId="8" fillId="3" borderId="89" xfId="0" applyFont="1" applyFill="1" applyBorder="1" applyAlignment="1">
      <alignment horizontal="left" vertical="center"/>
    </xf>
    <xf numFmtId="0" fontId="3" fillId="10" borderId="156" xfId="0" applyFont="1" applyFill="1" applyBorder="1" applyAlignment="1">
      <alignment horizontal="center" vertical="center" wrapText="1"/>
    </xf>
    <xf numFmtId="0" fontId="3" fillId="10" borderId="157" xfId="0" applyFont="1" applyFill="1" applyBorder="1" applyAlignment="1">
      <alignment horizontal="center" vertical="center" wrapText="1"/>
    </xf>
    <xf numFmtId="0" fontId="3" fillId="10" borderId="158" xfId="0" applyFont="1" applyFill="1" applyBorder="1" applyAlignment="1">
      <alignment horizontal="center" vertical="center" wrapText="1"/>
    </xf>
    <xf numFmtId="0" fontId="11" fillId="10" borderId="48" xfId="0" applyFont="1" applyFill="1" applyBorder="1" applyAlignment="1">
      <alignment horizontal="left" vertical="center" wrapText="1"/>
    </xf>
    <xf numFmtId="0" fontId="11" fillId="10" borderId="41" xfId="0" applyFont="1" applyFill="1" applyBorder="1" applyAlignment="1">
      <alignment horizontal="left" vertical="center" wrapText="1"/>
    </xf>
    <xf numFmtId="0" fontId="19" fillId="2" borderId="48" xfId="0" applyFont="1" applyFill="1" applyBorder="1" applyAlignment="1">
      <alignment horizontal="left" vertical="center" wrapText="1"/>
    </xf>
    <xf numFmtId="0" fontId="19" fillId="2" borderId="41" xfId="0" applyFont="1" applyFill="1" applyBorder="1" applyAlignment="1">
      <alignment horizontal="left" vertical="center" wrapText="1"/>
    </xf>
  </cellXfs>
  <cellStyles count="2">
    <cellStyle name="Normal" xfId="0" builtinId="0"/>
    <cellStyle name="Normal 3" xfId="1" xr:uid="{931A1C79-423E-4C1D-A52E-ECC68AACDB72}"/>
  </cellStyles>
  <dxfs count="623">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1"/>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ill>
        <patternFill>
          <bgColor rgb="FFFFFF00"/>
        </patternFill>
      </fill>
    </dxf>
    <dxf>
      <fill>
        <patternFill>
          <bgColor rgb="FFFFFF00"/>
        </patternFill>
      </fill>
    </dxf>
    <dxf>
      <font>
        <color theme="0"/>
      </font>
      <fill>
        <patternFill>
          <bgColor rgb="FFFF0000"/>
        </patternFill>
      </fill>
    </dxf>
    <dxf>
      <fill>
        <patternFill>
          <bgColor rgb="FFFFFF00"/>
        </patternFill>
      </fill>
    </dxf>
    <dxf>
      <font>
        <color theme="0"/>
      </font>
      <fill>
        <patternFill>
          <bgColor rgb="FFFF0000"/>
        </patternFill>
      </fill>
    </dxf>
    <dxf>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1"/>
      </font>
      <fill>
        <patternFill>
          <bgColor rgb="FFFFFF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1"/>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0"/>
      </font>
      <fill>
        <patternFill>
          <bgColor rgb="FFFF00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1"/>
      </font>
      <fill>
        <patternFill>
          <bgColor rgb="FFFFFF0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0"/>
      </font>
      <fill>
        <patternFill>
          <bgColor theme="0"/>
        </patternFill>
      </fill>
    </dxf>
    <dxf>
      <font>
        <color theme="0"/>
      </font>
      <fill>
        <patternFill>
          <bgColor theme="0"/>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color theme="9" tint="0.59996337778862885"/>
      </font>
      <fill>
        <patternFill>
          <bgColor theme="9" tint="0.59996337778862885"/>
        </patternFill>
      </fill>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ont>
        <color theme="9" tint="0.59996337778862885"/>
      </font>
      <fill>
        <patternFill>
          <bgColor theme="9" tint="0.59996337778862885"/>
        </patternFill>
      </fill>
    </dxf>
    <dxf>
      <font>
        <color theme="9" tint="0.59996337778862885"/>
      </font>
      <fill>
        <patternFill>
          <bgColor theme="9" tint="0.59996337778862885"/>
        </patternFill>
      </fill>
    </dxf>
    <dxf>
      <font>
        <color theme="9" tint="0.59996337778862885"/>
      </font>
      <fill>
        <patternFill>
          <bgColor theme="9" tint="0.59996337778862885"/>
        </patternFill>
      </fill>
    </dxf>
    <dxf>
      <font>
        <b/>
        <i val="0"/>
        <color theme="0"/>
      </font>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dxf>
    <dxf>
      <font>
        <b/>
        <i val="0"/>
      </font>
      <fill>
        <patternFill>
          <bgColor rgb="FFFFFF00"/>
        </patternFill>
      </fill>
      <border>
        <left style="thin">
          <color auto="1"/>
        </left>
        <right style="thin">
          <color auto="1"/>
        </right>
        <top style="thin">
          <color auto="1"/>
        </top>
        <bottom style="thin">
          <color auto="1"/>
        </bottom>
        <vertical/>
        <horizontal/>
      </border>
    </dxf>
    <dxf>
      <font>
        <b/>
        <i val="0"/>
      </font>
      <fill>
        <patternFill>
          <bgColor rgb="FFFFFF00"/>
        </patternFill>
      </fill>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patternFill>
          <bgColor rgb="FFFF0000"/>
        </pattern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patternFill>
          <bgColor rgb="FFFF0000"/>
        </patternFill>
      </fill>
      <border>
        <left style="thin">
          <color rgb="FFC00000"/>
        </left>
        <right style="thin">
          <color rgb="FFC00000"/>
        </right>
        <top style="thin">
          <color rgb="FFC00000"/>
        </top>
        <bottom style="thin">
          <color rgb="FFC00000"/>
        </bottom>
        <vertical/>
        <horizontal/>
      </border>
    </dxf>
    <dxf>
      <fill>
        <gradientFill degree="9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gradientFill degree="90">
          <stop position="0">
            <color rgb="FFFF0000"/>
          </stop>
          <stop position="1">
            <color rgb="FFFF0000"/>
          </stop>
        </gradientFill>
      </fill>
      <border>
        <left style="thin">
          <color auto="1"/>
        </left>
        <right style="thin">
          <color auto="1"/>
        </right>
        <top style="thin">
          <color auto="1"/>
        </top>
        <bottom style="thin">
          <color auto="1"/>
        </bottom>
        <vertical/>
        <horizontal/>
      </border>
    </dxf>
    <dxf>
      <font>
        <b/>
        <i val="0"/>
      </font>
      <fill>
        <patternFill>
          <bgColor rgb="FFFF0000"/>
        </patternFill>
      </fill>
      <border>
        <left style="thin">
          <color auto="1"/>
        </left>
        <right style="thin">
          <color auto="1"/>
        </right>
        <top style="thin">
          <color auto="1"/>
        </top>
        <bottom style="thin">
          <color auto="1"/>
        </bottom>
        <vertical/>
        <horizontal/>
      </border>
    </dxf>
    <dxf>
      <fill>
        <gradientFill degree="270">
          <stop position="0">
            <color rgb="FFFF0000"/>
          </stop>
          <stop position="1">
            <color rgb="FFFF0000"/>
          </stop>
        </gradientFill>
      </fill>
      <border>
        <left style="thin">
          <color rgb="FFC00000"/>
        </left>
        <right style="thin">
          <color rgb="FFC00000"/>
        </right>
        <top style="thin">
          <color rgb="FFC00000"/>
        </top>
        <bottom style="thin">
          <color rgb="FFC00000"/>
        </bottom>
        <vertical/>
        <horizontal/>
      </border>
    </dxf>
    <dxf>
      <font>
        <b/>
        <i/>
      </font>
      <fill>
        <patternFill patternType="solid">
          <fgColor rgb="FFFF0000"/>
          <bgColor rgb="FFFF0000"/>
        </patternFill>
      </fill>
      <border>
        <left style="hair">
          <color rgb="FFC00000"/>
        </left>
        <right style="hair">
          <color rgb="FFC00000"/>
        </right>
        <top style="hair">
          <color rgb="FFC00000"/>
        </top>
        <bottom style="hair">
          <color rgb="FFC00000"/>
        </bottom>
        <vertical/>
        <horizontal/>
      </border>
    </dxf>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AD82AD95-1030-4F11-9231-CBE77875848A}">
      <tableStyleElement type="wholeTable" dxfId="622"/>
      <tableStyleElement type="headerRow" dxfId="621"/>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C03A049-50D5-45C5-90FE-2DFC491C2753}">
  <sheetPr>
    <pageSetUpPr fitToPage="1"/>
  </sheetPr>
  <dimension ref="A1:F315"/>
  <sheetViews>
    <sheetView showGridLines="0" showWhiteSpace="0" zoomScale="40" zoomScaleNormal="40" zoomScalePageLayoutView="30" workbookViewId="0">
      <pane xSplit="4" ySplit="2" topLeftCell="E3" activePane="bottomRight" state="frozen"/>
      <selection pane="topRight" activeCell="D1" sqref="D1"/>
      <selection pane="bottomLeft" activeCell="A3" sqref="A3"/>
      <selection pane="bottomRight" activeCell="E5" sqref="E5"/>
    </sheetView>
  </sheetViews>
  <sheetFormatPr defaultColWidth="9" defaultRowHeight="31.15" x14ac:dyDescent="1.2"/>
  <cols>
    <col min="1" max="1" width="9.73046875" style="163" customWidth="1" collapsed="1"/>
    <col min="2" max="2" width="56.86328125" style="268" customWidth="1" collapsed="1"/>
    <col min="3" max="3" width="105.1328125" style="325" bestFit="1" customWidth="1" collapsed="1"/>
    <col min="4" max="4" width="15.73046875" style="320" bestFit="1" customWidth="1" collapsed="1"/>
    <col min="5" max="5" width="255.73046875" style="266" bestFit="1" customWidth="1" collapsed="1"/>
    <col min="6" max="6" width="211.59765625" style="267" bestFit="1" customWidth="1" collapsed="1"/>
    <col min="7" max="16384" width="9" style="163" collapsed="1"/>
  </cols>
  <sheetData>
    <row r="1" spans="2:6" ht="34.9" x14ac:dyDescent="1.45">
      <c r="B1" s="436" t="s">
        <v>72</v>
      </c>
      <c r="C1" s="437"/>
      <c r="D1" s="437"/>
      <c r="E1" s="437"/>
      <c r="F1" s="270"/>
    </row>
    <row r="2" spans="2:6" s="265" customFormat="1" ht="34.9" x14ac:dyDescent="1.45">
      <c r="B2" s="271" t="s">
        <v>17</v>
      </c>
      <c r="C2" s="322" t="s">
        <v>18</v>
      </c>
      <c r="D2" s="326" t="s">
        <v>20</v>
      </c>
      <c r="E2" s="272" t="s">
        <v>16</v>
      </c>
      <c r="F2" s="273" t="s">
        <v>430</v>
      </c>
    </row>
    <row r="3" spans="2:6" ht="34.9" x14ac:dyDescent="1.2">
      <c r="B3" s="433" t="s">
        <v>428</v>
      </c>
      <c r="C3" s="434"/>
      <c r="D3" s="434"/>
      <c r="E3" s="434"/>
      <c r="F3" s="435"/>
    </row>
    <row r="4" spans="2:6" ht="35.25" customHeight="1" thickBot="1" x14ac:dyDescent="1.25">
      <c r="B4" s="423" t="s">
        <v>647</v>
      </c>
      <c r="C4" s="424"/>
      <c r="D4" s="424"/>
      <c r="E4" s="424"/>
      <c r="F4" s="425"/>
    </row>
    <row r="5" spans="2:6" ht="35.25" thickBot="1" x14ac:dyDescent="1.25">
      <c r="B5" s="438" t="s">
        <v>75</v>
      </c>
      <c r="C5" s="143" t="s">
        <v>76</v>
      </c>
      <c r="D5" s="329" t="s">
        <v>80</v>
      </c>
      <c r="E5" s="180" t="s">
        <v>431</v>
      </c>
      <c r="F5" s="274" t="s">
        <v>432</v>
      </c>
    </row>
    <row r="6" spans="2:6" ht="35.25" thickBot="1" x14ac:dyDescent="1.25">
      <c r="B6" s="439"/>
      <c r="C6" s="144" t="s">
        <v>77</v>
      </c>
      <c r="D6" s="330" t="s">
        <v>81</v>
      </c>
      <c r="E6" s="180" t="s">
        <v>433</v>
      </c>
      <c r="F6" s="274" t="s">
        <v>434</v>
      </c>
    </row>
    <row r="7" spans="2:6" ht="35.25" thickBot="1" x14ac:dyDescent="1.25">
      <c r="B7" s="439"/>
      <c r="C7" s="144" t="s">
        <v>435</v>
      </c>
      <c r="D7" s="330" t="s">
        <v>82</v>
      </c>
      <c r="E7" s="180" t="s">
        <v>436</v>
      </c>
      <c r="F7" s="274" t="s">
        <v>437</v>
      </c>
    </row>
    <row r="8" spans="2:6" ht="35.25" thickBot="1" x14ac:dyDescent="1.25">
      <c r="B8" s="439"/>
      <c r="C8" s="144" t="s">
        <v>79</v>
      </c>
      <c r="D8" s="330" t="s">
        <v>83</v>
      </c>
      <c r="E8" s="180" t="s">
        <v>438</v>
      </c>
      <c r="F8" s="274" t="s">
        <v>437</v>
      </c>
    </row>
    <row r="9" spans="2:6" ht="35.25" thickBot="1" x14ac:dyDescent="1.25">
      <c r="B9" s="440"/>
      <c r="C9" s="145" t="s">
        <v>34</v>
      </c>
      <c r="D9" s="331" t="s">
        <v>84</v>
      </c>
      <c r="E9" s="180" t="s">
        <v>439</v>
      </c>
      <c r="F9" s="274" t="s">
        <v>434</v>
      </c>
    </row>
    <row r="10" spans="2:6" ht="35.25" thickBot="1" x14ac:dyDescent="1.25">
      <c r="B10" s="438" t="s">
        <v>76</v>
      </c>
      <c r="C10" s="140" t="s">
        <v>21</v>
      </c>
      <c r="D10" s="329" t="s">
        <v>85</v>
      </c>
      <c r="E10" s="180" t="s">
        <v>440</v>
      </c>
      <c r="F10" s="274" t="s">
        <v>441</v>
      </c>
    </row>
    <row r="11" spans="2:6" ht="35.25" thickBot="1" x14ac:dyDescent="1.25">
      <c r="B11" s="439"/>
      <c r="C11" s="275" t="s">
        <v>442</v>
      </c>
      <c r="D11" s="330" t="s">
        <v>86</v>
      </c>
      <c r="E11" s="180" t="s">
        <v>443</v>
      </c>
      <c r="F11" s="274" t="s">
        <v>444</v>
      </c>
    </row>
    <row r="12" spans="2:6" ht="35.25" thickBot="1" x14ac:dyDescent="1.25">
      <c r="B12" s="440"/>
      <c r="C12" s="269" t="s">
        <v>445</v>
      </c>
      <c r="D12" s="331" t="s">
        <v>87</v>
      </c>
      <c r="E12" s="180" t="s">
        <v>446</v>
      </c>
      <c r="F12" s="274" t="s">
        <v>447</v>
      </c>
    </row>
    <row r="13" spans="2:6" ht="35.25" thickBot="1" x14ac:dyDescent="1.25">
      <c r="B13" s="438" t="s">
        <v>77</v>
      </c>
      <c r="C13" s="140" t="s">
        <v>21</v>
      </c>
      <c r="D13" s="329" t="s">
        <v>88</v>
      </c>
      <c r="E13" s="180" t="s">
        <v>448</v>
      </c>
      <c r="F13" s="274" t="s">
        <v>449</v>
      </c>
    </row>
    <row r="14" spans="2:6" ht="35.25" thickBot="1" x14ac:dyDescent="1.25">
      <c r="B14" s="439"/>
      <c r="C14" s="275" t="s">
        <v>442</v>
      </c>
      <c r="D14" s="330" t="s">
        <v>89</v>
      </c>
      <c r="E14" s="180" t="s">
        <v>450</v>
      </c>
      <c r="F14" s="274" t="s">
        <v>444</v>
      </c>
    </row>
    <row r="15" spans="2:6" ht="35.25" thickBot="1" x14ac:dyDescent="1.25">
      <c r="B15" s="440"/>
      <c r="C15" s="269" t="s">
        <v>445</v>
      </c>
      <c r="D15" s="331" t="s">
        <v>90</v>
      </c>
      <c r="E15" s="180" t="s">
        <v>451</v>
      </c>
      <c r="F15" s="274" t="s">
        <v>447</v>
      </c>
    </row>
    <row r="16" spans="2:6" ht="35.25" thickBot="1" x14ac:dyDescent="1.25">
      <c r="B16" s="438" t="s">
        <v>435</v>
      </c>
      <c r="C16" s="140" t="s">
        <v>21</v>
      </c>
      <c r="D16" s="329" t="s">
        <v>91</v>
      </c>
      <c r="E16" s="180" t="s">
        <v>452</v>
      </c>
      <c r="F16" s="274" t="s">
        <v>453</v>
      </c>
    </row>
    <row r="17" spans="2:6" ht="35.25" thickBot="1" x14ac:dyDescent="1.25">
      <c r="B17" s="439" t="s">
        <v>78</v>
      </c>
      <c r="C17" s="275" t="s">
        <v>442</v>
      </c>
      <c r="D17" s="330" t="s">
        <v>92</v>
      </c>
      <c r="E17" s="180" t="s">
        <v>454</v>
      </c>
      <c r="F17" s="274" t="s">
        <v>444</v>
      </c>
    </row>
    <row r="18" spans="2:6" ht="35.25" thickBot="1" x14ac:dyDescent="1.25">
      <c r="B18" s="440" t="s">
        <v>78</v>
      </c>
      <c r="C18" s="269" t="s">
        <v>445</v>
      </c>
      <c r="D18" s="331" t="s">
        <v>93</v>
      </c>
      <c r="E18" s="180" t="s">
        <v>455</v>
      </c>
      <c r="F18" s="274" t="s">
        <v>447</v>
      </c>
    </row>
    <row r="19" spans="2:6" ht="35.25" thickBot="1" x14ac:dyDescent="1.25">
      <c r="B19" s="438" t="s">
        <v>79</v>
      </c>
      <c r="C19" s="140" t="s">
        <v>21</v>
      </c>
      <c r="D19" s="329" t="s">
        <v>94</v>
      </c>
      <c r="E19" s="180" t="s">
        <v>456</v>
      </c>
      <c r="F19" s="274" t="s">
        <v>441</v>
      </c>
    </row>
    <row r="20" spans="2:6" ht="35.25" thickBot="1" x14ac:dyDescent="1.25">
      <c r="B20" s="439" t="s">
        <v>79</v>
      </c>
      <c r="C20" s="275" t="s">
        <v>442</v>
      </c>
      <c r="D20" s="330" t="s">
        <v>95</v>
      </c>
      <c r="E20" s="180" t="s">
        <v>457</v>
      </c>
      <c r="F20" s="274" t="s">
        <v>458</v>
      </c>
    </row>
    <row r="21" spans="2:6" ht="35.25" thickBot="1" x14ac:dyDescent="1.25">
      <c r="B21" s="440" t="s">
        <v>79</v>
      </c>
      <c r="C21" s="269" t="s">
        <v>445</v>
      </c>
      <c r="D21" s="331" t="s">
        <v>96</v>
      </c>
      <c r="E21" s="180" t="s">
        <v>459</v>
      </c>
      <c r="F21" s="274" t="s">
        <v>447</v>
      </c>
    </row>
    <row r="22" spans="2:6" ht="35.25" thickBot="1" x14ac:dyDescent="1.25">
      <c r="B22" s="439" t="s">
        <v>167</v>
      </c>
      <c r="C22" s="140" t="s">
        <v>21</v>
      </c>
      <c r="D22" s="330" t="s">
        <v>97</v>
      </c>
      <c r="E22" s="180" t="s">
        <v>460</v>
      </c>
      <c r="F22" s="274" t="s">
        <v>441</v>
      </c>
    </row>
    <row r="23" spans="2:6" ht="35.25" thickBot="1" x14ac:dyDescent="1.25">
      <c r="B23" s="439" t="s">
        <v>34</v>
      </c>
      <c r="C23" s="275" t="s">
        <v>442</v>
      </c>
      <c r="D23" s="330" t="s">
        <v>98</v>
      </c>
      <c r="E23" s="180" t="s">
        <v>461</v>
      </c>
      <c r="F23" s="274" t="s">
        <v>458</v>
      </c>
    </row>
    <row r="24" spans="2:6" ht="35.25" thickBot="1" x14ac:dyDescent="1.25">
      <c r="B24" s="440" t="s">
        <v>34</v>
      </c>
      <c r="C24" s="269" t="s">
        <v>445</v>
      </c>
      <c r="D24" s="331" t="s">
        <v>99</v>
      </c>
      <c r="E24" s="180" t="s">
        <v>462</v>
      </c>
      <c r="F24" s="274" t="s">
        <v>447</v>
      </c>
    </row>
    <row r="25" spans="2:6" ht="35.25" customHeight="1" thickBot="1" x14ac:dyDescent="1.25">
      <c r="B25" s="423" t="s">
        <v>234</v>
      </c>
      <c r="C25" s="424"/>
      <c r="D25" s="424"/>
      <c r="E25" s="424"/>
      <c r="F25" s="425"/>
    </row>
    <row r="26" spans="2:6" ht="35.25" thickBot="1" x14ac:dyDescent="1.35">
      <c r="B26" s="212" t="s">
        <v>175</v>
      </c>
      <c r="C26" s="258" t="s">
        <v>175</v>
      </c>
      <c r="D26" s="332" t="s">
        <v>249</v>
      </c>
      <c r="E26" s="180" t="s">
        <v>463</v>
      </c>
      <c r="F26" s="276"/>
    </row>
    <row r="27" spans="2:6" ht="35.25" thickBot="1" x14ac:dyDescent="1.35">
      <c r="B27" s="277" t="s">
        <v>79</v>
      </c>
      <c r="C27" s="278" t="s">
        <v>176</v>
      </c>
      <c r="D27" s="330" t="s">
        <v>250</v>
      </c>
      <c r="E27" s="180" t="s">
        <v>464</v>
      </c>
      <c r="F27" s="276" t="s">
        <v>465</v>
      </c>
    </row>
    <row r="28" spans="2:6" ht="35.25" thickBot="1" x14ac:dyDescent="1.35">
      <c r="B28" s="279" t="s">
        <v>77</v>
      </c>
      <c r="C28" s="181" t="s">
        <v>177</v>
      </c>
      <c r="D28" s="330" t="s">
        <v>251</v>
      </c>
      <c r="E28" s="180" t="s">
        <v>466</v>
      </c>
      <c r="F28" s="276" t="s">
        <v>465</v>
      </c>
    </row>
    <row r="29" spans="2:6" ht="35.25" thickBot="1" x14ac:dyDescent="1.35">
      <c r="B29" s="279" t="s">
        <v>167</v>
      </c>
      <c r="C29" s="181" t="s">
        <v>178</v>
      </c>
      <c r="D29" s="330" t="s">
        <v>252</v>
      </c>
      <c r="E29" s="180" t="s">
        <v>467</v>
      </c>
      <c r="F29" s="276" t="s">
        <v>465</v>
      </c>
    </row>
    <row r="30" spans="2:6" ht="35.25" thickBot="1" x14ac:dyDescent="1.35">
      <c r="B30" s="279" t="s">
        <v>76</v>
      </c>
      <c r="C30" s="181" t="s">
        <v>179</v>
      </c>
      <c r="D30" s="330" t="s">
        <v>253</v>
      </c>
      <c r="E30" s="180" t="s">
        <v>468</v>
      </c>
      <c r="F30" s="276" t="s">
        <v>465</v>
      </c>
    </row>
    <row r="31" spans="2:6" ht="35.25" thickBot="1" x14ac:dyDescent="1.35">
      <c r="B31" s="280" t="s">
        <v>435</v>
      </c>
      <c r="C31" s="183" t="s">
        <v>180</v>
      </c>
      <c r="D31" s="331" t="s">
        <v>254</v>
      </c>
      <c r="E31" s="180" t="s">
        <v>469</v>
      </c>
      <c r="F31" s="276" t="s">
        <v>465</v>
      </c>
    </row>
    <row r="32" spans="2:6" ht="35.25" customHeight="1" thickBot="1" x14ac:dyDescent="1.25">
      <c r="B32" s="423" t="s">
        <v>187</v>
      </c>
      <c r="C32" s="424"/>
      <c r="D32" s="424"/>
      <c r="E32" s="424"/>
      <c r="F32" s="425"/>
    </row>
    <row r="33" spans="2:6" ht="35.25" thickBot="1" x14ac:dyDescent="1.35">
      <c r="B33" s="212" t="s">
        <v>181</v>
      </c>
      <c r="C33" s="258" t="s">
        <v>181</v>
      </c>
      <c r="D33" s="332" t="s">
        <v>255</v>
      </c>
      <c r="E33" s="180" t="s">
        <v>470</v>
      </c>
      <c r="F33" s="276"/>
    </row>
    <row r="34" spans="2:6" ht="35.25" thickBot="1" x14ac:dyDescent="1.35">
      <c r="B34" s="277" t="s">
        <v>79</v>
      </c>
      <c r="C34" s="278" t="s">
        <v>182</v>
      </c>
      <c r="D34" s="330" t="s">
        <v>256</v>
      </c>
      <c r="E34" s="180" t="s">
        <v>471</v>
      </c>
      <c r="F34" s="276" t="s">
        <v>472</v>
      </c>
    </row>
    <row r="35" spans="2:6" ht="35.25" thickBot="1" x14ac:dyDescent="1.35">
      <c r="B35" s="279" t="s">
        <v>77</v>
      </c>
      <c r="C35" s="181" t="s">
        <v>183</v>
      </c>
      <c r="D35" s="330" t="s">
        <v>257</v>
      </c>
      <c r="E35" s="180" t="s">
        <v>473</v>
      </c>
      <c r="F35" s="276" t="s">
        <v>472</v>
      </c>
    </row>
    <row r="36" spans="2:6" ht="35.25" thickBot="1" x14ac:dyDescent="1.35">
      <c r="B36" s="279" t="s">
        <v>167</v>
      </c>
      <c r="C36" s="181" t="s">
        <v>184</v>
      </c>
      <c r="D36" s="330" t="s">
        <v>258</v>
      </c>
      <c r="E36" s="180" t="s">
        <v>474</v>
      </c>
      <c r="F36" s="276" t="s">
        <v>472</v>
      </c>
    </row>
    <row r="37" spans="2:6" ht="35.25" thickBot="1" x14ac:dyDescent="1.35">
      <c r="B37" s="279" t="s">
        <v>76</v>
      </c>
      <c r="C37" s="181" t="s">
        <v>185</v>
      </c>
      <c r="D37" s="330" t="s">
        <v>259</v>
      </c>
      <c r="E37" s="180" t="s">
        <v>475</v>
      </c>
      <c r="F37" s="276" t="s">
        <v>472</v>
      </c>
    </row>
    <row r="38" spans="2:6" ht="35.25" thickBot="1" x14ac:dyDescent="1.35">
      <c r="B38" s="280" t="s">
        <v>435</v>
      </c>
      <c r="C38" s="183" t="s">
        <v>186</v>
      </c>
      <c r="D38" s="331" t="s">
        <v>260</v>
      </c>
      <c r="E38" s="180" t="s">
        <v>476</v>
      </c>
      <c r="F38" s="276" t="s">
        <v>472</v>
      </c>
    </row>
    <row r="39" spans="2:6" ht="35.25" customHeight="1" thickBot="1" x14ac:dyDescent="1.25">
      <c r="B39" s="423" t="s">
        <v>648</v>
      </c>
      <c r="C39" s="424"/>
      <c r="D39" s="424"/>
      <c r="E39" s="424"/>
      <c r="F39" s="425"/>
    </row>
    <row r="40" spans="2:6" ht="35.25" thickBot="1" x14ac:dyDescent="1.35">
      <c r="B40" s="453" t="s">
        <v>100</v>
      </c>
      <c r="C40" s="180" t="s">
        <v>101</v>
      </c>
      <c r="D40" s="329" t="s">
        <v>261</v>
      </c>
      <c r="E40" s="180" t="s">
        <v>477</v>
      </c>
      <c r="F40" s="276" t="s">
        <v>478</v>
      </c>
    </row>
    <row r="41" spans="2:6" ht="35.25" thickBot="1" x14ac:dyDescent="1.35">
      <c r="B41" s="453"/>
      <c r="C41" s="181" t="s">
        <v>102</v>
      </c>
      <c r="D41" s="330" t="s">
        <v>262</v>
      </c>
      <c r="E41" s="180" t="s">
        <v>479</v>
      </c>
      <c r="F41" s="276" t="s">
        <v>480</v>
      </c>
    </row>
    <row r="42" spans="2:6" ht="35.25" thickBot="1" x14ac:dyDescent="1.35">
      <c r="B42" s="454"/>
      <c r="C42" s="183" t="s">
        <v>103</v>
      </c>
      <c r="D42" s="331" t="s">
        <v>263</v>
      </c>
      <c r="E42" s="180" t="s">
        <v>481</v>
      </c>
      <c r="F42" s="276" t="s">
        <v>482</v>
      </c>
    </row>
    <row r="43" spans="2:6" ht="35.25" thickBot="1" x14ac:dyDescent="1.25">
      <c r="B43" s="423" t="s">
        <v>236</v>
      </c>
      <c r="C43" s="424"/>
      <c r="D43" s="424"/>
      <c r="E43" s="424"/>
      <c r="F43" s="425"/>
    </row>
    <row r="44" spans="2:6" ht="67.5" customHeight="1" thickBot="1" x14ac:dyDescent="1.35">
      <c r="B44" s="430" t="s">
        <v>76</v>
      </c>
      <c r="C44" s="181" t="s">
        <v>171</v>
      </c>
      <c r="D44" s="329" t="s">
        <v>264</v>
      </c>
      <c r="E44" s="180" t="s">
        <v>483</v>
      </c>
      <c r="F44" s="276" t="s">
        <v>484</v>
      </c>
    </row>
    <row r="45" spans="2:6" ht="67.900000000000006" thickBot="1" x14ac:dyDescent="1.35">
      <c r="B45" s="431"/>
      <c r="C45" s="202" t="s">
        <v>173</v>
      </c>
      <c r="D45" s="331" t="s">
        <v>265</v>
      </c>
      <c r="E45" s="180" t="s">
        <v>485</v>
      </c>
      <c r="F45" s="276" t="s">
        <v>486</v>
      </c>
    </row>
    <row r="46" spans="2:6" ht="67.900000000000006" thickBot="1" x14ac:dyDescent="1.35">
      <c r="B46" s="431"/>
      <c r="C46" s="217" t="s">
        <v>172</v>
      </c>
      <c r="D46" s="329" t="s">
        <v>266</v>
      </c>
      <c r="E46" s="180" t="s">
        <v>487</v>
      </c>
      <c r="F46" s="276" t="s">
        <v>484</v>
      </c>
    </row>
    <row r="47" spans="2:6" ht="67.900000000000006" thickBot="1" x14ac:dyDescent="1.35">
      <c r="B47" s="432"/>
      <c r="C47" s="218" t="s">
        <v>174</v>
      </c>
      <c r="D47" s="331" t="s">
        <v>267</v>
      </c>
      <c r="E47" s="180" t="s">
        <v>488</v>
      </c>
      <c r="F47" s="276" t="s">
        <v>486</v>
      </c>
    </row>
    <row r="48" spans="2:6" ht="35.25" thickBot="1" x14ac:dyDescent="1.35">
      <c r="B48" s="450" t="s">
        <v>435</v>
      </c>
      <c r="C48" s="200" t="s">
        <v>171</v>
      </c>
      <c r="D48" s="329" t="s">
        <v>268</v>
      </c>
      <c r="E48" s="180" t="s">
        <v>489</v>
      </c>
      <c r="F48" s="276" t="s">
        <v>484</v>
      </c>
    </row>
    <row r="49" spans="2:6" ht="35.25" thickBot="1" x14ac:dyDescent="1.35">
      <c r="B49" s="451"/>
      <c r="C49" s="201" t="s">
        <v>173</v>
      </c>
      <c r="D49" s="331" t="s">
        <v>269</v>
      </c>
      <c r="E49" s="180" t="s">
        <v>490</v>
      </c>
      <c r="F49" s="276" t="s">
        <v>486</v>
      </c>
    </row>
    <row r="50" spans="2:6" ht="67.900000000000006" thickBot="1" x14ac:dyDescent="1.35">
      <c r="B50" s="451"/>
      <c r="C50" s="217" t="s">
        <v>172</v>
      </c>
      <c r="D50" s="329" t="s">
        <v>270</v>
      </c>
      <c r="E50" s="180" t="s">
        <v>491</v>
      </c>
      <c r="F50" s="276" t="s">
        <v>484</v>
      </c>
    </row>
    <row r="51" spans="2:6" ht="67.900000000000006" thickBot="1" x14ac:dyDescent="1.35">
      <c r="B51" s="452"/>
      <c r="C51" s="218" t="s">
        <v>174</v>
      </c>
      <c r="D51" s="331" t="s">
        <v>271</v>
      </c>
      <c r="E51" s="180" t="s">
        <v>492</v>
      </c>
      <c r="F51" s="276" t="s">
        <v>486</v>
      </c>
    </row>
    <row r="52" spans="2:6" ht="67.900000000000006" thickBot="1" x14ac:dyDescent="1.35">
      <c r="B52" s="430" t="s">
        <v>79</v>
      </c>
      <c r="C52" s="200" t="s">
        <v>171</v>
      </c>
      <c r="D52" s="329" t="s">
        <v>272</v>
      </c>
      <c r="E52" s="180" t="s">
        <v>493</v>
      </c>
      <c r="F52" s="276" t="s">
        <v>484</v>
      </c>
    </row>
    <row r="53" spans="2:6" ht="67.900000000000006" thickBot="1" x14ac:dyDescent="1.35">
      <c r="B53" s="431"/>
      <c r="C53" s="201" t="s">
        <v>173</v>
      </c>
      <c r="D53" s="331" t="s">
        <v>273</v>
      </c>
      <c r="E53" s="180" t="s">
        <v>494</v>
      </c>
      <c r="F53" s="276" t="s">
        <v>486</v>
      </c>
    </row>
    <row r="54" spans="2:6" ht="67.900000000000006" thickBot="1" x14ac:dyDescent="1.35">
      <c r="B54" s="431"/>
      <c r="C54" s="217" t="s">
        <v>172</v>
      </c>
      <c r="D54" s="329" t="s">
        <v>274</v>
      </c>
      <c r="E54" s="180" t="s">
        <v>495</v>
      </c>
      <c r="F54" s="276" t="s">
        <v>484</v>
      </c>
    </row>
    <row r="55" spans="2:6" ht="67.900000000000006" thickBot="1" x14ac:dyDescent="1.35">
      <c r="B55" s="432"/>
      <c r="C55" s="218" t="s">
        <v>174</v>
      </c>
      <c r="D55" s="331" t="s">
        <v>275</v>
      </c>
      <c r="E55" s="180" t="s">
        <v>496</v>
      </c>
      <c r="F55" s="276" t="s">
        <v>486</v>
      </c>
    </row>
    <row r="56" spans="2:6" ht="67.900000000000006" thickBot="1" x14ac:dyDescent="1.35">
      <c r="B56" s="450" t="s">
        <v>167</v>
      </c>
      <c r="C56" s="200" t="s">
        <v>171</v>
      </c>
      <c r="D56" s="329" t="s">
        <v>276</v>
      </c>
      <c r="E56" s="180" t="s">
        <v>497</v>
      </c>
      <c r="F56" s="276" t="s">
        <v>484</v>
      </c>
    </row>
    <row r="57" spans="2:6" ht="35.25" thickBot="1" x14ac:dyDescent="1.35">
      <c r="B57" s="451"/>
      <c r="C57" s="201" t="s">
        <v>173</v>
      </c>
      <c r="D57" s="331" t="s">
        <v>277</v>
      </c>
      <c r="E57" s="180" t="s">
        <v>498</v>
      </c>
      <c r="F57" s="276" t="s">
        <v>486</v>
      </c>
    </row>
    <row r="58" spans="2:6" ht="67.900000000000006" thickBot="1" x14ac:dyDescent="1.35">
      <c r="B58" s="451"/>
      <c r="C58" s="217" t="s">
        <v>172</v>
      </c>
      <c r="D58" s="329" t="s">
        <v>278</v>
      </c>
      <c r="E58" s="180" t="s">
        <v>499</v>
      </c>
      <c r="F58" s="276" t="s">
        <v>484</v>
      </c>
    </row>
    <row r="59" spans="2:6" ht="67.900000000000006" thickBot="1" x14ac:dyDescent="1.35">
      <c r="B59" s="452"/>
      <c r="C59" s="218" t="s">
        <v>174</v>
      </c>
      <c r="D59" s="331" t="s">
        <v>279</v>
      </c>
      <c r="E59" s="180" t="s">
        <v>500</v>
      </c>
      <c r="F59" s="276" t="s">
        <v>486</v>
      </c>
    </row>
    <row r="60" spans="2:6" ht="67.900000000000006" thickBot="1" x14ac:dyDescent="1.35">
      <c r="B60" s="450" t="s">
        <v>77</v>
      </c>
      <c r="C60" s="200" t="s">
        <v>171</v>
      </c>
      <c r="D60" s="329" t="s">
        <v>280</v>
      </c>
      <c r="E60" s="180" t="s">
        <v>501</v>
      </c>
      <c r="F60" s="276" t="s">
        <v>484</v>
      </c>
    </row>
    <row r="61" spans="2:6" ht="67.900000000000006" thickBot="1" x14ac:dyDescent="1.35">
      <c r="B61" s="451"/>
      <c r="C61" s="201" t="s">
        <v>173</v>
      </c>
      <c r="D61" s="331" t="s">
        <v>281</v>
      </c>
      <c r="E61" s="180" t="s">
        <v>502</v>
      </c>
      <c r="F61" s="276" t="s">
        <v>486</v>
      </c>
    </row>
    <row r="62" spans="2:6" ht="67.900000000000006" thickBot="1" x14ac:dyDescent="1.35">
      <c r="B62" s="451"/>
      <c r="C62" s="217" t="s">
        <v>172</v>
      </c>
      <c r="D62" s="329" t="s">
        <v>282</v>
      </c>
      <c r="E62" s="180" t="s">
        <v>503</v>
      </c>
      <c r="F62" s="276" t="s">
        <v>484</v>
      </c>
    </row>
    <row r="63" spans="2:6" ht="67.900000000000006" thickBot="1" x14ac:dyDescent="1.35">
      <c r="B63" s="452"/>
      <c r="C63" s="218" t="s">
        <v>174</v>
      </c>
      <c r="D63" s="331" t="s">
        <v>283</v>
      </c>
      <c r="E63" s="180" t="s">
        <v>504</v>
      </c>
      <c r="F63" s="276" t="s">
        <v>486</v>
      </c>
    </row>
    <row r="64" spans="2:6" ht="35.25" thickBot="1" x14ac:dyDescent="1.35">
      <c r="B64" s="426" t="s">
        <v>104</v>
      </c>
      <c r="C64" s="200" t="s">
        <v>171</v>
      </c>
      <c r="D64" s="329" t="s">
        <v>284</v>
      </c>
      <c r="E64" s="180" t="s">
        <v>505</v>
      </c>
      <c r="F64" s="276" t="s">
        <v>506</v>
      </c>
    </row>
    <row r="65" spans="2:6" ht="35.25" thickBot="1" x14ac:dyDescent="1.35">
      <c r="B65" s="427"/>
      <c r="C65" s="201" t="s">
        <v>173</v>
      </c>
      <c r="D65" s="331" t="s">
        <v>285</v>
      </c>
      <c r="E65" s="180" t="s">
        <v>507</v>
      </c>
      <c r="F65" s="276" t="s">
        <v>508</v>
      </c>
    </row>
    <row r="66" spans="2:6" ht="35.25" thickBot="1" x14ac:dyDescent="1.35">
      <c r="B66" s="427"/>
      <c r="C66" s="217" t="s">
        <v>172</v>
      </c>
      <c r="D66" s="329" t="s">
        <v>286</v>
      </c>
      <c r="E66" s="180" t="s">
        <v>509</v>
      </c>
      <c r="F66" s="276" t="s">
        <v>510</v>
      </c>
    </row>
    <row r="67" spans="2:6" ht="35.25" thickBot="1" x14ac:dyDescent="1.35">
      <c r="B67" s="428"/>
      <c r="C67" s="218" t="s">
        <v>174</v>
      </c>
      <c r="D67" s="331" t="s">
        <v>287</v>
      </c>
      <c r="E67" s="180" t="s">
        <v>511</v>
      </c>
      <c r="F67" s="276" t="s">
        <v>508</v>
      </c>
    </row>
    <row r="68" spans="2:6" ht="35.25" thickBot="1" x14ac:dyDescent="1.35">
      <c r="B68" s="426" t="s">
        <v>105</v>
      </c>
      <c r="C68" s="200" t="s">
        <v>171</v>
      </c>
      <c r="D68" s="329" t="s">
        <v>288</v>
      </c>
      <c r="E68" s="180" t="s">
        <v>512</v>
      </c>
      <c r="F68" s="276" t="s">
        <v>506</v>
      </c>
    </row>
    <row r="69" spans="2:6" ht="35.25" thickBot="1" x14ac:dyDescent="1.35">
      <c r="B69" s="427"/>
      <c r="C69" s="201" t="s">
        <v>173</v>
      </c>
      <c r="D69" s="331" t="s">
        <v>289</v>
      </c>
      <c r="E69" s="180" t="s">
        <v>513</v>
      </c>
      <c r="F69" s="276" t="s">
        <v>514</v>
      </c>
    </row>
    <row r="70" spans="2:6" ht="35.25" thickBot="1" x14ac:dyDescent="1.35">
      <c r="B70" s="427"/>
      <c r="C70" s="217" t="s">
        <v>172</v>
      </c>
      <c r="D70" s="329" t="s">
        <v>290</v>
      </c>
      <c r="E70" s="180" t="s">
        <v>515</v>
      </c>
      <c r="F70" s="276" t="s">
        <v>510</v>
      </c>
    </row>
    <row r="71" spans="2:6" ht="35.25" thickBot="1" x14ac:dyDescent="1.35">
      <c r="B71" s="428"/>
      <c r="C71" s="218" t="s">
        <v>174</v>
      </c>
      <c r="D71" s="331" t="s">
        <v>291</v>
      </c>
      <c r="E71" s="180" t="s">
        <v>516</v>
      </c>
      <c r="F71" s="276" t="s">
        <v>508</v>
      </c>
    </row>
    <row r="72" spans="2:6" ht="35.25" thickBot="1" x14ac:dyDescent="1.35">
      <c r="B72" s="426" t="s">
        <v>106</v>
      </c>
      <c r="C72" s="200" t="s">
        <v>171</v>
      </c>
      <c r="D72" s="329" t="s">
        <v>292</v>
      </c>
      <c r="E72" s="180" t="s">
        <v>517</v>
      </c>
      <c r="F72" s="276" t="s">
        <v>510</v>
      </c>
    </row>
    <row r="73" spans="2:6" ht="35.25" thickBot="1" x14ac:dyDescent="1.35">
      <c r="B73" s="427"/>
      <c r="C73" s="201" t="s">
        <v>173</v>
      </c>
      <c r="D73" s="331" t="s">
        <v>293</v>
      </c>
      <c r="E73" s="180" t="s">
        <v>518</v>
      </c>
      <c r="F73" s="276" t="s">
        <v>508</v>
      </c>
    </row>
    <row r="74" spans="2:6" ht="35.25" thickBot="1" x14ac:dyDescent="1.35">
      <c r="B74" s="427"/>
      <c r="C74" s="217" t="s">
        <v>172</v>
      </c>
      <c r="D74" s="329" t="s">
        <v>294</v>
      </c>
      <c r="E74" s="180" t="s">
        <v>519</v>
      </c>
      <c r="F74" s="276" t="s">
        <v>510</v>
      </c>
    </row>
    <row r="75" spans="2:6" ht="35.25" thickBot="1" x14ac:dyDescent="1.35">
      <c r="B75" s="428"/>
      <c r="C75" s="218" t="s">
        <v>174</v>
      </c>
      <c r="D75" s="331" t="s">
        <v>295</v>
      </c>
      <c r="E75" s="180" t="s">
        <v>520</v>
      </c>
      <c r="F75" s="276" t="s">
        <v>521</v>
      </c>
    </row>
    <row r="76" spans="2:6" ht="35.25" hidden="1" thickBot="1" x14ac:dyDescent="1.35">
      <c r="B76" s="426" t="s">
        <v>106</v>
      </c>
      <c r="C76" s="200" t="s">
        <v>171</v>
      </c>
      <c r="D76" s="329" t="s">
        <v>296</v>
      </c>
      <c r="E76" s="180"/>
      <c r="F76" s="276"/>
    </row>
    <row r="77" spans="2:6" ht="35.25" hidden="1" thickBot="1" x14ac:dyDescent="1.35">
      <c r="B77" s="427"/>
      <c r="C77" s="201" t="s">
        <v>173</v>
      </c>
      <c r="D77" s="331" t="s">
        <v>297</v>
      </c>
      <c r="E77" s="180"/>
      <c r="F77" s="276"/>
    </row>
    <row r="78" spans="2:6" ht="35.25" hidden="1" thickBot="1" x14ac:dyDescent="1.35">
      <c r="B78" s="427"/>
      <c r="C78" s="217" t="s">
        <v>172</v>
      </c>
      <c r="D78" s="329" t="s">
        <v>298</v>
      </c>
      <c r="E78" s="180"/>
      <c r="F78" s="276"/>
    </row>
    <row r="79" spans="2:6" ht="35.25" hidden="1" thickBot="1" x14ac:dyDescent="1.35">
      <c r="B79" s="428"/>
      <c r="C79" s="218" t="s">
        <v>174</v>
      </c>
      <c r="D79" s="331" t="s">
        <v>299</v>
      </c>
      <c r="E79" s="180"/>
      <c r="F79" s="276"/>
    </row>
    <row r="80" spans="2:6" ht="35.25" thickBot="1" x14ac:dyDescent="1.35">
      <c r="B80" s="426" t="s">
        <v>300</v>
      </c>
      <c r="C80" s="243" t="s">
        <v>171</v>
      </c>
      <c r="D80" s="329" t="s">
        <v>296</v>
      </c>
      <c r="E80" s="180" t="s">
        <v>522</v>
      </c>
      <c r="F80" s="276" t="s">
        <v>523</v>
      </c>
    </row>
    <row r="81" spans="2:6" ht="35.25" thickBot="1" x14ac:dyDescent="1.35">
      <c r="B81" s="427"/>
      <c r="C81" s="244" t="s">
        <v>173</v>
      </c>
      <c r="D81" s="331" t="s">
        <v>297</v>
      </c>
      <c r="E81" s="180" t="s">
        <v>518</v>
      </c>
      <c r="F81" s="276" t="s">
        <v>524</v>
      </c>
    </row>
    <row r="82" spans="2:6" ht="35.25" thickBot="1" x14ac:dyDescent="1.35">
      <c r="B82" s="427"/>
      <c r="C82" s="243" t="s">
        <v>172</v>
      </c>
      <c r="D82" s="329" t="s">
        <v>298</v>
      </c>
      <c r="E82" s="180" t="s">
        <v>519</v>
      </c>
      <c r="F82" s="276" t="s">
        <v>523</v>
      </c>
    </row>
    <row r="83" spans="2:6" ht="35.25" thickBot="1" x14ac:dyDescent="1.35">
      <c r="B83" s="428"/>
      <c r="C83" s="244" t="s">
        <v>174</v>
      </c>
      <c r="D83" s="331" t="s">
        <v>299</v>
      </c>
      <c r="E83" s="180" t="s">
        <v>525</v>
      </c>
      <c r="F83" s="276" t="s">
        <v>524</v>
      </c>
    </row>
    <row r="84" spans="2:6" ht="35.25" customHeight="1" thickBot="1" x14ac:dyDescent="1.25">
      <c r="B84" s="423" t="s">
        <v>237</v>
      </c>
      <c r="C84" s="424"/>
      <c r="D84" s="424"/>
      <c r="E84" s="424"/>
      <c r="F84" s="425"/>
    </row>
    <row r="85" spans="2:6" ht="114" customHeight="1" thickBot="1" x14ac:dyDescent="1.25">
      <c r="B85" s="426" t="s">
        <v>107</v>
      </c>
      <c r="C85" s="180" t="s">
        <v>117</v>
      </c>
      <c r="D85" s="329" t="s">
        <v>301</v>
      </c>
      <c r="E85" s="180" t="s">
        <v>526</v>
      </c>
      <c r="F85" s="281" t="s">
        <v>527</v>
      </c>
    </row>
    <row r="86" spans="2:6" ht="108" customHeight="1" thickBot="1" x14ac:dyDescent="1.25">
      <c r="B86" s="427"/>
      <c r="C86" s="181" t="s">
        <v>116</v>
      </c>
      <c r="D86" s="330" t="s">
        <v>302</v>
      </c>
      <c r="E86" s="180" t="s">
        <v>528</v>
      </c>
      <c r="F86" s="281" t="s">
        <v>529</v>
      </c>
    </row>
    <row r="87" spans="2:6" ht="111.6" customHeight="1" thickBot="1" x14ac:dyDescent="1.25">
      <c r="B87" s="427"/>
      <c r="C87" s="181" t="s">
        <v>109</v>
      </c>
      <c r="D87" s="330" t="s">
        <v>303</v>
      </c>
      <c r="E87" s="180" t="s">
        <v>530</v>
      </c>
      <c r="F87" s="281" t="s">
        <v>531</v>
      </c>
    </row>
    <row r="88" spans="2:6" ht="57.6" customHeight="1" thickBot="1" x14ac:dyDescent="1.25">
      <c r="B88" s="427"/>
      <c r="C88" s="181" t="s">
        <v>108</v>
      </c>
      <c r="D88" s="330" t="s">
        <v>304</v>
      </c>
      <c r="E88" s="180" t="s">
        <v>532</v>
      </c>
      <c r="F88" s="281" t="s">
        <v>533</v>
      </c>
    </row>
    <row r="89" spans="2:6" ht="57.6" customHeight="1" thickBot="1" x14ac:dyDescent="1.25">
      <c r="B89" s="427"/>
      <c r="C89" s="181" t="s">
        <v>23</v>
      </c>
      <c r="D89" s="330" t="s">
        <v>305</v>
      </c>
      <c r="E89" s="180" t="s">
        <v>534</v>
      </c>
      <c r="F89" s="281" t="s">
        <v>535</v>
      </c>
    </row>
    <row r="90" spans="2:6" ht="55.9" customHeight="1" thickBot="1" x14ac:dyDescent="1.25">
      <c r="B90" s="428"/>
      <c r="C90" s="282" t="s">
        <v>22</v>
      </c>
      <c r="D90" s="331" t="s">
        <v>306</v>
      </c>
      <c r="E90" s="180" t="s">
        <v>536</v>
      </c>
      <c r="F90" s="281" t="s">
        <v>535</v>
      </c>
    </row>
    <row r="91" spans="2:6" ht="35.25" thickBot="1" x14ac:dyDescent="1.25">
      <c r="B91" s="283" t="s">
        <v>238</v>
      </c>
      <c r="C91" s="323"/>
      <c r="D91" s="333"/>
      <c r="E91" s="284"/>
      <c r="F91" s="285"/>
    </row>
    <row r="92" spans="2:6" ht="67.900000000000006" thickBot="1" x14ac:dyDescent="1.35">
      <c r="B92" s="448" t="s">
        <v>110</v>
      </c>
      <c r="C92" s="241" t="s">
        <v>118</v>
      </c>
      <c r="D92" s="329" t="s">
        <v>307</v>
      </c>
      <c r="E92" s="180" t="s">
        <v>537</v>
      </c>
      <c r="F92" s="276" t="s">
        <v>538</v>
      </c>
    </row>
    <row r="93" spans="2:6" ht="35.25" thickBot="1" x14ac:dyDescent="1.35">
      <c r="B93" s="449"/>
      <c r="C93" s="242" t="s">
        <v>119</v>
      </c>
      <c r="D93" s="330" t="s">
        <v>308</v>
      </c>
      <c r="E93" s="180" t="s">
        <v>539</v>
      </c>
      <c r="F93" s="276" t="s">
        <v>538</v>
      </c>
    </row>
    <row r="94" spans="2:6" ht="35.25" thickBot="1" x14ac:dyDescent="1.35">
      <c r="B94" s="286" t="s">
        <v>76</v>
      </c>
      <c r="C94" s="180" t="s">
        <v>112</v>
      </c>
      <c r="D94" s="329" t="s">
        <v>309</v>
      </c>
      <c r="E94" s="180" t="s">
        <v>540</v>
      </c>
      <c r="F94" s="276" t="s">
        <v>538</v>
      </c>
    </row>
    <row r="95" spans="2:6" ht="35.25" thickBot="1" x14ac:dyDescent="1.35">
      <c r="B95" s="279" t="s">
        <v>77</v>
      </c>
      <c r="C95" s="181" t="s">
        <v>112</v>
      </c>
      <c r="D95" s="330" t="s">
        <v>310</v>
      </c>
      <c r="E95" s="180" t="s">
        <v>541</v>
      </c>
      <c r="F95" s="276" t="s">
        <v>538</v>
      </c>
    </row>
    <row r="96" spans="2:6" ht="35.25" thickBot="1" x14ac:dyDescent="1.35">
      <c r="B96" s="279" t="s">
        <v>435</v>
      </c>
      <c r="C96" s="181" t="s">
        <v>112</v>
      </c>
      <c r="D96" s="330" t="s">
        <v>311</v>
      </c>
      <c r="E96" s="180" t="s">
        <v>542</v>
      </c>
      <c r="F96" s="276" t="s">
        <v>538</v>
      </c>
    </row>
    <row r="97" spans="2:6" ht="35.25" thickBot="1" x14ac:dyDescent="1.35">
      <c r="B97" s="279" t="s">
        <v>79</v>
      </c>
      <c r="C97" s="181" t="s">
        <v>112</v>
      </c>
      <c r="D97" s="330" t="s">
        <v>312</v>
      </c>
      <c r="E97" s="180" t="s">
        <v>543</v>
      </c>
      <c r="F97" s="276" t="s">
        <v>538</v>
      </c>
    </row>
    <row r="98" spans="2:6" ht="67.900000000000006" thickBot="1" x14ac:dyDescent="1.35">
      <c r="B98" s="257" t="s">
        <v>167</v>
      </c>
      <c r="C98" s="183" t="s">
        <v>112</v>
      </c>
      <c r="D98" s="331" t="s">
        <v>313</v>
      </c>
      <c r="E98" s="180" t="s">
        <v>544</v>
      </c>
      <c r="F98" s="276" t="s">
        <v>538</v>
      </c>
    </row>
    <row r="99" spans="2:6" ht="35.25" thickBot="1" x14ac:dyDescent="1.35">
      <c r="B99" s="286" t="s">
        <v>76</v>
      </c>
      <c r="C99" s="180" t="s">
        <v>113</v>
      </c>
      <c r="D99" s="329" t="s">
        <v>314</v>
      </c>
      <c r="E99" s="180" t="s">
        <v>545</v>
      </c>
      <c r="F99" s="276" t="s">
        <v>538</v>
      </c>
    </row>
    <row r="100" spans="2:6" ht="35.25" thickBot="1" x14ac:dyDescent="1.35">
      <c r="B100" s="279" t="s">
        <v>77</v>
      </c>
      <c r="C100" s="181" t="s">
        <v>113</v>
      </c>
      <c r="D100" s="330" t="s">
        <v>315</v>
      </c>
      <c r="E100" s="180" t="s">
        <v>546</v>
      </c>
      <c r="F100" s="276" t="s">
        <v>538</v>
      </c>
    </row>
    <row r="101" spans="2:6" ht="35.25" thickBot="1" x14ac:dyDescent="1.35">
      <c r="B101" s="279" t="s">
        <v>435</v>
      </c>
      <c r="C101" s="181" t="s">
        <v>113</v>
      </c>
      <c r="D101" s="330" t="s">
        <v>316</v>
      </c>
      <c r="E101" s="180" t="s">
        <v>547</v>
      </c>
      <c r="F101" s="276" t="s">
        <v>538</v>
      </c>
    </row>
    <row r="102" spans="2:6" ht="35.25" thickBot="1" x14ac:dyDescent="1.35">
      <c r="B102" s="279" t="s">
        <v>79</v>
      </c>
      <c r="C102" s="181" t="s">
        <v>113</v>
      </c>
      <c r="D102" s="330" t="s">
        <v>317</v>
      </c>
      <c r="E102" s="180" t="s">
        <v>548</v>
      </c>
      <c r="F102" s="276" t="s">
        <v>538</v>
      </c>
    </row>
    <row r="103" spans="2:6" ht="35.25" thickBot="1" x14ac:dyDescent="1.35">
      <c r="B103" s="257" t="s">
        <v>167</v>
      </c>
      <c r="C103" s="183" t="s">
        <v>113</v>
      </c>
      <c r="D103" s="331" t="s">
        <v>318</v>
      </c>
      <c r="E103" s="180" t="s">
        <v>549</v>
      </c>
      <c r="F103" s="276" t="s">
        <v>538</v>
      </c>
    </row>
    <row r="104" spans="2:6" ht="35.25" thickBot="1" x14ac:dyDescent="1.35">
      <c r="B104" s="426" t="s">
        <v>111</v>
      </c>
      <c r="C104" s="180" t="s">
        <v>114</v>
      </c>
      <c r="D104" s="330" t="s">
        <v>319</v>
      </c>
      <c r="E104" s="180" t="s">
        <v>550</v>
      </c>
      <c r="F104" s="276" t="s">
        <v>538</v>
      </c>
    </row>
    <row r="105" spans="2:6" ht="35.25" thickBot="1" x14ac:dyDescent="1.35">
      <c r="B105" s="427"/>
      <c r="C105" s="181" t="s">
        <v>115</v>
      </c>
      <c r="D105" s="330" t="s">
        <v>320</v>
      </c>
      <c r="E105" s="180" t="s">
        <v>551</v>
      </c>
      <c r="F105" s="276" t="s">
        <v>538</v>
      </c>
    </row>
    <row r="106" spans="2:6" ht="35.25" thickBot="1" x14ac:dyDescent="1.35">
      <c r="B106" s="428"/>
      <c r="C106" s="183" t="s">
        <v>13</v>
      </c>
      <c r="D106" s="331" t="s">
        <v>321</v>
      </c>
      <c r="E106" s="180" t="s">
        <v>552</v>
      </c>
      <c r="F106" s="276" t="s">
        <v>538</v>
      </c>
    </row>
    <row r="107" spans="2:6" ht="35.25" customHeight="1" thickBot="1" x14ac:dyDescent="1.25">
      <c r="B107" s="423" t="s">
        <v>239</v>
      </c>
      <c r="C107" s="424"/>
      <c r="D107" s="424"/>
      <c r="E107" s="424"/>
      <c r="F107" s="425"/>
    </row>
    <row r="108" spans="2:6" ht="35.25" thickBot="1" x14ac:dyDescent="1.35">
      <c r="B108" s="212" t="s">
        <v>188</v>
      </c>
      <c r="C108" s="156" t="s">
        <v>188</v>
      </c>
      <c r="D108" s="334" t="s">
        <v>322</v>
      </c>
      <c r="E108" s="180" t="s">
        <v>553</v>
      </c>
      <c r="F108" s="276"/>
    </row>
    <row r="109" spans="2:6" ht="35.25" thickBot="1" x14ac:dyDescent="1.35">
      <c r="B109" s="277" t="s">
        <v>79</v>
      </c>
      <c r="C109" s="278" t="s">
        <v>193</v>
      </c>
      <c r="D109" s="329" t="s">
        <v>323</v>
      </c>
      <c r="E109" s="180" t="s">
        <v>554</v>
      </c>
      <c r="F109" s="276" t="s">
        <v>555</v>
      </c>
    </row>
    <row r="110" spans="2:6" ht="35.25" thickBot="1" x14ac:dyDescent="1.35">
      <c r="B110" s="279" t="s">
        <v>77</v>
      </c>
      <c r="C110" s="181" t="s">
        <v>189</v>
      </c>
      <c r="D110" s="330" t="s">
        <v>324</v>
      </c>
      <c r="E110" s="180" t="s">
        <v>556</v>
      </c>
      <c r="F110" s="276" t="s">
        <v>555</v>
      </c>
    </row>
    <row r="111" spans="2:6" ht="35.25" thickBot="1" x14ac:dyDescent="1.35">
      <c r="B111" s="279" t="s">
        <v>167</v>
      </c>
      <c r="C111" s="181" t="s">
        <v>190</v>
      </c>
      <c r="D111" s="330" t="s">
        <v>325</v>
      </c>
      <c r="E111" s="180" t="s">
        <v>557</v>
      </c>
      <c r="F111" s="276" t="s">
        <v>555</v>
      </c>
    </row>
    <row r="112" spans="2:6" ht="35.25" thickBot="1" x14ac:dyDescent="1.35">
      <c r="B112" s="279" t="s">
        <v>76</v>
      </c>
      <c r="C112" s="181" t="s">
        <v>191</v>
      </c>
      <c r="D112" s="330" t="s">
        <v>326</v>
      </c>
      <c r="E112" s="180" t="s">
        <v>558</v>
      </c>
      <c r="F112" s="276" t="s">
        <v>555</v>
      </c>
    </row>
    <row r="113" spans="2:6" ht="35.25" thickBot="1" x14ac:dyDescent="1.35">
      <c r="B113" s="280" t="s">
        <v>435</v>
      </c>
      <c r="C113" s="183" t="s">
        <v>192</v>
      </c>
      <c r="D113" s="331" t="s">
        <v>327</v>
      </c>
      <c r="E113" s="180" t="s">
        <v>559</v>
      </c>
      <c r="F113" s="276" t="s">
        <v>555</v>
      </c>
    </row>
    <row r="114" spans="2:6" ht="35.25" customHeight="1" thickBot="1" x14ac:dyDescent="1.25">
      <c r="B114" s="423" t="s">
        <v>240</v>
      </c>
      <c r="C114" s="424"/>
      <c r="D114" s="424"/>
      <c r="E114" s="424"/>
      <c r="F114" s="425"/>
    </row>
    <row r="115" spans="2:6" ht="35.25" thickBot="1" x14ac:dyDescent="1.35">
      <c r="B115" s="212" t="s">
        <v>194</v>
      </c>
      <c r="C115" s="156" t="s">
        <v>194</v>
      </c>
      <c r="D115" s="334" t="s">
        <v>328</v>
      </c>
      <c r="E115" s="180" t="s">
        <v>560</v>
      </c>
      <c r="F115" s="276"/>
    </row>
    <row r="116" spans="2:6" ht="35.25" thickBot="1" x14ac:dyDescent="1.35">
      <c r="B116" s="277" t="s">
        <v>79</v>
      </c>
      <c r="C116" s="278" t="s">
        <v>199</v>
      </c>
      <c r="D116" s="329" t="s">
        <v>329</v>
      </c>
      <c r="E116" s="180" t="s">
        <v>561</v>
      </c>
      <c r="F116" s="276" t="s">
        <v>562</v>
      </c>
    </row>
    <row r="117" spans="2:6" ht="35.25" thickBot="1" x14ac:dyDescent="1.35">
      <c r="B117" s="279" t="s">
        <v>77</v>
      </c>
      <c r="C117" s="181" t="s">
        <v>195</v>
      </c>
      <c r="D117" s="330" t="s">
        <v>330</v>
      </c>
      <c r="E117" s="180" t="s">
        <v>563</v>
      </c>
      <c r="F117" s="276" t="s">
        <v>562</v>
      </c>
    </row>
    <row r="118" spans="2:6" ht="35.25" thickBot="1" x14ac:dyDescent="1.35">
      <c r="B118" s="279" t="s">
        <v>167</v>
      </c>
      <c r="C118" s="181" t="s">
        <v>196</v>
      </c>
      <c r="D118" s="330" t="s">
        <v>331</v>
      </c>
      <c r="E118" s="180" t="s">
        <v>564</v>
      </c>
      <c r="F118" s="276" t="s">
        <v>562</v>
      </c>
    </row>
    <row r="119" spans="2:6" ht="35.25" thickBot="1" x14ac:dyDescent="1.35">
      <c r="B119" s="279" t="s">
        <v>76</v>
      </c>
      <c r="C119" s="181" t="s">
        <v>197</v>
      </c>
      <c r="D119" s="330" t="s">
        <v>332</v>
      </c>
      <c r="E119" s="180" t="s">
        <v>565</v>
      </c>
      <c r="F119" s="276" t="s">
        <v>562</v>
      </c>
    </row>
    <row r="120" spans="2:6" ht="35.25" thickBot="1" x14ac:dyDescent="1.35">
      <c r="B120" s="280" t="s">
        <v>435</v>
      </c>
      <c r="C120" s="183" t="s">
        <v>198</v>
      </c>
      <c r="D120" s="331" t="s">
        <v>333</v>
      </c>
      <c r="E120" s="180" t="s">
        <v>566</v>
      </c>
      <c r="F120" s="276" t="s">
        <v>562</v>
      </c>
    </row>
    <row r="121" spans="2:6" ht="35.25" customHeight="1" thickBot="1" x14ac:dyDescent="1.25">
      <c r="B121" s="423" t="s">
        <v>241</v>
      </c>
      <c r="C121" s="424"/>
      <c r="D121" s="424"/>
      <c r="E121" s="424"/>
      <c r="F121" s="425"/>
    </row>
    <row r="122" spans="2:6" ht="67.900000000000006" thickBot="1" x14ac:dyDescent="1.35">
      <c r="B122" s="212" t="s">
        <v>200</v>
      </c>
      <c r="C122" s="156" t="s">
        <v>200</v>
      </c>
      <c r="D122" s="334" t="s">
        <v>334</v>
      </c>
      <c r="E122" s="180" t="s">
        <v>567</v>
      </c>
      <c r="F122" s="276"/>
    </row>
    <row r="123" spans="2:6" ht="67.900000000000006" thickBot="1" x14ac:dyDescent="1.35">
      <c r="B123" s="277" t="s">
        <v>79</v>
      </c>
      <c r="C123" s="278" t="s">
        <v>205</v>
      </c>
      <c r="D123" s="329" t="s">
        <v>335</v>
      </c>
      <c r="E123" s="180" t="s">
        <v>568</v>
      </c>
      <c r="F123" s="276" t="s">
        <v>569</v>
      </c>
    </row>
    <row r="124" spans="2:6" ht="67.900000000000006" thickBot="1" x14ac:dyDescent="1.35">
      <c r="B124" s="279" t="s">
        <v>77</v>
      </c>
      <c r="C124" s="181" t="s">
        <v>201</v>
      </c>
      <c r="D124" s="330" t="s">
        <v>336</v>
      </c>
      <c r="E124" s="180" t="s">
        <v>570</v>
      </c>
      <c r="F124" s="276" t="s">
        <v>569</v>
      </c>
    </row>
    <row r="125" spans="2:6" ht="67.900000000000006" thickBot="1" x14ac:dyDescent="1.35">
      <c r="B125" s="279" t="s">
        <v>167</v>
      </c>
      <c r="C125" s="181" t="s">
        <v>202</v>
      </c>
      <c r="D125" s="330" t="s">
        <v>337</v>
      </c>
      <c r="E125" s="180" t="s">
        <v>571</v>
      </c>
      <c r="F125" s="276" t="s">
        <v>569</v>
      </c>
    </row>
    <row r="126" spans="2:6" ht="67.900000000000006" thickBot="1" x14ac:dyDescent="1.35">
      <c r="B126" s="279" t="s">
        <v>76</v>
      </c>
      <c r="C126" s="181" t="s">
        <v>203</v>
      </c>
      <c r="D126" s="330" t="s">
        <v>338</v>
      </c>
      <c r="E126" s="180" t="s">
        <v>572</v>
      </c>
      <c r="F126" s="276" t="s">
        <v>569</v>
      </c>
    </row>
    <row r="127" spans="2:6" ht="67.900000000000006" thickBot="1" x14ac:dyDescent="1.35">
      <c r="B127" s="280" t="s">
        <v>435</v>
      </c>
      <c r="C127" s="183" t="s">
        <v>204</v>
      </c>
      <c r="D127" s="331" t="s">
        <v>339</v>
      </c>
      <c r="E127" s="180" t="s">
        <v>573</v>
      </c>
      <c r="F127" s="276" t="s">
        <v>569</v>
      </c>
    </row>
    <row r="128" spans="2:6" ht="35.25" customHeight="1" thickBot="1" x14ac:dyDescent="1.25">
      <c r="B128" s="423" t="s">
        <v>242</v>
      </c>
      <c r="C128" s="424"/>
      <c r="D128" s="424"/>
      <c r="E128" s="424"/>
      <c r="F128" s="425"/>
    </row>
    <row r="129" spans="2:6" ht="67.900000000000006" thickBot="1" x14ac:dyDescent="1.35">
      <c r="B129" s="287" t="s">
        <v>206</v>
      </c>
      <c r="C129" s="287" t="s">
        <v>219</v>
      </c>
      <c r="D129" s="332" t="s">
        <v>340</v>
      </c>
      <c r="E129" s="180" t="s">
        <v>574</v>
      </c>
      <c r="F129" s="276"/>
    </row>
    <row r="130" spans="2:6" ht="35.25" thickBot="1" x14ac:dyDescent="1.35">
      <c r="B130" s="212" t="s">
        <v>207</v>
      </c>
      <c r="C130" s="258" t="s">
        <v>207</v>
      </c>
      <c r="D130" s="332" t="s">
        <v>341</v>
      </c>
      <c r="E130" s="180" t="s">
        <v>575</v>
      </c>
      <c r="F130" s="276"/>
    </row>
    <row r="131" spans="2:6" ht="35.25" thickBot="1" x14ac:dyDescent="1.35">
      <c r="B131" s="277" t="s">
        <v>79</v>
      </c>
      <c r="C131" s="278" t="s">
        <v>208</v>
      </c>
      <c r="D131" s="330" t="s">
        <v>342</v>
      </c>
      <c r="E131" s="180" t="s">
        <v>576</v>
      </c>
      <c r="F131" s="276" t="s">
        <v>577</v>
      </c>
    </row>
    <row r="132" spans="2:6" ht="35.25" thickBot="1" x14ac:dyDescent="1.35">
      <c r="B132" s="279" t="s">
        <v>77</v>
      </c>
      <c r="C132" s="181" t="s">
        <v>209</v>
      </c>
      <c r="D132" s="330" t="s">
        <v>343</v>
      </c>
      <c r="E132" s="180" t="s">
        <v>578</v>
      </c>
      <c r="F132" s="276" t="s">
        <v>577</v>
      </c>
    </row>
    <row r="133" spans="2:6" ht="35.25" thickBot="1" x14ac:dyDescent="1.35">
      <c r="B133" s="279" t="s">
        <v>167</v>
      </c>
      <c r="C133" s="181" t="s">
        <v>210</v>
      </c>
      <c r="D133" s="330" t="s">
        <v>344</v>
      </c>
      <c r="E133" s="180" t="s">
        <v>579</v>
      </c>
      <c r="F133" s="276" t="s">
        <v>577</v>
      </c>
    </row>
    <row r="134" spans="2:6" ht="35.25" thickBot="1" x14ac:dyDescent="1.35">
      <c r="B134" s="279" t="s">
        <v>76</v>
      </c>
      <c r="C134" s="181" t="s">
        <v>211</v>
      </c>
      <c r="D134" s="330" t="s">
        <v>345</v>
      </c>
      <c r="E134" s="180" t="s">
        <v>580</v>
      </c>
      <c r="F134" s="276" t="s">
        <v>577</v>
      </c>
    </row>
    <row r="135" spans="2:6" ht="35.25" thickBot="1" x14ac:dyDescent="1.35">
      <c r="B135" s="280" t="s">
        <v>435</v>
      </c>
      <c r="C135" s="183" t="s">
        <v>212</v>
      </c>
      <c r="D135" s="330" t="s">
        <v>346</v>
      </c>
      <c r="E135" s="180" t="s">
        <v>581</v>
      </c>
      <c r="F135" s="276" t="s">
        <v>577</v>
      </c>
    </row>
    <row r="136" spans="2:6" ht="35.25" thickBot="1" x14ac:dyDescent="1.35">
      <c r="B136" s="212" t="s">
        <v>213</v>
      </c>
      <c r="C136" s="258" t="s">
        <v>213</v>
      </c>
      <c r="D136" s="332" t="s">
        <v>347</v>
      </c>
      <c r="E136" s="180" t="s">
        <v>582</v>
      </c>
      <c r="F136" s="276"/>
    </row>
    <row r="137" spans="2:6" ht="35.25" thickBot="1" x14ac:dyDescent="1.25">
      <c r="B137" s="277" t="s">
        <v>79</v>
      </c>
      <c r="C137" s="278" t="s">
        <v>214</v>
      </c>
      <c r="D137" s="330" t="s">
        <v>348</v>
      </c>
      <c r="E137" s="180" t="s">
        <v>583</v>
      </c>
      <c r="F137" s="288" t="s">
        <v>584</v>
      </c>
    </row>
    <row r="138" spans="2:6" ht="35.25" thickBot="1" x14ac:dyDescent="1.25">
      <c r="B138" s="279" t="s">
        <v>77</v>
      </c>
      <c r="C138" s="181" t="s">
        <v>215</v>
      </c>
      <c r="D138" s="330" t="s">
        <v>349</v>
      </c>
      <c r="E138" s="180" t="s">
        <v>585</v>
      </c>
      <c r="F138" s="288" t="s">
        <v>584</v>
      </c>
    </row>
    <row r="139" spans="2:6" ht="35.25" thickBot="1" x14ac:dyDescent="1.25">
      <c r="B139" s="279" t="s">
        <v>167</v>
      </c>
      <c r="C139" s="181" t="s">
        <v>216</v>
      </c>
      <c r="D139" s="330" t="s">
        <v>350</v>
      </c>
      <c r="E139" s="180" t="s">
        <v>586</v>
      </c>
      <c r="F139" s="288" t="s">
        <v>584</v>
      </c>
    </row>
    <row r="140" spans="2:6" ht="35.25" thickBot="1" x14ac:dyDescent="1.25">
      <c r="B140" s="279" t="s">
        <v>76</v>
      </c>
      <c r="C140" s="181" t="s">
        <v>217</v>
      </c>
      <c r="D140" s="330" t="s">
        <v>351</v>
      </c>
      <c r="E140" s="180" t="s">
        <v>587</v>
      </c>
      <c r="F140" s="288" t="s">
        <v>584</v>
      </c>
    </row>
    <row r="141" spans="2:6" ht="35.25" thickBot="1" x14ac:dyDescent="1.25">
      <c r="B141" s="280" t="s">
        <v>435</v>
      </c>
      <c r="C141" s="183" t="s">
        <v>218</v>
      </c>
      <c r="D141" s="330" t="s">
        <v>352</v>
      </c>
      <c r="E141" s="180" t="s">
        <v>588</v>
      </c>
      <c r="F141" s="288" t="s">
        <v>584</v>
      </c>
    </row>
    <row r="142" spans="2:6" ht="35.25" thickBot="1" x14ac:dyDescent="1.25">
      <c r="B142" s="287" t="s">
        <v>233</v>
      </c>
      <c r="C142" s="287" t="s">
        <v>222</v>
      </c>
      <c r="D142" s="332" t="s">
        <v>353</v>
      </c>
      <c r="E142" s="180"/>
      <c r="F142" s="289"/>
    </row>
    <row r="143" spans="2:6" ht="35.25" thickBot="1" x14ac:dyDescent="1.25">
      <c r="B143" s="212" t="s">
        <v>220</v>
      </c>
      <c r="C143" s="258" t="s">
        <v>220</v>
      </c>
      <c r="D143" s="332" t="s">
        <v>354</v>
      </c>
      <c r="E143" s="290" t="s">
        <v>649</v>
      </c>
      <c r="F143" s="289"/>
    </row>
    <row r="144" spans="2:6" ht="34.9" x14ac:dyDescent="1.2">
      <c r="B144" s="277" t="s">
        <v>79</v>
      </c>
      <c r="C144" s="278" t="s">
        <v>223</v>
      </c>
      <c r="D144" s="329" t="s">
        <v>355</v>
      </c>
      <c r="E144" s="290" t="s">
        <v>589</v>
      </c>
      <c r="F144" s="288" t="s">
        <v>590</v>
      </c>
    </row>
    <row r="145" spans="2:6" ht="34.9" x14ac:dyDescent="1.2">
      <c r="B145" s="279" t="s">
        <v>77</v>
      </c>
      <c r="C145" s="181" t="s">
        <v>224</v>
      </c>
      <c r="D145" s="330" t="s">
        <v>356</v>
      </c>
      <c r="E145" s="290" t="s">
        <v>591</v>
      </c>
      <c r="F145" s="288" t="s">
        <v>590</v>
      </c>
    </row>
    <row r="146" spans="2:6" ht="34.9" x14ac:dyDescent="1.2">
      <c r="B146" s="279" t="s">
        <v>167</v>
      </c>
      <c r="C146" s="181" t="s">
        <v>225</v>
      </c>
      <c r="D146" s="330" t="s">
        <v>357</v>
      </c>
      <c r="E146" s="290" t="s">
        <v>592</v>
      </c>
      <c r="F146" s="288" t="s">
        <v>590</v>
      </c>
    </row>
    <row r="147" spans="2:6" ht="34.9" x14ac:dyDescent="1.2">
      <c r="B147" s="279" t="s">
        <v>76</v>
      </c>
      <c r="C147" s="181" t="s">
        <v>226</v>
      </c>
      <c r="D147" s="330" t="s">
        <v>358</v>
      </c>
      <c r="E147" s="290" t="s">
        <v>593</v>
      </c>
      <c r="F147" s="288" t="s">
        <v>590</v>
      </c>
    </row>
    <row r="148" spans="2:6" ht="35.25" thickBot="1" x14ac:dyDescent="1.25">
      <c r="B148" s="280" t="s">
        <v>435</v>
      </c>
      <c r="C148" s="183" t="s">
        <v>227</v>
      </c>
      <c r="D148" s="331" t="s">
        <v>359</v>
      </c>
      <c r="E148" s="290" t="s">
        <v>594</v>
      </c>
      <c r="F148" s="288" t="s">
        <v>590</v>
      </c>
    </row>
    <row r="149" spans="2:6" ht="35.25" thickBot="1" x14ac:dyDescent="1.25">
      <c r="B149" s="212" t="s">
        <v>221</v>
      </c>
      <c r="C149" s="258" t="s">
        <v>221</v>
      </c>
      <c r="D149" s="332" t="s">
        <v>360</v>
      </c>
      <c r="E149" s="290"/>
      <c r="F149" s="289"/>
    </row>
    <row r="150" spans="2:6" ht="34.9" x14ac:dyDescent="1.2">
      <c r="B150" s="277" t="s">
        <v>79</v>
      </c>
      <c r="C150" s="278" t="s">
        <v>228</v>
      </c>
      <c r="D150" s="330" t="s">
        <v>361</v>
      </c>
      <c r="E150" s="290" t="s">
        <v>595</v>
      </c>
      <c r="F150" s="289" t="s">
        <v>596</v>
      </c>
    </row>
    <row r="151" spans="2:6" ht="34.9" x14ac:dyDescent="1.2">
      <c r="B151" s="279" t="s">
        <v>77</v>
      </c>
      <c r="C151" s="181" t="s">
        <v>229</v>
      </c>
      <c r="D151" s="330" t="s">
        <v>362</v>
      </c>
      <c r="E151" s="290" t="s">
        <v>597</v>
      </c>
      <c r="F151" s="289" t="s">
        <v>596</v>
      </c>
    </row>
    <row r="152" spans="2:6" ht="67.5" x14ac:dyDescent="1.2">
      <c r="B152" s="279" t="s">
        <v>167</v>
      </c>
      <c r="C152" s="181" t="s">
        <v>230</v>
      </c>
      <c r="D152" s="330" t="s">
        <v>363</v>
      </c>
      <c r="E152" s="290" t="s">
        <v>598</v>
      </c>
      <c r="F152" s="289" t="s">
        <v>596</v>
      </c>
    </row>
    <row r="153" spans="2:6" ht="34.9" x14ac:dyDescent="1.2">
      <c r="B153" s="279" t="s">
        <v>76</v>
      </c>
      <c r="C153" s="181" t="s">
        <v>231</v>
      </c>
      <c r="D153" s="330" t="s">
        <v>364</v>
      </c>
      <c r="E153" s="290" t="s">
        <v>599</v>
      </c>
      <c r="F153" s="289" t="s">
        <v>596</v>
      </c>
    </row>
    <row r="154" spans="2:6" ht="35.25" thickBot="1" x14ac:dyDescent="1.25">
      <c r="B154" s="291" t="s">
        <v>435</v>
      </c>
      <c r="C154" s="292" t="s">
        <v>232</v>
      </c>
      <c r="D154" s="330" t="s">
        <v>365</v>
      </c>
      <c r="E154" s="290" t="s">
        <v>600</v>
      </c>
      <c r="F154" s="289" t="s">
        <v>596</v>
      </c>
    </row>
    <row r="155" spans="2:6" ht="35.25" thickBot="1" x14ac:dyDescent="1.25">
      <c r="B155" s="293" t="s">
        <v>243</v>
      </c>
      <c r="C155" s="324"/>
      <c r="D155" s="335"/>
      <c r="E155" s="294"/>
      <c r="F155" s="295"/>
    </row>
    <row r="156" spans="2:6" ht="35.25" thickBot="1" x14ac:dyDescent="1.25">
      <c r="B156" s="423" t="s">
        <v>244</v>
      </c>
      <c r="C156" s="424"/>
      <c r="D156" s="424"/>
      <c r="E156" s="424"/>
      <c r="F156" s="424"/>
    </row>
    <row r="157" spans="2:6" ht="67.900000000000006" thickBot="1" x14ac:dyDescent="1.25">
      <c r="B157" s="259" t="s">
        <v>121</v>
      </c>
      <c r="C157" s="258" t="s">
        <v>124</v>
      </c>
      <c r="D157" s="245" t="s">
        <v>366</v>
      </c>
      <c r="E157" s="290" t="s">
        <v>601</v>
      </c>
      <c r="F157" s="289"/>
    </row>
    <row r="158" spans="2:6" ht="34.9" x14ac:dyDescent="1.2">
      <c r="B158" s="426" t="s">
        <v>122</v>
      </c>
      <c r="C158" s="278" t="s">
        <v>125</v>
      </c>
      <c r="D158" s="330" t="s">
        <v>367</v>
      </c>
      <c r="E158" s="278" t="s">
        <v>602</v>
      </c>
      <c r="F158" s="289" t="s">
        <v>603</v>
      </c>
    </row>
    <row r="159" spans="2:6" ht="34.9" x14ac:dyDescent="1.2">
      <c r="B159" s="427"/>
      <c r="C159" s="181" t="s">
        <v>126</v>
      </c>
      <c r="D159" s="330" t="s">
        <v>368</v>
      </c>
      <c r="E159" s="278" t="s">
        <v>604</v>
      </c>
      <c r="F159" s="289" t="s">
        <v>603</v>
      </c>
    </row>
    <row r="160" spans="2:6" ht="35.25" thickBot="1" x14ac:dyDescent="1.25">
      <c r="B160" s="428"/>
      <c r="C160" s="183" t="s">
        <v>127</v>
      </c>
      <c r="D160" s="331" t="s">
        <v>369</v>
      </c>
      <c r="E160" s="278" t="s">
        <v>605</v>
      </c>
      <c r="F160" s="289" t="s">
        <v>603</v>
      </c>
    </row>
    <row r="161" spans="2:6" ht="34.9" x14ac:dyDescent="1.2">
      <c r="B161" s="426" t="s">
        <v>128</v>
      </c>
      <c r="C161" s="180" t="s">
        <v>132</v>
      </c>
      <c r="D161" s="329" t="s">
        <v>370</v>
      </c>
      <c r="E161" s="278" t="s">
        <v>606</v>
      </c>
      <c r="F161" s="289" t="s">
        <v>607</v>
      </c>
    </row>
    <row r="162" spans="2:6" ht="34.9" x14ac:dyDescent="1.2">
      <c r="B162" s="427"/>
      <c r="C162" s="181" t="s">
        <v>131</v>
      </c>
      <c r="D162" s="330" t="s">
        <v>371</v>
      </c>
      <c r="E162" s="278" t="s">
        <v>608</v>
      </c>
      <c r="F162" s="289" t="s">
        <v>607</v>
      </c>
    </row>
    <row r="163" spans="2:6" ht="34.9" x14ac:dyDescent="1.2">
      <c r="B163" s="427"/>
      <c r="C163" s="181" t="s">
        <v>130</v>
      </c>
      <c r="D163" s="330" t="s">
        <v>372</v>
      </c>
      <c r="E163" s="278" t="s">
        <v>609</v>
      </c>
      <c r="F163" s="289" t="s">
        <v>607</v>
      </c>
    </row>
    <row r="164" spans="2:6" ht="34.9" x14ac:dyDescent="1.2">
      <c r="B164" s="427"/>
      <c r="C164" s="181" t="s">
        <v>133</v>
      </c>
      <c r="D164" s="330" t="s">
        <v>373</v>
      </c>
      <c r="E164" s="278" t="s">
        <v>610</v>
      </c>
      <c r="F164" s="289" t="s">
        <v>607</v>
      </c>
    </row>
    <row r="165" spans="2:6" ht="34.9" x14ac:dyDescent="1.2">
      <c r="B165" s="427"/>
      <c r="C165" s="181" t="s">
        <v>135</v>
      </c>
      <c r="D165" s="330" t="s">
        <v>374</v>
      </c>
      <c r="E165" s="181" t="s">
        <v>611</v>
      </c>
      <c r="F165" s="289" t="s">
        <v>607</v>
      </c>
    </row>
    <row r="166" spans="2:6" ht="35.25" thickBot="1" x14ac:dyDescent="1.25">
      <c r="B166" s="428"/>
      <c r="C166" s="183" t="s">
        <v>134</v>
      </c>
      <c r="D166" s="331" t="s">
        <v>375</v>
      </c>
      <c r="E166" s="183" t="s">
        <v>612</v>
      </c>
      <c r="F166" s="289" t="s">
        <v>607</v>
      </c>
    </row>
    <row r="167" spans="2:6" ht="34.9" x14ac:dyDescent="1.2">
      <c r="B167" s="427" t="s">
        <v>136</v>
      </c>
      <c r="C167" s="278" t="s">
        <v>132</v>
      </c>
      <c r="D167" s="330" t="s">
        <v>376</v>
      </c>
      <c r="E167" s="278" t="s">
        <v>606</v>
      </c>
      <c r="F167" s="289" t="s">
        <v>613</v>
      </c>
    </row>
    <row r="168" spans="2:6" ht="34.9" x14ac:dyDescent="1.2">
      <c r="B168" s="427"/>
      <c r="C168" s="181" t="s">
        <v>131</v>
      </c>
      <c r="D168" s="330" t="s">
        <v>377</v>
      </c>
      <c r="E168" s="278" t="s">
        <v>608</v>
      </c>
      <c r="F168" s="289" t="s">
        <v>613</v>
      </c>
    </row>
    <row r="169" spans="2:6" ht="34.9" x14ac:dyDescent="1.2">
      <c r="B169" s="427"/>
      <c r="C169" s="181" t="s">
        <v>130</v>
      </c>
      <c r="D169" s="330" t="s">
        <v>378</v>
      </c>
      <c r="E169" s="278" t="s">
        <v>609</v>
      </c>
      <c r="F169" s="289" t="s">
        <v>613</v>
      </c>
    </row>
    <row r="170" spans="2:6" ht="34.9" x14ac:dyDescent="1.2">
      <c r="B170" s="427"/>
      <c r="C170" s="181" t="s">
        <v>133</v>
      </c>
      <c r="D170" s="330" t="s">
        <v>379</v>
      </c>
      <c r="E170" s="278" t="s">
        <v>610</v>
      </c>
      <c r="F170" s="289" t="s">
        <v>613</v>
      </c>
    </row>
    <row r="171" spans="2:6" ht="34.9" x14ac:dyDescent="1.2">
      <c r="B171" s="427"/>
      <c r="C171" s="181" t="s">
        <v>135</v>
      </c>
      <c r="D171" s="330" t="s">
        <v>380</v>
      </c>
      <c r="E171" s="181" t="s">
        <v>611</v>
      </c>
      <c r="F171" s="289" t="s">
        <v>613</v>
      </c>
    </row>
    <row r="172" spans="2:6" ht="35.25" thickBot="1" x14ac:dyDescent="1.25">
      <c r="B172" s="429"/>
      <c r="C172" s="181" t="s">
        <v>134</v>
      </c>
      <c r="D172" s="331" t="s">
        <v>381</v>
      </c>
      <c r="E172" s="183" t="s">
        <v>612</v>
      </c>
      <c r="F172" s="289" t="s">
        <v>613</v>
      </c>
    </row>
    <row r="173" spans="2:6" ht="35.25" thickBot="1" x14ac:dyDescent="1.25">
      <c r="B173" s="423" t="s">
        <v>245</v>
      </c>
      <c r="C173" s="424"/>
      <c r="D173" s="424"/>
      <c r="E173" s="424"/>
      <c r="F173" s="424"/>
    </row>
    <row r="174" spans="2:6" ht="35.25" thickBot="1" x14ac:dyDescent="1.25">
      <c r="B174" s="211" t="s">
        <v>137</v>
      </c>
      <c r="C174" s="260" t="s">
        <v>138</v>
      </c>
      <c r="D174" s="245" t="s">
        <v>382</v>
      </c>
      <c r="E174" s="183" t="s">
        <v>614</v>
      </c>
      <c r="F174" s="289"/>
    </row>
    <row r="175" spans="2:6" ht="35.25" thickBot="1" x14ac:dyDescent="1.25">
      <c r="B175" s="426" t="s">
        <v>128</v>
      </c>
      <c r="C175" s="180" t="s">
        <v>144</v>
      </c>
      <c r="D175" s="329" t="s">
        <v>383</v>
      </c>
      <c r="E175" s="183" t="s">
        <v>615</v>
      </c>
      <c r="F175" s="289" t="s">
        <v>616</v>
      </c>
    </row>
    <row r="176" spans="2:6" ht="35.25" thickBot="1" x14ac:dyDescent="1.25">
      <c r="B176" s="427"/>
      <c r="C176" s="181" t="s">
        <v>139</v>
      </c>
      <c r="D176" s="330" t="s">
        <v>384</v>
      </c>
      <c r="E176" s="183" t="s">
        <v>617</v>
      </c>
      <c r="F176" s="289" t="s">
        <v>616</v>
      </c>
    </row>
    <row r="177" spans="2:6" ht="35.25" thickBot="1" x14ac:dyDescent="1.25">
      <c r="B177" s="427"/>
      <c r="C177" s="181" t="s">
        <v>140</v>
      </c>
      <c r="D177" s="330" t="s">
        <v>385</v>
      </c>
      <c r="E177" s="183" t="s">
        <v>618</v>
      </c>
      <c r="F177" s="289" t="s">
        <v>616</v>
      </c>
    </row>
    <row r="178" spans="2:6" ht="35.25" thickBot="1" x14ac:dyDescent="1.25">
      <c r="B178" s="427"/>
      <c r="C178" s="181" t="s">
        <v>141</v>
      </c>
      <c r="D178" s="330" t="s">
        <v>386</v>
      </c>
      <c r="E178" s="183" t="s">
        <v>619</v>
      </c>
      <c r="F178" s="289" t="s">
        <v>616</v>
      </c>
    </row>
    <row r="179" spans="2:6" ht="35.25" thickBot="1" x14ac:dyDescent="1.25">
      <c r="B179" s="427"/>
      <c r="C179" s="181" t="s">
        <v>142</v>
      </c>
      <c r="D179" s="330" t="s">
        <v>387</v>
      </c>
      <c r="E179" s="183" t="s">
        <v>620</v>
      </c>
      <c r="F179" s="289" t="s">
        <v>616</v>
      </c>
    </row>
    <row r="180" spans="2:6" ht="35.25" thickBot="1" x14ac:dyDescent="1.25">
      <c r="B180" s="428"/>
      <c r="C180" s="183" t="s">
        <v>143</v>
      </c>
      <c r="D180" s="331" t="s">
        <v>388</v>
      </c>
      <c r="E180" s="183" t="s">
        <v>621</v>
      </c>
      <c r="F180" s="289" t="s">
        <v>616</v>
      </c>
    </row>
    <row r="181" spans="2:6" ht="35.25" thickBot="1" x14ac:dyDescent="1.25">
      <c r="B181" s="426" t="s">
        <v>136</v>
      </c>
      <c r="C181" s="180" t="s">
        <v>144</v>
      </c>
      <c r="D181" s="330" t="s">
        <v>389</v>
      </c>
      <c r="E181" s="183" t="s">
        <v>615</v>
      </c>
      <c r="F181" s="289" t="s">
        <v>622</v>
      </c>
    </row>
    <row r="182" spans="2:6" ht="35.25" thickBot="1" x14ac:dyDescent="1.25">
      <c r="B182" s="427"/>
      <c r="C182" s="181" t="s">
        <v>139</v>
      </c>
      <c r="D182" s="330" t="s">
        <v>390</v>
      </c>
      <c r="E182" s="183" t="s">
        <v>617</v>
      </c>
      <c r="F182" s="289" t="s">
        <v>622</v>
      </c>
    </row>
    <row r="183" spans="2:6" ht="35.25" thickBot="1" x14ac:dyDescent="1.25">
      <c r="B183" s="427"/>
      <c r="C183" s="181" t="s">
        <v>140</v>
      </c>
      <c r="D183" s="330" t="s">
        <v>391</v>
      </c>
      <c r="E183" s="183" t="s">
        <v>618</v>
      </c>
      <c r="F183" s="289" t="s">
        <v>622</v>
      </c>
    </row>
    <row r="184" spans="2:6" ht="35.25" thickBot="1" x14ac:dyDescent="1.25">
      <c r="B184" s="427"/>
      <c r="C184" s="181" t="s">
        <v>141</v>
      </c>
      <c r="D184" s="330" t="s">
        <v>392</v>
      </c>
      <c r="E184" s="183" t="s">
        <v>619</v>
      </c>
      <c r="F184" s="289" t="s">
        <v>622</v>
      </c>
    </row>
    <row r="185" spans="2:6" ht="35.25" thickBot="1" x14ac:dyDescent="1.25">
      <c r="B185" s="427"/>
      <c r="C185" s="181" t="s">
        <v>142</v>
      </c>
      <c r="D185" s="330" t="s">
        <v>393</v>
      </c>
      <c r="E185" s="183" t="s">
        <v>620</v>
      </c>
      <c r="F185" s="289" t="s">
        <v>622</v>
      </c>
    </row>
    <row r="186" spans="2:6" ht="35.25" thickBot="1" x14ac:dyDescent="1.25">
      <c r="B186" s="428"/>
      <c r="C186" s="183" t="s">
        <v>143</v>
      </c>
      <c r="D186" s="331" t="s">
        <v>394</v>
      </c>
      <c r="E186" s="183" t="s">
        <v>621</v>
      </c>
      <c r="F186" s="289" t="s">
        <v>622</v>
      </c>
    </row>
    <row r="187" spans="2:6" ht="35.25" thickBot="1" x14ac:dyDescent="1.25">
      <c r="B187" s="423" t="s">
        <v>246</v>
      </c>
      <c r="C187" s="424"/>
      <c r="D187" s="424"/>
      <c r="E187" s="424"/>
      <c r="F187" s="424"/>
    </row>
    <row r="188" spans="2:6" ht="35.25" thickBot="1" x14ac:dyDescent="1.25">
      <c r="B188" s="261" t="s">
        <v>145</v>
      </c>
      <c r="C188" s="156" t="s">
        <v>147</v>
      </c>
      <c r="D188" s="336" t="s">
        <v>395</v>
      </c>
      <c r="E188" s="290"/>
      <c r="F188" s="289"/>
    </row>
    <row r="189" spans="2:6" ht="67.900000000000006" thickBot="1" x14ac:dyDescent="1.25">
      <c r="B189" s="427" t="s">
        <v>128</v>
      </c>
      <c r="C189" s="278" t="s">
        <v>148</v>
      </c>
      <c r="D189" s="329" t="s">
        <v>396</v>
      </c>
      <c r="E189" s="183" t="s">
        <v>623</v>
      </c>
      <c r="F189" s="289" t="s">
        <v>624</v>
      </c>
    </row>
    <row r="190" spans="2:6" ht="67.900000000000006" thickBot="1" x14ac:dyDescent="1.25">
      <c r="B190" s="427"/>
      <c r="C190" s="181" t="s">
        <v>149</v>
      </c>
      <c r="D190" s="330" t="s">
        <v>397</v>
      </c>
      <c r="E190" s="183" t="s">
        <v>625</v>
      </c>
      <c r="F190" s="289" t="s">
        <v>624</v>
      </c>
    </row>
    <row r="191" spans="2:6" ht="67.900000000000006" thickBot="1" x14ac:dyDescent="1.25">
      <c r="B191" s="427"/>
      <c r="C191" s="181" t="s">
        <v>150</v>
      </c>
      <c r="D191" s="330" t="s">
        <v>398</v>
      </c>
      <c r="E191" s="183" t="s">
        <v>626</v>
      </c>
      <c r="F191" s="289" t="s">
        <v>624</v>
      </c>
    </row>
    <row r="192" spans="2:6" ht="67.900000000000006" thickBot="1" x14ac:dyDescent="1.25">
      <c r="B192" s="427"/>
      <c r="C192" s="181" t="s">
        <v>151</v>
      </c>
      <c r="D192" s="330" t="s">
        <v>399</v>
      </c>
      <c r="E192" s="183" t="s">
        <v>627</v>
      </c>
      <c r="F192" s="289" t="s">
        <v>624</v>
      </c>
    </row>
    <row r="193" spans="2:6" ht="67.5" x14ac:dyDescent="1.2">
      <c r="B193" s="427"/>
      <c r="C193" s="181" t="s">
        <v>152</v>
      </c>
      <c r="D193" s="330" t="s">
        <v>400</v>
      </c>
      <c r="E193" s="290" t="s">
        <v>628</v>
      </c>
      <c r="F193" s="289" t="s">
        <v>624</v>
      </c>
    </row>
    <row r="194" spans="2:6" ht="67.900000000000006" thickBot="1" x14ac:dyDescent="1.25">
      <c r="B194" s="428"/>
      <c r="C194" s="183" t="s">
        <v>153</v>
      </c>
      <c r="D194" s="331" t="s">
        <v>401</v>
      </c>
      <c r="E194" s="183" t="s">
        <v>629</v>
      </c>
      <c r="F194" s="289" t="s">
        <v>624</v>
      </c>
    </row>
    <row r="195" spans="2:6" ht="67.5" x14ac:dyDescent="1.2">
      <c r="B195" s="426" t="s">
        <v>129</v>
      </c>
      <c r="C195" s="180" t="s">
        <v>148</v>
      </c>
      <c r="D195" s="330" t="s">
        <v>402</v>
      </c>
      <c r="E195" s="290" t="s">
        <v>623</v>
      </c>
      <c r="F195" s="289" t="s">
        <v>630</v>
      </c>
    </row>
    <row r="196" spans="2:6" ht="67.5" x14ac:dyDescent="1.2">
      <c r="B196" s="427"/>
      <c r="C196" s="181" t="s">
        <v>149</v>
      </c>
      <c r="D196" s="330" t="s">
        <v>403</v>
      </c>
      <c r="E196" s="290" t="s">
        <v>625</v>
      </c>
      <c r="F196" s="289" t="s">
        <v>630</v>
      </c>
    </row>
    <row r="197" spans="2:6" ht="67.5" x14ac:dyDescent="1.2">
      <c r="B197" s="427"/>
      <c r="C197" s="181" t="s">
        <v>150</v>
      </c>
      <c r="D197" s="330" t="s">
        <v>404</v>
      </c>
      <c r="E197" s="290" t="s">
        <v>626</v>
      </c>
      <c r="F197" s="289" t="s">
        <v>630</v>
      </c>
    </row>
    <row r="198" spans="2:6" ht="67.5" x14ac:dyDescent="1.2">
      <c r="B198" s="427"/>
      <c r="C198" s="181" t="s">
        <v>151</v>
      </c>
      <c r="D198" s="330" t="s">
        <v>405</v>
      </c>
      <c r="E198" s="290" t="s">
        <v>627</v>
      </c>
      <c r="F198" s="289" t="s">
        <v>630</v>
      </c>
    </row>
    <row r="199" spans="2:6" ht="67.5" x14ac:dyDescent="1.2">
      <c r="B199" s="427"/>
      <c r="C199" s="181" t="s">
        <v>152</v>
      </c>
      <c r="D199" s="330" t="s">
        <v>406</v>
      </c>
      <c r="E199" s="290" t="s">
        <v>628</v>
      </c>
      <c r="F199" s="289" t="s">
        <v>630</v>
      </c>
    </row>
    <row r="200" spans="2:6" ht="67.900000000000006" thickBot="1" x14ac:dyDescent="1.25">
      <c r="B200" s="427"/>
      <c r="C200" s="292" t="s">
        <v>153</v>
      </c>
      <c r="D200" s="331" t="s">
        <v>407</v>
      </c>
      <c r="E200" s="290" t="s">
        <v>629</v>
      </c>
      <c r="F200" s="289" t="s">
        <v>630</v>
      </c>
    </row>
    <row r="201" spans="2:6" ht="35.25" thickBot="1" x14ac:dyDescent="1.25">
      <c r="B201" s="423" t="s">
        <v>247</v>
      </c>
      <c r="C201" s="424"/>
      <c r="D201" s="424"/>
      <c r="E201" s="424"/>
      <c r="F201" s="424"/>
    </row>
    <row r="202" spans="2:6" ht="35.25" thickBot="1" x14ac:dyDescent="1.25">
      <c r="B202" s="212" t="s">
        <v>145</v>
      </c>
      <c r="C202" s="258" t="s">
        <v>154</v>
      </c>
      <c r="D202" s="245" t="s">
        <v>408</v>
      </c>
      <c r="E202" s="290"/>
      <c r="F202" s="289"/>
    </row>
    <row r="203" spans="2:6" ht="34.9" x14ac:dyDescent="1.2">
      <c r="B203" s="426" t="s">
        <v>128</v>
      </c>
      <c r="C203" s="180" t="s">
        <v>155</v>
      </c>
      <c r="D203" s="330" t="s">
        <v>409</v>
      </c>
      <c r="E203" s="290" t="s">
        <v>631</v>
      </c>
      <c r="F203" s="289" t="s">
        <v>632</v>
      </c>
    </row>
    <row r="204" spans="2:6" ht="34.9" x14ac:dyDescent="1.2">
      <c r="B204" s="427"/>
      <c r="C204" s="181" t="s">
        <v>156</v>
      </c>
      <c r="D204" s="330" t="s">
        <v>410</v>
      </c>
      <c r="E204" s="290" t="s">
        <v>633</v>
      </c>
      <c r="F204" s="289" t="s">
        <v>632</v>
      </c>
    </row>
    <row r="205" spans="2:6" ht="34.9" x14ac:dyDescent="1.2">
      <c r="B205" s="427"/>
      <c r="C205" s="181" t="s">
        <v>157</v>
      </c>
      <c r="D205" s="330" t="s">
        <v>411</v>
      </c>
      <c r="E205" s="290" t="s">
        <v>634</v>
      </c>
      <c r="F205" s="289" t="s">
        <v>632</v>
      </c>
    </row>
    <row r="206" spans="2:6" ht="67.5" x14ac:dyDescent="1.2">
      <c r="B206" s="427"/>
      <c r="C206" s="181" t="s">
        <v>158</v>
      </c>
      <c r="D206" s="330" t="s">
        <v>412</v>
      </c>
      <c r="E206" s="290" t="s">
        <v>635</v>
      </c>
      <c r="F206" s="289" t="s">
        <v>632</v>
      </c>
    </row>
    <row r="207" spans="2:6" ht="34.9" x14ac:dyDescent="1.2">
      <c r="B207" s="427"/>
      <c r="C207" s="181" t="s">
        <v>159</v>
      </c>
      <c r="D207" s="330" t="s">
        <v>413</v>
      </c>
      <c r="E207" s="290" t="s">
        <v>636</v>
      </c>
      <c r="F207" s="289" t="s">
        <v>632</v>
      </c>
    </row>
    <row r="208" spans="2:6" ht="35.25" thickBot="1" x14ac:dyDescent="1.25">
      <c r="B208" s="428"/>
      <c r="C208" s="183" t="s">
        <v>160</v>
      </c>
      <c r="D208" s="330" t="s">
        <v>414</v>
      </c>
      <c r="E208" s="290" t="s">
        <v>637</v>
      </c>
      <c r="F208" s="289" t="s">
        <v>632</v>
      </c>
    </row>
    <row r="209" spans="2:6" ht="34.9" x14ac:dyDescent="1.2">
      <c r="B209" s="427" t="s">
        <v>129</v>
      </c>
      <c r="C209" s="278" t="s">
        <v>155</v>
      </c>
      <c r="D209" s="329" t="s">
        <v>415</v>
      </c>
      <c r="E209" s="290" t="s">
        <v>631</v>
      </c>
      <c r="F209" s="289" t="s">
        <v>630</v>
      </c>
    </row>
    <row r="210" spans="2:6" ht="67.5" x14ac:dyDescent="1.2">
      <c r="B210" s="427"/>
      <c r="C210" s="181" t="s">
        <v>156</v>
      </c>
      <c r="D210" s="330" t="s">
        <v>416</v>
      </c>
      <c r="E210" s="290" t="s">
        <v>635</v>
      </c>
      <c r="F210" s="289" t="s">
        <v>630</v>
      </c>
    </row>
    <row r="211" spans="2:6" ht="67.5" x14ac:dyDescent="1.2">
      <c r="B211" s="427"/>
      <c r="C211" s="181" t="s">
        <v>157</v>
      </c>
      <c r="D211" s="330" t="s">
        <v>417</v>
      </c>
      <c r="E211" s="290" t="s">
        <v>635</v>
      </c>
      <c r="F211" s="289" t="s">
        <v>630</v>
      </c>
    </row>
    <row r="212" spans="2:6" ht="67.5" x14ac:dyDescent="1.2">
      <c r="B212" s="427"/>
      <c r="C212" s="181" t="s">
        <v>158</v>
      </c>
      <c r="D212" s="330" t="s">
        <v>418</v>
      </c>
      <c r="E212" s="290" t="s">
        <v>635</v>
      </c>
      <c r="F212" s="289" t="s">
        <v>630</v>
      </c>
    </row>
    <row r="213" spans="2:6" ht="67.5" x14ac:dyDescent="1.2">
      <c r="B213" s="427"/>
      <c r="C213" s="181" t="s">
        <v>159</v>
      </c>
      <c r="D213" s="330" t="s">
        <v>419</v>
      </c>
      <c r="E213" s="290" t="s">
        <v>635</v>
      </c>
      <c r="F213" s="289" t="s">
        <v>630</v>
      </c>
    </row>
    <row r="214" spans="2:6" ht="67.900000000000006" thickBot="1" x14ac:dyDescent="1.25">
      <c r="B214" s="427"/>
      <c r="C214" s="292" t="s">
        <v>160</v>
      </c>
      <c r="D214" s="331" t="s">
        <v>420</v>
      </c>
      <c r="E214" s="290" t="s">
        <v>635</v>
      </c>
      <c r="F214" s="289" t="s">
        <v>630</v>
      </c>
    </row>
    <row r="215" spans="2:6" ht="35.25" thickBot="1" x14ac:dyDescent="1.25">
      <c r="B215" s="423" t="s">
        <v>248</v>
      </c>
      <c r="C215" s="424"/>
      <c r="D215" s="424"/>
      <c r="E215" s="424"/>
      <c r="F215" s="424"/>
    </row>
    <row r="216" spans="2:6" ht="67.900000000000006" thickBot="1" x14ac:dyDescent="1.25">
      <c r="B216" s="212" t="s">
        <v>146</v>
      </c>
      <c r="C216" s="156" t="s">
        <v>146</v>
      </c>
      <c r="D216" s="331" t="s">
        <v>421</v>
      </c>
      <c r="E216" s="290" t="s">
        <v>638</v>
      </c>
      <c r="F216" s="289" t="s">
        <v>639</v>
      </c>
    </row>
    <row r="217" spans="2:6" ht="67.5" x14ac:dyDescent="1.2">
      <c r="B217" s="277" t="s">
        <v>79</v>
      </c>
      <c r="C217" s="278" t="s">
        <v>161</v>
      </c>
      <c r="D217" s="329" t="s">
        <v>422</v>
      </c>
      <c r="E217" s="290" t="s">
        <v>640</v>
      </c>
      <c r="F217" s="289" t="s">
        <v>639</v>
      </c>
    </row>
    <row r="218" spans="2:6" ht="67.5" x14ac:dyDescent="1.2">
      <c r="B218" s="279" t="s">
        <v>77</v>
      </c>
      <c r="C218" s="181" t="s">
        <v>162</v>
      </c>
      <c r="D218" s="330" t="s">
        <v>423</v>
      </c>
      <c r="E218" s="290" t="s">
        <v>641</v>
      </c>
      <c r="F218" s="289" t="s">
        <v>639</v>
      </c>
    </row>
    <row r="219" spans="2:6" ht="67.5" x14ac:dyDescent="1.2">
      <c r="B219" s="279" t="s">
        <v>123</v>
      </c>
      <c r="C219" s="181" t="s">
        <v>163</v>
      </c>
      <c r="D219" s="330" t="s">
        <v>424</v>
      </c>
      <c r="E219" s="290" t="s">
        <v>642</v>
      </c>
      <c r="F219" s="289" t="s">
        <v>639</v>
      </c>
    </row>
    <row r="220" spans="2:6" ht="101.25" x14ac:dyDescent="1.2">
      <c r="B220" s="279" t="s">
        <v>167</v>
      </c>
      <c r="C220" s="181" t="s">
        <v>164</v>
      </c>
      <c r="D220" s="330" t="s">
        <v>425</v>
      </c>
      <c r="E220" s="290" t="s">
        <v>643</v>
      </c>
      <c r="F220" s="289" t="s">
        <v>639</v>
      </c>
    </row>
    <row r="221" spans="2:6" ht="67.5" x14ac:dyDescent="1.2">
      <c r="B221" s="279" t="s">
        <v>76</v>
      </c>
      <c r="C221" s="181" t="s">
        <v>165</v>
      </c>
      <c r="D221" s="330" t="s">
        <v>426</v>
      </c>
      <c r="E221" s="290" t="s">
        <v>644</v>
      </c>
      <c r="F221" s="289" t="s">
        <v>639</v>
      </c>
    </row>
    <row r="222" spans="2:6" ht="67.900000000000006" thickBot="1" x14ac:dyDescent="1.25">
      <c r="B222" s="280" t="s">
        <v>435</v>
      </c>
      <c r="C222" s="183" t="s">
        <v>166</v>
      </c>
      <c r="D222" s="331" t="s">
        <v>427</v>
      </c>
      <c r="E222" s="290" t="s">
        <v>645</v>
      </c>
      <c r="F222" s="289" t="s">
        <v>646</v>
      </c>
    </row>
    <row r="223" spans="2:6" ht="35.25" thickBot="1" x14ac:dyDescent="1.5">
      <c r="B223" s="215" t="s">
        <v>40</v>
      </c>
      <c r="C223" s="152"/>
      <c r="D223" s="169"/>
      <c r="E223" s="296"/>
      <c r="F223" s="297"/>
    </row>
    <row r="225" spans="1:5" ht="31.5" thickBot="1" x14ac:dyDescent="1.25"/>
    <row r="226" spans="1:5" ht="30.75" customHeight="1" x14ac:dyDescent="1.2">
      <c r="A226" s="442" t="s">
        <v>790</v>
      </c>
      <c r="B226" s="443"/>
      <c r="C226" s="443"/>
      <c r="D226" s="443"/>
      <c r="E226" s="444"/>
    </row>
    <row r="227" spans="1:5" ht="30.75" customHeight="1" thickBot="1" x14ac:dyDescent="1.25">
      <c r="A227" s="445"/>
      <c r="B227" s="446"/>
      <c r="C227" s="446"/>
      <c r="D227" s="446"/>
      <c r="E227" s="447"/>
    </row>
    <row r="228" spans="1:5" ht="40.9" thickBot="1" x14ac:dyDescent="1.25">
      <c r="A228" s="441" t="s">
        <v>773</v>
      </c>
      <c r="B228" s="441"/>
      <c r="C228" s="441"/>
      <c r="D228" s="441"/>
      <c r="E228" s="319"/>
    </row>
    <row r="229" spans="1:5" ht="40.9" thickBot="1" x14ac:dyDescent="1.55">
      <c r="A229" s="400" t="s">
        <v>791</v>
      </c>
      <c r="B229" s="401" t="s">
        <v>659</v>
      </c>
      <c r="C229" s="402" t="s">
        <v>684</v>
      </c>
      <c r="D229" s="402"/>
      <c r="E229" s="319"/>
    </row>
    <row r="230" spans="1:5" ht="78.75" x14ac:dyDescent="1.2">
      <c r="A230" s="337">
        <v>1</v>
      </c>
      <c r="B230" s="338" t="s">
        <v>658</v>
      </c>
      <c r="C230" s="339" t="s">
        <v>661</v>
      </c>
      <c r="D230" s="340"/>
      <c r="E230" s="341"/>
    </row>
    <row r="231" spans="1:5" ht="78.75" x14ac:dyDescent="1.2">
      <c r="A231" s="342">
        <v>2</v>
      </c>
      <c r="B231" s="338" t="s">
        <v>662</v>
      </c>
      <c r="C231" s="339" t="s">
        <v>660</v>
      </c>
      <c r="D231" s="340"/>
      <c r="E231" s="341"/>
    </row>
    <row r="232" spans="1:5" ht="118.15" x14ac:dyDescent="1.2">
      <c r="A232" s="342">
        <v>3</v>
      </c>
      <c r="B232" s="338" t="s">
        <v>663</v>
      </c>
      <c r="C232" s="339" t="s">
        <v>666</v>
      </c>
      <c r="D232" s="340"/>
      <c r="E232" s="341"/>
    </row>
    <row r="233" spans="1:5" ht="78.75" x14ac:dyDescent="1.2">
      <c r="A233" s="342">
        <v>4</v>
      </c>
      <c r="B233" s="338" t="s">
        <v>664</v>
      </c>
      <c r="C233" s="339" t="s">
        <v>667</v>
      </c>
      <c r="D233" s="340"/>
      <c r="E233" s="341"/>
    </row>
    <row r="234" spans="1:5" ht="78.75" x14ac:dyDescent="1.2">
      <c r="A234" s="342">
        <v>5</v>
      </c>
      <c r="B234" s="338" t="s">
        <v>665</v>
      </c>
      <c r="C234" s="339" t="s">
        <v>668</v>
      </c>
      <c r="D234" s="340"/>
      <c r="E234" s="341"/>
    </row>
    <row r="235" spans="1:5" ht="78.75" x14ac:dyDescent="1.2">
      <c r="A235" s="342">
        <v>6</v>
      </c>
      <c r="B235" s="338" t="s">
        <v>669</v>
      </c>
      <c r="C235" s="339" t="s">
        <v>674</v>
      </c>
      <c r="D235" s="340"/>
      <c r="E235" s="343"/>
    </row>
    <row r="236" spans="1:5" ht="78.75" x14ac:dyDescent="1.2">
      <c r="A236" s="342">
        <v>7</v>
      </c>
      <c r="B236" s="338" t="s">
        <v>670</v>
      </c>
      <c r="C236" s="339" t="s">
        <v>675</v>
      </c>
      <c r="D236" s="340"/>
      <c r="E236" s="343"/>
    </row>
    <row r="237" spans="1:5" ht="118.15" x14ac:dyDescent="1.2">
      <c r="A237" s="342">
        <v>8</v>
      </c>
      <c r="B237" s="338" t="s">
        <v>671</v>
      </c>
      <c r="C237" s="339" t="s">
        <v>676</v>
      </c>
      <c r="D237" s="340"/>
      <c r="E237" s="343"/>
    </row>
    <row r="238" spans="1:5" ht="78.75" x14ac:dyDescent="1.2">
      <c r="A238" s="342">
        <v>9</v>
      </c>
      <c r="B238" s="338" t="s">
        <v>672</v>
      </c>
      <c r="C238" s="339" t="s">
        <v>677</v>
      </c>
      <c r="D238" s="340"/>
      <c r="E238" s="343"/>
    </row>
    <row r="239" spans="1:5" ht="78.75" x14ac:dyDescent="1.2">
      <c r="A239" s="342">
        <v>10</v>
      </c>
      <c r="B239" s="338" t="s">
        <v>673</v>
      </c>
      <c r="C239" s="339" t="s">
        <v>678</v>
      </c>
      <c r="D239" s="340"/>
      <c r="E239" s="343"/>
    </row>
    <row r="240" spans="1:5" ht="157.5" x14ac:dyDescent="1.5">
      <c r="A240" s="342">
        <v>11</v>
      </c>
      <c r="B240" s="344" t="s">
        <v>679</v>
      </c>
      <c r="C240" s="321" t="s">
        <v>680</v>
      </c>
      <c r="D240" s="340"/>
      <c r="E240" s="343"/>
    </row>
    <row r="241" spans="1:5" ht="79.150000000000006" thickBot="1" x14ac:dyDescent="1.55">
      <c r="A241" s="342">
        <v>12</v>
      </c>
      <c r="B241" s="345" t="s">
        <v>681</v>
      </c>
      <c r="C241" s="346" t="s">
        <v>683</v>
      </c>
      <c r="D241" s="347"/>
      <c r="E241" s="343"/>
    </row>
    <row r="242" spans="1:5" ht="118.15" x14ac:dyDescent="1.5">
      <c r="A242" s="342">
        <v>13</v>
      </c>
      <c r="B242" s="348" t="s">
        <v>685</v>
      </c>
      <c r="C242" s="349" t="s">
        <v>686</v>
      </c>
      <c r="D242" s="350"/>
      <c r="E242" s="343"/>
    </row>
    <row r="243" spans="1:5" ht="118.15" x14ac:dyDescent="1.5">
      <c r="A243" s="342">
        <v>14</v>
      </c>
      <c r="B243" s="351" t="s">
        <v>685</v>
      </c>
      <c r="C243" s="327" t="s">
        <v>687</v>
      </c>
      <c r="D243" s="352"/>
      <c r="E243" s="343"/>
    </row>
    <row r="244" spans="1:5" ht="118.15" x14ac:dyDescent="1.5">
      <c r="A244" s="342">
        <v>15</v>
      </c>
      <c r="B244" s="351" t="s">
        <v>685</v>
      </c>
      <c r="C244" s="327" t="s">
        <v>688</v>
      </c>
      <c r="D244" s="352"/>
      <c r="E244" s="343"/>
    </row>
    <row r="245" spans="1:5" ht="118.15" x14ac:dyDescent="1.5">
      <c r="A245" s="342">
        <v>16</v>
      </c>
      <c r="B245" s="351" t="s">
        <v>685</v>
      </c>
      <c r="C245" s="327" t="s">
        <v>689</v>
      </c>
      <c r="D245" s="352"/>
      <c r="E245" s="343"/>
    </row>
    <row r="246" spans="1:5" ht="118.5" thickBot="1" x14ac:dyDescent="1.55">
      <c r="A246" s="342">
        <v>17</v>
      </c>
      <c r="B246" s="353" t="s">
        <v>685</v>
      </c>
      <c r="C246" s="354" t="s">
        <v>690</v>
      </c>
      <c r="D246" s="355"/>
      <c r="E246" s="343"/>
    </row>
    <row r="247" spans="1:5" ht="78.75" x14ac:dyDescent="1.5">
      <c r="A247" s="342">
        <v>18</v>
      </c>
      <c r="B247" s="356" t="s">
        <v>691</v>
      </c>
      <c r="C247" s="357" t="s">
        <v>692</v>
      </c>
      <c r="D247" s="350"/>
      <c r="E247" s="343"/>
    </row>
    <row r="248" spans="1:5" ht="78.75" x14ac:dyDescent="1.5">
      <c r="A248" s="342">
        <v>19</v>
      </c>
      <c r="B248" s="351" t="s">
        <v>691</v>
      </c>
      <c r="C248" s="327" t="s">
        <v>693</v>
      </c>
      <c r="D248" s="352"/>
      <c r="E248" s="343"/>
    </row>
    <row r="249" spans="1:5" ht="78.75" x14ac:dyDescent="1.5">
      <c r="A249" s="342">
        <v>20</v>
      </c>
      <c r="B249" s="351" t="s">
        <v>691</v>
      </c>
      <c r="C249" s="327" t="s">
        <v>694</v>
      </c>
      <c r="D249" s="352"/>
      <c r="E249" s="343"/>
    </row>
    <row r="250" spans="1:5" ht="78.75" x14ac:dyDescent="1.5">
      <c r="A250" s="342">
        <v>21</v>
      </c>
      <c r="B250" s="351" t="s">
        <v>691</v>
      </c>
      <c r="C250" s="327" t="s">
        <v>695</v>
      </c>
      <c r="D250" s="352"/>
      <c r="E250" s="343"/>
    </row>
    <row r="251" spans="1:5" ht="79.150000000000006" thickBot="1" x14ac:dyDescent="1.55">
      <c r="A251" s="342">
        <v>22</v>
      </c>
      <c r="B251" s="353" t="s">
        <v>691</v>
      </c>
      <c r="C251" s="358" t="s">
        <v>696</v>
      </c>
      <c r="D251" s="355"/>
      <c r="E251" s="343"/>
    </row>
    <row r="252" spans="1:5" ht="78.75" x14ac:dyDescent="1.5">
      <c r="A252" s="342">
        <v>23</v>
      </c>
      <c r="B252" s="359" t="s">
        <v>697</v>
      </c>
      <c r="C252" s="360" t="s">
        <v>698</v>
      </c>
      <c r="D252" s="361"/>
      <c r="E252" s="343"/>
    </row>
    <row r="253" spans="1:5" ht="78.75" x14ac:dyDescent="1.5">
      <c r="A253" s="342">
        <v>24</v>
      </c>
      <c r="B253" s="362" t="s">
        <v>697</v>
      </c>
      <c r="C253" s="363" t="s">
        <v>699</v>
      </c>
      <c r="D253" s="364"/>
      <c r="E253" s="343"/>
    </row>
    <row r="254" spans="1:5" ht="78.75" x14ac:dyDescent="1.5">
      <c r="A254" s="342">
        <v>25</v>
      </c>
      <c r="B254" s="362" t="s">
        <v>697</v>
      </c>
      <c r="C254" s="363" t="s">
        <v>700</v>
      </c>
      <c r="D254" s="364"/>
      <c r="E254" s="343"/>
    </row>
    <row r="255" spans="1:5" ht="78.75" x14ac:dyDescent="1.5">
      <c r="A255" s="342">
        <v>26</v>
      </c>
      <c r="B255" s="362" t="s">
        <v>697</v>
      </c>
      <c r="C255" s="363" t="s">
        <v>701</v>
      </c>
      <c r="D255" s="364"/>
      <c r="E255" s="343"/>
    </row>
    <row r="256" spans="1:5" ht="79.150000000000006" thickBot="1" x14ac:dyDescent="1.55">
      <c r="A256" s="342">
        <v>27</v>
      </c>
      <c r="B256" s="365" t="s">
        <v>697</v>
      </c>
      <c r="C256" s="366" t="s">
        <v>702</v>
      </c>
      <c r="D256" s="367"/>
      <c r="E256" s="343"/>
    </row>
    <row r="257" spans="1:5" ht="79.150000000000006" thickBot="1" x14ac:dyDescent="1.55">
      <c r="A257" s="342">
        <v>28</v>
      </c>
      <c r="B257" s="348" t="s">
        <v>691</v>
      </c>
      <c r="C257" s="368" t="s">
        <v>703</v>
      </c>
      <c r="D257" s="350"/>
      <c r="E257" s="343"/>
    </row>
    <row r="258" spans="1:5" ht="79.150000000000006" thickBot="1" x14ac:dyDescent="1.55">
      <c r="A258" s="342">
        <v>29</v>
      </c>
      <c r="B258" s="356" t="s">
        <v>691</v>
      </c>
      <c r="C258" s="368" t="s">
        <v>704</v>
      </c>
      <c r="D258" s="352"/>
      <c r="E258" s="343"/>
    </row>
    <row r="259" spans="1:5" ht="79.150000000000006" thickBot="1" x14ac:dyDescent="1.55">
      <c r="A259" s="342">
        <v>30</v>
      </c>
      <c r="B259" s="369" t="s">
        <v>691</v>
      </c>
      <c r="C259" s="370" t="s">
        <v>705</v>
      </c>
      <c r="D259" s="371"/>
      <c r="E259" s="343"/>
    </row>
    <row r="260" spans="1:5" ht="78.75" x14ac:dyDescent="1.5">
      <c r="A260" s="342">
        <v>31</v>
      </c>
      <c r="B260" s="372" t="s">
        <v>691</v>
      </c>
      <c r="C260" s="368" t="s">
        <v>706</v>
      </c>
      <c r="D260" s="350"/>
      <c r="E260" s="343"/>
    </row>
    <row r="261" spans="1:5" ht="78.75" x14ac:dyDescent="1.5">
      <c r="A261" s="342">
        <v>32</v>
      </c>
      <c r="B261" s="373" t="s">
        <v>691</v>
      </c>
      <c r="C261" s="374" t="s">
        <v>707</v>
      </c>
      <c r="D261" s="352"/>
      <c r="E261" s="343"/>
    </row>
    <row r="262" spans="1:5" ht="78.75" x14ac:dyDescent="1.5">
      <c r="A262" s="342">
        <v>33</v>
      </c>
      <c r="B262" s="375" t="s">
        <v>691</v>
      </c>
      <c r="C262" s="376" t="s">
        <v>708</v>
      </c>
      <c r="D262" s="371"/>
      <c r="E262" s="343"/>
    </row>
    <row r="263" spans="1:5" ht="118.15" x14ac:dyDescent="1.5">
      <c r="A263" s="342">
        <v>34</v>
      </c>
      <c r="B263" s="344" t="s">
        <v>709</v>
      </c>
      <c r="C263" s="374" t="s">
        <v>717</v>
      </c>
      <c r="D263" s="340"/>
      <c r="E263" s="343"/>
    </row>
    <row r="264" spans="1:5" ht="118.15" x14ac:dyDescent="1.5">
      <c r="A264" s="342">
        <v>35</v>
      </c>
      <c r="B264" s="344" t="s">
        <v>710</v>
      </c>
      <c r="C264" s="374" t="s">
        <v>718</v>
      </c>
      <c r="D264" s="340"/>
      <c r="E264" s="343"/>
    </row>
    <row r="265" spans="1:5" ht="118.15" x14ac:dyDescent="1.5">
      <c r="A265" s="342">
        <v>36</v>
      </c>
      <c r="B265" s="344" t="s">
        <v>711</v>
      </c>
      <c r="C265" s="374" t="s">
        <v>719</v>
      </c>
      <c r="D265" s="340"/>
      <c r="E265" s="343"/>
    </row>
    <row r="266" spans="1:5" ht="157.5" x14ac:dyDescent="1.5">
      <c r="A266" s="342">
        <v>37</v>
      </c>
      <c r="B266" s="344" t="s">
        <v>712</v>
      </c>
      <c r="C266" s="374" t="s">
        <v>720</v>
      </c>
      <c r="D266" s="340"/>
      <c r="E266" s="343"/>
    </row>
    <row r="267" spans="1:5" ht="78.75" x14ac:dyDescent="1.5">
      <c r="A267" s="342">
        <v>38</v>
      </c>
      <c r="B267" s="344" t="s">
        <v>721</v>
      </c>
      <c r="C267" s="374" t="s">
        <v>722</v>
      </c>
      <c r="D267" s="340"/>
      <c r="E267" s="343"/>
    </row>
    <row r="268" spans="1:5" ht="78.75" x14ac:dyDescent="1.5">
      <c r="A268" s="342">
        <v>39</v>
      </c>
      <c r="B268" s="344" t="s">
        <v>723</v>
      </c>
      <c r="C268" s="377" t="s">
        <v>724</v>
      </c>
      <c r="D268" s="340"/>
      <c r="E268" s="343"/>
    </row>
    <row r="269" spans="1:5" ht="118.15" x14ac:dyDescent="1.5">
      <c r="A269" s="342">
        <v>40</v>
      </c>
      <c r="B269" s="344" t="s">
        <v>725</v>
      </c>
      <c r="C269" s="377" t="s">
        <v>726</v>
      </c>
      <c r="D269" s="378"/>
      <c r="E269" s="343"/>
    </row>
    <row r="270" spans="1:5" ht="79.150000000000006" thickBot="1" x14ac:dyDescent="1.55">
      <c r="A270" s="342">
        <v>41</v>
      </c>
      <c r="B270" s="345" t="s">
        <v>727</v>
      </c>
      <c r="C270" s="379" t="s">
        <v>728</v>
      </c>
      <c r="D270" s="380"/>
      <c r="E270" s="343"/>
    </row>
    <row r="271" spans="1:5" ht="78.75" x14ac:dyDescent="1.5">
      <c r="A271" s="342">
        <v>42</v>
      </c>
      <c r="B271" s="381" t="s">
        <v>731</v>
      </c>
      <c r="C271" s="382" t="s">
        <v>732</v>
      </c>
      <c r="D271" s="383"/>
      <c r="E271" s="343"/>
    </row>
    <row r="272" spans="1:5" ht="78.75" x14ac:dyDescent="1.5">
      <c r="A272" s="342">
        <v>43</v>
      </c>
      <c r="B272" s="384" t="s">
        <v>729</v>
      </c>
      <c r="C272" s="377" t="s">
        <v>733</v>
      </c>
      <c r="D272" s="385"/>
      <c r="E272" s="343"/>
    </row>
    <row r="273" spans="1:5" ht="78.75" x14ac:dyDescent="1.5">
      <c r="A273" s="342">
        <v>44</v>
      </c>
      <c r="B273" s="384" t="s">
        <v>730</v>
      </c>
      <c r="C273" s="377" t="s">
        <v>734</v>
      </c>
      <c r="D273" s="385"/>
      <c r="E273" s="343"/>
    </row>
    <row r="274" spans="1:5" ht="78.75" x14ac:dyDescent="1.5">
      <c r="A274" s="342">
        <v>45</v>
      </c>
      <c r="B274" s="384" t="s">
        <v>735</v>
      </c>
      <c r="C274" s="377" t="s">
        <v>737</v>
      </c>
      <c r="D274" s="385"/>
      <c r="E274" s="343"/>
    </row>
    <row r="275" spans="1:5" ht="79.150000000000006" thickBot="1" x14ac:dyDescent="1.55">
      <c r="A275" s="342">
        <v>46</v>
      </c>
      <c r="B275" s="386" t="s">
        <v>736</v>
      </c>
      <c r="C275" s="379" t="s">
        <v>738</v>
      </c>
      <c r="D275" s="387"/>
      <c r="E275" s="343"/>
    </row>
    <row r="276" spans="1:5" ht="78.75" x14ac:dyDescent="1.5">
      <c r="A276" s="342">
        <v>47</v>
      </c>
      <c r="B276" s="381" t="s">
        <v>739</v>
      </c>
      <c r="C276" s="382" t="s">
        <v>749</v>
      </c>
      <c r="D276" s="383"/>
      <c r="E276" s="343"/>
    </row>
    <row r="277" spans="1:5" ht="78.75" x14ac:dyDescent="1.5">
      <c r="A277" s="342">
        <v>48</v>
      </c>
      <c r="B277" s="384" t="s">
        <v>740</v>
      </c>
      <c r="C277" s="374" t="s">
        <v>750</v>
      </c>
      <c r="D277" s="385"/>
      <c r="E277" s="343"/>
    </row>
    <row r="278" spans="1:5" ht="78.75" x14ac:dyDescent="1.5">
      <c r="A278" s="342">
        <v>49</v>
      </c>
      <c r="B278" s="384" t="s">
        <v>741</v>
      </c>
      <c r="C278" s="374" t="s">
        <v>751</v>
      </c>
      <c r="D278" s="385"/>
      <c r="E278" s="343"/>
    </row>
    <row r="279" spans="1:5" ht="78.75" x14ac:dyDescent="1.5">
      <c r="A279" s="342">
        <v>50</v>
      </c>
      <c r="B279" s="384" t="s">
        <v>742</v>
      </c>
      <c r="C279" s="374" t="s">
        <v>752</v>
      </c>
      <c r="D279" s="385"/>
      <c r="E279" s="343"/>
    </row>
    <row r="280" spans="1:5" ht="79.150000000000006" thickBot="1" x14ac:dyDescent="1.55">
      <c r="A280" s="342">
        <v>51</v>
      </c>
      <c r="B280" s="388" t="s">
        <v>743</v>
      </c>
      <c r="C280" s="389" t="s">
        <v>753</v>
      </c>
      <c r="D280" s="379"/>
      <c r="E280" s="343"/>
    </row>
    <row r="281" spans="1:5" ht="78.75" x14ac:dyDescent="1.5">
      <c r="A281" s="342">
        <v>52</v>
      </c>
      <c r="B281" s="390" t="s">
        <v>744</v>
      </c>
      <c r="C281" s="391" t="s">
        <v>754</v>
      </c>
      <c r="D281" s="383"/>
      <c r="E281" s="343"/>
    </row>
    <row r="282" spans="1:5" ht="78.75" x14ac:dyDescent="1.5">
      <c r="A282" s="342">
        <v>53</v>
      </c>
      <c r="B282" s="392" t="s">
        <v>745</v>
      </c>
      <c r="C282" s="393" t="s">
        <v>755</v>
      </c>
      <c r="D282" s="385"/>
      <c r="E282" s="343"/>
    </row>
    <row r="283" spans="1:5" ht="78.75" x14ac:dyDescent="1.5">
      <c r="A283" s="342">
        <v>54</v>
      </c>
      <c r="B283" s="392" t="s">
        <v>746</v>
      </c>
      <c r="C283" s="393" t="s">
        <v>756</v>
      </c>
      <c r="D283" s="385"/>
      <c r="E283" s="343"/>
    </row>
    <row r="284" spans="1:5" ht="78.75" x14ac:dyDescent="1.5">
      <c r="A284" s="342">
        <v>55</v>
      </c>
      <c r="B284" s="392" t="s">
        <v>747</v>
      </c>
      <c r="C284" s="393" t="s">
        <v>757</v>
      </c>
      <c r="D284" s="385"/>
      <c r="E284" s="343"/>
    </row>
    <row r="285" spans="1:5" ht="79.150000000000006" thickBot="1" x14ac:dyDescent="1.55">
      <c r="A285" s="342">
        <v>56</v>
      </c>
      <c r="B285" s="394" t="s">
        <v>748</v>
      </c>
      <c r="C285" s="395" t="s">
        <v>758</v>
      </c>
      <c r="D285" s="387"/>
      <c r="E285" s="343"/>
    </row>
    <row r="286" spans="1:5" ht="78.75" x14ac:dyDescent="1.5">
      <c r="A286" s="342">
        <v>57</v>
      </c>
      <c r="B286" s="396" t="s">
        <v>759</v>
      </c>
      <c r="C286" s="374" t="s">
        <v>760</v>
      </c>
      <c r="D286" s="340"/>
      <c r="E286" s="343"/>
    </row>
    <row r="287" spans="1:5" ht="196.9" x14ac:dyDescent="1.5">
      <c r="A287" s="342">
        <v>58</v>
      </c>
      <c r="B287" s="345" t="s">
        <v>761</v>
      </c>
      <c r="C287" s="376" t="s">
        <v>762</v>
      </c>
      <c r="D287" s="347"/>
      <c r="E287" s="343"/>
    </row>
    <row r="288" spans="1:5" ht="62.25" x14ac:dyDescent="1.2">
      <c r="A288" s="342">
        <v>59</v>
      </c>
      <c r="B288" s="412" t="s">
        <v>803</v>
      </c>
      <c r="C288" s="414" t="s">
        <v>798</v>
      </c>
      <c r="D288" s="415"/>
    </row>
    <row r="289" spans="1:6" ht="62.25" x14ac:dyDescent="1.2">
      <c r="A289" s="342">
        <v>60</v>
      </c>
      <c r="B289" s="412" t="s">
        <v>804</v>
      </c>
      <c r="C289" s="414" t="s">
        <v>799</v>
      </c>
      <c r="D289" s="415"/>
    </row>
    <row r="290" spans="1:6" ht="62.25" x14ac:dyDescent="1.2">
      <c r="A290" s="342">
        <v>61</v>
      </c>
      <c r="B290" s="412" t="s">
        <v>805</v>
      </c>
      <c r="C290" s="414" t="s">
        <v>800</v>
      </c>
      <c r="D290" s="415"/>
    </row>
    <row r="291" spans="1:6" ht="55.5" customHeight="1" x14ac:dyDescent="1.2">
      <c r="A291" s="342">
        <v>62</v>
      </c>
      <c r="B291" s="412" t="s">
        <v>806</v>
      </c>
      <c r="C291" s="414" t="s">
        <v>801</v>
      </c>
      <c r="D291" s="415"/>
    </row>
    <row r="292" spans="1:6" ht="62.65" thickBot="1" x14ac:dyDescent="1.25">
      <c r="A292" s="342">
        <v>63</v>
      </c>
      <c r="B292" s="412" t="s">
        <v>807</v>
      </c>
      <c r="C292" s="414" t="s">
        <v>802</v>
      </c>
      <c r="D292" s="415"/>
    </row>
    <row r="293" spans="1:6" ht="40.9" thickBot="1" x14ac:dyDescent="1.7">
      <c r="A293" s="342"/>
      <c r="B293" s="420" t="s">
        <v>772</v>
      </c>
      <c r="C293" s="421"/>
      <c r="D293" s="422"/>
      <c r="E293" s="343"/>
    </row>
    <row r="294" spans="1:6" ht="118.15" x14ac:dyDescent="1.5">
      <c r="A294" s="342">
        <v>64</v>
      </c>
      <c r="B294" s="397" t="s">
        <v>763</v>
      </c>
      <c r="C294" s="374" t="s">
        <v>87</v>
      </c>
      <c r="D294" s="340"/>
      <c r="E294" s="343"/>
    </row>
    <row r="295" spans="1:6" ht="118.15" x14ac:dyDescent="1.5">
      <c r="A295" s="342">
        <v>65</v>
      </c>
      <c r="B295" s="344" t="s">
        <v>764</v>
      </c>
      <c r="C295" s="374" t="s">
        <v>90</v>
      </c>
      <c r="D295" s="340"/>
      <c r="E295" s="343"/>
    </row>
    <row r="296" spans="1:6" ht="118.15" x14ac:dyDescent="1.5">
      <c r="A296" s="342">
        <v>66</v>
      </c>
      <c r="B296" s="344" t="s">
        <v>765</v>
      </c>
      <c r="C296" s="374" t="s">
        <v>93</v>
      </c>
      <c r="D296" s="340"/>
      <c r="E296" s="343"/>
    </row>
    <row r="297" spans="1:6" ht="118.15" x14ac:dyDescent="1.5">
      <c r="A297" s="342">
        <v>67</v>
      </c>
      <c r="B297" s="344" t="s">
        <v>766</v>
      </c>
      <c r="C297" s="374" t="s">
        <v>96</v>
      </c>
      <c r="D297" s="340"/>
      <c r="E297" s="343"/>
    </row>
    <row r="298" spans="1:6" s="328" customFormat="1" ht="157.5" x14ac:dyDescent="1.5">
      <c r="A298" s="342">
        <v>68</v>
      </c>
      <c r="B298" s="344" t="s">
        <v>767</v>
      </c>
      <c r="C298" s="374" t="s">
        <v>99</v>
      </c>
      <c r="D298" s="340"/>
      <c r="E298" s="343"/>
      <c r="F298" s="267"/>
    </row>
    <row r="299" spans="1:6" ht="118.15" x14ac:dyDescent="1.5">
      <c r="A299" s="342">
        <v>69</v>
      </c>
      <c r="B299" s="344" t="s">
        <v>768</v>
      </c>
      <c r="C299" s="374" t="s">
        <v>770</v>
      </c>
      <c r="D299" s="340"/>
      <c r="E299" s="343"/>
    </row>
    <row r="300" spans="1:6" ht="78.75" x14ac:dyDescent="1.5">
      <c r="A300" s="342">
        <v>70</v>
      </c>
      <c r="B300" s="344" t="s">
        <v>769</v>
      </c>
      <c r="C300" s="374" t="s">
        <v>771</v>
      </c>
      <c r="D300" s="340"/>
      <c r="E300" s="343"/>
    </row>
    <row r="301" spans="1:6" ht="78.75" x14ac:dyDescent="1.5">
      <c r="A301" s="342">
        <v>71</v>
      </c>
      <c r="B301" s="344" t="s">
        <v>775</v>
      </c>
      <c r="C301" s="374" t="s">
        <v>774</v>
      </c>
      <c r="D301" s="340"/>
      <c r="E301" s="343"/>
    </row>
    <row r="302" spans="1:6" ht="78.75" x14ac:dyDescent="1.5">
      <c r="A302" s="342">
        <v>72</v>
      </c>
      <c r="B302" s="344" t="s">
        <v>777</v>
      </c>
      <c r="C302" s="374" t="s">
        <v>776</v>
      </c>
      <c r="D302" s="340"/>
      <c r="E302" s="343"/>
    </row>
    <row r="303" spans="1:6" ht="78.75" x14ac:dyDescent="1.5">
      <c r="A303" s="342">
        <v>73</v>
      </c>
      <c r="B303" s="345" t="s">
        <v>779</v>
      </c>
      <c r="C303" s="376" t="s">
        <v>778</v>
      </c>
      <c r="D303" s="340"/>
      <c r="E303" s="343"/>
    </row>
    <row r="304" spans="1:6" ht="78.75" x14ac:dyDescent="1.5">
      <c r="A304" s="342">
        <v>74</v>
      </c>
      <c r="B304" s="344" t="s">
        <v>780</v>
      </c>
      <c r="C304" s="374" t="s">
        <v>785</v>
      </c>
      <c r="D304" s="398"/>
      <c r="E304" s="343"/>
    </row>
    <row r="305" spans="1:5" ht="78.75" x14ac:dyDescent="1.5">
      <c r="A305" s="342">
        <v>75</v>
      </c>
      <c r="B305" s="344" t="s">
        <v>781</v>
      </c>
      <c r="C305" s="374" t="s">
        <v>786</v>
      </c>
      <c r="D305" s="399"/>
      <c r="E305" s="343"/>
    </row>
    <row r="306" spans="1:5" ht="118.15" x14ac:dyDescent="1.5">
      <c r="A306" s="342">
        <v>76</v>
      </c>
      <c r="B306" s="344" t="s">
        <v>782</v>
      </c>
      <c r="C306" s="374" t="s">
        <v>787</v>
      </c>
      <c r="D306" s="399"/>
      <c r="E306" s="343"/>
    </row>
    <row r="307" spans="1:5" ht="78.75" x14ac:dyDescent="1.5">
      <c r="A307" s="342">
        <v>77</v>
      </c>
      <c r="B307" s="344" t="s">
        <v>783</v>
      </c>
      <c r="C307" s="374" t="s">
        <v>788</v>
      </c>
      <c r="D307" s="399"/>
      <c r="E307" s="343"/>
    </row>
    <row r="308" spans="1:5" ht="118.15" x14ac:dyDescent="1.5">
      <c r="A308" s="342">
        <v>78</v>
      </c>
      <c r="B308" s="344" t="s">
        <v>784</v>
      </c>
      <c r="C308" s="374" t="s">
        <v>789</v>
      </c>
      <c r="D308" s="413"/>
      <c r="E308" s="343"/>
    </row>
    <row r="310" spans="1:5" x14ac:dyDescent="1.2">
      <c r="B310" s="416"/>
      <c r="C310" s="417"/>
      <c r="D310" s="418"/>
    </row>
    <row r="311" spans="1:5" x14ac:dyDescent="1.2">
      <c r="B311" s="416"/>
      <c r="C311" s="419"/>
      <c r="D311" s="418"/>
    </row>
    <row r="312" spans="1:5" x14ac:dyDescent="1.2">
      <c r="B312" s="416"/>
      <c r="C312" s="419"/>
      <c r="D312" s="418"/>
    </row>
    <row r="313" spans="1:5" x14ac:dyDescent="1.2">
      <c r="B313" s="416"/>
      <c r="C313" s="419"/>
      <c r="D313" s="418"/>
    </row>
    <row r="314" spans="1:5" x14ac:dyDescent="1.2">
      <c r="B314" s="416"/>
      <c r="C314" s="419"/>
      <c r="D314" s="418"/>
    </row>
    <row r="315" spans="1:5" x14ac:dyDescent="1.2">
      <c r="B315" s="416"/>
      <c r="C315" s="417"/>
      <c r="D315" s="418"/>
    </row>
  </sheetData>
  <autoFilter ref="B2:F4" xr:uid="{B4420F47-1321-421B-B7C8-E50E9A19F5B4}"/>
  <mergeCells count="49">
    <mergeCell ref="A228:D228"/>
    <mergeCell ref="A226:E227"/>
    <mergeCell ref="B4:F4"/>
    <mergeCell ref="B39:F39"/>
    <mergeCell ref="B92:B93"/>
    <mergeCell ref="B104:B106"/>
    <mergeCell ref="B56:B59"/>
    <mergeCell ref="B60:B63"/>
    <mergeCell ref="B64:B67"/>
    <mergeCell ref="B68:B71"/>
    <mergeCell ref="B72:B75"/>
    <mergeCell ref="B85:B90"/>
    <mergeCell ref="B40:B42"/>
    <mergeCell ref="B43:F43"/>
    <mergeCell ref="B44:B47"/>
    <mergeCell ref="B48:B51"/>
    <mergeCell ref="B52:B55"/>
    <mergeCell ref="B3:F3"/>
    <mergeCell ref="B1:E1"/>
    <mergeCell ref="B5:B9"/>
    <mergeCell ref="B10:B12"/>
    <mergeCell ref="B32:F32"/>
    <mergeCell ref="B25:F25"/>
    <mergeCell ref="B19:B21"/>
    <mergeCell ref="B22:B24"/>
    <mergeCell ref="B13:B15"/>
    <mergeCell ref="B16:B18"/>
    <mergeCell ref="B189:B194"/>
    <mergeCell ref="B195:B200"/>
    <mergeCell ref="B158:B160"/>
    <mergeCell ref="B161:B166"/>
    <mergeCell ref="B76:B79"/>
    <mergeCell ref="B80:B83"/>
    <mergeCell ref="B293:D293"/>
    <mergeCell ref="B215:F215"/>
    <mergeCell ref="B84:F84"/>
    <mergeCell ref="B107:F107"/>
    <mergeCell ref="B114:F114"/>
    <mergeCell ref="B121:F121"/>
    <mergeCell ref="B203:B208"/>
    <mergeCell ref="B209:B214"/>
    <mergeCell ref="B128:F128"/>
    <mergeCell ref="B156:F156"/>
    <mergeCell ref="B173:F173"/>
    <mergeCell ref="B187:F187"/>
    <mergeCell ref="B201:F201"/>
    <mergeCell ref="B167:B172"/>
    <mergeCell ref="B175:B180"/>
    <mergeCell ref="B181:B186"/>
  </mergeCells>
  <phoneticPr fontId="2" type="noConversion"/>
  <pageMargins left="0.7" right="0.7" top="0.75" bottom="0.75" header="0.3" footer="0.3"/>
  <pageSetup scale="22" fitToHeight="0" orientation="portrait" r:id="rId1"/>
  <headerFooter>
    <oddHeader>&amp;C&amp;G</oddHeader>
  </headerFooter>
  <legacyDrawingHF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0F795B4-C53C-4558-AAD9-28AB113E7C55}">
  <sheetPr>
    <pageSetUpPr fitToPage="1"/>
  </sheetPr>
  <dimension ref="A1:AK307"/>
  <sheetViews>
    <sheetView showGridLines="0" tabSelected="1" showRuler="0" zoomScale="45" zoomScaleNormal="45" zoomScaleSheetLayoutView="68" zoomScalePageLayoutView="21" workbookViewId="0">
      <pane xSplit="3" ySplit="20" topLeftCell="L21" activePane="bottomRight" state="frozen"/>
      <selection pane="topRight" activeCell="D1" sqref="D1"/>
      <selection pane="bottomLeft" activeCell="A22" sqref="A22"/>
      <selection pane="bottomRight" activeCell="L24" sqref="L24"/>
    </sheetView>
  </sheetViews>
  <sheetFormatPr defaultColWidth="9.1328125" defaultRowHeight="33.75" x14ac:dyDescent="1.3"/>
  <cols>
    <col min="1" max="1" width="64.73046875" style="216" bestFit="1" customWidth="1" collapsed="1"/>
    <col min="2" max="2" width="100.86328125" style="153" bestFit="1" customWidth="1" collapsed="1"/>
    <col min="3" max="3" width="11.73046875" style="179" bestFit="1" customWidth="1" collapsed="1"/>
    <col min="4" max="27" width="7.59765625" style="1" customWidth="1" collapsed="1"/>
    <col min="28" max="28" width="13" style="1" customWidth="1" collapsed="1"/>
    <col min="29" max="29" width="9" style="5" hidden="1" customWidth="1" collapsed="1"/>
    <col min="30" max="30" width="31.86328125" style="22" customWidth="1" collapsed="1"/>
    <col min="31" max="31" width="31.59765625" style="1" hidden="1" customWidth="1" collapsed="1"/>
    <col min="32" max="32" width="36.73046875" style="1" customWidth="1" collapsed="1"/>
    <col min="33" max="33" width="9.1328125" style="92" collapsed="1"/>
    <col min="34" max="34" width="9.1328125" style="1"/>
    <col min="35" max="35" width="9.1328125" style="1" collapsed="1"/>
    <col min="36" max="37" width="9.1328125" style="1"/>
    <col min="38" max="16384" width="9.1328125" style="1" collapsed="1"/>
  </cols>
  <sheetData>
    <row r="1" spans="1:33" s="169" customFormat="1" ht="39" customHeight="1" thickBot="1" x14ac:dyDescent="1.5">
      <c r="A1" s="203" t="s">
        <v>73</v>
      </c>
      <c r="B1" s="577" t="s">
        <v>35</v>
      </c>
      <c r="C1" s="578"/>
      <c r="D1" s="548" t="s">
        <v>120</v>
      </c>
      <c r="E1" s="550"/>
      <c r="F1" s="561" t="s">
        <v>36</v>
      </c>
      <c r="G1" s="563"/>
      <c r="H1" s="548" t="s">
        <v>27</v>
      </c>
      <c r="I1" s="549"/>
      <c r="J1" s="550"/>
      <c r="K1" s="561" t="s">
        <v>37</v>
      </c>
      <c r="L1" s="562"/>
      <c r="M1" s="562"/>
      <c r="N1" s="562"/>
      <c r="O1" s="562"/>
      <c r="P1" s="562"/>
      <c r="Q1" s="563"/>
      <c r="R1" s="548" t="s">
        <v>33</v>
      </c>
      <c r="S1" s="550"/>
      <c r="T1" s="561" t="s">
        <v>38</v>
      </c>
      <c r="U1" s="562"/>
      <c r="V1" s="563"/>
      <c r="W1" s="548" t="s">
        <v>28</v>
      </c>
      <c r="X1" s="550"/>
      <c r="Y1" s="166" t="s">
        <v>39</v>
      </c>
      <c r="Z1" s="167" t="s">
        <v>29</v>
      </c>
      <c r="AA1" s="561">
        <v>2020</v>
      </c>
      <c r="AB1" s="563"/>
      <c r="AC1" s="586" t="s">
        <v>30</v>
      </c>
      <c r="AD1" s="587"/>
      <c r="AE1" s="587"/>
      <c r="AF1" s="588"/>
      <c r="AG1" s="168">
        <v>0</v>
      </c>
    </row>
    <row r="2" spans="1:33" s="2" customFormat="1" ht="28.9" hidden="1" x14ac:dyDescent="1.2">
      <c r="A2" s="589" t="s">
        <v>19</v>
      </c>
      <c r="B2" s="589"/>
      <c r="C2" s="589"/>
      <c r="D2" s="589"/>
      <c r="E2" s="589"/>
      <c r="F2" s="589"/>
      <c r="G2" s="589"/>
      <c r="H2" s="589"/>
      <c r="I2" s="589"/>
      <c r="J2" s="589"/>
      <c r="K2" s="589"/>
      <c r="L2" s="589"/>
      <c r="M2" s="589"/>
      <c r="N2" s="589"/>
      <c r="O2" s="589"/>
      <c r="P2" s="589"/>
      <c r="Q2" s="589"/>
      <c r="R2" s="589"/>
      <c r="S2" s="589"/>
      <c r="T2" s="589"/>
      <c r="U2" s="589"/>
      <c r="V2" s="589"/>
      <c r="W2" s="589"/>
      <c r="X2" s="589"/>
      <c r="Y2" s="589"/>
      <c r="Z2" s="589"/>
      <c r="AA2" s="589"/>
      <c r="AB2" s="589"/>
      <c r="AC2" s="589"/>
      <c r="AD2" s="20"/>
      <c r="AG2" s="90">
        <v>1</v>
      </c>
    </row>
    <row r="3" spans="1:33" s="2" customFormat="1" ht="35.25" hidden="1" thickBot="1" x14ac:dyDescent="1.5">
      <c r="A3" s="204" t="s">
        <v>45</v>
      </c>
      <c r="B3" s="139"/>
      <c r="C3" s="176"/>
      <c r="D3" s="86" t="s">
        <v>46</v>
      </c>
      <c r="E3" s="87">
        <v>1</v>
      </c>
      <c r="F3" s="88" t="s">
        <v>47</v>
      </c>
      <c r="G3" s="89">
        <v>1</v>
      </c>
      <c r="H3" s="88" t="s">
        <v>48</v>
      </c>
      <c r="I3" s="89">
        <v>1</v>
      </c>
      <c r="AC3" s="15"/>
      <c r="AD3" s="21"/>
      <c r="AG3" s="90">
        <v>2</v>
      </c>
    </row>
    <row r="4" spans="1:33" s="170" customFormat="1" ht="39.75" customHeight="1" thickBot="1" x14ac:dyDescent="1.6">
      <c r="A4" s="566" t="s">
        <v>429</v>
      </c>
      <c r="B4" s="564"/>
      <c r="C4" s="564"/>
      <c r="D4" s="560" t="s">
        <v>169</v>
      </c>
      <c r="E4" s="560"/>
      <c r="F4" s="560"/>
      <c r="G4" s="560"/>
      <c r="H4" s="560"/>
      <c r="I4" s="560"/>
      <c r="J4" s="560"/>
      <c r="K4" s="560"/>
      <c r="L4" s="560"/>
      <c r="M4" s="560"/>
      <c r="N4" s="560"/>
      <c r="O4" s="560"/>
      <c r="P4" s="560"/>
      <c r="Q4" s="560"/>
      <c r="R4" s="560"/>
      <c r="S4" s="560"/>
      <c r="T4" s="560"/>
      <c r="U4" s="560"/>
      <c r="V4" s="560"/>
      <c r="W4" s="564" t="s">
        <v>170</v>
      </c>
      <c r="X4" s="564"/>
      <c r="Y4" s="564"/>
      <c r="Z4" s="564"/>
      <c r="AA4" s="564"/>
      <c r="AB4" s="564"/>
      <c r="AC4" s="564"/>
      <c r="AD4" s="564"/>
      <c r="AE4" s="564"/>
      <c r="AF4" s="565"/>
      <c r="AG4" s="165">
        <v>3</v>
      </c>
    </row>
    <row r="5" spans="1:33" s="3" customFormat="1" ht="33" hidden="1" customHeight="1" x14ac:dyDescent="0.95">
      <c r="A5" s="554" t="s">
        <v>17</v>
      </c>
      <c r="B5" s="556" t="s">
        <v>25</v>
      </c>
      <c r="C5" s="558" t="s">
        <v>24</v>
      </c>
      <c r="D5" s="483" t="s">
        <v>0</v>
      </c>
      <c r="E5" s="483"/>
      <c r="F5" s="483" t="s">
        <v>1</v>
      </c>
      <c r="G5" s="483"/>
      <c r="H5" s="483" t="s">
        <v>2</v>
      </c>
      <c r="I5" s="483"/>
      <c r="J5" s="483" t="s">
        <v>3</v>
      </c>
      <c r="K5" s="483"/>
      <c r="L5" s="483" t="s">
        <v>4</v>
      </c>
      <c r="M5" s="483"/>
      <c r="N5" s="483" t="s">
        <v>5</v>
      </c>
      <c r="O5" s="483"/>
      <c r="P5" s="483" t="s">
        <v>6</v>
      </c>
      <c r="Q5" s="483"/>
      <c r="R5" s="483" t="s">
        <v>7</v>
      </c>
      <c r="S5" s="483"/>
      <c r="T5" s="483" t="s">
        <v>8</v>
      </c>
      <c r="U5" s="483"/>
      <c r="V5" s="483" t="s">
        <v>14</v>
      </c>
      <c r="W5" s="483"/>
      <c r="X5" s="483" t="s">
        <v>15</v>
      </c>
      <c r="Y5" s="483"/>
      <c r="Z5" s="483" t="s">
        <v>9</v>
      </c>
      <c r="AA5" s="483"/>
      <c r="AB5" s="567" t="s">
        <v>12</v>
      </c>
      <c r="AC5" s="569" t="s">
        <v>26</v>
      </c>
      <c r="AD5" s="46" t="s">
        <v>26</v>
      </c>
      <c r="AE5" s="571" t="s">
        <v>32</v>
      </c>
      <c r="AF5" s="47" t="s">
        <v>65</v>
      </c>
      <c r="AG5" s="91">
        <v>4</v>
      </c>
    </row>
    <row r="6" spans="1:33" s="3" customFormat="1" ht="33" hidden="1" customHeight="1" thickBot="1" x14ac:dyDescent="1">
      <c r="A6" s="555"/>
      <c r="B6" s="557"/>
      <c r="C6" s="559"/>
      <c r="D6" s="12" t="s">
        <v>10</v>
      </c>
      <c r="E6" s="12" t="s">
        <v>11</v>
      </c>
      <c r="F6" s="12" t="s">
        <v>10</v>
      </c>
      <c r="G6" s="12" t="s">
        <v>11</v>
      </c>
      <c r="H6" s="12" t="s">
        <v>10</v>
      </c>
      <c r="I6" s="12" t="s">
        <v>11</v>
      </c>
      <c r="J6" s="12" t="s">
        <v>10</v>
      </c>
      <c r="K6" s="12" t="s">
        <v>11</v>
      </c>
      <c r="L6" s="12" t="s">
        <v>10</v>
      </c>
      <c r="M6" s="12" t="s">
        <v>11</v>
      </c>
      <c r="N6" s="12" t="s">
        <v>10</v>
      </c>
      <c r="O6" s="12" t="s">
        <v>11</v>
      </c>
      <c r="P6" s="12" t="s">
        <v>10</v>
      </c>
      <c r="Q6" s="12" t="s">
        <v>11</v>
      </c>
      <c r="R6" s="12" t="s">
        <v>10</v>
      </c>
      <c r="S6" s="12" t="s">
        <v>11</v>
      </c>
      <c r="T6" s="12" t="s">
        <v>10</v>
      </c>
      <c r="U6" s="12" t="s">
        <v>11</v>
      </c>
      <c r="V6" s="12" t="s">
        <v>10</v>
      </c>
      <c r="W6" s="12" t="s">
        <v>11</v>
      </c>
      <c r="X6" s="12" t="s">
        <v>10</v>
      </c>
      <c r="Y6" s="12" t="s">
        <v>11</v>
      </c>
      <c r="Z6" s="12" t="s">
        <v>10</v>
      </c>
      <c r="AA6" s="12" t="s">
        <v>11</v>
      </c>
      <c r="AB6" s="568"/>
      <c r="AC6" s="570"/>
      <c r="AD6" s="48" t="str">
        <f>IF(LEN(A256)-LEN(SUBSTITUTE(A256,"*",""))&gt;0," Total Errors are "&amp;(LEN(A256)-LEN(SUBSTITUTE(A256,"*",""))),"")</f>
        <v/>
      </c>
      <c r="AE6" s="572"/>
      <c r="AF6" s="49" t="str">
        <f>IF(LEN(A278)-LEN(SUBSTITUTE(A278,"*",""))&gt;0," Total Warnings are "&amp;(LEN(A278)-LEN(SUBSTITUTE(A278,"*",""))),"")</f>
        <v/>
      </c>
      <c r="AG6" s="91">
        <v>5</v>
      </c>
    </row>
    <row r="7" spans="1:33" ht="35.25" hidden="1" thickBot="1" x14ac:dyDescent="1">
      <c r="A7" s="551" t="s">
        <v>41</v>
      </c>
      <c r="B7" s="552"/>
      <c r="C7" s="552"/>
      <c r="D7" s="552"/>
      <c r="E7" s="552"/>
      <c r="F7" s="552"/>
      <c r="G7" s="552"/>
      <c r="H7" s="552"/>
      <c r="I7" s="552"/>
      <c r="J7" s="552"/>
      <c r="K7" s="552"/>
      <c r="L7" s="552"/>
      <c r="M7" s="552"/>
      <c r="N7" s="552"/>
      <c r="O7" s="552"/>
      <c r="P7" s="552"/>
      <c r="Q7" s="552"/>
      <c r="R7" s="552"/>
      <c r="S7" s="552"/>
      <c r="T7" s="552"/>
      <c r="U7" s="552"/>
      <c r="V7" s="552"/>
      <c r="W7" s="552"/>
      <c r="X7" s="552"/>
      <c r="Y7" s="552"/>
      <c r="Z7" s="552"/>
      <c r="AA7" s="552"/>
      <c r="AB7" s="552"/>
      <c r="AC7" s="552"/>
      <c r="AD7" s="552"/>
      <c r="AE7" s="552"/>
      <c r="AF7" s="553"/>
      <c r="AG7" s="91">
        <v>6</v>
      </c>
    </row>
    <row r="8" spans="1:33" ht="31.5" hidden="1" customHeight="1" thickBot="1" x14ac:dyDescent="1.35">
      <c r="A8" s="455" t="s">
        <v>49</v>
      </c>
      <c r="B8" s="157" t="s">
        <v>43</v>
      </c>
      <c r="C8" s="171" t="s">
        <v>67</v>
      </c>
      <c r="D8" s="61"/>
      <c r="E8" s="61"/>
      <c r="F8" s="61"/>
      <c r="G8" s="77"/>
      <c r="H8" s="78"/>
      <c r="I8" s="79"/>
      <c r="J8" s="79"/>
      <c r="K8" s="79"/>
      <c r="L8" s="79"/>
      <c r="M8" s="79"/>
      <c r="N8" s="79"/>
      <c r="O8" s="79"/>
      <c r="P8" s="79"/>
      <c r="Q8" s="79"/>
      <c r="R8" s="79"/>
      <c r="S8" s="80"/>
      <c r="T8" s="69"/>
      <c r="U8" s="70"/>
      <c r="V8" s="70"/>
      <c r="W8" s="70"/>
      <c r="X8" s="70"/>
      <c r="Y8" s="71"/>
      <c r="Z8" s="67"/>
      <c r="AA8" s="65"/>
      <c r="AB8" s="31">
        <f t="shared" ref="AB8:AB10" si="0">SUM(D8:AA8)</f>
        <v>0</v>
      </c>
      <c r="AC8" s="13" t="str">
        <f>CONCATENATE(IF(AB9&gt;AB8," * No Screened in OPD "&amp;$AB$19&amp;" is more than Number Seen at OPD "&amp;CHAR(10),""))</f>
        <v/>
      </c>
      <c r="AD8" s="615" t="str">
        <f>CONCATENATE(AC8,AC9,AC10,AC11,AC12,AC13,AC15,AC16,AC17,AC18,AC14)</f>
        <v/>
      </c>
      <c r="AE8" s="14"/>
      <c r="AF8" s="604" t="str">
        <f>CONCATENATE(AE8,AE9,AE10,AE11,AE12,AE13,AE14,AE15,AE16,AE17,AE18)</f>
        <v/>
      </c>
      <c r="AG8" s="91">
        <v>7</v>
      </c>
    </row>
    <row r="9" spans="1:33" ht="34.15" hidden="1" thickBot="1" x14ac:dyDescent="1.35">
      <c r="A9" s="456"/>
      <c r="B9" s="158" t="s">
        <v>44</v>
      </c>
      <c r="C9" s="171" t="s">
        <v>68</v>
      </c>
      <c r="D9" s="61"/>
      <c r="E9" s="61"/>
      <c r="F9" s="61"/>
      <c r="G9" s="77"/>
      <c r="H9" s="81"/>
      <c r="I9" s="65"/>
      <c r="J9" s="65"/>
      <c r="K9" s="65"/>
      <c r="L9" s="65"/>
      <c r="M9" s="65"/>
      <c r="N9" s="65"/>
      <c r="O9" s="65"/>
      <c r="P9" s="65"/>
      <c r="Q9" s="65"/>
      <c r="R9" s="65"/>
      <c r="S9" s="82"/>
      <c r="T9" s="72"/>
      <c r="U9" s="61"/>
      <c r="V9" s="61"/>
      <c r="W9" s="61"/>
      <c r="X9" s="61"/>
      <c r="Y9" s="73"/>
      <c r="Z9" s="67"/>
      <c r="AA9" s="65"/>
      <c r="AB9" s="31">
        <f t="shared" si="0"/>
        <v>0</v>
      </c>
      <c r="AC9" s="13" t="str">
        <f>CONCATENATE(IF(AB10&gt;AB9," * No Eligible for HTS Testing "&amp;$AB$19&amp;" is more than No Screened for HTS Eligibility "&amp;CHAR(10),""))</f>
        <v/>
      </c>
      <c r="AD9" s="616"/>
      <c r="AE9" s="14"/>
      <c r="AF9" s="605"/>
      <c r="AG9" s="91">
        <v>8</v>
      </c>
    </row>
    <row r="10" spans="1:33" ht="34.15" hidden="1" thickBot="1" x14ac:dyDescent="1.35">
      <c r="A10" s="457"/>
      <c r="B10" s="159" t="s">
        <v>42</v>
      </c>
      <c r="C10" s="171" t="s">
        <v>69</v>
      </c>
      <c r="D10" s="61"/>
      <c r="E10" s="61"/>
      <c r="F10" s="61"/>
      <c r="G10" s="77"/>
      <c r="H10" s="83"/>
      <c r="I10" s="84"/>
      <c r="J10" s="84"/>
      <c r="K10" s="84"/>
      <c r="L10" s="84"/>
      <c r="M10" s="84"/>
      <c r="N10" s="84"/>
      <c r="O10" s="84"/>
      <c r="P10" s="84"/>
      <c r="Q10" s="84"/>
      <c r="R10" s="84"/>
      <c r="S10" s="85"/>
      <c r="T10" s="74"/>
      <c r="U10" s="75"/>
      <c r="V10" s="75"/>
      <c r="W10" s="75"/>
      <c r="X10" s="75"/>
      <c r="Y10" s="76"/>
      <c r="Z10" s="68"/>
      <c r="AA10" s="66"/>
      <c r="AB10" s="31">
        <f t="shared" si="0"/>
        <v>0</v>
      </c>
      <c r="AC10" s="23"/>
      <c r="AD10" s="616"/>
      <c r="AE10" s="14"/>
      <c r="AF10" s="605"/>
      <c r="AG10" s="91">
        <v>9</v>
      </c>
    </row>
    <row r="11" spans="1:33" ht="34.15" hidden="1" thickBot="1" x14ac:dyDescent="1.35">
      <c r="A11" s="455" t="s">
        <v>50</v>
      </c>
      <c r="B11" s="157" t="s">
        <v>58</v>
      </c>
      <c r="C11" s="171" t="s">
        <v>70</v>
      </c>
      <c r="D11" s="60"/>
      <c r="E11" s="61"/>
      <c r="F11" s="61"/>
      <c r="G11" s="61"/>
      <c r="H11" s="61"/>
      <c r="I11" s="61"/>
      <c r="J11" s="61"/>
      <c r="K11" s="61"/>
      <c r="L11" s="61"/>
      <c r="M11" s="61"/>
      <c r="N11" s="61"/>
      <c r="O11" s="61"/>
      <c r="P11" s="61"/>
      <c r="Q11" s="61"/>
      <c r="R11" s="61"/>
      <c r="S11" s="61"/>
      <c r="T11" s="61"/>
      <c r="U11" s="61"/>
      <c r="V11" s="61"/>
      <c r="W11" s="61"/>
      <c r="X11" s="61"/>
      <c r="Y11" s="61"/>
      <c r="Z11" s="61"/>
      <c r="AA11" s="62"/>
      <c r="AB11" s="63"/>
      <c r="AC11" s="13" t="str">
        <f>CONCATENATE(IF(D12&gt;D11," * F00-05 "&amp;$D$19&amp;" "&amp;$D$20&amp;" is more than F00-04"&amp;CHAR(10),""),IF(E12&gt;E11," * F00-05 "&amp;$D$19&amp;" "&amp;$E$20&amp;" is more than F00-04"&amp;CHAR(10),""),IF(F12&gt;F11," * F00-05 "&amp;$F$19&amp;" "&amp;$F$20&amp;" is more than F00-04"&amp;CHAR(10),""),IF(G12&gt;G11," * F00-05 "&amp;$F$19&amp;" "&amp;$G$20&amp;" is more than F00-04"&amp;CHAR(10),""),IF(H12&gt;H11," * F00-05 "&amp;$H$19&amp;" "&amp;$H$20&amp;" is more than F00-04"&amp;CHAR(10),""),IF(I12&gt;I11," * F00-05 "&amp;$H$19&amp;" "&amp;$I$20&amp;" is more than F00-04"&amp;CHAR(10),""),IF(J12&gt;J11," * F00-05 "&amp;$J$19&amp;" "&amp;$J$20&amp;" is more than F00-04"&amp;CHAR(10),""),IF(K12&gt;K11," * F00-05 "&amp;$J$19&amp;" "&amp;$K$20&amp;" is more than F00-04"&amp;CHAR(10),""),IF(L12&gt;L11," * F00-05 "&amp;$L$19&amp;" "&amp;$L$20&amp;" is more than F00-04"&amp;CHAR(10),""),IF(M12&gt;M11," * F00-05 "&amp;$L$19&amp;" "&amp;$M$20&amp;" is more than F00-04"&amp;CHAR(10),""),IF(N12&gt;N11," * F00-05 "&amp;$N$19&amp;" "&amp;$N$20&amp;" is more than F00-04"&amp;CHAR(10),""),IF(O12&gt;O11," * F00-05 "&amp;$N$19&amp;" "&amp;$O$20&amp;" is more than F00-04"&amp;CHAR(10),""),IF(P12&gt;P11," * F00-05 "&amp;$P$19&amp;" "&amp;$P$20&amp;" is more than F00-04"&amp;CHAR(10),""),IF(Q12&gt;Q11," * F00-05 "&amp;$P$19&amp;" "&amp;$Q$20&amp;" is more than F00-04"&amp;CHAR(10),""),IF(R12&gt;R11," * F00-05 "&amp;$R$19&amp;" "&amp;$R$20&amp;" is more than F00-04"&amp;CHAR(10),""),IF(S12&gt;S11," * F00-05 "&amp;$R$19&amp;" "&amp;$S$20&amp;" is more than F00-04"&amp;CHAR(10),""),IF(T12&gt;T11," * F00-05 "&amp;$T$19&amp;" "&amp;$T$20&amp;" is more than F00-04"&amp;CHAR(10),""),IF(U12&gt;U11," * F00-05 "&amp;$T$19&amp;" "&amp;$U$20&amp;" is more than F00-04"&amp;CHAR(10),""),IF(V12&gt;V11," * F00-05 "&amp;$V$19&amp;" "&amp;$V$20&amp;" is more than F00-04"&amp;CHAR(10),""),IF(W12&gt;W11," * F00-05 "&amp;$V$19&amp;" "&amp;$W$20&amp;" is more than F00-04"&amp;CHAR(10),""),IF(X12&gt;X11," * F00-05 "&amp;$X$19&amp;" "&amp;$X$20&amp;" is more than F00-04"&amp;CHAR(10),""),IF(Y12&gt;Y11," * F00-05 "&amp;$X$19&amp;" "&amp;$Y$20&amp;" is more than F00-04"&amp;CHAR(10),""),IF(Z12&gt;Z11," * F00-05 "&amp;$Z$19&amp;" "&amp;$Z$20&amp;" is more than F00-04"&amp;CHAR(10),""),IF(AA12&gt;AA11," * F00-05 "&amp;$Z$19&amp;" "&amp;$AA$20&amp;" is more than F00-04"&amp;CHAR(10),""))</f>
        <v/>
      </c>
      <c r="AD11" s="616"/>
      <c r="AE11" s="14"/>
      <c r="AF11" s="605"/>
      <c r="AG11" s="91">
        <v>10</v>
      </c>
    </row>
    <row r="12" spans="1:33" hidden="1" x14ac:dyDescent="1.3">
      <c r="A12" s="456"/>
      <c r="B12" s="158" t="s">
        <v>44</v>
      </c>
      <c r="C12" s="172" t="s">
        <v>52</v>
      </c>
      <c r="D12" s="55"/>
      <c r="E12" s="50"/>
      <c r="F12" s="50"/>
      <c r="G12" s="50"/>
      <c r="H12" s="50"/>
      <c r="I12" s="50"/>
      <c r="J12" s="50"/>
      <c r="K12" s="50"/>
      <c r="L12" s="50"/>
      <c r="M12" s="50"/>
      <c r="N12" s="50"/>
      <c r="O12" s="50"/>
      <c r="P12" s="50"/>
      <c r="Q12" s="50"/>
      <c r="R12" s="50"/>
      <c r="S12" s="50"/>
      <c r="T12" s="50"/>
      <c r="U12" s="50"/>
      <c r="V12" s="50"/>
      <c r="W12" s="50"/>
      <c r="X12" s="50"/>
      <c r="Y12" s="50"/>
      <c r="Z12" s="50"/>
      <c r="AA12" s="56"/>
      <c r="AB12" s="41">
        <f t="shared" ref="AB12:AB17" si="1">SUM(D12:AA12)</f>
        <v>0</v>
      </c>
      <c r="AC12" s="13" t="str">
        <f>CONCATENATE(IF(D13&gt;D12," * F00-06 "&amp;$D$19&amp;" "&amp;$D$20&amp;" is more than F00-05"&amp;CHAR(10),""),IF(E13&gt;E12," * F00-06 "&amp;$D$19&amp;" "&amp;$E$20&amp;" is more than F00-05"&amp;CHAR(10),""),IF(F13&gt;F12," * F00-06 "&amp;$F$19&amp;" "&amp;$F$20&amp;" is more than F00-05"&amp;CHAR(10),""),IF(G13&gt;G12," * F00-06 "&amp;$F$19&amp;" "&amp;$G$20&amp;" is more than F00-05"&amp;CHAR(10),""),IF(H13&gt;H12," * F00-06 "&amp;$H$19&amp;" "&amp;$H$20&amp;" is more than F00-05"&amp;CHAR(10),""),IF(I13&gt;I12," * F00-06 "&amp;$H$19&amp;" "&amp;$I$20&amp;" is more than F00-05"&amp;CHAR(10),""),IF(J13&gt;J12," * F00-06 "&amp;$J$19&amp;" "&amp;$J$20&amp;" is more than F00-05"&amp;CHAR(10),""),IF(K13&gt;K12," * F00-06 "&amp;$J$19&amp;" "&amp;$K$20&amp;" is more than F00-05"&amp;CHAR(10),""),IF(L13&gt;L12," * F00-06 "&amp;$L$19&amp;" "&amp;$L$20&amp;" is more than F00-05"&amp;CHAR(10),""),IF(M13&gt;M12," * F00-06 "&amp;$L$19&amp;" "&amp;$M$20&amp;" is more than F00-05"&amp;CHAR(10),""),IF(N13&gt;N12," * F00-06 "&amp;$N$19&amp;" "&amp;$N$20&amp;" is more than F00-05"&amp;CHAR(10),""),IF(O13&gt;O12," * F00-06 "&amp;$N$19&amp;" "&amp;$O$20&amp;" is more than F00-05"&amp;CHAR(10),""),IF(P13&gt;P12," * F00-06 "&amp;$P$19&amp;" "&amp;$P$20&amp;" is more than F00-05"&amp;CHAR(10),""),IF(Q13&gt;Q12," * F00-06 "&amp;$P$19&amp;" "&amp;$Q$20&amp;" is more than F00-05"&amp;CHAR(10),""),IF(R13&gt;R12," * F00-06 "&amp;$R$19&amp;" "&amp;$R$20&amp;" is more than F00-05"&amp;CHAR(10),""),IF(S13&gt;S12," * F00-06 "&amp;$R$19&amp;" "&amp;$S$20&amp;" is more than F00-05"&amp;CHAR(10),""),IF(T13&gt;T12," * F00-06 "&amp;$T$19&amp;" "&amp;$T$20&amp;" is more than F00-05"&amp;CHAR(10),""),IF(U13&gt;U12," * F00-06 "&amp;$T$19&amp;" "&amp;$U$20&amp;" is more than F00-05"&amp;CHAR(10),""),IF(V13&gt;V12," * F00-06 "&amp;$V$19&amp;" "&amp;$V$20&amp;" is more than F00-05"&amp;CHAR(10),""),IF(W13&gt;W12," * F00-06 "&amp;$V$19&amp;" "&amp;$W$20&amp;" is more than F00-05"&amp;CHAR(10),""),IF(X13&gt;X12," * F00-06 "&amp;$X$19&amp;" "&amp;$X$20&amp;" is more than F00-05"&amp;CHAR(10),""),IF(Y13&gt;Y12," * F00-06 "&amp;$X$19&amp;" "&amp;$Y$20&amp;" is more than F00-05"&amp;CHAR(10),""),IF(Z13&gt;Z12," * F00-06 "&amp;$Z$19&amp;" "&amp;$Z$20&amp;" is more than F00-05"&amp;CHAR(10),""),IF(AA13&gt;AA12," * F00-06 "&amp;$Z$19&amp;" "&amp;$AA$20&amp;" is more than F00-05"&amp;CHAR(10),""))</f>
        <v/>
      </c>
      <c r="AD12" s="616"/>
      <c r="AE12" s="14"/>
      <c r="AF12" s="605"/>
      <c r="AG12" s="91">
        <v>11</v>
      </c>
    </row>
    <row r="13" spans="1:33" ht="34.15" hidden="1" thickBot="1" x14ac:dyDescent="1.35">
      <c r="A13" s="457"/>
      <c r="B13" s="159" t="s">
        <v>42</v>
      </c>
      <c r="C13" s="173" t="s">
        <v>53</v>
      </c>
      <c r="D13" s="57"/>
      <c r="E13" s="58"/>
      <c r="F13" s="58"/>
      <c r="G13" s="58"/>
      <c r="H13" s="58"/>
      <c r="I13" s="58"/>
      <c r="J13" s="58"/>
      <c r="K13" s="58"/>
      <c r="L13" s="58"/>
      <c r="M13" s="58"/>
      <c r="N13" s="58"/>
      <c r="O13" s="58"/>
      <c r="P13" s="58"/>
      <c r="Q13" s="58"/>
      <c r="R13" s="58"/>
      <c r="S13" s="58"/>
      <c r="T13" s="58"/>
      <c r="U13" s="58"/>
      <c r="V13" s="58"/>
      <c r="W13" s="58"/>
      <c r="X13" s="58"/>
      <c r="Y13" s="58"/>
      <c r="Z13" s="58"/>
      <c r="AA13" s="59"/>
      <c r="AB13" s="51">
        <f t="shared" si="1"/>
        <v>0</v>
      </c>
      <c r="AC13" s="23"/>
      <c r="AD13" s="616"/>
      <c r="AE13" s="14"/>
      <c r="AF13" s="605"/>
      <c r="AG13" s="91">
        <v>12</v>
      </c>
    </row>
    <row r="14" spans="1:33" s="24" customFormat="1" ht="35.25" hidden="1" thickBot="1" x14ac:dyDescent="1.5">
      <c r="A14" s="205" t="s">
        <v>61</v>
      </c>
      <c r="B14" s="160" t="s">
        <v>60</v>
      </c>
      <c r="C14" s="174" t="s">
        <v>54</v>
      </c>
      <c r="D14" s="43">
        <f t="shared" ref="D14:E14" si="2">D13+D10</f>
        <v>0</v>
      </c>
      <c r="E14" s="43">
        <f t="shared" si="2"/>
        <v>0</v>
      </c>
      <c r="F14" s="43">
        <f>F13+F10</f>
        <v>0</v>
      </c>
      <c r="G14" s="43">
        <f t="shared" ref="G14:AA14" si="3">G13+G10</f>
        <v>0</v>
      </c>
      <c r="H14" s="43">
        <f t="shared" si="3"/>
        <v>0</v>
      </c>
      <c r="I14" s="43">
        <f t="shared" si="3"/>
        <v>0</v>
      </c>
      <c r="J14" s="43">
        <f t="shared" si="3"/>
        <v>0</v>
      </c>
      <c r="K14" s="43">
        <f t="shared" si="3"/>
        <v>0</v>
      </c>
      <c r="L14" s="43">
        <f t="shared" si="3"/>
        <v>0</v>
      </c>
      <c r="M14" s="43">
        <f t="shared" si="3"/>
        <v>0</v>
      </c>
      <c r="N14" s="43">
        <f t="shared" si="3"/>
        <v>0</v>
      </c>
      <c r="O14" s="43">
        <f t="shared" si="3"/>
        <v>0</v>
      </c>
      <c r="P14" s="43">
        <f t="shared" si="3"/>
        <v>0</v>
      </c>
      <c r="Q14" s="43">
        <f t="shared" si="3"/>
        <v>0</v>
      </c>
      <c r="R14" s="43">
        <f t="shared" si="3"/>
        <v>0</v>
      </c>
      <c r="S14" s="43">
        <f t="shared" si="3"/>
        <v>0</v>
      </c>
      <c r="T14" s="43">
        <f t="shared" si="3"/>
        <v>0</v>
      </c>
      <c r="U14" s="43">
        <f t="shared" si="3"/>
        <v>0</v>
      </c>
      <c r="V14" s="43">
        <f t="shared" si="3"/>
        <v>0</v>
      </c>
      <c r="W14" s="43">
        <f t="shared" si="3"/>
        <v>0</v>
      </c>
      <c r="X14" s="43">
        <f t="shared" si="3"/>
        <v>0</v>
      </c>
      <c r="Y14" s="43">
        <f t="shared" si="3"/>
        <v>0</v>
      </c>
      <c r="Z14" s="43">
        <f t="shared" si="3"/>
        <v>0</v>
      </c>
      <c r="AA14" s="43">
        <f t="shared" si="3"/>
        <v>0</v>
      </c>
      <c r="AB14" s="40">
        <f t="shared" si="1"/>
        <v>0</v>
      </c>
      <c r="AC14" s="33"/>
      <c r="AD14" s="616"/>
      <c r="AE14" s="34"/>
      <c r="AF14" s="605"/>
      <c r="AG14" s="91">
        <v>13</v>
      </c>
    </row>
    <row r="15" spans="1:33" hidden="1" x14ac:dyDescent="1.3">
      <c r="A15" s="455" t="s">
        <v>51</v>
      </c>
      <c r="B15" s="157" t="s">
        <v>59</v>
      </c>
      <c r="C15" s="174" t="s">
        <v>55</v>
      </c>
      <c r="D15" s="52"/>
      <c r="E15" s="53"/>
      <c r="F15" s="53"/>
      <c r="G15" s="53"/>
      <c r="H15" s="53"/>
      <c r="I15" s="53"/>
      <c r="J15" s="53"/>
      <c r="K15" s="53"/>
      <c r="L15" s="53"/>
      <c r="M15" s="53"/>
      <c r="N15" s="53"/>
      <c r="O15" s="53"/>
      <c r="P15" s="53"/>
      <c r="Q15" s="53"/>
      <c r="R15" s="53"/>
      <c r="S15" s="53"/>
      <c r="T15" s="53"/>
      <c r="U15" s="53"/>
      <c r="V15" s="53"/>
      <c r="W15" s="53"/>
      <c r="X15" s="53"/>
      <c r="Y15" s="53"/>
      <c r="Z15" s="53"/>
      <c r="AA15" s="54"/>
      <c r="AB15" s="30">
        <f t="shared" si="1"/>
        <v>0</v>
      </c>
      <c r="AC15" s="13" t="str">
        <f>CONCATENATE(IF(D16&gt;D15," * F00-08 "&amp;$D$19&amp;" "&amp;$D$20&amp;" is more than F00-07"&amp;CHAR(10),""),IF(E16&gt;E15," * F00-08 "&amp;$D$19&amp;" "&amp;$E$20&amp;" is more than F00-07"&amp;CHAR(10),""),IF(F16&gt;F15," * F00-08 "&amp;$F$19&amp;" "&amp;$F$20&amp;" is more than F00-07"&amp;CHAR(10),""),IF(G16&gt;G15," * F00-08 "&amp;$F$19&amp;" "&amp;$G$20&amp;" is more than F00-07"&amp;CHAR(10),""),IF(H16&gt;H15," * F00-08 "&amp;$H$19&amp;" "&amp;$H$20&amp;" is more than F00-07"&amp;CHAR(10),""),IF(I16&gt;I15," * F00-08 "&amp;$H$19&amp;" "&amp;$I$20&amp;" is more than F00-07"&amp;CHAR(10),""),IF(J16&gt;J15," * F00-08 "&amp;$J$19&amp;" "&amp;$J$20&amp;" is more than F00-07"&amp;CHAR(10),""),IF(K16&gt;K15," * F00-08 "&amp;$J$19&amp;" "&amp;$K$20&amp;" is more than F00-07"&amp;CHAR(10),""),IF(L16&gt;L15," * F00-08 "&amp;$L$19&amp;" "&amp;$L$20&amp;" is more than F00-07"&amp;CHAR(10),""),IF(M16&gt;M15," * F00-08 "&amp;$L$19&amp;" "&amp;$M$20&amp;" is more than F00-07"&amp;CHAR(10),""),IF(N16&gt;N15," * F00-08 "&amp;$N$19&amp;" "&amp;$N$20&amp;" is more than F00-07"&amp;CHAR(10),""),IF(O16&gt;O15," * F00-08 "&amp;$N$19&amp;" "&amp;$O$20&amp;" is more than F00-07"&amp;CHAR(10),""),IF(P16&gt;P15," * F00-08 "&amp;$P$19&amp;" "&amp;$P$20&amp;" is more than F00-07"&amp;CHAR(10),""),IF(Q16&gt;Q15," * F00-08 "&amp;$P$19&amp;" "&amp;$Q$20&amp;" is more than F00-07"&amp;CHAR(10),""),IF(R16&gt;R15," * F00-08 "&amp;$R$19&amp;" "&amp;$R$20&amp;" is more than F00-07"&amp;CHAR(10),""),IF(S16&gt;S15," * F00-08 "&amp;$R$19&amp;" "&amp;$S$20&amp;" is more than F00-07"&amp;CHAR(10),""),IF(T16&gt;T15," * F00-08 "&amp;$T$19&amp;" "&amp;$T$20&amp;" is more than F00-07"&amp;CHAR(10),""),IF(U16&gt;U15," * F00-08 "&amp;$T$19&amp;" "&amp;$U$20&amp;" is more than F00-07"&amp;CHAR(10),""),IF(V16&gt;V15," * F00-08 "&amp;$V$19&amp;" "&amp;$V$20&amp;" is more than F00-07"&amp;CHAR(10),""),IF(W16&gt;W15," * F00-08 "&amp;$V$19&amp;" "&amp;$W$20&amp;" is more than F00-07"&amp;CHAR(10),""),IF(X16&gt;X15," * F00-08 "&amp;$X$19&amp;" "&amp;$X$20&amp;" is more than F00-07"&amp;CHAR(10),""),IF(Y16&gt;Y15," * F00-08 "&amp;$X$19&amp;" "&amp;$Y$20&amp;" is more than F00-07"&amp;CHAR(10),""),IF(Z16&gt;Z15," * F00-08 "&amp;$Z$19&amp;" "&amp;$Z$20&amp;" is more than F00-07"&amp;CHAR(10),""),IF(AA16&gt;AA15," * F00-08 "&amp;$Z$19&amp;" "&amp;$AA$20&amp;" is more than F00-07"&amp;CHAR(10),""))</f>
        <v/>
      </c>
      <c r="AD15" s="616"/>
      <c r="AE15" s="14"/>
      <c r="AF15" s="605"/>
      <c r="AG15" s="91">
        <v>14</v>
      </c>
    </row>
    <row r="16" spans="1:33" hidden="1" x14ac:dyDescent="1.3">
      <c r="A16" s="456"/>
      <c r="B16" s="161" t="s">
        <v>44</v>
      </c>
      <c r="C16" s="172" t="s">
        <v>56</v>
      </c>
      <c r="D16" s="55"/>
      <c r="E16" s="50"/>
      <c r="F16" s="50"/>
      <c r="G16" s="50"/>
      <c r="H16" s="50"/>
      <c r="I16" s="50"/>
      <c r="J16" s="50"/>
      <c r="K16" s="50"/>
      <c r="L16" s="50"/>
      <c r="M16" s="50"/>
      <c r="N16" s="50"/>
      <c r="O16" s="50"/>
      <c r="P16" s="50"/>
      <c r="Q16" s="50"/>
      <c r="R16" s="50"/>
      <c r="S16" s="50"/>
      <c r="T16" s="50"/>
      <c r="U16" s="50"/>
      <c r="V16" s="50"/>
      <c r="W16" s="50"/>
      <c r="X16" s="50"/>
      <c r="Y16" s="50"/>
      <c r="Z16" s="50"/>
      <c r="AA16" s="56"/>
      <c r="AB16" s="35">
        <f t="shared" si="1"/>
        <v>0</v>
      </c>
      <c r="AC16" s="13" t="str">
        <f>CONCATENATE(IF(D17&gt;D16," * F00-09 "&amp;$D$19&amp;" "&amp;$D$20&amp;" is more than F00-08"&amp;CHAR(10),""),IF(E17&gt;E16," * F00-09 "&amp;$D$19&amp;" "&amp;$E$20&amp;" is more than F00-08"&amp;CHAR(10),""),IF(F17&gt;F16," * F00-09 "&amp;$F$19&amp;" "&amp;$F$20&amp;" is more than F00-08"&amp;CHAR(10),""),IF(G17&gt;G16," * F00-09 "&amp;$F$19&amp;" "&amp;$G$20&amp;" is more than F00-08"&amp;CHAR(10),""),IF(H17&gt;H16," * F00-09 "&amp;$H$19&amp;" "&amp;$H$20&amp;" is more than F00-08"&amp;CHAR(10),""),IF(I17&gt;I16," * F00-09 "&amp;$H$19&amp;" "&amp;$I$20&amp;" is more than F00-08"&amp;CHAR(10),""),IF(J17&gt;J16," * F00-09 "&amp;$J$19&amp;" "&amp;$J$20&amp;" is more than F00-08"&amp;CHAR(10),""),IF(K17&gt;K16," * F00-09 "&amp;$J$19&amp;" "&amp;$K$20&amp;" is more than F00-08"&amp;CHAR(10),""),IF(L17&gt;L16," * F00-09 "&amp;$L$19&amp;" "&amp;$L$20&amp;" is more than F00-08"&amp;CHAR(10),""),IF(M17&gt;M16," * F00-09 "&amp;$L$19&amp;" "&amp;$M$20&amp;" is more than F00-08"&amp;CHAR(10),""),IF(N17&gt;N16," * F00-09 "&amp;$N$19&amp;" "&amp;$N$20&amp;" is more than F00-08"&amp;CHAR(10),""),IF(O17&gt;O16," * F00-09 "&amp;$N$19&amp;" "&amp;$O$20&amp;" is more than F00-08"&amp;CHAR(10),""),IF(P17&gt;P16," * F00-09 "&amp;$P$19&amp;" "&amp;$P$20&amp;" is more than F00-08"&amp;CHAR(10),""),IF(Q17&gt;Q16," * F00-09 "&amp;$P$19&amp;" "&amp;$Q$20&amp;" is more than F00-08"&amp;CHAR(10),""),IF(R17&gt;R16," * F00-09 "&amp;$R$19&amp;" "&amp;$R$20&amp;" is more than F00-08"&amp;CHAR(10),""),IF(S17&gt;S16," * F00-09 "&amp;$R$19&amp;" "&amp;$S$20&amp;" is more than F00-08"&amp;CHAR(10),""),IF(T17&gt;T16," * F00-09 "&amp;$T$19&amp;" "&amp;$T$20&amp;" is more than F00-08"&amp;CHAR(10),""),IF(U17&gt;U16," * F00-09 "&amp;$T$19&amp;" "&amp;$U$20&amp;" is more than F00-08"&amp;CHAR(10),""),IF(V17&gt;V16," * F00-09 "&amp;$V$19&amp;" "&amp;$V$20&amp;" is more than F00-08"&amp;CHAR(10),""),IF(W17&gt;W16," * F00-09 "&amp;$V$19&amp;" "&amp;$W$20&amp;" is more than F00-08"&amp;CHAR(10),""),IF(X17&gt;X16," * F00-09 "&amp;$X$19&amp;" "&amp;$X$20&amp;" is more than F00-08"&amp;CHAR(10),""),IF(Y17&gt;Y16," * F00-09 "&amp;$X$19&amp;" "&amp;$Y$20&amp;" is more than F00-08"&amp;CHAR(10),""),IF(Z17&gt;Z16," * F00-09 "&amp;$Z$19&amp;" "&amp;$Z$20&amp;" is more than F00-08"&amp;CHAR(10),""),IF(AA17&gt;AA16," * F00-09 "&amp;$Z$19&amp;" "&amp;$AA$20&amp;" is more than F00-08"&amp;CHAR(10),""))</f>
        <v/>
      </c>
      <c r="AD16" s="616"/>
      <c r="AE16" s="14"/>
      <c r="AF16" s="605"/>
      <c r="AG16" s="91">
        <v>15</v>
      </c>
    </row>
    <row r="17" spans="1:33" ht="34.15" hidden="1" thickBot="1" x14ac:dyDescent="1.35">
      <c r="A17" s="457"/>
      <c r="B17" s="159" t="s">
        <v>42</v>
      </c>
      <c r="C17" s="173" t="s">
        <v>57</v>
      </c>
      <c r="D17" s="57"/>
      <c r="E17" s="58"/>
      <c r="F17" s="58"/>
      <c r="G17" s="58"/>
      <c r="H17" s="58"/>
      <c r="I17" s="58"/>
      <c r="J17" s="58"/>
      <c r="K17" s="58"/>
      <c r="L17" s="58"/>
      <c r="M17" s="58"/>
      <c r="N17" s="58"/>
      <c r="O17" s="58"/>
      <c r="P17" s="58"/>
      <c r="Q17" s="58"/>
      <c r="R17" s="58"/>
      <c r="S17" s="58"/>
      <c r="T17" s="58"/>
      <c r="U17" s="58"/>
      <c r="V17" s="58"/>
      <c r="W17" s="58"/>
      <c r="X17" s="58"/>
      <c r="Y17" s="58"/>
      <c r="Z17" s="58"/>
      <c r="AA17" s="59"/>
      <c r="AB17" s="42">
        <f t="shared" si="1"/>
        <v>0</v>
      </c>
      <c r="AC17" s="23"/>
      <c r="AD17" s="616"/>
      <c r="AE17" s="14"/>
      <c r="AF17" s="605"/>
      <c r="AG17" s="91">
        <v>16</v>
      </c>
    </row>
    <row r="18" spans="1:33" ht="35.25" hidden="1" thickBot="1" x14ac:dyDescent="1.5">
      <c r="A18" s="206"/>
      <c r="B18" s="160" t="s">
        <v>168</v>
      </c>
      <c r="C18" s="175" t="s">
        <v>71</v>
      </c>
      <c r="D18" s="39">
        <f t="shared" ref="D18:E18" si="4">D17+D13+D10</f>
        <v>0</v>
      </c>
      <c r="E18" s="39">
        <f t="shared" si="4"/>
        <v>0</v>
      </c>
      <c r="F18" s="39">
        <f>F17+F13+F10</f>
        <v>0</v>
      </c>
      <c r="G18" s="39">
        <f t="shared" ref="G18:AB18" si="5">G17+G13+G10</f>
        <v>0</v>
      </c>
      <c r="H18" s="39">
        <f t="shared" si="5"/>
        <v>0</v>
      </c>
      <c r="I18" s="39">
        <f t="shared" si="5"/>
        <v>0</v>
      </c>
      <c r="J18" s="39">
        <f t="shared" si="5"/>
        <v>0</v>
      </c>
      <c r="K18" s="39">
        <f t="shared" si="5"/>
        <v>0</v>
      </c>
      <c r="L18" s="39">
        <f t="shared" si="5"/>
        <v>0</v>
      </c>
      <c r="M18" s="39">
        <f t="shared" si="5"/>
        <v>0</v>
      </c>
      <c r="N18" s="39">
        <f t="shared" si="5"/>
        <v>0</v>
      </c>
      <c r="O18" s="39">
        <f t="shared" si="5"/>
        <v>0</v>
      </c>
      <c r="P18" s="39">
        <f t="shared" si="5"/>
        <v>0</v>
      </c>
      <c r="Q18" s="39">
        <f t="shared" si="5"/>
        <v>0</v>
      </c>
      <c r="R18" s="39">
        <f t="shared" si="5"/>
        <v>0</v>
      </c>
      <c r="S18" s="39">
        <f t="shared" si="5"/>
        <v>0</v>
      </c>
      <c r="T18" s="39">
        <f t="shared" si="5"/>
        <v>0</v>
      </c>
      <c r="U18" s="39">
        <f t="shared" si="5"/>
        <v>0</v>
      </c>
      <c r="V18" s="39">
        <f t="shared" si="5"/>
        <v>0</v>
      </c>
      <c r="W18" s="39">
        <f t="shared" si="5"/>
        <v>0</v>
      </c>
      <c r="X18" s="39">
        <f t="shared" si="5"/>
        <v>0</v>
      </c>
      <c r="Y18" s="39">
        <f t="shared" si="5"/>
        <v>0</v>
      </c>
      <c r="Z18" s="39">
        <f t="shared" si="5"/>
        <v>0</v>
      </c>
      <c r="AA18" s="39">
        <f t="shared" si="5"/>
        <v>0</v>
      </c>
      <c r="AB18" s="39">
        <f t="shared" si="5"/>
        <v>0</v>
      </c>
      <c r="AC18" s="23"/>
      <c r="AD18" s="617"/>
      <c r="AE18" s="14"/>
      <c r="AF18" s="606"/>
      <c r="AG18" s="91">
        <v>17</v>
      </c>
    </row>
    <row r="19" spans="1:33" s="163" customFormat="1" ht="39.75" customHeight="1" x14ac:dyDescent="1.2">
      <c r="A19" s="598" t="s">
        <v>17</v>
      </c>
      <c r="B19" s="596" t="s">
        <v>25</v>
      </c>
      <c r="C19" s="594" t="s">
        <v>24</v>
      </c>
      <c r="D19" s="482" t="s">
        <v>0</v>
      </c>
      <c r="E19" s="481"/>
      <c r="F19" s="480" t="s">
        <v>1</v>
      </c>
      <c r="G19" s="481"/>
      <c r="H19" s="480" t="s">
        <v>2</v>
      </c>
      <c r="I19" s="481"/>
      <c r="J19" s="480" t="s">
        <v>3</v>
      </c>
      <c r="K19" s="481"/>
      <c r="L19" s="480" t="s">
        <v>4</v>
      </c>
      <c r="M19" s="481"/>
      <c r="N19" s="480" t="s">
        <v>5</v>
      </c>
      <c r="O19" s="481"/>
      <c r="P19" s="480" t="s">
        <v>6</v>
      </c>
      <c r="Q19" s="481"/>
      <c r="R19" s="480" t="s">
        <v>7</v>
      </c>
      <c r="S19" s="481"/>
      <c r="T19" s="480" t="s">
        <v>8</v>
      </c>
      <c r="U19" s="481"/>
      <c r="V19" s="480" t="s">
        <v>14</v>
      </c>
      <c r="W19" s="481"/>
      <c r="X19" s="480" t="s">
        <v>15</v>
      </c>
      <c r="Y19" s="481"/>
      <c r="Z19" s="480" t="s">
        <v>9</v>
      </c>
      <c r="AA19" s="481"/>
      <c r="AB19" s="592" t="s">
        <v>12</v>
      </c>
      <c r="AC19" s="590" t="s">
        <v>26</v>
      </c>
      <c r="AD19" s="607" t="s">
        <v>31</v>
      </c>
      <c r="AE19" s="600" t="s">
        <v>32</v>
      </c>
      <c r="AF19" s="579" t="s">
        <v>32</v>
      </c>
      <c r="AG19" s="162">
        <v>19</v>
      </c>
    </row>
    <row r="20" spans="1:33" s="163" customFormat="1" ht="33" customHeight="1" thickBot="1" x14ac:dyDescent="1.25">
      <c r="A20" s="599"/>
      <c r="B20" s="597"/>
      <c r="C20" s="595"/>
      <c r="D20" s="164" t="s">
        <v>10</v>
      </c>
      <c r="E20" s="164" t="s">
        <v>11</v>
      </c>
      <c r="F20" s="164" t="s">
        <v>10</v>
      </c>
      <c r="G20" s="164" t="s">
        <v>11</v>
      </c>
      <c r="H20" s="164" t="s">
        <v>10</v>
      </c>
      <c r="I20" s="164" t="s">
        <v>11</v>
      </c>
      <c r="J20" s="164" t="s">
        <v>10</v>
      </c>
      <c r="K20" s="164" t="s">
        <v>11</v>
      </c>
      <c r="L20" s="164" t="s">
        <v>10</v>
      </c>
      <c r="M20" s="164" t="s">
        <v>11</v>
      </c>
      <c r="N20" s="164" t="s">
        <v>10</v>
      </c>
      <c r="O20" s="164" t="s">
        <v>11</v>
      </c>
      <c r="P20" s="164" t="s">
        <v>10</v>
      </c>
      <c r="Q20" s="164" t="s">
        <v>11</v>
      </c>
      <c r="R20" s="164" t="s">
        <v>10</v>
      </c>
      <c r="S20" s="164" t="s">
        <v>11</v>
      </c>
      <c r="T20" s="164" t="s">
        <v>10</v>
      </c>
      <c r="U20" s="164" t="s">
        <v>11</v>
      </c>
      <c r="V20" s="164" t="s">
        <v>10</v>
      </c>
      <c r="W20" s="164" t="s">
        <v>11</v>
      </c>
      <c r="X20" s="164" t="s">
        <v>10</v>
      </c>
      <c r="Y20" s="164" t="s">
        <v>11</v>
      </c>
      <c r="Z20" s="164" t="s">
        <v>10</v>
      </c>
      <c r="AA20" s="164" t="s">
        <v>11</v>
      </c>
      <c r="AB20" s="593"/>
      <c r="AC20" s="591"/>
      <c r="AD20" s="608"/>
      <c r="AE20" s="601"/>
      <c r="AF20" s="580"/>
      <c r="AG20" s="162">
        <v>20</v>
      </c>
    </row>
    <row r="21" spans="1:33" s="4" customFormat="1" ht="38.25" customHeight="1" thickBot="1" x14ac:dyDescent="0.5">
      <c r="A21" s="618" t="s">
        <v>428</v>
      </c>
      <c r="B21" s="619"/>
      <c r="C21" s="619"/>
      <c r="D21" s="619"/>
      <c r="E21" s="619"/>
      <c r="F21" s="619"/>
      <c r="G21" s="619"/>
      <c r="H21" s="619"/>
      <c r="I21" s="619"/>
      <c r="J21" s="619"/>
      <c r="K21" s="619"/>
      <c r="L21" s="619"/>
      <c r="M21" s="619"/>
      <c r="N21" s="619"/>
      <c r="O21" s="619"/>
      <c r="P21" s="619"/>
      <c r="Q21" s="619"/>
      <c r="R21" s="619"/>
      <c r="S21" s="619"/>
      <c r="T21" s="619"/>
      <c r="U21" s="619"/>
      <c r="V21" s="619"/>
      <c r="W21" s="619"/>
      <c r="X21" s="619"/>
      <c r="Y21" s="619"/>
      <c r="Z21" s="619"/>
      <c r="AA21" s="619"/>
      <c r="AB21" s="619"/>
      <c r="AC21" s="619"/>
      <c r="AD21" s="619"/>
      <c r="AE21" s="619"/>
      <c r="AF21" s="620"/>
      <c r="AG21" s="252">
        <v>93</v>
      </c>
    </row>
    <row r="22" spans="1:33" s="4" customFormat="1" ht="38.25" customHeight="1" thickBot="1" x14ac:dyDescent="0.5">
      <c r="A22" s="581" t="s">
        <v>74</v>
      </c>
      <c r="B22" s="582"/>
      <c r="C22" s="583"/>
      <c r="D22" s="582"/>
      <c r="E22" s="582"/>
      <c r="F22" s="582"/>
      <c r="G22" s="582"/>
      <c r="H22" s="582"/>
      <c r="I22" s="582"/>
      <c r="J22" s="582"/>
      <c r="K22" s="582"/>
      <c r="L22" s="582"/>
      <c r="M22" s="582"/>
      <c r="N22" s="582"/>
      <c r="O22" s="582"/>
      <c r="P22" s="582"/>
      <c r="Q22" s="582"/>
      <c r="R22" s="582"/>
      <c r="S22" s="582"/>
      <c r="T22" s="582"/>
      <c r="U22" s="582"/>
      <c r="V22" s="582"/>
      <c r="W22" s="582"/>
      <c r="X22" s="582"/>
      <c r="Y22" s="582"/>
      <c r="Z22" s="582"/>
      <c r="AA22" s="582"/>
      <c r="AB22" s="582"/>
      <c r="AC22" s="582"/>
      <c r="AD22" s="584"/>
      <c r="AE22" s="582"/>
      <c r="AF22" s="585"/>
      <c r="AG22" s="108">
        <v>18</v>
      </c>
    </row>
    <row r="23" spans="1:33" s="4" customFormat="1" ht="38.25" customHeight="1" thickBot="1" x14ac:dyDescent="0.5">
      <c r="A23" s="212" t="s">
        <v>797</v>
      </c>
      <c r="B23" s="212" t="s">
        <v>75</v>
      </c>
      <c r="C23" s="231" t="s">
        <v>682</v>
      </c>
      <c r="D23" s="299">
        <f>SUM(D24:D28)</f>
        <v>0</v>
      </c>
      <c r="E23" s="300">
        <f t="shared" ref="E23:L23" si="6">SUM(E24:E28)</f>
        <v>0</v>
      </c>
      <c r="F23" s="300">
        <f t="shared" si="6"/>
        <v>0</v>
      </c>
      <c r="G23" s="300">
        <f t="shared" si="6"/>
        <v>0</v>
      </c>
      <c r="H23" s="300">
        <f t="shared" si="6"/>
        <v>0</v>
      </c>
      <c r="I23" s="300">
        <f t="shared" si="6"/>
        <v>0</v>
      </c>
      <c r="J23" s="300">
        <f t="shared" si="6"/>
        <v>0</v>
      </c>
      <c r="K23" s="300">
        <f t="shared" si="6"/>
        <v>0</v>
      </c>
      <c r="L23" s="300">
        <f t="shared" si="6"/>
        <v>0</v>
      </c>
      <c r="M23" s="300">
        <f t="shared" ref="M23" si="7">SUM(M24:M28)</f>
        <v>0</v>
      </c>
      <c r="N23" s="300">
        <f t="shared" ref="N23" si="8">SUM(N24:N28)</f>
        <v>0</v>
      </c>
      <c r="O23" s="300">
        <f t="shared" ref="O23" si="9">SUM(O24:O28)</f>
        <v>0</v>
      </c>
      <c r="P23" s="300">
        <f t="shared" ref="P23" si="10">SUM(P24:P28)</f>
        <v>0</v>
      </c>
      <c r="Q23" s="300">
        <f t="shared" ref="Q23" si="11">SUM(Q24:Q28)</f>
        <v>0</v>
      </c>
      <c r="R23" s="300">
        <f t="shared" ref="R23" si="12">SUM(R24:R28)</f>
        <v>0</v>
      </c>
      <c r="S23" s="300">
        <f t="shared" ref="S23" si="13">SUM(S24:S28)</f>
        <v>0</v>
      </c>
      <c r="T23" s="300">
        <f t="shared" ref="T23" si="14">SUM(T24:T28)</f>
        <v>0</v>
      </c>
      <c r="U23" s="300">
        <f t="shared" ref="U23" si="15">SUM(U24:U28)</f>
        <v>0</v>
      </c>
      <c r="V23" s="300">
        <f t="shared" ref="V23" si="16">SUM(V24:V28)</f>
        <v>0</v>
      </c>
      <c r="W23" s="300">
        <f t="shared" ref="W23" si="17">SUM(W24:W28)</f>
        <v>0</v>
      </c>
      <c r="X23" s="300">
        <f t="shared" ref="X23" si="18">SUM(X24:X28)</f>
        <v>0</v>
      </c>
      <c r="Y23" s="300">
        <f t="shared" ref="Y23" si="19">SUM(Y24:Y28)</f>
        <v>0</v>
      </c>
      <c r="Z23" s="300">
        <f t="shared" ref="Z23" si="20">SUM(Z24:Z28)</f>
        <v>0</v>
      </c>
      <c r="AA23" s="300">
        <f t="shared" ref="AA23" si="21">SUM(AA24:AA28)</f>
        <v>0</v>
      </c>
      <c r="AB23" s="300">
        <f t="shared" ref="AB23" si="22">SUM(AB24:AB28)</f>
        <v>0</v>
      </c>
      <c r="AC23" s="231"/>
      <c r="AD23" s="263"/>
      <c r="AE23" s="262"/>
      <c r="AF23" s="263"/>
      <c r="AG23" s="108"/>
    </row>
    <row r="24" spans="1:33" s="4" customFormat="1" ht="38.25" customHeight="1" thickBot="1" x14ac:dyDescent="0.5">
      <c r="A24" s="609" t="s">
        <v>75</v>
      </c>
      <c r="B24" s="180" t="s">
        <v>76</v>
      </c>
      <c r="C24" s="192" t="s">
        <v>80</v>
      </c>
      <c r="D24" s="36"/>
      <c r="E24" s="27"/>
      <c r="F24" s="36"/>
      <c r="G24" s="27"/>
      <c r="H24" s="36"/>
      <c r="I24" s="27"/>
      <c r="J24" s="36"/>
      <c r="K24" s="118"/>
      <c r="L24" s="18"/>
      <c r="M24" s="18"/>
      <c r="N24" s="18"/>
      <c r="O24" s="18"/>
      <c r="P24" s="18"/>
      <c r="Q24" s="18"/>
      <c r="R24" s="18"/>
      <c r="S24" s="18"/>
      <c r="T24" s="18"/>
      <c r="U24" s="18"/>
      <c r="V24" s="18"/>
      <c r="W24" s="18"/>
      <c r="X24" s="18"/>
      <c r="Y24" s="18"/>
      <c r="Z24" s="18"/>
      <c r="AA24" s="18"/>
      <c r="AB24" s="237">
        <f>SUM(D24:AA24)</f>
        <v>0</v>
      </c>
      <c r="AC24" s="298" t="str">
        <f>CONCATENATE(IF(D24&lt;(D29+D30+D31)," * KP_Prev By status PWID"&amp;$D$19&amp;" "&amp;$D$20&amp;" Is more than KP_Prev by KP Type"&amp;CHAR(10),""),IF(E24&lt;(E29+E30+E31)," * KP_Prev By status PWID"&amp;$D$19&amp;" "&amp;$E$20&amp;" Is more than KP_Prev by KP Type"&amp;CHAR(10),""),IF(F24&lt;(F29+F30+F31)," * KP_Prev By status PWID"&amp;$F$19&amp;" "&amp;$F$20&amp;" Is more than KP_Prev by KP Type"&amp;CHAR(10),""),IF(G24&lt;(G29+G30+G31)," * KP_Prev By status PWID"&amp;$F$19&amp;" "&amp;$G$20&amp;" Is more than KP_Prev by KP Type"&amp;CHAR(10),""),IF(H24&lt;(H29+H30+H31)," * KP_Prev By status PWID"&amp;$H$19&amp;" "&amp;$H$20&amp;" Is more than KP_Prev by KP Type"&amp;CHAR(10),""),IF(I24&lt;(I29+I30+I31)," * KP_Prev By status PWID"&amp;$H$19&amp;" "&amp;$I$20&amp;" Is more than KP_Prev by KP Type"&amp;CHAR(10),""),IF(J24&lt;(J29+J30+J31)," * KP_Prev By status PWID"&amp;$J$19&amp;" "&amp;$J$20&amp;" Is more than KP_Prev by KP Type"&amp;CHAR(10),""),IF(K24&lt;(K29+K30+K31)," * KP_Prev By status PWID"&amp;$J$19&amp;" "&amp;$K$20&amp;" Is more than KP_Prev by KP Type"&amp;CHAR(10),""),IF(L24&lt;(L29+L30+L31)," * KP_Prev By status PWID"&amp;$L$19&amp;" "&amp;$L$20&amp;" Is more than KP_Prev by KP Type"&amp;CHAR(10),""),IF(M24&lt;(M29+M30+M31)," * KP_Prev By status PWID"&amp;$L$19&amp;" "&amp;$M$20&amp;" Is more than KP_Prev by KP Type"&amp;CHAR(10),""),IF(N24&lt;(N29+N30+N31)," * KP_Prev By status PWID"&amp;$N$19&amp;" "&amp;$N$20&amp;" Is more than KP_Prev by KP Type"&amp;CHAR(10),""),IF(O24&lt;(O29+O30+O31)," * KP_Prev By status PWID"&amp;$N$19&amp;" "&amp;$O$20&amp;" Is more than KP_Prev by KP Type"&amp;CHAR(10),""),IF(P24&lt;(P29+P30+P31)," * KP_Prev By status PWID"&amp;$P$19&amp;" "&amp;$P$20&amp;" Is more than KP_Prev by KP Type"&amp;CHAR(10),""),IF(Q24&lt;(Q29+Q30+Q31)," * KP_Prev By status PWID"&amp;$P$19&amp;" "&amp;$Q$20&amp;" Is more than KP_Prev by KP Type"&amp;CHAR(10),""),IF(R24&lt;(R29+R30+R31)," * KP_Prev By status PWID"&amp;$R$19&amp;" "&amp;$R$20&amp;" Is more than KP_Prev by KP Type"&amp;CHAR(10),""),IF(S24&lt;(S29+S30+S31)," * KP_Prev By status PWID"&amp;$R$19&amp;" "&amp;$S$20&amp;" Is more than KP_Prev by KP Type"&amp;CHAR(10),""),IF(T24&lt;(T29+T30+T31)," * KP_Prev By status PWID"&amp;$T$19&amp;" "&amp;$T$20&amp;" Is more than KP_Prev by KP Type"&amp;CHAR(10),""),IF(U24&lt;(U29+U30+U31)," * KP_Prev By status PWID"&amp;$T$19&amp;" "&amp;$U$20&amp;" Is more than KP_Prev by KP Type"&amp;CHAR(10),""),IF(V24&lt;(V29+V30+V31)," * KP_Prev By status PWID"&amp;$V$19&amp;" "&amp;$V$20&amp;" Is more than KP_Prev by KP Type"&amp;CHAR(10),""),IF(W24&lt;(W29+W30+W31)," * KP_Prev By status PWID"&amp;$V$19&amp;" "&amp;$W$20&amp;" Is more than KP_Prev by KP Type"&amp;CHAR(10),""),IF(X24&lt;(X29+X30+X31)," * KP_Prev By status PWID"&amp;$X$19&amp;" "&amp;$X$20&amp;" Is more than KP_Prev by KP Type"&amp;CHAR(10),""),IF(Y24&lt;(Y29+Y30+Y31)," * KP_Prev By status PWID"&amp;$X$19&amp;" "&amp;$Y$20&amp;" Is more than KP_Prev by KP Type"&amp;CHAR(10),""),IF(Z24&lt;(Z29+Z30+Z31)," * KP_Prev By status PWID"&amp;$Z$19&amp;" "&amp;$Z$20&amp;" Is more than KP_Prev by KP Type"&amp;CHAR(10),""),IF(AA24&lt;(AA29+AA30+AA31)," * KP_Prev By status PWID"&amp;$Z$19&amp;" "&amp;$AA$20&amp;" Is more than KP_Prev by KP Type"&amp;CHAR(10),""))</f>
        <v/>
      </c>
      <c r="AD24" s="478" t="str">
        <f>CONCATENATE(AC24,AC25,AC26,AC27,AC28,AC29,AC30,AC31,AC32,AC33,AC35,AC37,AC40,AC42,AC43,AC41,AC39)</f>
        <v/>
      </c>
      <c r="AE24" s="120"/>
      <c r="AF24" s="458" t="str">
        <f>CONCATENATE(AE24,AE25,AE26,AE27,AE28,AE29,AE30,AE31,AE32,AE33,AE34,AE35,AE36,AE37,AE38,AE39,AE40,AE41,AE42,AE43)</f>
        <v/>
      </c>
      <c r="AG24" s="108">
        <v>21</v>
      </c>
    </row>
    <row r="25" spans="1:33" s="4" customFormat="1" ht="38.25" customHeight="1" thickBot="1" x14ac:dyDescent="0.5">
      <c r="A25" s="610"/>
      <c r="B25" s="181" t="s">
        <v>77</v>
      </c>
      <c r="C25" s="193" t="s">
        <v>81</v>
      </c>
      <c r="D25" s="36"/>
      <c r="E25" s="27"/>
      <c r="F25" s="36"/>
      <c r="G25" s="27"/>
      <c r="H25" s="36"/>
      <c r="I25" s="27"/>
      <c r="J25" s="36"/>
      <c r="K25" s="118"/>
      <c r="L25" s="18"/>
      <c r="M25" s="36"/>
      <c r="N25" s="18"/>
      <c r="O25" s="36"/>
      <c r="P25" s="18"/>
      <c r="Q25" s="36"/>
      <c r="R25" s="18"/>
      <c r="S25" s="36"/>
      <c r="T25" s="18"/>
      <c r="U25" s="36"/>
      <c r="V25" s="18"/>
      <c r="W25" s="36"/>
      <c r="X25" s="18"/>
      <c r="Y25" s="36"/>
      <c r="Z25" s="18"/>
      <c r="AA25" s="36"/>
      <c r="AB25" s="237">
        <f>SUM(D25:AA25)</f>
        <v>0</v>
      </c>
      <c r="AC25" s="298" t="str">
        <f>CONCATENATE(IF(D25&lt;(D32+D33+D34)," * KP_Prev By status MSM"&amp;$D$19&amp;" "&amp;$D$20&amp;" Is more than KP_Prev by KP Type"&amp;CHAR(10),""),IF(E25&lt;(E32+E33+E34)," * KP_Prev By status MSM"&amp;$D$19&amp;" "&amp;$E$20&amp;" Is more than KP_Prev by KP Type"&amp;CHAR(10),""),IF(F25&lt;(F32+F33+F34)," * KP_Prev By status MSM"&amp;$F$19&amp;" "&amp;$F$20&amp;" Is more than KP_Prev by KP Type"&amp;CHAR(10),""),IF(G25&lt;(G32+G33+G34)," * KP_Prev By status MSM"&amp;$F$19&amp;" "&amp;$G$20&amp;" Is more than KP_Prev by KP Type"&amp;CHAR(10),""),IF(H25&lt;(H32+H33+H34)," * KP_Prev By status MSM"&amp;$H$19&amp;" "&amp;$H$20&amp;" Is more than KP_Prev by KP Type"&amp;CHAR(10),""),IF(I25&lt;(I32+I33+I34)," * KP_Prev By status MSM"&amp;$H$19&amp;" "&amp;$I$20&amp;" Is more than KP_Prev by KP Type"&amp;CHAR(10),""),IF(J25&lt;(J32+J33+J34)," * KP_Prev By status MSM"&amp;$J$19&amp;" "&amp;$J$20&amp;" Is more than KP_Prev by KP Type"&amp;CHAR(10),""),IF(K25&lt;(K32+K33+K34)," * KP_Prev By status MSM"&amp;$J$19&amp;" "&amp;$K$20&amp;" Is more than KP_Prev by KP Type"&amp;CHAR(10),""),IF(L25&lt;(L32+L33+L34)," * KP_Prev By status MSM"&amp;$L$19&amp;" "&amp;$L$20&amp;" Is more than KP_Prev by KP Type"&amp;CHAR(10),""),IF(M25&lt;(M32+M33+M34)," * KP_Prev By status MSM"&amp;$L$19&amp;" "&amp;$M$20&amp;" Is more than KP_Prev by KP Type"&amp;CHAR(10),""),IF(N25&lt;(N32+N33+N34)," * KP_Prev By status MSM"&amp;$N$19&amp;" "&amp;$N$20&amp;" Is more than KP_Prev by KP Type"&amp;CHAR(10),""),IF(O25&lt;(O32+O33+O34)," * KP_Prev By status MSM"&amp;$N$19&amp;" "&amp;$O$20&amp;" Is more than KP_Prev by KP Type"&amp;CHAR(10),""),IF(P25&lt;(P32+P33+P34)," * KP_Prev By status MSM"&amp;$P$19&amp;" "&amp;$P$20&amp;" Is more than KP_Prev by KP Type"&amp;CHAR(10),""),IF(Q25&lt;(Q32+Q33+Q34)," * KP_Prev By status MSM"&amp;$P$19&amp;" "&amp;$Q$20&amp;" Is more than KP_Prev by KP Type"&amp;CHAR(10),""),IF(R25&lt;(R32+R33+R34)," * KP_Prev By status MSM"&amp;$R$19&amp;" "&amp;$R$20&amp;" Is more than KP_Prev by KP Type"&amp;CHAR(10),""),IF(S25&lt;(S32+S33+S34)," * KP_Prev By status MSM"&amp;$R$19&amp;" "&amp;$S$20&amp;" Is more than KP_Prev by KP Type"&amp;CHAR(10),""),IF(T25&lt;(T32+T33+T34)," * KP_Prev By status MSM"&amp;$T$19&amp;" "&amp;$T$20&amp;" Is more than KP_Prev by KP Type"&amp;CHAR(10),""),IF(U25&lt;(U32+U33+U34)," * KP_Prev By status MSM"&amp;$T$19&amp;" "&amp;$U$20&amp;" Is more than KP_Prev by KP Type"&amp;CHAR(10),""),IF(V25&lt;(V32+V33+V34)," * KP_Prev By status MSM"&amp;$V$19&amp;" "&amp;$V$20&amp;" Is more than KP_Prev by KP Type"&amp;CHAR(10),""),IF(W25&lt;(W32+W33+W34)," * KP_Prev By status MSM"&amp;$V$19&amp;" "&amp;$W$20&amp;" Is more than KP_Prev by KP Type"&amp;CHAR(10),""),IF(X25&lt;(X32+X33+X34)," * KP_Prev By status MSM"&amp;$X$19&amp;" "&amp;$X$20&amp;" Is more than KP_Prev by KP Type"&amp;CHAR(10),""),IF(Y25&lt;(Y32+Y33+Y34)," * KP_Prev By status MSM"&amp;$X$19&amp;" "&amp;$Y$20&amp;" Is more than KP_Prev by KP Type"&amp;CHAR(10),""),IF(Z25&lt;(Z32+Z33+Z34)," * KP_Prev By status MSM"&amp;$Z$19&amp;" "&amp;$Z$20&amp;" Is more than KP_Prev by KP Type"&amp;CHAR(10),""),IF(AA25&lt;(AA32+AA33+AA34)," * KP_Prev By status MSM"&amp;$Z$19&amp;" "&amp;$AA$20&amp;" Is more than KP_Prev by KP Type"&amp;CHAR(10),""))</f>
        <v/>
      </c>
      <c r="AD25" s="461"/>
      <c r="AE25" s="121"/>
      <c r="AF25" s="459"/>
      <c r="AG25" s="108">
        <v>22</v>
      </c>
    </row>
    <row r="26" spans="1:33" s="4" customFormat="1" ht="38.25" customHeight="1" thickBot="1" x14ac:dyDescent="0.5">
      <c r="A26" s="610"/>
      <c r="B26" s="181" t="s">
        <v>435</v>
      </c>
      <c r="C26" s="193" t="s">
        <v>82</v>
      </c>
      <c r="D26" s="36"/>
      <c r="E26" s="27"/>
      <c r="F26" s="36"/>
      <c r="G26" s="27"/>
      <c r="H26" s="36"/>
      <c r="I26" s="27"/>
      <c r="J26" s="36"/>
      <c r="K26" s="118"/>
      <c r="L26" s="36"/>
      <c r="M26" s="36"/>
      <c r="N26" s="36"/>
      <c r="O26" s="36"/>
      <c r="P26" s="36"/>
      <c r="Q26" s="36"/>
      <c r="R26" s="36"/>
      <c r="S26" s="36"/>
      <c r="T26" s="36"/>
      <c r="U26" s="36"/>
      <c r="V26" s="36"/>
      <c r="W26" s="36"/>
      <c r="X26" s="36"/>
      <c r="Y26" s="36"/>
      <c r="Z26" s="36"/>
      <c r="AA26" s="36"/>
      <c r="AB26" s="18"/>
      <c r="AC26" s="409" t="str">
        <f>CONCATENATE(IF(D26&lt;(D35+D36+D37)," * KP_Prev By status Transgender People"&amp;$D$19&amp;" "&amp;$D$20&amp;" Is more than KP_Prev by KP Type"&amp;CHAR(10),""),IF(E26&lt;(E35+E36+E37)," * KP_Prev By status Transgender People"&amp;$D$19&amp;" "&amp;$E$20&amp;" Is more than KP_Prev by KP Type"&amp;CHAR(10),""),IF(F26&lt;(F35+F36+F37)," * KP_Prev By status Transgender People"&amp;$F$19&amp;" "&amp;$F$20&amp;" Is more than KP_Prev by KP Type"&amp;CHAR(10),""),IF(G26&lt;(G35+G36+G37)," * KP_Prev By status Transgender People"&amp;$F$19&amp;" "&amp;$G$20&amp;" Is more than KP_Prev by KP Type"&amp;CHAR(10),""),IF(H26&lt;(H35+H36+H37)," * KP_Prev By status Transgender People"&amp;$H$19&amp;" "&amp;$H$20&amp;" Is more than KP_Prev by KP Type"&amp;CHAR(10),""),IF(I26&lt;(I35+I36+I37)," * KP_Prev By status Transgender People"&amp;$H$19&amp;" "&amp;$I$20&amp;" Is more than KP_Prev by KP Type"&amp;CHAR(10),""),IF(J26&lt;(J35+J36+J37)," * KP_Prev By status Transgender People"&amp;$J$19&amp;" "&amp;$J$20&amp;" Is more than KP_Prev by KP Type"&amp;CHAR(10),""),IF(K26&lt;(K35+K36+K37)," * KP_Prev By status Transgender People"&amp;$J$19&amp;" "&amp;$K$20&amp;" Is more than KP_Prev by KP Type"&amp;CHAR(10),""),IF(L26&lt;(L35+L36+L37)," * KP_Prev By status Transgender People"&amp;$L$19&amp;" "&amp;$L$20&amp;" Is more than KP_Prev by KP Type"&amp;CHAR(10),""),IF(M26&lt;(M35+M36+M37)," * KP_Prev By status Transgender People"&amp;$L$19&amp;" "&amp;$M$20&amp;" Is more than KP_Prev by KP Type"&amp;CHAR(10),""),IF(N26&lt;(N35+N36+N37)," * KP_Prev By status Transgender People"&amp;$N$19&amp;" "&amp;$N$20&amp;" Is more than KP_Prev by KP Type"&amp;CHAR(10),""),IF(O26&lt;(O35+O36+O37)," * KP_Prev By status Transgender People"&amp;$N$19&amp;" "&amp;$O$20&amp;" Is more than KP_Prev by KP Type"&amp;CHAR(10),""),IF(P26&lt;(P35+P36+P37)," * KP_Prev By status Transgender People"&amp;$P$19&amp;" "&amp;$P$20&amp;" Is more than KP_Prev by KP Type"&amp;CHAR(10),""),IF(Q26&lt;(Q35+Q36+Q37)," * KP_Prev By status Transgender People"&amp;$P$19&amp;" "&amp;$Q$20&amp;" Is more than KP_Prev by KP Type"&amp;CHAR(10),""),IF(R26&lt;(R35+R36+R37)," * KP_Prev By status Transgender People"&amp;$R$19&amp;" "&amp;$R$20&amp;" Is more than KP_Prev by KP Type"&amp;CHAR(10),""),IF(S26&lt;(S35+S36+S37)," * KP_Prev By status Transgender People"&amp;$R$19&amp;" "&amp;$S$20&amp;" Is more than KP_Prev by KP Type"&amp;CHAR(10),""),IF(T26&lt;(T35+T36+T37)," * KP_Prev By status Transgender People"&amp;$T$19&amp;" "&amp;$T$20&amp;" Is more than KP_Prev by KP Type"&amp;CHAR(10),""),IF(U26&lt;(U35+U36+U37)," * KP_Prev By status Transgender People"&amp;$T$19&amp;" "&amp;$U$20&amp;" Is more than KP_Prev by KP Type"&amp;CHAR(10),""),IF(V26&lt;(V35+V36+V37)," * KP_Prev By status Transgender People"&amp;$V$19&amp;" "&amp;$V$20&amp;" Is more than KP_Prev by KP Type"&amp;CHAR(10),""),IF(W26&lt;(W35+W36+W37)," * KP_Prev By status Transgender People"&amp;$V$19&amp;" "&amp;$W$20&amp;" Is more than KP_Prev by KP Type"&amp;CHAR(10),""),IF(X26&lt;(X35+X36+X37)," * KP_Prev By status Transgender People"&amp;$X$19&amp;" "&amp;$X$20&amp;" Is more than KP_Prev by KP Type"&amp;CHAR(10),""),IF(Y26&lt;(Y35+Y36+Y37)," * KP_Prev By status Transgender People"&amp;$X$19&amp;" "&amp;$Y$20&amp;" Is more than KP_Prev by KP Type"&amp;CHAR(10),""),IF(Z26&lt;(Z35+Z36+Z37)," * KP_Prev By status Transgender People"&amp;$Z$19&amp;" "&amp;$Z$20&amp;" Is more than KP_Prev by KP Type"&amp;CHAR(10),""),IF(AA26&lt;(AA35+AA36+AA37)," * KP_Prev By status Transgender People"&amp;$Z$19&amp;" "&amp;$AA$20&amp;" Is more than KP_Prev by KP Type"&amp;CHAR(10),""),IF(AB26&lt;(AB35+AB36+AB37)," * KP_Prev By status Transgender People "&amp;$AB$19&amp;" Is more than KP_Prev by KP Type"&amp;CHAR(10),""))</f>
        <v/>
      </c>
      <c r="AD26" s="461"/>
      <c r="AE26" s="122"/>
      <c r="AF26" s="459"/>
      <c r="AG26" s="108">
        <v>23</v>
      </c>
    </row>
    <row r="27" spans="1:33" s="4" customFormat="1" ht="38.25" customHeight="1" thickBot="1" x14ac:dyDescent="0.5">
      <c r="A27" s="610"/>
      <c r="B27" s="181" t="s">
        <v>79</v>
      </c>
      <c r="C27" s="193" t="s">
        <v>83</v>
      </c>
      <c r="D27" s="36"/>
      <c r="E27" s="27"/>
      <c r="F27" s="36"/>
      <c r="G27" s="27"/>
      <c r="H27" s="36"/>
      <c r="I27" s="27"/>
      <c r="J27" s="36"/>
      <c r="K27" s="118"/>
      <c r="L27" s="36"/>
      <c r="M27" s="18"/>
      <c r="N27" s="36"/>
      <c r="O27" s="18"/>
      <c r="P27" s="36"/>
      <c r="Q27" s="18"/>
      <c r="R27" s="36"/>
      <c r="S27" s="18"/>
      <c r="T27" s="36"/>
      <c r="U27" s="18"/>
      <c r="V27" s="36"/>
      <c r="W27" s="18"/>
      <c r="X27" s="36"/>
      <c r="Y27" s="18"/>
      <c r="Z27" s="36"/>
      <c r="AA27" s="18"/>
      <c r="AB27" s="403">
        <f>SUM(D27:AA27)</f>
        <v>0</v>
      </c>
      <c r="AC27" s="410" t="str">
        <f>CONCATENATE(IF(D27&lt;(D38+D39+D40)," * KP_Prev By status FSW"&amp;$D$19&amp;" "&amp;$D$20&amp;" Is more than KP_Prev by KP Type"&amp;CHAR(10),""),IF(E27&lt;(E38+E39+E40)," * KP_Prev By status FSW"&amp;$D$19&amp;" "&amp;$E$20&amp;" Is more than KP_Prev by KP Type"&amp;CHAR(10),""),IF(F27&lt;(F38+F39+F40)," * KP_Prev By status FSW"&amp;$F$19&amp;" "&amp;$F$20&amp;" Is more than KP_Prev by KP Type"&amp;CHAR(10),""),IF(G27&lt;(G38+G39+G40)," * KP_Prev By status FSW"&amp;$F$19&amp;" "&amp;$G$20&amp;" Is more than KP_Prev by KP Type"&amp;CHAR(10),""),IF(H27&lt;(H38+H39+H40)," * KP_Prev By status FSW"&amp;$H$19&amp;" "&amp;$H$20&amp;" Is more than KP_Prev by KP Type"&amp;CHAR(10),""),IF(I27&lt;(I38+I39+I40)," * KP_Prev By status FSW"&amp;$H$19&amp;" "&amp;$I$20&amp;" Is more than KP_Prev by KP Type"&amp;CHAR(10),""),IF(J27&lt;(J38+J39+J40)," * KP_Prev By status FSW"&amp;$J$19&amp;" "&amp;$J$20&amp;" Is more than KP_Prev by KP Type"&amp;CHAR(10),""),IF(K27&lt;(K38+K39+K40)," * KP_Prev By status FSW"&amp;$J$19&amp;" "&amp;$K$20&amp;" Is more than KP_Prev by KP Type"&amp;CHAR(10),""),IF(L27&lt;(L38+L39+L40)," * KP_Prev By status FSW"&amp;$L$19&amp;" "&amp;$L$20&amp;" Is more than KP_Prev by KP Type"&amp;CHAR(10),""),IF(M27&lt;(M38+M39+M40)," * KP_Prev By status FSW"&amp;$L$19&amp;" "&amp;$M$20&amp;" Is more than KP_Prev by KP Type"&amp;CHAR(10),""),IF(N27&lt;(N38+N39+N40)," * KP_Prev By status FSW"&amp;$N$19&amp;" "&amp;$N$20&amp;" Is more than KP_Prev by KP Type"&amp;CHAR(10),""),IF(O27&lt;(O38+O39+O40)," * KP_Prev By status FSW"&amp;$N$19&amp;" "&amp;$O$20&amp;" Is more than KP_Prev by KP Type"&amp;CHAR(10),""),IF(P27&lt;(P38+P39+P40)," * KP_Prev By status FSW"&amp;$P$19&amp;" "&amp;$P$20&amp;" Is more than KP_Prev by KP Type"&amp;CHAR(10),""),IF(Q27&lt;(Q38+Q39+Q40)," * KP_Prev By status FSW"&amp;$P$19&amp;" "&amp;$Q$20&amp;" Is more than KP_Prev by KP Type"&amp;CHAR(10),""),IF(R27&lt;(R38+R39+R40)," * KP_Prev By status FSW"&amp;$R$19&amp;" "&amp;$R$20&amp;" Is more than KP_Prev by KP Type"&amp;CHAR(10),""),IF(S27&lt;(S38+S39+S40)," * KP_Prev By status FSW"&amp;$R$19&amp;" "&amp;$S$20&amp;" Is more than KP_Prev by KP Type"&amp;CHAR(10),""),IF(T27&lt;(T38+T39+T40)," * KP_Prev By status FSW"&amp;$T$19&amp;" "&amp;$T$20&amp;" Is more than KP_Prev by KP Type"&amp;CHAR(10),""),IF(U27&lt;(U38+U39+U40)," * KP_Prev By status FSW"&amp;$T$19&amp;" "&amp;$U$20&amp;" Is more than KP_Prev by KP Type"&amp;CHAR(10),""),IF(V27&lt;(V38+V39+V40)," * KP_Prev By status FSW"&amp;$V$19&amp;" "&amp;$V$20&amp;" Is more than KP_Prev by KP Type"&amp;CHAR(10),""),IF(W27&lt;(W38+W39+W40)," * KP_Prev By status FSW"&amp;$V$19&amp;" "&amp;$W$20&amp;" Is more than KP_Prev by KP Type"&amp;CHAR(10),""),IF(X27&lt;(X38+X39+X40)," * KP_Prev By status FSW"&amp;$X$19&amp;" "&amp;$X$20&amp;" Is more than KP_Prev by KP Type"&amp;CHAR(10),""),IF(Y27&lt;(Y38+Y39+Y40)," * KP_Prev By status FSW"&amp;$X$19&amp;" "&amp;$Y$20&amp;" Is more than KP_Prev by KP Type"&amp;CHAR(10),""),IF(Z27&lt;(Z38+Z39+Z40)," * KP_Prev By status FSW"&amp;$Z$19&amp;" "&amp;$Z$20&amp;" Is more than KP_Prev by KP Type"&amp;CHAR(10),""),IF(AA27&lt;(AA38+AA39+AA40)," * KP_Prev By status FSW"&amp;$Z$19&amp;" "&amp;$AA$20&amp;" Is more than KP_Prev by KP Type"&amp;CHAR(10),""))</f>
        <v/>
      </c>
      <c r="AD27" s="461"/>
      <c r="AE27" s="121"/>
      <c r="AF27" s="459"/>
      <c r="AG27" s="108">
        <v>24</v>
      </c>
    </row>
    <row r="28" spans="1:33" s="4" customFormat="1" ht="38.25" customHeight="1" thickBot="1" x14ac:dyDescent="0.5">
      <c r="A28" s="611"/>
      <c r="B28" s="182" t="s">
        <v>34</v>
      </c>
      <c r="C28" s="198" t="s">
        <v>84</v>
      </c>
      <c r="D28" s="97"/>
      <c r="E28" s="98"/>
      <c r="F28" s="97"/>
      <c r="G28" s="98"/>
      <c r="H28" s="97"/>
      <c r="I28" s="98"/>
      <c r="J28" s="97"/>
      <c r="K28" s="119"/>
      <c r="L28" s="18"/>
      <c r="M28" s="18"/>
      <c r="N28" s="18"/>
      <c r="O28" s="18"/>
      <c r="P28" s="18"/>
      <c r="Q28" s="18"/>
      <c r="R28" s="18"/>
      <c r="S28" s="18"/>
      <c r="T28" s="18"/>
      <c r="U28" s="18"/>
      <c r="V28" s="18"/>
      <c r="W28" s="18"/>
      <c r="X28" s="18"/>
      <c r="Y28" s="18"/>
      <c r="Z28" s="18"/>
      <c r="AA28" s="18"/>
      <c r="AB28" s="403">
        <f>SUM(D28:AA28)</f>
        <v>0</v>
      </c>
      <c r="AC28" s="411" t="str">
        <f>CONCATENATE(IF(D28&lt;(D41+D42+D43)," * KP_Prev By status People in Prison"&amp;$D$19&amp;" "&amp;$D$20&amp;" Is more than KP_Prev by KP Type"&amp;CHAR(10),""),IF(E28&lt;(E41+E42+E43)," * KP_Prev By status People in Prison"&amp;$D$19&amp;" "&amp;$E$20&amp;" Is more than KP_Prev by KP Type"&amp;CHAR(10),""),IF(F28&lt;(F41+F42+F43)," * KP_Prev By status People in Prison"&amp;$F$19&amp;" "&amp;$F$20&amp;" Is more than KP_Prev by KP Type"&amp;CHAR(10),""),IF(G28&lt;(G41+G42+G43)," * KP_Prev By status People in Prison"&amp;$F$19&amp;" "&amp;$G$20&amp;" Is more than KP_Prev by KP Type"&amp;CHAR(10),""),IF(H28&lt;(H41+H42+H43)," * KP_Prev By status People in Prison"&amp;$H$19&amp;" "&amp;$H$20&amp;" Is more than KP_Prev by KP Type"&amp;CHAR(10),""),IF(I28&lt;(I41+I42+I43)," * KP_Prev By status People in Prison"&amp;$H$19&amp;" "&amp;$I$20&amp;" Is more than KP_Prev by KP Type"&amp;CHAR(10),""),IF(J28&lt;(J41+J42+J43)," * KP_Prev By status People in Prison"&amp;$J$19&amp;" "&amp;$J$20&amp;" Is more than KP_Prev by KP Type"&amp;CHAR(10),""),IF(K28&lt;(K41+K42+K43)," * KP_Prev By status People in Prison"&amp;$J$19&amp;" "&amp;$K$20&amp;" Is more than KP_Prev by KP Type"&amp;CHAR(10),""),IF(L28&lt;(L41+L42+L43)," * KP_Prev By status People in Prison"&amp;$L$19&amp;" "&amp;$L$20&amp;" Is more than KP_Prev by KP Type"&amp;CHAR(10),""),IF(M28&lt;(M41+M42+M43)," * KP_Prev By status People in Prison"&amp;$L$19&amp;" "&amp;$M$20&amp;" Is more than KP_Prev by KP Type"&amp;CHAR(10),""),IF(N28&lt;(N41+N42+N43)," * KP_Prev By status People in Prison"&amp;$N$19&amp;" "&amp;$N$20&amp;" Is more than KP_Prev by KP Type"&amp;CHAR(10),""),IF(O28&lt;(O41+O42+O43)," * KP_Prev By status People in Prison"&amp;$N$19&amp;" "&amp;$O$20&amp;" Is more than KP_Prev by KP Type"&amp;CHAR(10),""),IF(P28&lt;(P41+P42+P43)," * KP_Prev By status People in Prison"&amp;$P$19&amp;" "&amp;$P$20&amp;" Is more than KP_Prev by KP Type"&amp;CHAR(10),""),IF(Q28&lt;(Q41+Q42+Q43)," * KP_Prev By status People in Prison"&amp;$P$19&amp;" "&amp;$Q$20&amp;" Is more than KP_Prev by KP Type"&amp;CHAR(10),""),IF(R28&lt;(R41+R42+R43)," * KP_Prev By status People in Prison"&amp;$R$19&amp;" "&amp;$R$20&amp;" Is more than KP_Prev by KP Type"&amp;CHAR(10),""),IF(S28&lt;(S41+S42+S43)," * KP_Prev By status People in Prison"&amp;$R$19&amp;" "&amp;$S$20&amp;" Is more than KP_Prev by KP Type"&amp;CHAR(10),""),IF(T28&lt;(T41+T42+T43)," * KP_Prev By status People in Prison"&amp;$T$19&amp;" "&amp;$T$20&amp;" Is more than KP_Prev by KP Type"&amp;CHAR(10),""),IF(U28&lt;(U41+U42+U43)," * KP_Prev By status People in Prison"&amp;$T$19&amp;" "&amp;$U$20&amp;" Is more than KP_Prev by KP Type"&amp;CHAR(10),""),IF(V28&lt;(V41+V42+V43)," * KP_Prev By status People in Prison"&amp;$V$19&amp;" "&amp;$V$20&amp;" Is more than KP_Prev by KP Type"&amp;CHAR(10),""),IF(W28&lt;(W41+W42+W43)," * KP_Prev By status People in Prison"&amp;$V$19&amp;" "&amp;$W$20&amp;" Is more than KP_Prev by KP Type"&amp;CHAR(10),""),IF(X28&lt;(X41+X42+X43)," * KP_Prev By status People in Prison"&amp;$X$19&amp;" "&amp;$X$20&amp;" Is more than KP_Prev by KP Type"&amp;CHAR(10),""),IF(Y28&lt;(Y41+Y42+Y43)," * KP_Prev By status People in Prison"&amp;$X$19&amp;" "&amp;$Y$20&amp;" Is more than KP_Prev by KP Type"&amp;CHAR(10),""),IF(Z28&lt;(Z41+Z42+Z43)," * KP_Prev By status People in Prison"&amp;$Z$19&amp;" "&amp;$Z$20&amp;" Is more than KP_Prev by KP Type"&amp;CHAR(10),""),IF(AA28&lt;(AA41+AA42+AA43)," * KP_Prev By status People in Prison"&amp;$Z$19&amp;" "&amp;$AA$20&amp;" Is more than KP_Prev by KP Type"&amp;CHAR(10),""))</f>
        <v/>
      </c>
      <c r="AD28" s="461"/>
      <c r="AE28" s="121"/>
      <c r="AF28" s="459"/>
      <c r="AG28" s="108">
        <v>25</v>
      </c>
    </row>
    <row r="29" spans="1:33" s="4" customFormat="1" ht="38.25" customHeight="1" x14ac:dyDescent="0.45">
      <c r="A29" s="612" t="s">
        <v>792</v>
      </c>
      <c r="B29" s="140" t="s">
        <v>21</v>
      </c>
      <c r="C29" s="192" t="s">
        <v>85</v>
      </c>
      <c r="D29" s="37"/>
      <c r="E29" s="28"/>
      <c r="F29" s="37"/>
      <c r="G29" s="28"/>
      <c r="H29" s="37"/>
      <c r="I29" s="28"/>
      <c r="J29" s="37"/>
      <c r="K29" s="107"/>
      <c r="L29" s="18"/>
      <c r="M29" s="18"/>
      <c r="N29" s="18"/>
      <c r="O29" s="18"/>
      <c r="P29" s="18"/>
      <c r="Q29" s="18"/>
      <c r="R29" s="18"/>
      <c r="S29" s="18"/>
      <c r="T29" s="18"/>
      <c r="U29" s="18"/>
      <c r="V29" s="18"/>
      <c r="W29" s="18"/>
      <c r="X29" s="18"/>
      <c r="Y29" s="18"/>
      <c r="Z29" s="18"/>
      <c r="AA29" s="18"/>
      <c r="AB29" s="404">
        <f>SUM(D29:AA29)</f>
        <v>0</v>
      </c>
      <c r="AC29" s="411"/>
      <c r="AD29" s="461"/>
      <c r="AE29" s="121"/>
      <c r="AF29" s="459"/>
      <c r="AG29" s="108">
        <v>26</v>
      </c>
    </row>
    <row r="30" spans="1:33" s="4" customFormat="1" ht="38.25" customHeight="1" x14ac:dyDescent="0.45">
      <c r="A30" s="613"/>
      <c r="B30" s="141" t="s">
        <v>650</v>
      </c>
      <c r="C30" s="193" t="s">
        <v>86</v>
      </c>
      <c r="D30" s="36"/>
      <c r="E30" s="27"/>
      <c r="F30" s="36"/>
      <c r="G30" s="27"/>
      <c r="H30" s="36"/>
      <c r="I30" s="27"/>
      <c r="J30" s="36"/>
      <c r="K30" s="118"/>
      <c r="L30" s="19"/>
      <c r="M30" s="19"/>
      <c r="N30" s="19"/>
      <c r="O30" s="19"/>
      <c r="P30" s="19"/>
      <c r="Q30" s="19"/>
      <c r="R30" s="19"/>
      <c r="S30" s="19"/>
      <c r="T30" s="19"/>
      <c r="U30" s="19"/>
      <c r="V30" s="19"/>
      <c r="W30" s="19"/>
      <c r="X30" s="19"/>
      <c r="Y30" s="19"/>
      <c r="Z30" s="19"/>
      <c r="AA30" s="19"/>
      <c r="AB30" s="405">
        <f t="shared" ref="AB30:AB43" si="23">SUM(D30:AA30)</f>
        <v>0</v>
      </c>
      <c r="AC30" s="410"/>
      <c r="AD30" s="461"/>
      <c r="AE30" s="121"/>
      <c r="AF30" s="459"/>
      <c r="AG30" s="108">
        <v>27</v>
      </c>
    </row>
    <row r="31" spans="1:33" s="4" customFormat="1" ht="38.25" customHeight="1" thickBot="1" x14ac:dyDescent="0.5">
      <c r="A31" s="614"/>
      <c r="B31" s="142" t="s">
        <v>651</v>
      </c>
      <c r="C31" s="198" t="s">
        <v>87</v>
      </c>
      <c r="D31" s="97"/>
      <c r="E31" s="98"/>
      <c r="F31" s="97"/>
      <c r="G31" s="98"/>
      <c r="H31" s="97"/>
      <c r="I31" s="98"/>
      <c r="J31" s="97"/>
      <c r="K31" s="119"/>
      <c r="L31" s="17"/>
      <c r="M31" s="17"/>
      <c r="N31" s="17"/>
      <c r="O31" s="17"/>
      <c r="P31" s="17"/>
      <c r="Q31" s="17"/>
      <c r="R31" s="17"/>
      <c r="S31" s="17"/>
      <c r="T31" s="17"/>
      <c r="U31" s="17"/>
      <c r="V31" s="17"/>
      <c r="W31" s="17"/>
      <c r="X31" s="17"/>
      <c r="Y31" s="17"/>
      <c r="Z31" s="17"/>
      <c r="AA31" s="17"/>
      <c r="AB31" s="220">
        <f t="shared" si="23"/>
        <v>0</v>
      </c>
      <c r="AC31" s="410"/>
      <c r="AD31" s="461"/>
      <c r="AE31" s="121" t="str">
        <f>CONCATENATE(IF(AB31&gt;0," * You have patients who declined Testing on PWID Section.  "&amp;$AB$19&amp;" This needs explanation. "&amp;CHAR(10),""))</f>
        <v/>
      </c>
      <c r="AF31" s="459"/>
      <c r="AG31" s="108">
        <v>28</v>
      </c>
    </row>
    <row r="32" spans="1:33" s="4" customFormat="1" ht="38.25" customHeight="1" x14ac:dyDescent="0.45">
      <c r="A32" s="612" t="s">
        <v>793</v>
      </c>
      <c r="B32" s="140" t="s">
        <v>21</v>
      </c>
      <c r="C32" s="192" t="s">
        <v>88</v>
      </c>
      <c r="D32" s="37"/>
      <c r="E32" s="28"/>
      <c r="F32" s="37"/>
      <c r="G32" s="28"/>
      <c r="H32" s="37"/>
      <c r="I32" s="28"/>
      <c r="J32" s="37"/>
      <c r="K32" s="107"/>
      <c r="L32" s="18"/>
      <c r="M32" s="107"/>
      <c r="N32" s="18"/>
      <c r="O32" s="107"/>
      <c r="P32" s="18"/>
      <c r="Q32" s="107"/>
      <c r="R32" s="18"/>
      <c r="S32" s="107"/>
      <c r="T32" s="18"/>
      <c r="U32" s="107"/>
      <c r="V32" s="18"/>
      <c r="W32" s="107"/>
      <c r="X32" s="18"/>
      <c r="Y32" s="107"/>
      <c r="Z32" s="18"/>
      <c r="AA32" s="107"/>
      <c r="AB32" s="404">
        <f t="shared" si="23"/>
        <v>0</v>
      </c>
      <c r="AC32" s="410"/>
      <c r="AD32" s="461"/>
      <c r="AE32" s="121"/>
      <c r="AF32" s="459"/>
      <c r="AG32" s="108">
        <v>29</v>
      </c>
    </row>
    <row r="33" spans="1:33" s="4" customFormat="1" ht="38.25" customHeight="1" x14ac:dyDescent="0.45">
      <c r="A33" s="613"/>
      <c r="B33" s="141" t="s">
        <v>650</v>
      </c>
      <c r="C33" s="193" t="s">
        <v>89</v>
      </c>
      <c r="D33" s="36"/>
      <c r="E33" s="27"/>
      <c r="F33" s="36"/>
      <c r="G33" s="27"/>
      <c r="H33" s="36"/>
      <c r="I33" s="27"/>
      <c r="J33" s="36"/>
      <c r="K33" s="118"/>
      <c r="L33" s="19"/>
      <c r="M33" s="118"/>
      <c r="N33" s="19"/>
      <c r="O33" s="118"/>
      <c r="P33" s="19"/>
      <c r="Q33" s="118"/>
      <c r="R33" s="19"/>
      <c r="S33" s="118"/>
      <c r="T33" s="19"/>
      <c r="U33" s="118"/>
      <c r="V33" s="19"/>
      <c r="W33" s="118"/>
      <c r="X33" s="19"/>
      <c r="Y33" s="118"/>
      <c r="Z33" s="19"/>
      <c r="AA33" s="118"/>
      <c r="AB33" s="405">
        <f t="shared" si="23"/>
        <v>0</v>
      </c>
      <c r="AC33" s="411"/>
      <c r="AD33" s="461"/>
      <c r="AE33" s="121"/>
      <c r="AF33" s="459"/>
      <c r="AG33" s="108">
        <v>30</v>
      </c>
    </row>
    <row r="34" spans="1:33" s="4" customFormat="1" ht="38.25" customHeight="1" thickBot="1" x14ac:dyDescent="0.5">
      <c r="A34" s="614"/>
      <c r="B34" s="142" t="s">
        <v>651</v>
      </c>
      <c r="C34" s="198" t="s">
        <v>90</v>
      </c>
      <c r="D34" s="97"/>
      <c r="E34" s="98"/>
      <c r="F34" s="97"/>
      <c r="G34" s="98"/>
      <c r="H34" s="97"/>
      <c r="I34" s="98"/>
      <c r="J34" s="97"/>
      <c r="K34" s="119"/>
      <c r="L34" s="17"/>
      <c r="M34" s="119"/>
      <c r="N34" s="17"/>
      <c r="O34" s="119"/>
      <c r="P34" s="17"/>
      <c r="Q34" s="119"/>
      <c r="R34" s="17"/>
      <c r="S34" s="119"/>
      <c r="T34" s="17"/>
      <c r="U34" s="119"/>
      <c r="V34" s="17"/>
      <c r="W34" s="119"/>
      <c r="X34" s="17"/>
      <c r="Y34" s="119"/>
      <c r="Z34" s="17"/>
      <c r="AA34" s="119"/>
      <c r="AB34" s="220">
        <f t="shared" si="23"/>
        <v>0</v>
      </c>
      <c r="AC34" s="411"/>
      <c r="AD34" s="461"/>
      <c r="AE34" s="121" t="str">
        <f>CONCATENATE(IF(AB34&gt;0," * You have patients who declined Testing on MSM Section.  "&amp;$AB$19&amp;" This needs explanation. "&amp;CHAR(10),""))</f>
        <v/>
      </c>
      <c r="AF34" s="459"/>
      <c r="AG34" s="108">
        <v>31</v>
      </c>
    </row>
    <row r="35" spans="1:33" s="4" customFormat="1" ht="38.25" customHeight="1" x14ac:dyDescent="0.45">
      <c r="A35" s="612" t="s">
        <v>796</v>
      </c>
      <c r="B35" s="140" t="s">
        <v>21</v>
      </c>
      <c r="C35" s="192" t="s">
        <v>91</v>
      </c>
      <c r="D35" s="37"/>
      <c r="E35" s="28"/>
      <c r="F35" s="37"/>
      <c r="G35" s="28"/>
      <c r="H35" s="37"/>
      <c r="I35" s="28"/>
      <c r="J35" s="37"/>
      <c r="K35" s="107"/>
      <c r="L35" s="27"/>
      <c r="M35" s="27"/>
      <c r="N35" s="27"/>
      <c r="O35" s="27"/>
      <c r="P35" s="27"/>
      <c r="Q35" s="27"/>
      <c r="R35" s="27"/>
      <c r="S35" s="27"/>
      <c r="T35" s="27"/>
      <c r="U35" s="27"/>
      <c r="V35" s="27"/>
      <c r="W35" s="27"/>
      <c r="X35" s="27"/>
      <c r="Y35" s="27"/>
      <c r="Z35" s="27"/>
      <c r="AA35" s="232"/>
      <c r="AB35" s="406"/>
      <c r="AC35" s="411"/>
      <c r="AD35" s="461"/>
      <c r="AE35" s="121"/>
      <c r="AF35" s="459"/>
      <c r="AG35" s="108">
        <v>32</v>
      </c>
    </row>
    <row r="36" spans="1:33" s="4" customFormat="1" ht="38.25" customHeight="1" x14ac:dyDescent="0.45">
      <c r="A36" s="613" t="s">
        <v>78</v>
      </c>
      <c r="B36" s="141" t="s">
        <v>650</v>
      </c>
      <c r="C36" s="193" t="s">
        <v>92</v>
      </c>
      <c r="D36" s="36"/>
      <c r="E36" s="27"/>
      <c r="F36" s="36"/>
      <c r="G36" s="27"/>
      <c r="H36" s="36"/>
      <c r="I36" s="27"/>
      <c r="J36" s="36"/>
      <c r="K36" s="118"/>
      <c r="L36" s="27"/>
      <c r="M36" s="27"/>
      <c r="N36" s="27"/>
      <c r="O36" s="27"/>
      <c r="P36" s="27"/>
      <c r="Q36" s="27"/>
      <c r="R36" s="27"/>
      <c r="S36" s="27"/>
      <c r="T36" s="27"/>
      <c r="U36" s="27"/>
      <c r="V36" s="27"/>
      <c r="W36" s="27"/>
      <c r="X36" s="27"/>
      <c r="Y36" s="27"/>
      <c r="Z36" s="27"/>
      <c r="AA36" s="232"/>
      <c r="AB36" s="407"/>
      <c r="AC36" s="411"/>
      <c r="AD36" s="461"/>
      <c r="AE36" s="121"/>
      <c r="AF36" s="459"/>
      <c r="AG36" s="108">
        <v>33</v>
      </c>
    </row>
    <row r="37" spans="1:33" s="4" customFormat="1" ht="38.25" customHeight="1" thickBot="1" x14ac:dyDescent="0.5">
      <c r="A37" s="614" t="s">
        <v>78</v>
      </c>
      <c r="B37" s="142" t="s">
        <v>651</v>
      </c>
      <c r="C37" s="198" t="s">
        <v>93</v>
      </c>
      <c r="D37" s="97"/>
      <c r="E37" s="98"/>
      <c r="F37" s="97"/>
      <c r="G37" s="98"/>
      <c r="H37" s="97"/>
      <c r="I37" s="98"/>
      <c r="J37" s="97"/>
      <c r="K37" s="119"/>
      <c r="L37" s="27"/>
      <c r="M37" s="27"/>
      <c r="N37" s="27"/>
      <c r="O37" s="27"/>
      <c r="P37" s="27"/>
      <c r="Q37" s="27"/>
      <c r="R37" s="27"/>
      <c r="S37" s="27"/>
      <c r="T37" s="27"/>
      <c r="U37" s="27"/>
      <c r="V37" s="27"/>
      <c r="W37" s="27"/>
      <c r="X37" s="27"/>
      <c r="Y37" s="27"/>
      <c r="Z37" s="27"/>
      <c r="AA37" s="232"/>
      <c r="AB37" s="408"/>
      <c r="AC37" s="411"/>
      <c r="AD37" s="461"/>
      <c r="AE37" s="121" t="str">
        <f>CONCATENATE(IF(AB37&gt;0," * You have patients who declined Testing on Transgender Section.  "&amp;$AB$19&amp;" This needs explanation. "&amp;CHAR(10),""))</f>
        <v/>
      </c>
      <c r="AF37" s="459"/>
      <c r="AG37" s="108">
        <v>34</v>
      </c>
    </row>
    <row r="38" spans="1:33" s="4" customFormat="1" ht="38.25" customHeight="1" x14ac:dyDescent="0.45">
      <c r="A38" s="612" t="s">
        <v>794</v>
      </c>
      <c r="B38" s="140" t="s">
        <v>21</v>
      </c>
      <c r="C38" s="192" t="s">
        <v>94</v>
      </c>
      <c r="D38" s="37"/>
      <c r="E38" s="28"/>
      <c r="F38" s="37"/>
      <c r="G38" s="28"/>
      <c r="H38" s="37"/>
      <c r="I38" s="28"/>
      <c r="J38" s="37"/>
      <c r="K38" s="107"/>
      <c r="L38" s="107"/>
      <c r="M38" s="29"/>
      <c r="N38" s="107"/>
      <c r="O38" s="29"/>
      <c r="P38" s="107"/>
      <c r="Q38" s="29"/>
      <c r="R38" s="107"/>
      <c r="S38" s="29"/>
      <c r="T38" s="107"/>
      <c r="U38" s="29"/>
      <c r="V38" s="107"/>
      <c r="W38" s="29"/>
      <c r="X38" s="107"/>
      <c r="Y38" s="29"/>
      <c r="Z38" s="107"/>
      <c r="AA38" s="29"/>
      <c r="AB38" s="404">
        <f t="shared" si="23"/>
        <v>0</v>
      </c>
      <c r="AC38" s="411"/>
      <c r="AD38" s="461"/>
      <c r="AE38" s="121"/>
      <c r="AF38" s="459"/>
      <c r="AG38" s="108">
        <v>35</v>
      </c>
    </row>
    <row r="39" spans="1:33" s="4" customFormat="1" ht="38.25" customHeight="1" x14ac:dyDescent="0.45">
      <c r="A39" s="613" t="s">
        <v>79</v>
      </c>
      <c r="B39" s="141" t="s">
        <v>650</v>
      </c>
      <c r="C39" s="193" t="s">
        <v>95</v>
      </c>
      <c r="D39" s="36"/>
      <c r="E39" s="27"/>
      <c r="F39" s="36"/>
      <c r="G39" s="27"/>
      <c r="H39" s="36"/>
      <c r="I39" s="27"/>
      <c r="J39" s="36"/>
      <c r="K39" s="118"/>
      <c r="L39" s="118"/>
      <c r="M39" s="25"/>
      <c r="N39" s="118"/>
      <c r="O39" s="25"/>
      <c r="P39" s="118"/>
      <c r="Q39" s="25"/>
      <c r="R39" s="118"/>
      <c r="S39" s="25"/>
      <c r="T39" s="118"/>
      <c r="U39" s="25"/>
      <c r="V39" s="118"/>
      <c r="W39" s="25"/>
      <c r="X39" s="118"/>
      <c r="Y39" s="25"/>
      <c r="Z39" s="118"/>
      <c r="AA39" s="25"/>
      <c r="AB39" s="405">
        <f t="shared" si="23"/>
        <v>0</v>
      </c>
      <c r="AC39" s="411"/>
      <c r="AD39" s="461"/>
      <c r="AE39" s="121"/>
      <c r="AF39" s="459"/>
      <c r="AG39" s="108">
        <v>36</v>
      </c>
    </row>
    <row r="40" spans="1:33" s="4" customFormat="1" ht="38.25" customHeight="1" thickBot="1" x14ac:dyDescent="0.5">
      <c r="A40" s="614" t="s">
        <v>79</v>
      </c>
      <c r="B40" s="142" t="s">
        <v>651</v>
      </c>
      <c r="C40" s="198" t="s">
        <v>96</v>
      </c>
      <c r="D40" s="97"/>
      <c r="E40" s="98"/>
      <c r="F40" s="97"/>
      <c r="G40" s="98"/>
      <c r="H40" s="97"/>
      <c r="I40" s="98"/>
      <c r="J40" s="97"/>
      <c r="K40" s="119"/>
      <c r="L40" s="119"/>
      <c r="M40" s="32"/>
      <c r="N40" s="119"/>
      <c r="O40" s="32"/>
      <c r="P40" s="119"/>
      <c r="Q40" s="32"/>
      <c r="R40" s="119"/>
      <c r="S40" s="32"/>
      <c r="T40" s="119"/>
      <c r="U40" s="32"/>
      <c r="V40" s="119"/>
      <c r="W40" s="32"/>
      <c r="X40" s="119"/>
      <c r="Y40" s="32"/>
      <c r="Z40" s="119"/>
      <c r="AA40" s="32"/>
      <c r="AB40" s="220">
        <f t="shared" si="23"/>
        <v>0</v>
      </c>
      <c r="AC40" s="411"/>
      <c r="AD40" s="461"/>
      <c r="AE40" s="121" t="str">
        <f>CONCATENATE(IF(AB40&gt;0," * You have patients who declined Testing on FSW.  "&amp;$AB$19&amp;" This needs explanation. "&amp;CHAR(10),""))</f>
        <v/>
      </c>
      <c r="AF40" s="459"/>
      <c r="AG40" s="108">
        <v>37</v>
      </c>
    </row>
    <row r="41" spans="1:33" s="4" customFormat="1" ht="38.25" customHeight="1" x14ac:dyDescent="0.45">
      <c r="A41" s="610" t="s">
        <v>795</v>
      </c>
      <c r="B41" s="140" t="s">
        <v>21</v>
      </c>
      <c r="C41" s="193" t="s">
        <v>97</v>
      </c>
      <c r="D41" s="37"/>
      <c r="E41" s="28"/>
      <c r="F41" s="37"/>
      <c r="G41" s="28"/>
      <c r="H41" s="37"/>
      <c r="I41" s="28"/>
      <c r="J41" s="37"/>
      <c r="K41" s="107"/>
      <c r="L41" s="18"/>
      <c r="M41" s="18"/>
      <c r="N41" s="18"/>
      <c r="O41" s="18"/>
      <c r="P41" s="18"/>
      <c r="Q41" s="18"/>
      <c r="R41" s="18"/>
      <c r="S41" s="18"/>
      <c r="T41" s="18"/>
      <c r="U41" s="18"/>
      <c r="V41" s="18"/>
      <c r="W41" s="18"/>
      <c r="X41" s="18"/>
      <c r="Y41" s="18"/>
      <c r="Z41" s="18"/>
      <c r="AA41" s="18"/>
      <c r="AB41" s="404">
        <f t="shared" si="23"/>
        <v>0</v>
      </c>
      <c r="AC41" s="411"/>
      <c r="AD41" s="461"/>
      <c r="AE41" s="121"/>
      <c r="AF41" s="459"/>
      <c r="AG41" s="108">
        <v>38</v>
      </c>
    </row>
    <row r="42" spans="1:33" s="4" customFormat="1" ht="38.25" customHeight="1" x14ac:dyDescent="0.45">
      <c r="A42" s="610" t="s">
        <v>34</v>
      </c>
      <c r="B42" s="141" t="s">
        <v>650</v>
      </c>
      <c r="C42" s="193" t="s">
        <v>98</v>
      </c>
      <c r="D42" s="36"/>
      <c r="E42" s="27"/>
      <c r="F42" s="36"/>
      <c r="G42" s="27"/>
      <c r="H42" s="36"/>
      <c r="I42" s="27"/>
      <c r="J42" s="36"/>
      <c r="K42" s="118"/>
      <c r="L42" s="19"/>
      <c r="M42" s="19"/>
      <c r="N42" s="19"/>
      <c r="O42" s="19"/>
      <c r="P42" s="19"/>
      <c r="Q42" s="19"/>
      <c r="R42" s="19"/>
      <c r="S42" s="19"/>
      <c r="T42" s="19"/>
      <c r="U42" s="19"/>
      <c r="V42" s="19"/>
      <c r="W42" s="19"/>
      <c r="X42" s="19"/>
      <c r="Y42" s="19"/>
      <c r="Z42" s="19"/>
      <c r="AA42" s="19"/>
      <c r="AB42" s="405">
        <f t="shared" si="23"/>
        <v>0</v>
      </c>
      <c r="AC42" s="411"/>
      <c r="AD42" s="461"/>
      <c r="AE42" s="121"/>
      <c r="AF42" s="459"/>
      <c r="AG42" s="108">
        <v>39</v>
      </c>
    </row>
    <row r="43" spans="1:33" s="4" customFormat="1" ht="38.25" customHeight="1" thickBot="1" x14ac:dyDescent="0.5">
      <c r="A43" s="611" t="s">
        <v>34</v>
      </c>
      <c r="B43" s="142" t="s">
        <v>651</v>
      </c>
      <c r="C43" s="198" t="s">
        <v>99</v>
      </c>
      <c r="D43" s="97"/>
      <c r="E43" s="98"/>
      <c r="F43" s="97"/>
      <c r="G43" s="98"/>
      <c r="H43" s="97"/>
      <c r="I43" s="98"/>
      <c r="J43" s="97"/>
      <c r="K43" s="119"/>
      <c r="L43" s="17"/>
      <c r="M43" s="17"/>
      <c r="N43" s="17"/>
      <c r="O43" s="17"/>
      <c r="P43" s="17"/>
      <c r="Q43" s="17"/>
      <c r="R43" s="17"/>
      <c r="S43" s="17"/>
      <c r="T43" s="17"/>
      <c r="U43" s="17"/>
      <c r="V43" s="17"/>
      <c r="W43" s="17"/>
      <c r="X43" s="17"/>
      <c r="Y43" s="17"/>
      <c r="Z43" s="17"/>
      <c r="AA43" s="17"/>
      <c r="AB43" s="220">
        <f t="shared" si="23"/>
        <v>0</v>
      </c>
      <c r="AC43" s="410"/>
      <c r="AD43" s="462"/>
      <c r="AE43" s="121" t="str">
        <f>CONCATENATE(IF(AB43&gt;0," * You have patients who declined Testing on People in Prison and Other enclosed settings.  "&amp;$AB$19&amp;" This needs explanation. "&amp;CHAR(10),""))</f>
        <v/>
      </c>
      <c r="AF43" s="460"/>
      <c r="AG43" s="108">
        <v>40</v>
      </c>
    </row>
    <row r="44" spans="1:33" s="4" customFormat="1" ht="38.25" customHeight="1" thickBot="1" x14ac:dyDescent="0.5">
      <c r="A44" s="474" t="s">
        <v>234</v>
      </c>
      <c r="B44" s="475"/>
      <c r="C44" s="479"/>
      <c r="D44" s="475"/>
      <c r="E44" s="475"/>
      <c r="F44" s="475"/>
      <c r="G44" s="475"/>
      <c r="H44" s="475"/>
      <c r="I44" s="475"/>
      <c r="J44" s="475"/>
      <c r="K44" s="475"/>
      <c r="L44" s="475"/>
      <c r="M44" s="475"/>
      <c r="N44" s="475"/>
      <c r="O44" s="475"/>
      <c r="P44" s="475"/>
      <c r="Q44" s="475"/>
      <c r="R44" s="475"/>
      <c r="S44" s="475"/>
      <c r="T44" s="475"/>
      <c r="U44" s="475"/>
      <c r="V44" s="475"/>
      <c r="W44" s="475"/>
      <c r="X44" s="475"/>
      <c r="Y44" s="475"/>
      <c r="Z44" s="475"/>
      <c r="AA44" s="475"/>
      <c r="AB44" s="476"/>
      <c r="AC44" s="476"/>
      <c r="AD44" s="475"/>
      <c r="AE44" s="475"/>
      <c r="AF44" s="553"/>
      <c r="AG44" s="108">
        <v>154</v>
      </c>
    </row>
    <row r="45" spans="1:33" s="6" customFormat="1" ht="38.25" customHeight="1" thickBot="1" x14ac:dyDescent="0.5">
      <c r="A45" s="212" t="s">
        <v>175</v>
      </c>
      <c r="B45" s="239" t="s">
        <v>175</v>
      </c>
      <c r="C45" s="175" t="s">
        <v>249</v>
      </c>
      <c r="D45" s="240">
        <f t="shared" ref="D45:AB45" si="24">SUM(D46:D50)</f>
        <v>0</v>
      </c>
      <c r="E45" s="136">
        <f t="shared" si="24"/>
        <v>0</v>
      </c>
      <c r="F45" s="136">
        <f t="shared" si="24"/>
        <v>0</v>
      </c>
      <c r="G45" s="136">
        <f t="shared" si="24"/>
        <v>0</v>
      </c>
      <c r="H45" s="136">
        <f t="shared" si="24"/>
        <v>0</v>
      </c>
      <c r="I45" s="136">
        <f t="shared" si="24"/>
        <v>0</v>
      </c>
      <c r="J45" s="136">
        <f t="shared" si="24"/>
        <v>0</v>
      </c>
      <c r="K45" s="136">
        <f t="shared" si="24"/>
        <v>0</v>
      </c>
      <c r="L45" s="136">
        <f t="shared" si="24"/>
        <v>0</v>
      </c>
      <c r="M45" s="136">
        <f t="shared" si="24"/>
        <v>0</v>
      </c>
      <c r="N45" s="136">
        <f t="shared" si="24"/>
        <v>0</v>
      </c>
      <c r="O45" s="136">
        <f t="shared" si="24"/>
        <v>0</v>
      </c>
      <c r="P45" s="136">
        <f t="shared" si="24"/>
        <v>0</v>
      </c>
      <c r="Q45" s="136">
        <f t="shared" si="24"/>
        <v>0</v>
      </c>
      <c r="R45" s="136">
        <f t="shared" si="24"/>
        <v>0</v>
      </c>
      <c r="S45" s="136">
        <f t="shared" si="24"/>
        <v>0</v>
      </c>
      <c r="T45" s="136">
        <f t="shared" si="24"/>
        <v>0</v>
      </c>
      <c r="U45" s="136">
        <f t="shared" si="24"/>
        <v>0</v>
      </c>
      <c r="V45" s="136">
        <f t="shared" si="24"/>
        <v>0</v>
      </c>
      <c r="W45" s="136">
        <f t="shared" si="24"/>
        <v>0</v>
      </c>
      <c r="X45" s="136">
        <f t="shared" si="24"/>
        <v>0</v>
      </c>
      <c r="Y45" s="136">
        <f t="shared" si="24"/>
        <v>0</v>
      </c>
      <c r="Z45" s="136">
        <f t="shared" si="24"/>
        <v>0</v>
      </c>
      <c r="AA45" s="136">
        <f t="shared" si="24"/>
        <v>0</v>
      </c>
      <c r="AB45" s="136">
        <f t="shared" si="24"/>
        <v>0</v>
      </c>
      <c r="AC45" s="137"/>
      <c r="AD45" s="541" t="str">
        <f>CONCATENATE(AC45,AC46,AC47,AC48,AC49,AC50)</f>
        <v/>
      </c>
      <c r="AE45" s="138" t="str">
        <f>CONCATENATE(IF(D45&lt;&gt;D23," * Some Patients  "&amp;$D$19&amp;" "&amp;$D$20&amp;" have not been initiated on Prep"&amp;CHAR(10),""),IF(E45&lt;&gt;E23," * Some Patients  "&amp;$D$19&amp;" "&amp;$E$20&amp;" have not been initiated on Prep"&amp;CHAR(10),""),IF(F45&lt;&gt;F23," * Some Patients  "&amp;$F$19&amp;" "&amp;$F$20&amp;" have not been initiated on Prep"&amp;CHAR(10),""),IF(G45&lt;&gt;G23," * Some Patients  "&amp;$F$19&amp;" "&amp;$G$20&amp;" have not been initiated on Prep"&amp;CHAR(10),""),IF(H45&lt;&gt;H23," * Some Patients  "&amp;$H$19&amp;" "&amp;$H$20&amp;" have not been initiated on Prep"&amp;CHAR(10),""),IF(I45&lt;&gt;I23," * Some Patients  "&amp;$H$19&amp;" "&amp;$I$20&amp;" have not been initiated on Prep"&amp;CHAR(10),""),IF(J45&lt;&gt;J23," * Some Patients  "&amp;$J$19&amp;" "&amp;$J$20&amp;" have not been initiated on Prep"&amp;CHAR(10),""),IF(K45&lt;&gt;K23," * Some Patients  "&amp;$J$19&amp;" "&amp;$K$20&amp;" have not been initiated on Prep"&amp;CHAR(10),""),IF(L45&lt;&gt;L23," * Some Patients  "&amp;$L$19&amp;" "&amp;$L$20&amp;" have not been initiated on Prep"&amp;CHAR(10),""),IF(M45&lt;&gt;M23," * Some Patients  "&amp;$L$19&amp;" "&amp;$M$20&amp;" have not been initiated on Prep"&amp;CHAR(10),""),IF(N45&lt;&gt;N23," * Some Patients  "&amp;$N$19&amp;" "&amp;$N$20&amp;" have not been initiated on Prep"&amp;CHAR(10),""),IF(O45&lt;&gt;O23," * Some Patients  "&amp;$N$19&amp;" "&amp;$O$20&amp;" have not been initiated on Prep"&amp;CHAR(10),""),IF(P45&lt;&gt;P23," * Some Patients  "&amp;$P$19&amp;" "&amp;$P$20&amp;" have not been initiated on Prep"&amp;CHAR(10),""),IF(Q45&lt;&gt;Q23," * Some Patients  "&amp;$P$19&amp;" "&amp;$Q$20&amp;" have not been initiated on Prep"&amp;CHAR(10),""),IF(R45&lt;&gt;R23," * Some Patients  "&amp;$R$19&amp;" "&amp;$R$20&amp;" have not been initiated on Prep"&amp;CHAR(10),""),IF(S45&lt;&gt;S23," * Some Patients  "&amp;$R$19&amp;" "&amp;$S$20&amp;" have not been initiated on Prep"&amp;CHAR(10),""),IF(T45&lt;&gt;T23," * Some Patients  "&amp;$T$19&amp;" "&amp;$T$20&amp;" have not been initiated on Prep"&amp;CHAR(10),""),IF(U45&lt;&gt;U23," * Some Patients  "&amp;$T$19&amp;" "&amp;$U$20&amp;" have not been initiated on Prep"&amp;CHAR(10),""),IF(V45&lt;&gt;V23," * Some Patients  "&amp;$V$19&amp;" "&amp;$V$20&amp;" have not been initiated on Prep"&amp;CHAR(10),""),IF(W45&lt;&gt;W23," * Some Patients  "&amp;$V$19&amp;" "&amp;$W$20&amp;" have not been initiated on Prep"&amp;CHAR(10),""),IF(X45&lt;&gt;X23," * Some Patients  "&amp;$X$19&amp;" "&amp;$X$20&amp;" have not been initiated on Prep"&amp;CHAR(10),""),IF(Y45&lt;&gt;Y23," * Some Patients  "&amp;$X$19&amp;" "&amp;$Y$20&amp;" have not been initiated on Prep"&amp;CHAR(10),""),IF(Z45&lt;&gt;Z23," * Some Patients  "&amp;$Z$19&amp;" "&amp;$Z$20&amp;" have not been initiated on Prep"&amp;CHAR(10),""),IF(AA45&lt;&gt;AA23," * Some Patients  "&amp;$Z$19&amp;" "&amp;$AA$20&amp;" have not been initiated on Prep"&amp;CHAR(10),""))</f>
        <v/>
      </c>
      <c r="AF45" s="638" t="str">
        <f>CONCATENATE(AE45,AE46,AE47,AE48,AE49,AE50)</f>
        <v/>
      </c>
      <c r="AG45" s="252">
        <v>155</v>
      </c>
    </row>
    <row r="46" spans="1:33" s="4" customFormat="1" ht="38.25" customHeight="1" thickBot="1" x14ac:dyDescent="0.5">
      <c r="A46" s="213" t="s">
        <v>79</v>
      </c>
      <c r="B46" s="150" t="s">
        <v>176</v>
      </c>
      <c r="C46" s="193" t="s">
        <v>250</v>
      </c>
      <c r="D46" s="37"/>
      <c r="E46" s="28"/>
      <c r="F46" s="37"/>
      <c r="G46" s="28"/>
      <c r="H46" s="37"/>
      <c r="I46" s="28"/>
      <c r="J46" s="37"/>
      <c r="K46" s="28"/>
      <c r="L46" s="28"/>
      <c r="M46" s="29"/>
      <c r="N46" s="28"/>
      <c r="O46" s="29"/>
      <c r="P46" s="28"/>
      <c r="Q46" s="29"/>
      <c r="R46" s="28"/>
      <c r="S46" s="29"/>
      <c r="T46" s="28"/>
      <c r="U46" s="29"/>
      <c r="V46" s="28"/>
      <c r="W46" s="29"/>
      <c r="X46" s="28"/>
      <c r="Y46" s="29"/>
      <c r="Z46" s="28"/>
      <c r="AA46" s="29"/>
      <c r="AB46" s="106">
        <f t="shared" ref="AB46:AB49" si="25">SUM(D46:AA46)</f>
        <v>0</v>
      </c>
      <c r="AC46" s="128" t="str">
        <f>CONCATENATE(IF(D46&gt;D27," * Prep New FSW "&amp;$D$19&amp;" "&amp;$D$20&amp;" is more than KP_PREV FSW"&amp;CHAR(10),""),IF(E46&gt;E27," * Prep New FSW "&amp;$D$19&amp;" "&amp;$E$20&amp;" is more than KP_PREV FSW"&amp;CHAR(10),""),IF(F46&gt;F27," * Prep New FSW "&amp;$F$19&amp;" "&amp;$F$20&amp;" is more than KP_PREV FSW"&amp;CHAR(10),""),IF(G46&gt;G27," * Prep New FSW "&amp;$F$19&amp;" "&amp;$G$20&amp;" is more than KP_PREV FSW"&amp;CHAR(10),""),IF(H46&gt;H27," * Prep New FSW "&amp;$H$19&amp;" "&amp;$H$20&amp;" is more than KP_PREV FSW"&amp;CHAR(10),""),IF(I46&gt;I27," * Prep New FSW "&amp;$H$19&amp;" "&amp;$I$20&amp;" is more than KP_PREV FSW"&amp;CHAR(10),""),IF(J46&gt;J27," * Prep New FSW "&amp;$J$19&amp;" "&amp;$J$20&amp;" is more than KP_PREV FSW"&amp;CHAR(10),""),IF(K46&gt;K27," * Prep New FSW "&amp;$J$19&amp;" "&amp;$K$20&amp;" is more than KP_PREV FSW"&amp;CHAR(10),""),IF(L46&gt;L27," * Prep New FSW "&amp;$L$19&amp;" "&amp;$L$20&amp;" is more than KP_PREV FSW"&amp;CHAR(10),""),IF(M46&gt;M27," * Prep New FSW "&amp;$L$19&amp;" "&amp;$M$20&amp;" is more than KP_PREV FSW"&amp;CHAR(10),""),IF(N46&gt;N27," * Prep New FSW "&amp;$N$19&amp;" "&amp;$N$20&amp;" is more than KP_PREV FSW"&amp;CHAR(10),""),IF(O46&gt;O27," * Prep New FSW "&amp;$N$19&amp;" "&amp;$O$20&amp;" is more than KP_PREV FSW"&amp;CHAR(10),""),IF(P46&gt;P27," * Prep New FSW "&amp;$P$19&amp;" "&amp;$P$20&amp;" is more than KP_PREV FSW"&amp;CHAR(10),""),IF(Q46&gt;Q27," * Prep New FSW "&amp;$P$19&amp;" "&amp;$Q$20&amp;" is more than KP_PREV FSW"&amp;CHAR(10),""),IF(R46&gt;R27," * Prep New FSW "&amp;$R$19&amp;" "&amp;$R$20&amp;" is more than KP_PREV FSW"&amp;CHAR(10),""),IF(S46&gt;S27," * Prep New FSW "&amp;$R$19&amp;" "&amp;$S$20&amp;" is more than KP_PREV FSW"&amp;CHAR(10),""),IF(T46&gt;T27," * Prep New FSW "&amp;$T$19&amp;" "&amp;$T$20&amp;" is more than KP_PREV FSW"&amp;CHAR(10),""),IF(U46&gt;U27," * Prep New FSW "&amp;$T$19&amp;" "&amp;$U$20&amp;" is more than KP_PREV FSW"&amp;CHAR(10),""),IF(V46&gt;V27," * Prep New FSW "&amp;$V$19&amp;" "&amp;$V$20&amp;" is more than KP_PREV FSW"&amp;CHAR(10),""),IF(W46&gt;W27," * Prep New FSW "&amp;$V$19&amp;" "&amp;$W$20&amp;" is more than KP_PREV FSW"&amp;CHAR(10),""),IF(X46&gt;X27," * Prep New FSW "&amp;$X$19&amp;" "&amp;$X$20&amp;" is more than KP_PREV FSW"&amp;CHAR(10),""),IF(Y46&gt;Y27," * Prep New FSW "&amp;$X$19&amp;" "&amp;$Y$20&amp;" is more than KP_PREV FSW"&amp;CHAR(10),""),IF(Z46&gt;Z27," * Prep New FSW "&amp;$Z$19&amp;" "&amp;$Z$20&amp;" is more than KP_PREV FSW"&amp;CHAR(10),""),IF(AA46&gt;AA27," * Prep New FSW "&amp;$Z$19&amp;" "&amp;$AA$20&amp;" is more than KP_PREV FSW"&amp;CHAR(10),""))</f>
        <v/>
      </c>
      <c r="AD46" s="542"/>
      <c r="AE46" s="121"/>
      <c r="AF46" s="639"/>
      <c r="AG46" s="252">
        <v>156</v>
      </c>
    </row>
    <row r="47" spans="1:33" s="4" customFormat="1" ht="38.25" customHeight="1" x14ac:dyDescent="0.45">
      <c r="A47" s="208" t="s">
        <v>77</v>
      </c>
      <c r="B47" s="148" t="s">
        <v>177</v>
      </c>
      <c r="C47" s="193" t="s">
        <v>251</v>
      </c>
      <c r="D47" s="36"/>
      <c r="E47" s="27"/>
      <c r="F47" s="36"/>
      <c r="G47" s="27"/>
      <c r="H47" s="36"/>
      <c r="I47" s="27"/>
      <c r="J47" s="36"/>
      <c r="K47" s="27"/>
      <c r="L47" s="25"/>
      <c r="M47" s="28"/>
      <c r="N47" s="25"/>
      <c r="O47" s="28"/>
      <c r="P47" s="25"/>
      <c r="Q47" s="28"/>
      <c r="R47" s="25"/>
      <c r="S47" s="28"/>
      <c r="T47" s="25"/>
      <c r="U47" s="28"/>
      <c r="V47" s="25"/>
      <c r="W47" s="28"/>
      <c r="X47" s="25"/>
      <c r="Y47" s="28"/>
      <c r="Z47" s="25"/>
      <c r="AA47" s="28"/>
      <c r="AB47" s="100">
        <f t="shared" si="25"/>
        <v>0</v>
      </c>
      <c r="AC47" s="129" t="str">
        <f>CONCATENATE(IF(D47&gt;D25," * Prep New MSM "&amp;$D$19&amp;" "&amp;$D$20&amp;" is more than KP_PREV MSM"&amp;CHAR(10),""),IF(E47&gt;E25," * Prep New MSM "&amp;$D$19&amp;" "&amp;$E$20&amp;" is more than KP_PREV MSM"&amp;CHAR(10),""),IF(F47&gt;F25," * Prep New MSM "&amp;$F$19&amp;" "&amp;$F$20&amp;" is more than KP_PREV MSM"&amp;CHAR(10),""),IF(G47&gt;G25," * Prep New MSM "&amp;$F$19&amp;" "&amp;$G$20&amp;" is more than KP_PREV MSM"&amp;CHAR(10),""),IF(H47&gt;H25," * Prep New MSM "&amp;$H$19&amp;" "&amp;$H$20&amp;" is more than KP_PREV MSM"&amp;CHAR(10),""),IF(I47&gt;I25," * Prep New MSM "&amp;$H$19&amp;" "&amp;$I$20&amp;" is more than KP_PREV MSM"&amp;CHAR(10),""),IF(J47&gt;J25," * Prep New MSM "&amp;$J$19&amp;" "&amp;$J$20&amp;" is more than KP_PREV MSM"&amp;CHAR(10),""),IF(K47&gt;K25," * Prep New MSM "&amp;$J$19&amp;" "&amp;$K$20&amp;" is more than KP_PREV MSM"&amp;CHAR(10),""),IF(L47&gt;L25," * Prep New MSM "&amp;$L$19&amp;" "&amp;$L$20&amp;" is more than KP_PREV MSM"&amp;CHAR(10),""),IF(M47&gt;M25," * Prep New MSM "&amp;$L$19&amp;" "&amp;$M$20&amp;" is more than KP_PREV MSM"&amp;CHAR(10),""),IF(N47&gt;N25," * Prep New MSM "&amp;$N$19&amp;" "&amp;$N$20&amp;" is more than KP_PREV MSM"&amp;CHAR(10),""),IF(O47&gt;O25," * Prep New MSM "&amp;$N$19&amp;" "&amp;$O$20&amp;" is more than KP_PREV MSM"&amp;CHAR(10),""),IF(P47&gt;P25," * Prep New MSM "&amp;$P$19&amp;" "&amp;$P$20&amp;" is more than KP_PREV MSM"&amp;CHAR(10),""),IF(Q47&gt;Q25," * Prep New MSM "&amp;$P$19&amp;" "&amp;$Q$20&amp;" is more than KP_PREV MSM"&amp;CHAR(10),""),IF(R47&gt;R25," * Prep New MSM "&amp;$R$19&amp;" "&amp;$R$20&amp;" is more than KP_PREV MSM"&amp;CHAR(10),""),IF(S47&gt;S25," * Prep New MSM "&amp;$R$19&amp;" "&amp;$S$20&amp;" is more than KP_PREV MSM"&amp;CHAR(10),""),IF(T47&gt;T25," * Prep New MSM "&amp;$T$19&amp;" "&amp;$T$20&amp;" is more than KP_PREV MSM"&amp;CHAR(10),""),IF(U47&gt;U25," * Prep New MSM "&amp;$T$19&amp;" "&amp;$U$20&amp;" is more than KP_PREV MSM"&amp;CHAR(10),""),IF(V47&gt;V25," * Prep New MSM "&amp;$V$19&amp;" "&amp;$V$20&amp;" is more than KP_PREV MSM"&amp;CHAR(10),""),IF(W47&gt;W25," * Prep New MSM "&amp;$V$19&amp;" "&amp;$W$20&amp;" is more than KP_PREV MSM"&amp;CHAR(10),""),IF(X47&gt;X25," * Prep New MSM "&amp;$X$19&amp;" "&amp;$X$20&amp;" is more than KP_PREV MSM"&amp;CHAR(10),""),IF(Y47&gt;Y25," * Prep New MSM "&amp;$X$19&amp;" "&amp;$Y$20&amp;" is more than KP_PREV MSM"&amp;CHAR(10),""),IF(Z47&gt;Z25," * Prep New MSM "&amp;$Z$19&amp;" "&amp;$Z$20&amp;" is more than KP_PREV MSM"&amp;CHAR(10),""),IF(AA47&gt;AA25," * Prep New MSM "&amp;$Z$19&amp;" "&amp;$AA$20&amp;" is more than KP_PREV MSM"&amp;CHAR(10),""))</f>
        <v/>
      </c>
      <c r="AD47" s="542"/>
      <c r="AE47" s="121"/>
      <c r="AF47" s="639"/>
      <c r="AG47" s="252">
        <v>157</v>
      </c>
    </row>
    <row r="48" spans="1:33" s="4" customFormat="1" ht="38.25" customHeight="1" x14ac:dyDescent="0.45">
      <c r="A48" s="208" t="s">
        <v>167</v>
      </c>
      <c r="B48" s="148" t="s">
        <v>178</v>
      </c>
      <c r="C48" s="193" t="s">
        <v>252</v>
      </c>
      <c r="D48" s="36"/>
      <c r="E48" s="27"/>
      <c r="F48" s="36"/>
      <c r="G48" s="27"/>
      <c r="H48" s="36"/>
      <c r="I48" s="27"/>
      <c r="J48" s="36"/>
      <c r="K48" s="27"/>
      <c r="L48" s="25"/>
      <c r="M48" s="25"/>
      <c r="N48" s="25"/>
      <c r="O48" s="25"/>
      <c r="P48" s="25"/>
      <c r="Q48" s="25"/>
      <c r="R48" s="25"/>
      <c r="S48" s="25"/>
      <c r="T48" s="25"/>
      <c r="U48" s="25"/>
      <c r="V48" s="25"/>
      <c r="W48" s="25"/>
      <c r="X48" s="25"/>
      <c r="Y48" s="25"/>
      <c r="Z48" s="25"/>
      <c r="AA48" s="25"/>
      <c r="AB48" s="100">
        <f t="shared" si="25"/>
        <v>0</v>
      </c>
      <c r="AC48" s="129" t="str">
        <f>CONCATENATE(IF(D48&gt;D28," * Prep New People in prison &amp; other closed settings "&amp;$D$19&amp;" "&amp;$D$20&amp;" is more than KP_PREV People in prison &amp; other closed settings"&amp;CHAR(10),""),IF(E48&gt;E28," * Prep New People in prison &amp; other closed settings "&amp;$D$19&amp;" "&amp;$E$20&amp;" is more than KP_PREV People in prison &amp; other closed settings"&amp;CHAR(10),""),IF(F48&gt;F28," * Prep New People in prison &amp; other closed settings "&amp;$F$19&amp;" "&amp;$F$20&amp;" is more than KP_PREV People in prison &amp; other closed settings"&amp;CHAR(10),""),IF(G48&gt;G28," * Prep New People in prison &amp; other closed settings "&amp;$F$19&amp;" "&amp;$G$20&amp;" is more than KP_PREV People in prison &amp; other closed settings"&amp;CHAR(10),""),IF(H48&gt;H28," * Prep New People in prison &amp; other closed settings "&amp;$H$19&amp;" "&amp;$H$20&amp;" is more than KP_PREV People in prison &amp; other closed settings"&amp;CHAR(10),""),IF(I48&gt;I28," * Prep New People in prison &amp; other closed settings "&amp;$H$19&amp;" "&amp;$I$20&amp;" is more than KP_PREV People in prison &amp; other closed settings"&amp;CHAR(10),""),IF(J48&gt;J28," * Prep New People in prison &amp; other closed settings "&amp;$J$19&amp;" "&amp;$J$20&amp;" is more than KP_PREV People in prison &amp; other closed settings"&amp;CHAR(10),""),IF(K48&gt;K28," * Prep New People in prison &amp; other closed settings "&amp;$J$19&amp;" "&amp;$K$20&amp;" is more than KP_PREV People in prison &amp; other closed settings"&amp;CHAR(10),""),IF(L48&gt;L28," * Prep New People in prison &amp; other closed settings "&amp;$L$19&amp;" "&amp;$L$20&amp;" is more than KP_PREV People in prison &amp; other closed settings"&amp;CHAR(10),""),IF(M48&gt;M28," * Prep New People in prison &amp; other closed settings "&amp;$L$19&amp;" "&amp;$M$20&amp;" is more than KP_PREV People in prison &amp; other closed settings"&amp;CHAR(10),""),IF(N48&gt;N28," * Prep New People in prison &amp; other closed settings "&amp;$N$19&amp;" "&amp;$N$20&amp;" is more than KP_PREV People in prison &amp; other closed settings"&amp;CHAR(10),""),IF(O48&gt;O28," * Prep New People in prison &amp; other closed settings "&amp;$N$19&amp;" "&amp;$O$20&amp;" is more than KP_PREV People in prison &amp; other closed settings"&amp;CHAR(10),""),IF(P48&gt;P28," * Prep New People in prison &amp; other closed settings "&amp;$P$19&amp;" "&amp;$P$20&amp;" is more than KP_PREV People in prison &amp; other closed settings"&amp;CHAR(10),""),IF(Q48&gt;Q28," * Prep New People in prison &amp; other closed settings "&amp;$P$19&amp;" "&amp;$Q$20&amp;" is more than KP_PREV People in prison &amp; other closed settings"&amp;CHAR(10),""),IF(R48&gt;R28," * Prep New People in prison &amp; other closed settings "&amp;$R$19&amp;" "&amp;$R$20&amp;" is more than KP_PREV People in prison &amp; other closed settings"&amp;CHAR(10),""),IF(S48&gt;S28," * Prep New People in prison &amp; other closed settings "&amp;$R$19&amp;" "&amp;$S$20&amp;" is more than KP_PREV People in prison &amp; other closed settings"&amp;CHAR(10),""),IF(T48&gt;T28," * Prep New People in prison &amp; other closed settings "&amp;$T$19&amp;" "&amp;$T$20&amp;" is more than KP_PREV People in prison &amp; other closed settings"&amp;CHAR(10),""),IF(U48&gt;U28," * Prep New People in prison &amp; other closed settings "&amp;$T$19&amp;" "&amp;$U$20&amp;" is more than KP_PREV People in prison &amp; other closed settings"&amp;CHAR(10),""),IF(V48&gt;V28," * Prep New People in prison &amp; other closed settings "&amp;$V$19&amp;" "&amp;$V$20&amp;" is more than KP_PREV People in prison &amp; other closed settings"&amp;CHAR(10),""),IF(W48&gt;W28," * Prep New People in prison &amp; other closed settings "&amp;$V$19&amp;" "&amp;$W$20&amp;" is more than KP_PREV People in prison &amp; other closed settings"&amp;CHAR(10),""),IF(X48&gt;X28," * Prep New People in prison &amp; other closed settings "&amp;$X$19&amp;" "&amp;$X$20&amp;" is more than KP_PREV People in prison &amp; other closed settings"&amp;CHAR(10),""),IF(Y48&gt;Y28," * Prep New People in prison &amp; other closed settings "&amp;$X$19&amp;" "&amp;$Y$20&amp;" is more than KP_PREV People in prison &amp; other closed settings"&amp;CHAR(10),""),IF(Z48&gt;Z28," * Prep New People in prison &amp; other closed settings "&amp;$Z$19&amp;" "&amp;$Z$20&amp;" is more than KP_PREV People in prison &amp; other closed settings"&amp;CHAR(10),""),IF(AA48&gt;AA28," * Prep New People in prison &amp; other closed settings "&amp;$Z$19&amp;" "&amp;$AA$20&amp;" is more than KP_PREV People in prison &amp; other closed settings"&amp;CHAR(10),""))</f>
        <v/>
      </c>
      <c r="AD48" s="542"/>
      <c r="AE48" s="121"/>
      <c r="AF48" s="639"/>
      <c r="AG48" s="252">
        <v>159</v>
      </c>
    </row>
    <row r="49" spans="1:33" s="4" customFormat="1" ht="38.25" customHeight="1" thickBot="1" x14ac:dyDescent="0.5">
      <c r="A49" s="208" t="s">
        <v>76</v>
      </c>
      <c r="B49" s="148" t="s">
        <v>179</v>
      </c>
      <c r="C49" s="193" t="s">
        <v>253</v>
      </c>
      <c r="D49" s="36"/>
      <c r="E49" s="27"/>
      <c r="F49" s="36"/>
      <c r="G49" s="27"/>
      <c r="H49" s="36"/>
      <c r="I49" s="27"/>
      <c r="J49" s="36"/>
      <c r="K49" s="27"/>
      <c r="L49" s="25"/>
      <c r="M49" s="25"/>
      <c r="N49" s="25"/>
      <c r="O49" s="25"/>
      <c r="P49" s="25"/>
      <c r="Q49" s="25"/>
      <c r="R49" s="25"/>
      <c r="S49" s="25"/>
      <c r="T49" s="25"/>
      <c r="U49" s="25"/>
      <c r="V49" s="25"/>
      <c r="W49" s="25"/>
      <c r="X49" s="25"/>
      <c r="Y49" s="25"/>
      <c r="Z49" s="25"/>
      <c r="AA49" s="25"/>
      <c r="AB49" s="101">
        <f t="shared" si="25"/>
        <v>0</v>
      </c>
      <c r="AC49" s="130" t="str">
        <f>CONCATENATE(IF(D49&gt;D24," * Prep New PWID "&amp;$D$19&amp;" "&amp;$D$20&amp;" is more than KP_PREV PWID"&amp;CHAR(10),""),IF(E49&gt;E24," * Prep New PWID "&amp;$D$19&amp;" "&amp;$E$20&amp;" is more than KP_PREV PWID"&amp;CHAR(10),""),IF(F49&gt;F24," * Prep New PWID "&amp;$F$19&amp;" "&amp;$F$20&amp;" is more than KP_PREV PWID"&amp;CHAR(10),""),IF(G49&gt;G24," * Prep New PWID "&amp;$F$19&amp;" "&amp;$G$20&amp;" is more than KP_PREV PWID"&amp;CHAR(10),""),IF(H49&gt;H24," * Prep New PWID "&amp;$H$19&amp;" "&amp;$H$20&amp;" is more than KP_PREV PWID"&amp;CHAR(10),""),IF(I49&gt;I24," * Prep New PWID "&amp;$H$19&amp;" "&amp;$I$20&amp;" is more than KP_PREV PWID"&amp;CHAR(10),""),IF(J49&gt;J24," * Prep New PWID "&amp;$J$19&amp;" "&amp;$J$20&amp;" is more than KP_PREV PWID"&amp;CHAR(10),""),IF(K49&gt;K24," * Prep New PWID "&amp;$J$19&amp;" "&amp;$K$20&amp;" is more than KP_PREV PWID"&amp;CHAR(10),""),IF(L49&gt;L24," * Prep New PWID "&amp;$L$19&amp;" "&amp;$L$20&amp;" is more than KP_PREV PWID"&amp;CHAR(10),""),IF(M49&gt;M24," * Prep New PWID "&amp;$L$19&amp;" "&amp;$M$20&amp;" is more than KP_PREV PWID"&amp;CHAR(10),""),IF(N49&gt;N24," * Prep New PWID "&amp;$N$19&amp;" "&amp;$N$20&amp;" is more than KP_PREV PWID"&amp;CHAR(10),""),IF(O49&gt;O24," * Prep New PWID "&amp;$N$19&amp;" "&amp;$O$20&amp;" is more than KP_PREV PWID"&amp;CHAR(10),""),IF(P49&gt;P24," * Prep New PWID "&amp;$P$19&amp;" "&amp;$P$20&amp;" is more than KP_PREV PWID"&amp;CHAR(10),""),IF(Q49&gt;Q24," * Prep New PWID "&amp;$P$19&amp;" "&amp;$Q$20&amp;" is more than KP_PREV PWID"&amp;CHAR(10),""),IF(R49&gt;R24," * Prep New PWID "&amp;$R$19&amp;" "&amp;$R$20&amp;" is more than KP_PREV PWID"&amp;CHAR(10),""),IF(S49&gt;S24," * Prep New PWID "&amp;$R$19&amp;" "&amp;$S$20&amp;" is more than KP_PREV PWID"&amp;CHAR(10),""),IF(T49&gt;T24," * Prep New PWID "&amp;$T$19&amp;" "&amp;$T$20&amp;" is more than KP_PREV PWID"&amp;CHAR(10),""),IF(U49&gt;U24," * Prep New PWID "&amp;$T$19&amp;" "&amp;$U$20&amp;" is more than KP_PREV PWID"&amp;CHAR(10),""),IF(V49&gt;V24," * Prep New PWID "&amp;$V$19&amp;" "&amp;$V$20&amp;" is more than KP_PREV PWID"&amp;CHAR(10),""),IF(W49&gt;W24," * Prep New PWID "&amp;$V$19&amp;" "&amp;$W$20&amp;" is more than KP_PREV PWID"&amp;CHAR(10),""),IF(X49&gt;X24," * Prep New PWID "&amp;$X$19&amp;" "&amp;$X$20&amp;" is more than KP_PREV PWID"&amp;CHAR(10),""),IF(Y49&gt;Y24," * Prep New PWID "&amp;$X$19&amp;" "&amp;$Y$20&amp;" is more than KP_PREV PWID"&amp;CHAR(10),""),IF(Z49&gt;Z24," * Prep New PWID "&amp;$Z$19&amp;" "&amp;$Z$20&amp;" is more than KP_PREV PWID"&amp;CHAR(10),""),IF(AA49&gt;AA24," * Prep New PWID "&amp;$Z$19&amp;" "&amp;$AA$20&amp;" is more than KP_PREV PWID"&amp;CHAR(10),""))</f>
        <v/>
      </c>
      <c r="AD49" s="542"/>
      <c r="AE49" s="121"/>
      <c r="AF49" s="639"/>
      <c r="AG49" s="252">
        <v>160</v>
      </c>
    </row>
    <row r="50" spans="1:33" s="4" customFormat="1" ht="38.25" customHeight="1" thickBot="1" x14ac:dyDescent="0.5">
      <c r="A50" s="214" t="s">
        <v>435</v>
      </c>
      <c r="B50" s="149" t="s">
        <v>180</v>
      </c>
      <c r="C50" s="198" t="s">
        <v>254</v>
      </c>
      <c r="D50" s="97"/>
      <c r="E50" s="98"/>
      <c r="F50" s="97"/>
      <c r="G50" s="98"/>
      <c r="H50" s="97"/>
      <c r="I50" s="98"/>
      <c r="J50" s="97"/>
      <c r="K50" s="98"/>
      <c r="L50" s="98"/>
      <c r="M50" s="98"/>
      <c r="N50" s="98"/>
      <c r="O50" s="98"/>
      <c r="P50" s="98"/>
      <c r="Q50" s="98"/>
      <c r="R50" s="98"/>
      <c r="S50" s="98"/>
      <c r="T50" s="98"/>
      <c r="U50" s="98"/>
      <c r="V50" s="98"/>
      <c r="W50" s="98"/>
      <c r="X50" s="98"/>
      <c r="Y50" s="98"/>
      <c r="Z50" s="98"/>
      <c r="AA50" s="227"/>
      <c r="AB50" s="228"/>
      <c r="AC50" s="129" t="str">
        <f>CONCATENATE(IF(D50&gt;D26," * Prep New Transgender "&amp;$D$19&amp;" "&amp;$D$20&amp;" is more than KP_PREV Transgender"&amp;CHAR(10),""),IF(E50&gt;E26," * Prep New Transgender "&amp;$D$19&amp;" "&amp;$E$20&amp;" is more than KP_PREV Transgender"&amp;CHAR(10),""),IF(F50&gt;F26," * Prep New Transgender "&amp;$F$19&amp;" "&amp;$F$20&amp;" is more than KP_PREV Transgender"&amp;CHAR(10),""),IF(G50&gt;G26," * Prep New Transgender "&amp;$F$19&amp;" "&amp;$G$20&amp;" is more than KP_PREV Transgender"&amp;CHAR(10),""),IF(H50&gt;H26," * Prep New Transgender "&amp;$H$19&amp;" "&amp;$H$20&amp;" is more than KP_PREV Transgender"&amp;CHAR(10),""),IF(I50&gt;I26," * Prep New Transgender "&amp;$H$19&amp;" "&amp;$I$20&amp;" is more than KP_PREV Transgender"&amp;CHAR(10),""),IF(J50&gt;J26," * Prep New Transgender "&amp;$J$19&amp;" "&amp;$J$20&amp;" is more than KP_PREV Transgender"&amp;CHAR(10),""),IF(K50&gt;K26," * Prep New Transgender "&amp;$J$19&amp;" "&amp;$K$20&amp;" is more than KP_PREV Transgender"&amp;CHAR(10),""),IF(L50&gt;L26," * Prep New Transgender "&amp;$L$19&amp;" "&amp;$L$20&amp;" is more than KP_PREV Transgender"&amp;CHAR(10),""),IF(M50&gt;M26," * Prep New Transgender "&amp;$L$19&amp;" "&amp;$M$20&amp;" is more than KP_PREV Transgender"&amp;CHAR(10),""),IF(N50&gt;N26," * Prep New Transgender "&amp;$N$19&amp;" "&amp;$N$20&amp;" is more than KP_PREV Transgender"&amp;CHAR(10),""),IF(O50&gt;O26," * Prep New Transgender "&amp;$N$19&amp;" "&amp;$O$20&amp;" is more than KP_PREV Transgender"&amp;CHAR(10),""),IF(P50&gt;P26," * Prep New Transgender "&amp;$P$19&amp;" "&amp;$P$20&amp;" is more than KP_PREV Transgender"&amp;CHAR(10),""),IF(Q50&gt;Q26," * Prep New Transgender "&amp;$P$19&amp;" "&amp;$Q$20&amp;" is more than KP_PREV Transgender"&amp;CHAR(10),""),IF(R50&gt;R26," * Prep New Transgender "&amp;$R$19&amp;" "&amp;$R$20&amp;" is more than KP_PREV Transgender"&amp;CHAR(10),""),IF(S50&gt;S26," * Prep New Transgender "&amp;$R$19&amp;" "&amp;$S$20&amp;" is more than KP_PREV Transgender"&amp;CHAR(10),""),IF(T50&gt;T26," * Prep New Transgender "&amp;$T$19&amp;" "&amp;$T$20&amp;" is more than KP_PREV Transgender"&amp;CHAR(10),""),IF(U50&gt;U26," * Prep New Transgender "&amp;$T$19&amp;" "&amp;$U$20&amp;" is more than KP_PREV Transgender"&amp;CHAR(10),""),IF(V50&gt;V26," * Prep New Transgender "&amp;$V$19&amp;" "&amp;$V$20&amp;" is more than KP_PREV Transgender"&amp;CHAR(10),""),IF(W50&gt;W26," * Prep New Transgender "&amp;$V$19&amp;" "&amp;$W$20&amp;" is more than KP_PREV Transgender"&amp;CHAR(10),""),IF(X50&gt;X26," * Prep New Transgender "&amp;$X$19&amp;" "&amp;$X$20&amp;" is more than KP_PREV Transgender"&amp;CHAR(10),""),IF(Y50&gt;Y26," * Prep New Transgender "&amp;$X$19&amp;" "&amp;$Y$20&amp;" is more than KP_PREV Transgender"&amp;CHAR(10),""),IF(Z50&gt;Z26," * Prep New Transgender "&amp;$Z$19&amp;" "&amp;$Z$20&amp;" is more than KP_PREV Transgender"&amp;CHAR(10),""),IF(AA50&gt;AA26," * Prep New Transgender "&amp;$Z$19&amp;" "&amp;$AA$20&amp;" is more than KP_PREV Transgender"&amp;CHAR(10),""),IF(AB50&gt;AB26," * Prep New Transgender "&amp;$AB$19&amp;" "&amp;$AA$20&amp;" is more than KP_PREV Transgender"&amp;CHAR(10),""))</f>
        <v/>
      </c>
      <c r="AD50" s="542"/>
      <c r="AE50" s="121"/>
      <c r="AF50" s="640"/>
      <c r="AG50" s="252">
        <v>161</v>
      </c>
    </row>
    <row r="51" spans="1:33" s="4" customFormat="1" ht="38.25" customHeight="1" thickBot="1" x14ac:dyDescent="0.5">
      <c r="A51" s="474" t="s">
        <v>187</v>
      </c>
      <c r="B51" s="475"/>
      <c r="C51" s="479"/>
      <c r="D51" s="475"/>
      <c r="E51" s="475"/>
      <c r="F51" s="475"/>
      <c r="G51" s="475"/>
      <c r="H51" s="475"/>
      <c r="I51" s="475"/>
      <c r="J51" s="475"/>
      <c r="K51" s="475"/>
      <c r="L51" s="475"/>
      <c r="M51" s="475"/>
      <c r="N51" s="475"/>
      <c r="O51" s="475"/>
      <c r="P51" s="475"/>
      <c r="Q51" s="475"/>
      <c r="R51" s="475"/>
      <c r="S51" s="475"/>
      <c r="T51" s="475"/>
      <c r="U51" s="475"/>
      <c r="V51" s="475"/>
      <c r="W51" s="475"/>
      <c r="X51" s="475"/>
      <c r="Y51" s="475"/>
      <c r="Z51" s="475"/>
      <c r="AA51" s="475"/>
      <c r="AB51" s="476"/>
      <c r="AC51" s="475"/>
      <c r="AD51" s="475"/>
      <c r="AE51" s="475"/>
      <c r="AF51" s="637"/>
      <c r="AG51" s="108">
        <v>154</v>
      </c>
    </row>
    <row r="52" spans="1:33" s="6" customFormat="1" ht="38.25" customHeight="1" thickBot="1" x14ac:dyDescent="0.5">
      <c r="A52" s="212" t="s">
        <v>181</v>
      </c>
      <c r="B52" s="239" t="s">
        <v>181</v>
      </c>
      <c r="C52" s="175" t="s">
        <v>255</v>
      </c>
      <c r="D52" s="240">
        <f t="shared" ref="D52:AB52" si="26">SUM(D53:D57)</f>
        <v>0</v>
      </c>
      <c r="E52" s="136">
        <f t="shared" si="26"/>
        <v>0</v>
      </c>
      <c r="F52" s="136">
        <f t="shared" si="26"/>
        <v>0</v>
      </c>
      <c r="G52" s="136">
        <f t="shared" si="26"/>
        <v>0</v>
      </c>
      <c r="H52" s="136">
        <f t="shared" si="26"/>
        <v>0</v>
      </c>
      <c r="I52" s="136">
        <f t="shared" si="26"/>
        <v>0</v>
      </c>
      <c r="J52" s="136">
        <f t="shared" si="26"/>
        <v>0</v>
      </c>
      <c r="K52" s="136">
        <f t="shared" si="26"/>
        <v>0</v>
      </c>
      <c r="L52" s="136">
        <f t="shared" si="26"/>
        <v>0</v>
      </c>
      <c r="M52" s="136">
        <f t="shared" si="26"/>
        <v>0</v>
      </c>
      <c r="N52" s="136">
        <f t="shared" si="26"/>
        <v>0</v>
      </c>
      <c r="O52" s="136">
        <f t="shared" si="26"/>
        <v>0</v>
      </c>
      <c r="P52" s="136">
        <f t="shared" si="26"/>
        <v>0</v>
      </c>
      <c r="Q52" s="136">
        <f t="shared" si="26"/>
        <v>0</v>
      </c>
      <c r="R52" s="136">
        <f t="shared" si="26"/>
        <v>0</v>
      </c>
      <c r="S52" s="136">
        <f t="shared" si="26"/>
        <v>0</v>
      </c>
      <c r="T52" s="136">
        <f t="shared" si="26"/>
        <v>0</v>
      </c>
      <c r="U52" s="136">
        <f t="shared" si="26"/>
        <v>0</v>
      </c>
      <c r="V52" s="136">
        <f t="shared" si="26"/>
        <v>0</v>
      </c>
      <c r="W52" s="136">
        <f t="shared" si="26"/>
        <v>0</v>
      </c>
      <c r="X52" s="136">
        <f t="shared" si="26"/>
        <v>0</v>
      </c>
      <c r="Y52" s="136">
        <f t="shared" si="26"/>
        <v>0</v>
      </c>
      <c r="Z52" s="136">
        <f t="shared" si="26"/>
        <v>0</v>
      </c>
      <c r="AA52" s="136">
        <f t="shared" si="26"/>
        <v>0</v>
      </c>
      <c r="AB52" s="136">
        <f t="shared" si="26"/>
        <v>0</v>
      </c>
      <c r="AC52" s="137"/>
      <c r="AD52" s="541" t="str">
        <f>CONCATENATE(AC52,AC53,AC54,AC55,AC56,AC57)</f>
        <v/>
      </c>
      <c r="AE52" s="138"/>
      <c r="AF52" s="544" t="str">
        <f>CONCATENATE(AE52,AE53,AE54,AE55,AE56,AE57)</f>
        <v/>
      </c>
      <c r="AG52" s="108">
        <v>155</v>
      </c>
    </row>
    <row r="53" spans="1:33" s="4" customFormat="1" ht="38.25" customHeight="1" thickBot="1" x14ac:dyDescent="0.5">
      <c r="A53" s="213" t="s">
        <v>79</v>
      </c>
      <c r="B53" s="150" t="s">
        <v>182</v>
      </c>
      <c r="C53" s="193" t="s">
        <v>256</v>
      </c>
      <c r="D53" s="37"/>
      <c r="E53" s="28"/>
      <c r="F53" s="37"/>
      <c r="G53" s="28"/>
      <c r="H53" s="37"/>
      <c r="I53" s="28"/>
      <c r="J53" s="37"/>
      <c r="K53" s="28"/>
      <c r="L53" s="28"/>
      <c r="M53" s="29"/>
      <c r="N53" s="28"/>
      <c r="O53" s="29"/>
      <c r="P53" s="28"/>
      <c r="Q53" s="29"/>
      <c r="R53" s="28"/>
      <c r="S53" s="29"/>
      <c r="T53" s="28"/>
      <c r="U53" s="29"/>
      <c r="V53" s="28"/>
      <c r="W53" s="29"/>
      <c r="X53" s="28"/>
      <c r="Y53" s="29"/>
      <c r="Z53" s="28"/>
      <c r="AA53" s="29"/>
      <c r="AB53" s="106">
        <f t="shared" ref="AB53:AB56" si="27">SUM(D53:AA53)</f>
        <v>0</v>
      </c>
      <c r="AC53" s="128" t="str">
        <f>CONCATENATE(IF(D46&gt;D53," * Prep New FSW "&amp;$D$19&amp;" "&amp;$D$20&amp;" Is more than Prep Curr FSW"&amp;CHAR(10),""),IF(E46&gt;E53," * Prep New FSW "&amp;$D$19&amp;" "&amp;$E$20&amp;" Is more than Prep Curr FSW"&amp;CHAR(10),""),IF(F46&gt;F53," * Prep New FSW "&amp;$F$19&amp;" "&amp;$F$20&amp;" Is more than Prep Curr FSW"&amp;CHAR(10),""),IF(G46&gt;G53," * Prep New FSW "&amp;$F$19&amp;" "&amp;$G$20&amp;" Is more than Prep Curr FSW"&amp;CHAR(10),""),IF(H46&gt;H53," * Prep New FSW "&amp;$H$19&amp;" "&amp;$H$20&amp;" Is more than Prep Curr FSW"&amp;CHAR(10),""),IF(I46&gt;I53," * Prep New FSW "&amp;$H$19&amp;" "&amp;$I$20&amp;" Is more than Prep Curr FSW"&amp;CHAR(10),""),IF(J46&gt;J53," * Prep New FSW "&amp;$J$19&amp;" "&amp;$J$20&amp;" Is more than Prep Curr FSW"&amp;CHAR(10),""),IF(K46&gt;K53," * Prep New FSW "&amp;$J$19&amp;" "&amp;$K$20&amp;" Is more than Prep Curr FSW"&amp;CHAR(10),""),IF(L46&gt;L53," * Prep New FSW "&amp;$L$19&amp;" "&amp;$L$20&amp;" Is more than Prep Curr FSW"&amp;CHAR(10),""),IF(M46&gt;M53," * Prep New FSW "&amp;$L$19&amp;" "&amp;$M$20&amp;" Is more than Prep Curr FSW"&amp;CHAR(10),""),IF(N46&gt;N53," * Prep New FSW "&amp;$N$19&amp;" "&amp;$N$20&amp;" Is more than Prep Curr FSW"&amp;CHAR(10),""),IF(O46&gt;O53," * Prep New FSW "&amp;$N$19&amp;" "&amp;$O$20&amp;" Is more than Prep Curr FSW"&amp;CHAR(10),""),IF(P46&gt;P53," * Prep New FSW "&amp;$P$19&amp;" "&amp;$P$20&amp;" Is more than Prep Curr FSW"&amp;CHAR(10),""),IF(Q46&gt;Q53," * Prep New FSW "&amp;$P$19&amp;" "&amp;$Q$20&amp;" Is more than Prep Curr FSW"&amp;CHAR(10),""),IF(R46&gt;R53," * Prep New FSW "&amp;$R$19&amp;" "&amp;$R$20&amp;" Is more than Prep Curr FSW"&amp;CHAR(10),""),IF(S46&gt;S53," * Prep New FSW "&amp;$R$19&amp;" "&amp;$S$20&amp;" Is more than Prep Curr FSW"&amp;CHAR(10),""),IF(T46&gt;T53," * Prep New FSW "&amp;$T$19&amp;" "&amp;$T$20&amp;" Is more than Prep Curr FSW"&amp;CHAR(10),""),IF(U46&gt;U53," * Prep New FSW "&amp;$T$19&amp;" "&amp;$U$20&amp;" Is more than Prep Curr FSW"&amp;CHAR(10),""),IF(V46&gt;V53," * Prep New FSW "&amp;$V$19&amp;" "&amp;$V$20&amp;" Is more than Prep Curr FSW"&amp;CHAR(10),""),IF(W46&gt;W53," * Prep New FSW "&amp;$V$19&amp;" "&amp;$W$20&amp;" Is more than Prep Curr FSW"&amp;CHAR(10),""),IF(X46&gt;X53," * Prep New FSW "&amp;$X$19&amp;" "&amp;$X$20&amp;" Is more than Prep Curr FSW"&amp;CHAR(10),""),IF(Y46&gt;Y53," * Prep New FSW "&amp;$X$19&amp;" "&amp;$Y$20&amp;" Is more than Prep Curr FSW"&amp;CHAR(10),""),IF(Z46&gt;Z53," * Prep New FSW "&amp;$Z$19&amp;" "&amp;$Z$20&amp;" Is more than Prep Curr FSW"&amp;CHAR(10),""),IF(AA46&gt;AA53," * Prep New FSW "&amp;$Z$19&amp;" "&amp;$AA$20&amp;" Is more than Prep Curr FSW"&amp;CHAR(10),""))</f>
        <v/>
      </c>
      <c r="AD53" s="542"/>
      <c r="AE53" s="121"/>
      <c r="AF53" s="545"/>
      <c r="AG53" s="108">
        <v>156</v>
      </c>
    </row>
    <row r="54" spans="1:33" s="4" customFormat="1" ht="38.25" customHeight="1" thickBot="1" x14ac:dyDescent="0.5">
      <c r="A54" s="208" t="s">
        <v>77</v>
      </c>
      <c r="B54" s="148" t="s">
        <v>183</v>
      </c>
      <c r="C54" s="193" t="s">
        <v>257</v>
      </c>
      <c r="D54" s="36"/>
      <c r="E54" s="27"/>
      <c r="F54" s="36"/>
      <c r="G54" s="27"/>
      <c r="H54" s="36"/>
      <c r="I54" s="27"/>
      <c r="J54" s="36"/>
      <c r="K54" s="27"/>
      <c r="L54" s="25"/>
      <c r="M54" s="28"/>
      <c r="N54" s="25"/>
      <c r="O54" s="28"/>
      <c r="P54" s="25"/>
      <c r="Q54" s="28"/>
      <c r="R54" s="25"/>
      <c r="S54" s="28"/>
      <c r="T54" s="25"/>
      <c r="U54" s="28"/>
      <c r="V54" s="25"/>
      <c r="W54" s="28"/>
      <c r="X54" s="25"/>
      <c r="Y54" s="28"/>
      <c r="Z54" s="25"/>
      <c r="AA54" s="28"/>
      <c r="AB54" s="100">
        <f t="shared" si="27"/>
        <v>0</v>
      </c>
      <c r="AC54" s="128" t="str">
        <f>CONCATENATE(IF(D47&gt;D54," * Prep New MSM "&amp;$D$19&amp;" "&amp;$D$20&amp;" Is more than Prep Curr MSM"&amp;CHAR(10),""),IF(E47&gt;E54," * Prep New MSM "&amp;$D$19&amp;" "&amp;$E$20&amp;" Is more than Prep Curr MSM"&amp;CHAR(10),""),IF(F47&gt;F54," * Prep New MSM "&amp;$F$19&amp;" "&amp;$F$20&amp;" Is more than Prep Curr MSM"&amp;CHAR(10),""),IF(G47&gt;G54," * Prep New MSM "&amp;$F$19&amp;" "&amp;$G$20&amp;" Is more than Prep Curr MSM"&amp;CHAR(10),""),IF(H47&gt;H54," * Prep New MSM "&amp;$H$19&amp;" "&amp;$H$20&amp;" Is more than Prep Curr MSM"&amp;CHAR(10),""),IF(I47&gt;I54," * Prep New MSM "&amp;$H$19&amp;" "&amp;$I$20&amp;" Is more than Prep Curr MSM"&amp;CHAR(10),""),IF(J47&gt;J54," * Prep New MSM "&amp;$J$19&amp;" "&amp;$J$20&amp;" Is more than Prep Curr MSM"&amp;CHAR(10),""),IF(K47&gt;K54," * Prep New MSM "&amp;$J$19&amp;" "&amp;$K$20&amp;" Is more than Prep Curr MSM"&amp;CHAR(10),""),IF(L47&gt;L54," * Prep New MSM "&amp;$L$19&amp;" "&amp;$L$20&amp;" Is more than Prep Curr MSM"&amp;CHAR(10),""),IF(M47&gt;M54," * Prep New MSM "&amp;$L$19&amp;" "&amp;$M$20&amp;" Is more than Prep Curr MSM"&amp;CHAR(10),""),IF(N47&gt;N54," * Prep New MSM "&amp;$N$19&amp;" "&amp;$N$20&amp;" Is more than Prep Curr MSM"&amp;CHAR(10),""),IF(O47&gt;O54," * Prep New MSM "&amp;$N$19&amp;" "&amp;$O$20&amp;" Is more than Prep Curr MSM"&amp;CHAR(10),""),IF(P47&gt;P54," * Prep New MSM "&amp;$P$19&amp;" "&amp;$P$20&amp;" Is more than Prep Curr MSM"&amp;CHAR(10),""),IF(Q47&gt;Q54," * Prep New MSM "&amp;$P$19&amp;" "&amp;$Q$20&amp;" Is more than Prep Curr MSM"&amp;CHAR(10),""),IF(R47&gt;R54," * Prep New MSM "&amp;$R$19&amp;" "&amp;$R$20&amp;" Is more than Prep Curr MSM"&amp;CHAR(10),""),IF(S47&gt;S54," * Prep New MSM "&amp;$R$19&amp;" "&amp;$S$20&amp;" Is more than Prep Curr MSM"&amp;CHAR(10),""),IF(T47&gt;T54," * Prep New MSM "&amp;$T$19&amp;" "&amp;$T$20&amp;" Is more than Prep Curr MSM"&amp;CHAR(10),""),IF(U47&gt;U54," * Prep New MSM "&amp;$T$19&amp;" "&amp;$U$20&amp;" Is more than Prep Curr MSM"&amp;CHAR(10),""),IF(V47&gt;V54," * Prep New MSM "&amp;$V$19&amp;" "&amp;$V$20&amp;" Is more than Prep Curr MSM"&amp;CHAR(10),""),IF(W47&gt;W54," * Prep New MSM "&amp;$V$19&amp;" "&amp;$W$20&amp;" Is more than Prep Curr MSM"&amp;CHAR(10),""),IF(X47&gt;X54," * Prep New MSM "&amp;$X$19&amp;" "&amp;$X$20&amp;" Is more than Prep Curr MSM"&amp;CHAR(10),""),IF(Y47&gt;Y54," * Prep New MSM "&amp;$X$19&amp;" "&amp;$Y$20&amp;" Is more than Prep Curr MSM"&amp;CHAR(10),""),IF(Z47&gt;Z54," * Prep New MSM "&amp;$Z$19&amp;" "&amp;$Z$20&amp;" Is more than Prep Curr MSM"&amp;CHAR(10),""),IF(AA47&gt;AA54," * Prep New MSM "&amp;$Z$19&amp;" "&amp;$AA$20&amp;" Is more than Prep Curr MSM"&amp;CHAR(10),""))</f>
        <v/>
      </c>
      <c r="AD54" s="542"/>
      <c r="AE54" s="121"/>
      <c r="AF54" s="545"/>
      <c r="AG54" s="108">
        <v>157</v>
      </c>
    </row>
    <row r="55" spans="1:33" s="4" customFormat="1" ht="38.25" customHeight="1" thickBot="1" x14ac:dyDescent="0.5">
      <c r="A55" s="208" t="s">
        <v>167</v>
      </c>
      <c r="B55" s="148" t="s">
        <v>184</v>
      </c>
      <c r="C55" s="193" t="s">
        <v>258</v>
      </c>
      <c r="D55" s="36"/>
      <c r="E55" s="27"/>
      <c r="F55" s="36"/>
      <c r="G55" s="27"/>
      <c r="H55" s="36"/>
      <c r="I55" s="27"/>
      <c r="J55" s="36"/>
      <c r="K55" s="27"/>
      <c r="L55" s="25"/>
      <c r="M55" s="25"/>
      <c r="N55" s="25"/>
      <c r="O55" s="25"/>
      <c r="P55" s="25"/>
      <c r="Q55" s="25"/>
      <c r="R55" s="25"/>
      <c r="S55" s="25"/>
      <c r="T55" s="25"/>
      <c r="U55" s="25"/>
      <c r="V55" s="25"/>
      <c r="W55" s="25"/>
      <c r="X55" s="25"/>
      <c r="Y55" s="25"/>
      <c r="Z55" s="25"/>
      <c r="AA55" s="25"/>
      <c r="AB55" s="100">
        <f t="shared" si="27"/>
        <v>0</v>
      </c>
      <c r="AC55" s="128" t="str">
        <f>CONCATENATE(IF(D48&gt;D55," * Prep New People in Prison "&amp;$D$19&amp;" "&amp;$D$20&amp;" Is more than Prep Curr People in Prison"&amp;CHAR(10),""),IF(E48&gt;E55," * Prep New People in Prison "&amp;$D$19&amp;" "&amp;$E$20&amp;" Is more than Prep Curr People in Prison"&amp;CHAR(10),""),IF(F48&gt;F55," * Prep New People in Prison "&amp;$F$19&amp;" "&amp;$F$20&amp;" Is more than Prep Curr People in Prison"&amp;CHAR(10),""),IF(G48&gt;G55," * Prep New People in Prison "&amp;$F$19&amp;" "&amp;$G$20&amp;" Is more than Prep Curr People in Prison"&amp;CHAR(10),""),IF(H48&gt;H55," * Prep New People in Prison "&amp;$H$19&amp;" "&amp;$H$20&amp;" Is more than Prep Curr People in Prison"&amp;CHAR(10),""),IF(I48&gt;I55," * Prep New People in Prison "&amp;$H$19&amp;" "&amp;$I$20&amp;" Is more than Prep Curr People in Prison"&amp;CHAR(10),""),IF(J48&gt;J55," * Prep New People in Prison "&amp;$J$19&amp;" "&amp;$J$20&amp;" Is more than Prep Curr People in Prison"&amp;CHAR(10),""),IF(K48&gt;K55," * Prep New People in Prison "&amp;$J$19&amp;" "&amp;$K$20&amp;" Is more than Prep Curr People in Prison"&amp;CHAR(10),""),IF(L48&gt;L55," * Prep New People in Prison "&amp;$L$19&amp;" "&amp;$L$20&amp;" Is more than Prep Curr People in Prison"&amp;CHAR(10),""),IF(M48&gt;M55," * Prep New People in Prison "&amp;$L$19&amp;" "&amp;$M$20&amp;" Is more than Prep Curr People in Prison"&amp;CHAR(10),""),IF(N48&gt;N55," * Prep New People in Prison "&amp;$N$19&amp;" "&amp;$N$20&amp;" Is more than Prep Curr People in Prison"&amp;CHAR(10),""),IF(O48&gt;O55," * Prep New People in Prison "&amp;$N$19&amp;" "&amp;$O$20&amp;" Is more than Prep Curr People in Prison"&amp;CHAR(10),""),IF(P48&gt;P55," * Prep New People in Prison "&amp;$P$19&amp;" "&amp;$P$20&amp;" Is more than Prep Curr People in Prison"&amp;CHAR(10),""),IF(Q48&gt;Q55," * Prep New People in Prison "&amp;$P$19&amp;" "&amp;$Q$20&amp;" Is more than Prep Curr People in Prison"&amp;CHAR(10),""),IF(R48&gt;R55," * Prep New People in Prison "&amp;$R$19&amp;" "&amp;$R$20&amp;" Is more than Prep Curr People in Prison"&amp;CHAR(10),""),IF(S48&gt;S55," * Prep New People in Prison "&amp;$R$19&amp;" "&amp;$S$20&amp;" Is more than Prep Curr People in Prison"&amp;CHAR(10),""),IF(T48&gt;T55," * Prep New People in Prison "&amp;$T$19&amp;" "&amp;$T$20&amp;" Is more than Prep Curr People in Prison"&amp;CHAR(10),""),IF(U48&gt;U55," * Prep New People in Prison "&amp;$T$19&amp;" "&amp;$U$20&amp;" Is more than Prep Curr People in Prison"&amp;CHAR(10),""),IF(V48&gt;V55," * Prep New People in Prison "&amp;$V$19&amp;" "&amp;$V$20&amp;" Is more than Prep Curr People in Prison"&amp;CHAR(10),""),IF(W48&gt;W55," * Prep New People in Prison "&amp;$V$19&amp;" "&amp;$W$20&amp;" Is more than Prep Curr People in Prison"&amp;CHAR(10),""),IF(X48&gt;X55," * Prep New People in Prison "&amp;$X$19&amp;" "&amp;$X$20&amp;" Is more than Prep Curr People in Prison"&amp;CHAR(10),""),IF(Y48&gt;Y55," * Prep New People in Prison "&amp;$X$19&amp;" "&amp;$Y$20&amp;" Is more than Prep Curr People in Prison"&amp;CHAR(10),""),IF(Z48&gt;Z55," * Prep New People in Prison "&amp;$Z$19&amp;" "&amp;$Z$20&amp;" Is more than Prep Curr People in Prison"&amp;CHAR(10),""),IF(AA48&gt;AA55," * Prep New People in Prison "&amp;$Z$19&amp;" "&amp;$AA$20&amp;" Is more than Prep Curr People in Prison"&amp;CHAR(10),""))</f>
        <v/>
      </c>
      <c r="AD55" s="542"/>
      <c r="AE55" s="121"/>
      <c r="AF55" s="545"/>
      <c r="AG55" s="108">
        <v>159</v>
      </c>
    </row>
    <row r="56" spans="1:33" s="4" customFormat="1" ht="38.25" customHeight="1" thickBot="1" x14ac:dyDescent="0.5">
      <c r="A56" s="208" t="s">
        <v>76</v>
      </c>
      <c r="B56" s="148" t="s">
        <v>185</v>
      </c>
      <c r="C56" s="193" t="s">
        <v>259</v>
      </c>
      <c r="D56" s="36"/>
      <c r="E56" s="27"/>
      <c r="F56" s="36"/>
      <c r="G56" s="27"/>
      <c r="H56" s="36"/>
      <c r="I56" s="27"/>
      <c r="J56" s="36"/>
      <c r="K56" s="27"/>
      <c r="L56" s="25"/>
      <c r="M56" s="25"/>
      <c r="N56" s="25"/>
      <c r="O56" s="25"/>
      <c r="P56" s="25"/>
      <c r="Q56" s="25"/>
      <c r="R56" s="25"/>
      <c r="S56" s="25"/>
      <c r="T56" s="25"/>
      <c r="U56" s="25"/>
      <c r="V56" s="25"/>
      <c r="W56" s="25"/>
      <c r="X56" s="25"/>
      <c r="Y56" s="25"/>
      <c r="Z56" s="25"/>
      <c r="AA56" s="25"/>
      <c r="AB56" s="101">
        <f t="shared" si="27"/>
        <v>0</v>
      </c>
      <c r="AC56" s="128" t="str">
        <f>CONCATENATE(IF(D49&gt;D56," * Prep New PWID "&amp;$D$19&amp;" "&amp;$D$20&amp;" Is more than Prep Curr PWID"&amp;CHAR(10),""),IF(E49&gt;E56," * Prep New PWID "&amp;$D$19&amp;" "&amp;$E$20&amp;" Is more than Prep Curr PWID"&amp;CHAR(10),""),IF(F49&gt;F56," * Prep New PWID "&amp;$F$19&amp;" "&amp;$F$20&amp;" Is more than Prep Curr PWID"&amp;CHAR(10),""),IF(G49&gt;G56," * Prep New PWID "&amp;$F$19&amp;" "&amp;$G$20&amp;" Is more than Prep Curr PWID"&amp;CHAR(10),""),IF(H49&gt;H56," * Prep New PWID "&amp;$H$19&amp;" "&amp;$H$20&amp;" Is more than Prep Curr PWID"&amp;CHAR(10),""),IF(I49&gt;I56," * Prep New PWID "&amp;$H$19&amp;" "&amp;$I$20&amp;" Is more than Prep Curr PWID"&amp;CHAR(10),""),IF(J49&gt;J56," * Prep New PWID "&amp;$J$19&amp;" "&amp;$J$20&amp;" Is more than Prep Curr PWID"&amp;CHAR(10),""),IF(K49&gt;K56," * Prep New PWID "&amp;$J$19&amp;" "&amp;$K$20&amp;" Is more than Prep Curr PWID"&amp;CHAR(10),""),IF(L49&gt;L56," * Prep New PWID "&amp;$L$19&amp;" "&amp;$L$20&amp;" Is more than Prep Curr PWID"&amp;CHAR(10),""),IF(M49&gt;M56," * Prep New PWID "&amp;$L$19&amp;" "&amp;$M$20&amp;" Is more than Prep Curr PWID"&amp;CHAR(10),""),IF(N49&gt;N56," * Prep New PWID "&amp;$N$19&amp;" "&amp;$N$20&amp;" Is more than Prep Curr PWID"&amp;CHAR(10),""),IF(O49&gt;O56," * Prep New PWID "&amp;$N$19&amp;" "&amp;$O$20&amp;" Is more than Prep Curr PWID"&amp;CHAR(10),""),IF(P49&gt;P56," * Prep New PWID "&amp;$P$19&amp;" "&amp;$P$20&amp;" Is more than Prep Curr PWID"&amp;CHAR(10),""),IF(Q49&gt;Q56," * Prep New PWID "&amp;$P$19&amp;" "&amp;$Q$20&amp;" Is more than Prep Curr PWID"&amp;CHAR(10),""),IF(R49&gt;R56," * Prep New PWID "&amp;$R$19&amp;" "&amp;$R$20&amp;" Is more than Prep Curr PWID"&amp;CHAR(10),""),IF(S49&gt;S56," * Prep New PWID "&amp;$R$19&amp;" "&amp;$S$20&amp;" Is more than Prep Curr PWID"&amp;CHAR(10),""),IF(T49&gt;T56," * Prep New PWID "&amp;$T$19&amp;" "&amp;$T$20&amp;" Is more than Prep Curr PWID"&amp;CHAR(10),""),IF(U49&gt;U56," * Prep New PWID "&amp;$T$19&amp;" "&amp;$U$20&amp;" Is more than Prep Curr PWID"&amp;CHAR(10),""),IF(V49&gt;V56," * Prep New PWID "&amp;$V$19&amp;" "&amp;$V$20&amp;" Is more than Prep Curr PWID"&amp;CHAR(10),""),IF(W49&gt;W56," * Prep New PWID "&amp;$V$19&amp;" "&amp;$W$20&amp;" Is more than Prep Curr PWID"&amp;CHAR(10),""),IF(X49&gt;X56," * Prep New PWID "&amp;$X$19&amp;" "&amp;$X$20&amp;" Is more than Prep Curr PWID"&amp;CHAR(10),""),IF(Y49&gt;Y56," * Prep New PWID "&amp;$X$19&amp;" "&amp;$Y$20&amp;" Is more than Prep Curr PWID"&amp;CHAR(10),""),IF(Z49&gt;Z56," * Prep New PWID "&amp;$Z$19&amp;" "&amp;$Z$20&amp;" Is more than Prep Curr PWID"&amp;CHAR(10),""),IF(AA49&gt;AA56," * Prep New PWID "&amp;$Z$19&amp;" "&amp;$AA$20&amp;" Is more than Prep Curr PWID"&amp;CHAR(10),""))</f>
        <v/>
      </c>
      <c r="AD56" s="542"/>
      <c r="AE56" s="121"/>
      <c r="AF56" s="545"/>
      <c r="AG56" s="108">
        <v>160</v>
      </c>
    </row>
    <row r="57" spans="1:33" s="4" customFormat="1" ht="38.25" customHeight="1" thickBot="1" x14ac:dyDescent="0.5">
      <c r="A57" s="214" t="s">
        <v>435</v>
      </c>
      <c r="B57" s="149" t="s">
        <v>186</v>
      </c>
      <c r="C57" s="198" t="s">
        <v>260</v>
      </c>
      <c r="D57" s="97"/>
      <c r="E57" s="98"/>
      <c r="F57" s="97"/>
      <c r="G57" s="98"/>
      <c r="H57" s="97"/>
      <c r="I57" s="98"/>
      <c r="J57" s="97"/>
      <c r="K57" s="98"/>
      <c r="L57" s="98"/>
      <c r="M57" s="98"/>
      <c r="N57" s="98"/>
      <c r="O57" s="98"/>
      <c r="P57" s="98"/>
      <c r="Q57" s="98"/>
      <c r="R57" s="98"/>
      <c r="S57" s="98"/>
      <c r="T57" s="98"/>
      <c r="U57" s="98"/>
      <c r="V57" s="98"/>
      <c r="W57" s="98"/>
      <c r="X57" s="98"/>
      <c r="Y57" s="98"/>
      <c r="Z57" s="98"/>
      <c r="AA57" s="227"/>
      <c r="AB57" s="228"/>
      <c r="AC57" s="129" t="str">
        <f>CONCATENATE(IF(D50&gt;D57," * Prep New Transgender "&amp;$D$19&amp;" "&amp;$D$20&amp;" is more than PREP_CURR Transgender"&amp;CHAR(10),""),IF(E50&gt;E57," * Prep New Transgender "&amp;$D$19&amp;" "&amp;$E$20&amp;" is more than PREP_CURR Transgender"&amp;CHAR(10),""),IF(F50&gt;F57," * Prep New Transgender "&amp;$F$19&amp;" "&amp;$F$20&amp;" is more than PREP_CURR Transgender"&amp;CHAR(10),""),IF(G50&gt;G57," * Prep New Transgender "&amp;$F$19&amp;" "&amp;$G$20&amp;" is more than PREP_CURR Transgender"&amp;CHAR(10),""),IF(H50&gt;H57," * Prep New Transgender "&amp;$H$19&amp;" "&amp;$H$20&amp;" is more than PREP_CURR Transgender"&amp;CHAR(10),""),IF(I50&gt;I57," * Prep New Transgender "&amp;$H$19&amp;" "&amp;$I$20&amp;" is more than PREP_CURR Transgender"&amp;CHAR(10),""),IF(J50&gt;J57," * Prep New Transgender "&amp;$J$19&amp;" "&amp;$J$20&amp;" is more than PREP_CURR Transgender"&amp;CHAR(10),""),IF(K50&gt;K57," * Prep New Transgender "&amp;$J$19&amp;" "&amp;$K$20&amp;" is more than PREP_CURR Transgender"&amp;CHAR(10),""),IF(L50&gt;L57," * Prep New Transgender "&amp;$L$19&amp;" "&amp;$L$20&amp;" is more than PREP_CURR Transgender"&amp;CHAR(10),""),IF(M50&gt;M57," * Prep New Transgender "&amp;$L$19&amp;" "&amp;$M$20&amp;" is more than PREP_CURR Transgender"&amp;CHAR(10),""),IF(N50&gt;N57," * Prep New Transgender "&amp;$N$19&amp;" "&amp;$N$20&amp;" is more than PREP_CURR Transgender"&amp;CHAR(10),""),IF(O50&gt;O57," * Prep New Transgender "&amp;$N$19&amp;" "&amp;$O$20&amp;" is more than PREP_CURR Transgender"&amp;CHAR(10),""),IF(P50&gt;P57," * Prep New Transgender "&amp;$P$19&amp;" "&amp;$P$20&amp;" is more than PREP_CURR Transgender"&amp;CHAR(10),""),IF(Q50&gt;Q57," * Prep New Transgender "&amp;$P$19&amp;" "&amp;$Q$20&amp;" is more than PREP_CURR Transgender"&amp;CHAR(10),""),IF(R50&gt;R57," * Prep New Transgender "&amp;$R$19&amp;" "&amp;$R$20&amp;" is more than PREP_CURR Transgender"&amp;CHAR(10),""),IF(S50&gt;S57," * Prep New Transgender "&amp;$R$19&amp;" "&amp;$S$20&amp;" is more than PREP_CURR Transgender"&amp;CHAR(10),""),IF(T50&gt;T57," * Prep New Transgender "&amp;$T$19&amp;" "&amp;$T$20&amp;" is more than PREP_CURR Transgender"&amp;CHAR(10),""),IF(U50&gt;U57," * Prep New Transgender "&amp;$T$19&amp;" "&amp;$U$20&amp;" is more than PREP_CURR Transgender"&amp;CHAR(10),""),IF(V50&gt;V57," * Prep New Transgender "&amp;$V$19&amp;" "&amp;$V$20&amp;" is more than PREP_CURR Transgender"&amp;CHAR(10),""),IF(W50&gt;W57," * Prep New Transgender "&amp;$V$19&amp;" "&amp;$W$20&amp;" is more than PREP_CURR Transgender"&amp;CHAR(10),""),IF(X50&gt;X57," * Prep New Transgender "&amp;$X$19&amp;" "&amp;$X$20&amp;" is more than PREP_CURR Transgender"&amp;CHAR(10),""),IF(Y50&gt;Y57," * Prep New Transgender "&amp;$X$19&amp;" "&amp;$Y$20&amp;" is more than PREP_CURR Transgender"&amp;CHAR(10),""),IF(Z50&gt;Z57," * Prep New Transgender "&amp;$Z$19&amp;" "&amp;$Z$20&amp;" is more than PREP_CURR Transgender"&amp;CHAR(10),""),IF(AA50&gt;AA57," * Prep New Transgender "&amp;$Z$19&amp;" "&amp;$AA$20&amp;" is more than PREP_CURR Transgender"&amp;CHAR(10),""),IF(AB50&gt;AB57," * Prep New Transgender "&amp;$AB$19&amp;" "&amp;$AA$20&amp;" is more than PREP_CURR Transgender"&amp;CHAR(10),""))</f>
        <v/>
      </c>
      <c r="AD57" s="542"/>
      <c r="AE57" s="121"/>
      <c r="AF57" s="546"/>
      <c r="AG57" s="108">
        <v>161</v>
      </c>
    </row>
    <row r="58" spans="1:33" s="4" customFormat="1" ht="38.25" customHeight="1" thickBot="1" x14ac:dyDescent="0.5">
      <c r="A58" s="474" t="s">
        <v>235</v>
      </c>
      <c r="B58" s="475"/>
      <c r="C58" s="476"/>
      <c r="D58" s="475"/>
      <c r="E58" s="475"/>
      <c r="F58" s="475"/>
      <c r="G58" s="475"/>
      <c r="H58" s="475"/>
      <c r="I58" s="475"/>
      <c r="J58" s="475"/>
      <c r="K58" s="475"/>
      <c r="L58" s="475"/>
      <c r="M58" s="475"/>
      <c r="N58" s="475"/>
      <c r="O58" s="475"/>
      <c r="P58" s="475"/>
      <c r="Q58" s="475"/>
      <c r="R58" s="475"/>
      <c r="S58" s="475"/>
      <c r="T58" s="475"/>
      <c r="U58" s="475"/>
      <c r="V58" s="475"/>
      <c r="W58" s="475"/>
      <c r="X58" s="475"/>
      <c r="Y58" s="475"/>
      <c r="Z58" s="475"/>
      <c r="AA58" s="475"/>
      <c r="AB58" s="475"/>
      <c r="AC58" s="475"/>
      <c r="AD58" s="475"/>
      <c r="AE58" s="475"/>
      <c r="AF58" s="477"/>
      <c r="AG58" s="108">
        <v>41</v>
      </c>
    </row>
    <row r="59" spans="1:33" s="4" customFormat="1" ht="27" hidden="1" customHeight="1" x14ac:dyDescent="0.45">
      <c r="A59" s="574" t="s">
        <v>17</v>
      </c>
      <c r="B59" s="491" t="s">
        <v>25</v>
      </c>
      <c r="C59" s="594" t="s">
        <v>24</v>
      </c>
      <c r="D59" s="483" t="s">
        <v>0</v>
      </c>
      <c r="E59" s="483"/>
      <c r="F59" s="483" t="s">
        <v>1</v>
      </c>
      <c r="G59" s="483"/>
      <c r="H59" s="483" t="s">
        <v>2</v>
      </c>
      <c r="I59" s="483"/>
      <c r="J59" s="483" t="s">
        <v>3</v>
      </c>
      <c r="K59" s="483"/>
      <c r="L59" s="465" t="s">
        <v>4</v>
      </c>
      <c r="M59" s="466"/>
      <c r="N59" s="465" t="s">
        <v>5</v>
      </c>
      <c r="O59" s="466"/>
      <c r="P59" s="465" t="s">
        <v>6</v>
      </c>
      <c r="Q59" s="466"/>
      <c r="R59" s="465" t="s">
        <v>7</v>
      </c>
      <c r="S59" s="466"/>
      <c r="T59" s="465" t="s">
        <v>8</v>
      </c>
      <c r="U59" s="466"/>
      <c r="V59" s="465" t="s">
        <v>14</v>
      </c>
      <c r="W59" s="466"/>
      <c r="X59" s="465" t="s">
        <v>15</v>
      </c>
      <c r="Y59" s="466"/>
      <c r="Z59" s="465" t="s">
        <v>9</v>
      </c>
      <c r="AA59" s="466"/>
      <c r="AB59" s="575" t="s">
        <v>12</v>
      </c>
      <c r="AC59" s="602" t="s">
        <v>26</v>
      </c>
      <c r="AD59" s="467" t="s">
        <v>31</v>
      </c>
      <c r="AE59" s="463" t="s">
        <v>32</v>
      </c>
      <c r="AF59" s="463" t="s">
        <v>32</v>
      </c>
      <c r="AG59" s="108">
        <v>42</v>
      </c>
    </row>
    <row r="60" spans="1:33" s="4" customFormat="1" ht="27" hidden="1" customHeight="1" thickBot="1" x14ac:dyDescent="0.5">
      <c r="A60" s="485"/>
      <c r="B60" s="487"/>
      <c r="C60" s="624"/>
      <c r="D60" s="12" t="s">
        <v>10</v>
      </c>
      <c r="E60" s="12" t="s">
        <v>11</v>
      </c>
      <c r="F60" s="12" t="s">
        <v>10</v>
      </c>
      <c r="G60" s="12" t="s">
        <v>11</v>
      </c>
      <c r="H60" s="12" t="s">
        <v>10</v>
      </c>
      <c r="I60" s="12" t="s">
        <v>11</v>
      </c>
      <c r="J60" s="12" t="s">
        <v>10</v>
      </c>
      <c r="K60" s="12" t="s">
        <v>11</v>
      </c>
      <c r="L60" s="12" t="s">
        <v>10</v>
      </c>
      <c r="M60" s="12" t="s">
        <v>11</v>
      </c>
      <c r="N60" s="12" t="s">
        <v>10</v>
      </c>
      <c r="O60" s="12" t="s">
        <v>11</v>
      </c>
      <c r="P60" s="12" t="s">
        <v>10</v>
      </c>
      <c r="Q60" s="12" t="s">
        <v>11</v>
      </c>
      <c r="R60" s="12" t="s">
        <v>10</v>
      </c>
      <c r="S60" s="12" t="s">
        <v>11</v>
      </c>
      <c r="T60" s="12" t="s">
        <v>10</v>
      </c>
      <c r="U60" s="12" t="s">
        <v>11</v>
      </c>
      <c r="V60" s="12" t="s">
        <v>10</v>
      </c>
      <c r="W60" s="12" t="s">
        <v>11</v>
      </c>
      <c r="X60" s="12" t="s">
        <v>10</v>
      </c>
      <c r="Y60" s="12" t="s">
        <v>11</v>
      </c>
      <c r="Z60" s="12" t="s">
        <v>10</v>
      </c>
      <c r="AA60" s="12" t="s">
        <v>11</v>
      </c>
      <c r="AB60" s="576"/>
      <c r="AC60" s="603"/>
      <c r="AD60" s="468"/>
      <c r="AE60" s="464"/>
      <c r="AF60" s="469"/>
      <c r="AG60" s="108">
        <v>43</v>
      </c>
    </row>
    <row r="61" spans="1:33" s="4" customFormat="1" ht="38.25" customHeight="1" x14ac:dyDescent="0.45">
      <c r="A61" s="453" t="s">
        <v>100</v>
      </c>
      <c r="B61" s="180" t="s">
        <v>101</v>
      </c>
      <c r="C61" s="192" t="s">
        <v>261</v>
      </c>
      <c r="D61" s="37"/>
      <c r="E61" s="28"/>
      <c r="F61" s="37"/>
      <c r="G61" s="28"/>
      <c r="H61" s="37"/>
      <c r="I61" s="28"/>
      <c r="J61" s="37"/>
      <c r="K61" s="107"/>
      <c r="L61" s="16"/>
      <c r="M61" s="16"/>
      <c r="N61" s="16"/>
      <c r="O61" s="16"/>
      <c r="P61" s="16"/>
      <c r="Q61" s="16"/>
      <c r="R61" s="16"/>
      <c r="S61" s="16"/>
      <c r="T61" s="16"/>
      <c r="U61" s="16"/>
      <c r="V61" s="16"/>
      <c r="W61" s="16"/>
      <c r="X61" s="16"/>
      <c r="Y61" s="16"/>
      <c r="Z61" s="16"/>
      <c r="AA61" s="16"/>
      <c r="AB61" s="106">
        <f>SUM(D61:AA61)</f>
        <v>0</v>
      </c>
      <c r="AC61" s="123" t="str">
        <f>CONCATENATE(IF(D63&gt;(D61+D62)," * Number of people receiving PEP Service   "&amp;$D$19&amp;" "&amp;$D$20&amp;" is more than Sexual violence + Physical violence under GBV"&amp;CHAR(10),""),IF(E63&gt;(E61+E62)," * Number of people receiving PEP Service   "&amp;$D$19&amp;" "&amp;$E$20&amp;" is more than Sexual violence + Physical violence under GBV"&amp;CHAR(10),""),IF(F63&gt;(F61+F62)," * Number of people receiving PEP Service   "&amp;$F$19&amp;" "&amp;$F$20&amp;" is more than Sexual violence + Physical violence under GBV"&amp;CHAR(10),""),IF(G63&gt;(G61+G62)," * Number of people receiving PEP Service   "&amp;$F$19&amp;" "&amp;$G$20&amp;" is more than Sexual violence + Physical violence under GBV"&amp;CHAR(10),""),IF(H63&gt;(H61+H62)," * Number of people receiving PEP Service   "&amp;$H$19&amp;" "&amp;$H$20&amp;" is more than Sexual violence + Physical violence under GBV"&amp;CHAR(10),""),IF(I63&gt;(I61+I62)," * Number of people receiving PEP Service   "&amp;$H$19&amp;" "&amp;$I$20&amp;" is more than Sexual violence + Physical violence under GBV"&amp;CHAR(10),""),IF(J63&gt;(J61+J62)," * Number of people receiving PEP Service   "&amp;$J$19&amp;" "&amp;$J$20&amp;" is more than Sexual violence + Physical violence under GBV"&amp;CHAR(10),""),IF(K63&gt;(K61+K62)," * Number of people receiving PEP Service   "&amp;$J$19&amp;" "&amp;$K$20&amp;" is more than Sexual violence + Physical violence under GBV"&amp;CHAR(10),""),IF(L63&gt;(L61+L62)," * Number of people receiving PEP Service   "&amp;$L$19&amp;" "&amp;$L$20&amp;" is more than Sexual violence + Physical violence under GBV"&amp;CHAR(10),""),IF(M63&gt;(M61+M62)," * Number of people receiving PEP Service   "&amp;$L$19&amp;" "&amp;$M$20&amp;" is more than Sexual violence + Physical violence under GBV"&amp;CHAR(10),""),IF(N63&gt;(N61+N62)," * Number of people receiving PEP Service   "&amp;$N$19&amp;" "&amp;$N$20&amp;" is more than Sexual violence + Physical violence under GBV"&amp;CHAR(10),""),IF(O63&gt;(O61+O62)," * Number of people receiving PEP Service   "&amp;$N$19&amp;" "&amp;$O$20&amp;" is more than Sexual violence + Physical violence under GBV"&amp;CHAR(10),""),IF(P63&gt;(P61+P62)," * Number of people receiving PEP Service   "&amp;$P$19&amp;" "&amp;$P$20&amp;" is more than Sexual violence + Physical violence under GBV"&amp;CHAR(10),""),IF(Q63&gt;(Q61+Q62)," * Number of people receiving PEP Service   "&amp;$P$19&amp;" "&amp;$Q$20&amp;" is more than Sexual violence + Physical violence under GBV"&amp;CHAR(10),""),IF(R63&gt;(R61+R62)," * Number of people receiving PEP Service   "&amp;$R$19&amp;" "&amp;$R$20&amp;" is more than Sexual violence + Physical violence under GBV"&amp;CHAR(10),""),IF(S63&gt;(S61+S62)," * Number of people receiving PEP Service   "&amp;$R$19&amp;" "&amp;$S$20&amp;" is more than Sexual violence + Physical violence under GBV"&amp;CHAR(10),""),IF(T63&gt;(T61+T62)," * Number of people receiving PEP Service   "&amp;$T$19&amp;" "&amp;$T$20&amp;" is more than Sexual violence + Physical violence under GBV"&amp;CHAR(10),""),IF(U63&gt;(U61+U62)," * Number of people receiving PEP Service   "&amp;$T$19&amp;" "&amp;$U$20&amp;" is more than Sexual violence + Physical violence under GBV"&amp;CHAR(10),""),IF(V63&gt;(V61+V62)," * Number of people receiving PEP Service   "&amp;$V$19&amp;" "&amp;$V$20&amp;" is more than Sexual violence + Physical violence under GBV"&amp;CHAR(10),""),IF(W63&gt;(W61+W62)," * Number of people receiving PEP Service   "&amp;$V$19&amp;" "&amp;$W$20&amp;" is more than Sexual violence + Physical violence under GBV"&amp;CHAR(10),""),IF(X63&gt;(X61+X62)," * Number of people receiving PEP Service   "&amp;$X$19&amp;" "&amp;$X$20&amp;" is more than Sexual violence + Physical violence under GBV"&amp;CHAR(10),""),IF(Y63&gt;(Y61+Y62)," * Number of people receiving PEP Service   "&amp;$X$19&amp;" "&amp;$Y$20&amp;" is more than Sexual violence + Physical violence under GBV"&amp;CHAR(10),""),IF(Z63&gt;(Z61+Z62)," * Number of people receiving PEP Service   "&amp;$Z$19&amp;" "&amp;$Z$20&amp;" is more than Sexual violence + Physical violence under GBV"&amp;CHAR(10),""),IF(AA63&gt;(AA61+AA62)," * Number of people receiving PEP Service   "&amp;$Z$19&amp;" "&amp;$AA$20&amp;" is more than Sexual violence + Physical violence under GBV"&amp;CHAR(10),""))</f>
        <v/>
      </c>
      <c r="AD61" s="643" t="str">
        <f>CONCATENATE(AC61,AC62,AC63)</f>
        <v/>
      </c>
      <c r="AE61" s="121" t="str">
        <f>CONCATENATE(IF(D63&lt;(D61+D62)," * Some GBV Cases have not been started on Pep Service "&amp;$D$19&amp;" "&amp;$D$20&amp;" Please provide explanations below"&amp;CHAR(10),""),IF(E63&lt;(E61+E62)," * Some GBV Cases have not been started on Pep Service "&amp;$D$19&amp;" "&amp;$E$20&amp;" Please provide explanations below"&amp;CHAR(10),""),IF(F63&lt;(F61+F62)," * Some GBV Cases have not been started on Pep Service "&amp;$F$19&amp;" "&amp;$F$20&amp;" Please provide explanations below"&amp;CHAR(10),""),IF(G63&lt;(G61+G62)," * Some GBV Cases have not been started on Pep Service "&amp;$F$19&amp;" "&amp;$G$20&amp;" Please provide explanations below"&amp;CHAR(10),""),IF(H63&lt;(H61+H62)," * Some GBV Cases have not been started on Pep Service "&amp;$H$19&amp;" "&amp;$H$20&amp;" Please provide explanations below"&amp;CHAR(10),""),IF(I63&lt;(I61+I62)," * Some GBV Cases have not been started on Pep Service "&amp;$H$19&amp;" "&amp;$I$20&amp;" Please provide explanations below"&amp;CHAR(10),""),IF(J63&lt;(J61+J62)," * Some GBV Cases have not been started on Pep Service "&amp;$J$19&amp;" "&amp;$J$20&amp;" Please provide explanations below"&amp;CHAR(10),""),IF(K63&lt;(K61+K62)," * Some GBV Cases have not been started on Pep Service "&amp;$J$19&amp;" "&amp;$K$20&amp;" Please provide explanations below"&amp;CHAR(10),""),IF(L63&lt;(L61+L62)," * Some GBV Cases have not been started on Pep Service "&amp;$L$19&amp;" "&amp;$L$20&amp;" Please provide explanations below"&amp;CHAR(10),""),IF(M63&lt;(M61+M62)," * Some GBV Cases have not been started on Pep Service "&amp;$L$19&amp;" "&amp;$M$20&amp;" Please provide explanations below"&amp;CHAR(10),""),IF(N63&lt;(N61+N62)," * Some GBV Cases have not been started on Pep Service "&amp;$N$19&amp;" "&amp;$N$20&amp;" Please provide explanations below"&amp;CHAR(10),""),IF(O63&lt;(O61+O62)," * Some GBV Cases have not been started on Pep Service "&amp;$N$19&amp;" "&amp;$O$20&amp;" Please provide explanations below"&amp;CHAR(10),""),IF(P63&lt;(P61+P62)," * Some GBV Cases have not been started on Pep Service "&amp;$P$19&amp;" "&amp;$P$20&amp;" Please provide explanations below"&amp;CHAR(10),""),IF(Q63&lt;(Q61+Q62)," * Some GBV Cases have not been started on Pep Service "&amp;$P$19&amp;" "&amp;$Q$20&amp;" Please provide explanations below"&amp;CHAR(10),""),IF(R63&lt;(R61+R62)," * Some GBV Cases have not been started on Pep Service "&amp;$R$19&amp;" "&amp;$R$20&amp;" Please provide explanations below"&amp;CHAR(10),""),IF(S63&lt;(S61+S62)," * Some GBV Cases have not been started on Pep Service "&amp;$R$19&amp;" "&amp;$S$20&amp;" Please provide explanations below"&amp;CHAR(10),""),IF(T63&lt;(T61+T62)," * Some GBV Cases have not been started on Pep Service "&amp;$T$19&amp;" "&amp;$T$20&amp;" Please provide explanations below"&amp;CHAR(10),""),IF(U63&lt;(U61+U62)," * Some GBV Cases have not been started on Pep Service "&amp;$T$19&amp;" "&amp;$U$20&amp;" Please provide explanations below"&amp;CHAR(10),""),IF(V63&lt;(V61+V62)," * Some GBV Cases have not been started on Pep Service "&amp;$V$19&amp;" "&amp;$V$20&amp;" Please provide explanations below"&amp;CHAR(10),""),IF(W63&lt;(W61+W62)," * Some GBV Cases have not been started on Pep Service "&amp;$V$19&amp;" "&amp;$W$20&amp;" Please provide explanations below"&amp;CHAR(10),""),IF(X63&lt;(X61+X62)," * Some GBV Cases have not been started on Pep Service "&amp;$X$19&amp;" "&amp;$X$20&amp;" Please provide explanations below"&amp;CHAR(10),""),IF(Y63&lt;(Y61+Y62)," * Some GBV Cases have not been started on Pep Service "&amp;$X$19&amp;" "&amp;$Y$20&amp;" Please provide explanations below"&amp;CHAR(10),""),IF(Z63&lt;(Z61+Z62)," * Some GBV Cases have not been started on Pep Service "&amp;$Z$19&amp;" "&amp;$Z$20&amp;" Please provide explanations below"&amp;CHAR(10),""),IF(AA63&lt;(AA61+AA62)," * Some GBV Cases have not been started on Pep Service "&amp;$Z$19&amp;" "&amp;$AA$20&amp;" Please provide explanations below"&amp;CHAR(10),""))</f>
        <v/>
      </c>
      <c r="AF61" s="641" t="str">
        <f>CONCATENATE(AE61,AE62,AE63)</f>
        <v/>
      </c>
      <c r="AG61" s="108">
        <v>44</v>
      </c>
    </row>
    <row r="62" spans="1:33" s="4" customFormat="1" ht="38.25" customHeight="1" x14ac:dyDescent="0.45">
      <c r="A62" s="453"/>
      <c r="B62" s="181" t="s">
        <v>102</v>
      </c>
      <c r="C62" s="193" t="s">
        <v>262</v>
      </c>
      <c r="D62" s="36"/>
      <c r="E62" s="27"/>
      <c r="F62" s="36"/>
      <c r="G62" s="27"/>
      <c r="H62" s="36"/>
      <c r="I62" s="27"/>
      <c r="J62" s="36"/>
      <c r="K62" s="118"/>
      <c r="L62" s="19"/>
      <c r="M62" s="19"/>
      <c r="N62" s="19"/>
      <c r="O62" s="19"/>
      <c r="P62" s="19"/>
      <c r="Q62" s="19"/>
      <c r="R62" s="19"/>
      <c r="S62" s="19"/>
      <c r="T62" s="19"/>
      <c r="U62" s="19"/>
      <c r="V62" s="19"/>
      <c r="W62" s="19"/>
      <c r="X62" s="19"/>
      <c r="Y62" s="19"/>
      <c r="Z62" s="19"/>
      <c r="AA62" s="19"/>
      <c r="AB62" s="100">
        <f t="shared" ref="AB62:AB63" si="28">SUM(D62:AA62)</f>
        <v>0</v>
      </c>
      <c r="AC62" s="123" t="str">
        <f>CONCATENATE(IF(D23&lt;(D61+D62)," * Gend GBV Cases "&amp;$D$19&amp;" "&amp;$D$20&amp;" are more than KP_PREV"&amp;CHAR(10),""),IF(E23&lt;(E61+E62)," * Gend GBV Cases "&amp;$D$19&amp;" "&amp;$E$20&amp;" are more than KP_PREV"&amp;CHAR(10),""),IF(F23&lt;(F61+F62)," * Gend GBV Cases "&amp;$F$19&amp;" "&amp;$F$20&amp;" are more than KP_PREV"&amp;CHAR(10),""),IF(G23&lt;(G61+G62)," * Gend GBV Cases "&amp;$F$19&amp;" "&amp;$G$20&amp;" are more than KP_PREV"&amp;CHAR(10),""),IF(H23&lt;(H61+H62)," * Gend GBV Cases "&amp;$H$19&amp;" "&amp;$H$20&amp;" are more than KP_PREV"&amp;CHAR(10),""),IF(I23&lt;(I61+I62)," * Gend GBV Cases "&amp;$H$19&amp;" "&amp;$I$20&amp;" are more than KP_PREV"&amp;CHAR(10),""),IF(J23&lt;(J61+J62)," * Gend GBV Cases "&amp;$J$19&amp;" "&amp;$J$20&amp;" are more than KP_PREV"&amp;CHAR(10),""),IF(K23&lt;(K61+K62)," * Gend GBV Cases "&amp;$J$19&amp;" "&amp;$K$20&amp;" are more than KP_PREV"&amp;CHAR(10),""),IF(L23&lt;(L61+L62)," * Gend GBV Cases "&amp;$L$19&amp;" "&amp;$L$20&amp;" are more than KP_PREV"&amp;CHAR(10),""),IF(M23&lt;(M61+M62)," * Gend GBV Cases "&amp;$L$19&amp;" "&amp;$M$20&amp;" are more than KP_PREV"&amp;CHAR(10),""),IF(N23&lt;(N61+N62)," * Gend GBV Cases "&amp;$N$19&amp;" "&amp;$N$20&amp;" are more than KP_PREV"&amp;CHAR(10),""),IF(O23&lt;(O61+O62)," * Gend GBV Cases "&amp;$N$19&amp;" "&amp;$O$20&amp;" are more than KP_PREV"&amp;CHAR(10),""),IF(P23&lt;(P61+P62)," * Gend GBV Cases "&amp;$P$19&amp;" "&amp;$P$20&amp;" are more than KP_PREV"&amp;CHAR(10),""),IF(Q23&lt;(Q61+Q62)," * Gend GBV Cases "&amp;$P$19&amp;" "&amp;$Q$20&amp;" are more than KP_PREV"&amp;CHAR(10),""),IF(R23&lt;(R61+R62)," * Gend GBV Cases "&amp;$R$19&amp;" "&amp;$R$20&amp;" are more than KP_PREV"&amp;CHAR(10),""),IF(S23&lt;(S61+S62)," * Gend GBV Cases "&amp;$R$19&amp;" "&amp;$S$20&amp;" are more than KP_PREV"&amp;CHAR(10),""),IF(T23&lt;(T61+T62)," * Gend GBV Cases "&amp;$T$19&amp;" "&amp;$T$20&amp;" are more than KP_PREV"&amp;CHAR(10),""),IF(U23&lt;(U61+U62)," * Gend GBV Cases "&amp;$T$19&amp;" "&amp;$U$20&amp;" are more than KP_PREV"&amp;CHAR(10),""),IF(V23&lt;(V61+V62)," * Gend GBV Cases "&amp;$V$19&amp;" "&amp;$V$20&amp;" are more than KP_PREV"&amp;CHAR(10),""),IF(W23&lt;(W61+W62)," * Gend GBV Cases "&amp;$V$19&amp;" "&amp;$W$20&amp;" are more than KP_PREV"&amp;CHAR(10),""),IF(X23&lt;(X61+X62)," * Gend GBV Cases "&amp;$X$19&amp;" "&amp;$X$20&amp;" are more than KP_PREV"&amp;CHAR(10),""),IF(Y23&lt;(Y61+Y62)," * Gend GBV Cases "&amp;$X$19&amp;" "&amp;$Y$20&amp;" are more than KP_PREV"&amp;CHAR(10),""),IF(Z23&lt;(Z61+Z62)," * Gend GBV Cases "&amp;$Z$19&amp;" "&amp;$Z$20&amp;" are more than KP_PREV"&amp;CHAR(10),""),IF(AA23&lt;(AA61+AA62)," * Gend GBV Cases "&amp;$Z$19&amp;" "&amp;$AA$20&amp;" are more than KP_PREV"&amp;CHAR(10),""))</f>
        <v/>
      </c>
      <c r="AD62" s="644"/>
      <c r="AE62" s="121"/>
      <c r="AF62" s="642"/>
      <c r="AG62" s="108">
        <v>45</v>
      </c>
    </row>
    <row r="63" spans="1:33" s="4" customFormat="1" ht="38.25" customHeight="1" thickBot="1" x14ac:dyDescent="0.5">
      <c r="A63" s="454"/>
      <c r="B63" s="183" t="s">
        <v>103</v>
      </c>
      <c r="C63" s="198" t="s">
        <v>263</v>
      </c>
      <c r="D63" s="97"/>
      <c r="E63" s="98"/>
      <c r="F63" s="97"/>
      <c r="G63" s="98"/>
      <c r="H63" s="97"/>
      <c r="I63" s="98"/>
      <c r="J63" s="97"/>
      <c r="K63" s="119"/>
      <c r="L63" s="17"/>
      <c r="M63" s="17"/>
      <c r="N63" s="17"/>
      <c r="O63" s="17"/>
      <c r="P63" s="17"/>
      <c r="Q63" s="17"/>
      <c r="R63" s="17"/>
      <c r="S63" s="17"/>
      <c r="T63" s="17"/>
      <c r="U63" s="17"/>
      <c r="V63" s="17"/>
      <c r="W63" s="17"/>
      <c r="X63" s="17"/>
      <c r="Y63" s="17"/>
      <c r="Z63" s="17"/>
      <c r="AA63" s="17"/>
      <c r="AB63" s="101">
        <f t="shared" si="28"/>
        <v>0</v>
      </c>
      <c r="AC63" s="123"/>
      <c r="AD63" s="644"/>
      <c r="AE63" s="121"/>
      <c r="AF63" s="642"/>
      <c r="AG63" s="108">
        <v>46</v>
      </c>
    </row>
    <row r="64" spans="1:33" s="4" customFormat="1" ht="38.25" customHeight="1" thickBot="1" x14ac:dyDescent="0.5">
      <c r="A64" s="474" t="s">
        <v>236</v>
      </c>
      <c r="B64" s="475"/>
      <c r="C64" s="476"/>
      <c r="D64" s="475"/>
      <c r="E64" s="475"/>
      <c r="F64" s="475"/>
      <c r="G64" s="475"/>
      <c r="H64" s="475"/>
      <c r="I64" s="475"/>
      <c r="J64" s="475"/>
      <c r="K64" s="475"/>
      <c r="L64" s="475"/>
      <c r="M64" s="475"/>
      <c r="N64" s="475"/>
      <c r="O64" s="475"/>
      <c r="P64" s="475"/>
      <c r="Q64" s="475"/>
      <c r="R64" s="475"/>
      <c r="S64" s="475"/>
      <c r="T64" s="475"/>
      <c r="U64" s="475"/>
      <c r="V64" s="475"/>
      <c r="W64" s="475"/>
      <c r="X64" s="475"/>
      <c r="Y64" s="475"/>
      <c r="Z64" s="475"/>
      <c r="AA64" s="475"/>
      <c r="AB64" s="475"/>
      <c r="AC64" s="475"/>
      <c r="AD64" s="475"/>
      <c r="AE64" s="475"/>
      <c r="AF64" s="477"/>
      <c r="AG64" s="108">
        <v>47</v>
      </c>
    </row>
    <row r="65" spans="1:33" s="4" customFormat="1" ht="27" hidden="1" customHeight="1" thickBot="1" x14ac:dyDescent="0.5">
      <c r="A65" s="574" t="s">
        <v>17</v>
      </c>
      <c r="B65" s="491" t="s">
        <v>25</v>
      </c>
      <c r="C65" s="594" t="s">
        <v>24</v>
      </c>
      <c r="D65" s="483" t="s">
        <v>0</v>
      </c>
      <c r="E65" s="483"/>
      <c r="F65" s="483" t="s">
        <v>1</v>
      </c>
      <c r="G65" s="483"/>
      <c r="H65" s="483" t="s">
        <v>2</v>
      </c>
      <c r="I65" s="483"/>
      <c r="J65" s="483" t="s">
        <v>3</v>
      </c>
      <c r="K65" s="483"/>
      <c r="L65" s="465" t="s">
        <v>4</v>
      </c>
      <c r="M65" s="466"/>
      <c r="N65" s="465" t="s">
        <v>5</v>
      </c>
      <c r="O65" s="466"/>
      <c r="P65" s="465" t="s">
        <v>6</v>
      </c>
      <c r="Q65" s="466"/>
      <c r="R65" s="465" t="s">
        <v>7</v>
      </c>
      <c r="S65" s="466"/>
      <c r="T65" s="465" t="s">
        <v>8</v>
      </c>
      <c r="U65" s="466"/>
      <c r="V65" s="465" t="s">
        <v>14</v>
      </c>
      <c r="W65" s="466"/>
      <c r="X65" s="465" t="s">
        <v>15</v>
      </c>
      <c r="Y65" s="466"/>
      <c r="Z65" s="465" t="s">
        <v>9</v>
      </c>
      <c r="AA65" s="466"/>
      <c r="AB65" s="470" t="s">
        <v>12</v>
      </c>
      <c r="AC65" s="472" t="s">
        <v>26</v>
      </c>
      <c r="AD65" s="467" t="s">
        <v>31</v>
      </c>
      <c r="AE65" s="463" t="s">
        <v>32</v>
      </c>
      <c r="AF65" s="463" t="s">
        <v>32</v>
      </c>
      <c r="AG65" s="108">
        <v>48</v>
      </c>
    </row>
    <row r="66" spans="1:33" s="4" customFormat="1" ht="27" hidden="1" customHeight="1" thickBot="1" x14ac:dyDescent="0.5">
      <c r="A66" s="485"/>
      <c r="B66" s="486"/>
      <c r="C66" s="624"/>
      <c r="D66" s="12" t="s">
        <v>10</v>
      </c>
      <c r="E66" s="12" t="s">
        <v>11</v>
      </c>
      <c r="F66" s="12" t="s">
        <v>10</v>
      </c>
      <c r="G66" s="12" t="s">
        <v>11</v>
      </c>
      <c r="H66" s="12" t="s">
        <v>10</v>
      </c>
      <c r="I66" s="12" t="s">
        <v>11</v>
      </c>
      <c r="J66" s="12" t="s">
        <v>10</v>
      </c>
      <c r="K66" s="12" t="s">
        <v>11</v>
      </c>
      <c r="L66" s="12" t="s">
        <v>10</v>
      </c>
      <c r="M66" s="12" t="s">
        <v>11</v>
      </c>
      <c r="N66" s="12" t="s">
        <v>10</v>
      </c>
      <c r="O66" s="12" t="s">
        <v>11</v>
      </c>
      <c r="P66" s="12" t="s">
        <v>10</v>
      </c>
      <c r="Q66" s="12" t="s">
        <v>11</v>
      </c>
      <c r="R66" s="12" t="s">
        <v>10</v>
      </c>
      <c r="S66" s="12" t="s">
        <v>11</v>
      </c>
      <c r="T66" s="12" t="s">
        <v>10</v>
      </c>
      <c r="U66" s="12" t="s">
        <v>11</v>
      </c>
      <c r="V66" s="12" t="s">
        <v>10</v>
      </c>
      <c r="W66" s="12" t="s">
        <v>11</v>
      </c>
      <c r="X66" s="12" t="s">
        <v>10</v>
      </c>
      <c r="Y66" s="12" t="s">
        <v>11</v>
      </c>
      <c r="Z66" s="12" t="s">
        <v>10</v>
      </c>
      <c r="AA66" s="12" t="s">
        <v>11</v>
      </c>
      <c r="AB66" s="471"/>
      <c r="AC66" s="473"/>
      <c r="AD66" s="468"/>
      <c r="AE66" s="464"/>
      <c r="AF66" s="469"/>
      <c r="AG66" s="108">
        <v>49</v>
      </c>
    </row>
    <row r="67" spans="1:33" s="4" customFormat="1" ht="38.25" customHeight="1" x14ac:dyDescent="0.45">
      <c r="A67" s="430" t="s">
        <v>76</v>
      </c>
      <c r="B67" s="181" t="s">
        <v>653</v>
      </c>
      <c r="C67" s="192" t="s">
        <v>264</v>
      </c>
      <c r="D67" s="37"/>
      <c r="E67" s="28"/>
      <c r="F67" s="37"/>
      <c r="G67" s="28"/>
      <c r="H67" s="37"/>
      <c r="I67" s="28"/>
      <c r="J67" s="37"/>
      <c r="K67" s="28"/>
      <c r="L67" s="29"/>
      <c r="M67" s="29"/>
      <c r="N67" s="29"/>
      <c r="O67" s="29"/>
      <c r="P67" s="29"/>
      <c r="Q67" s="29"/>
      <c r="R67" s="29"/>
      <c r="S67" s="29"/>
      <c r="T67" s="29"/>
      <c r="U67" s="29"/>
      <c r="V67" s="29"/>
      <c r="W67" s="29"/>
      <c r="X67" s="29"/>
      <c r="Y67" s="29"/>
      <c r="Z67" s="29"/>
      <c r="AA67" s="29"/>
      <c r="AB67" s="219">
        <f>SUM(D67:AA67)</f>
        <v>0</v>
      </c>
      <c r="AC67" s="223" t="str">
        <f>CONCATENATE(IF(D68&gt;D67," * Initial Test and Turned Positive PWID "&amp;$D$19&amp;" "&amp;$D$20&amp;" is more than Initial Test PWID"&amp;CHAR(10),""),IF(E68&gt;E67," * Initial Test and Turned Positive PWID "&amp;$D$19&amp;" "&amp;$E$20&amp;" is more than Initial Test PWID"&amp;CHAR(10),""),IF(F68&gt;F67," * Initial Test and Turned Positive PWID "&amp;$F$19&amp;" "&amp;$F$20&amp;" is more than Initial Test PWID"&amp;CHAR(10),""),IF(G68&gt;G67," * Initial Test and Turned Positive PWID "&amp;$F$19&amp;" "&amp;$G$20&amp;" is more than Initial Test PWID"&amp;CHAR(10),""),IF(H68&gt;H67," * Initial Test and Turned Positive PWID "&amp;$H$19&amp;" "&amp;$H$20&amp;" is more than Initial Test PWID"&amp;CHAR(10),""),IF(I68&gt;I67," * Initial Test and Turned Positive PWID "&amp;$H$19&amp;" "&amp;$I$20&amp;" is more than Initial Test PWID"&amp;CHAR(10),""),IF(J68&gt;J67," * Initial Test and Turned Positive PWID "&amp;$J$19&amp;" "&amp;$J$20&amp;" is more than Initial Test PWID"&amp;CHAR(10),""),IF(K68&gt;K67," * Initial Test and Turned Positive PWID "&amp;$J$19&amp;" "&amp;$K$20&amp;" is more than Initial Test PWID"&amp;CHAR(10),""),IF(L68&gt;L67," * Initial Test and Turned Positive PWID "&amp;$L$19&amp;" "&amp;$L$20&amp;" is more than Initial Test PWID"&amp;CHAR(10),""),IF(M68&gt;M67," * Initial Test and Turned Positive PWID "&amp;$L$19&amp;" "&amp;$M$20&amp;" is more than Initial Test PWID"&amp;CHAR(10),""),IF(N68&gt;N67," * Initial Test and Turned Positive PWID "&amp;$N$19&amp;" "&amp;$N$20&amp;" is more than Initial Test PWID"&amp;CHAR(10),""),IF(O68&gt;O67," * Initial Test and Turned Positive PWID "&amp;$N$19&amp;" "&amp;$O$20&amp;" is more than Initial Test PWID"&amp;CHAR(10),""),IF(P68&gt;P67," * Initial Test and Turned Positive PWID "&amp;$P$19&amp;" "&amp;$P$20&amp;" is more than Initial Test PWID"&amp;CHAR(10),""),IF(Q68&gt;Q67," * Initial Test and Turned Positive PWID "&amp;$P$19&amp;" "&amp;$Q$20&amp;" is more than Initial Test PWID"&amp;CHAR(10),""),IF(R68&gt;R67," * Initial Test and Turned Positive PWID "&amp;$R$19&amp;" "&amp;$R$20&amp;" is more than Initial Test PWID"&amp;CHAR(10),""),IF(S68&gt;S67," * Initial Test and Turned Positive PWID "&amp;$R$19&amp;" "&amp;$S$20&amp;" is more than Initial Test PWID"&amp;CHAR(10),""),IF(T68&gt;T67," * Initial Test and Turned Positive PWID "&amp;$T$19&amp;" "&amp;$T$20&amp;" is more than Initial Test PWID"&amp;CHAR(10),""),IF(U68&gt;U67," * Initial Test and Turned Positive PWID "&amp;$T$19&amp;" "&amp;$U$20&amp;" is more than Initial Test PWID"&amp;CHAR(10),""),IF(V68&gt;V67," * Initial Test and Turned Positive PWID "&amp;$V$19&amp;" "&amp;$V$20&amp;" is more than Initial Test PWID"&amp;CHAR(10),""),IF(W68&gt;W67," * Initial Test and Turned Positive PWID "&amp;$V$19&amp;" "&amp;$W$20&amp;" is more than Initial Test PWID"&amp;CHAR(10),""),IF(X68&gt;X67," * Initial Test and Turned Positive PWID "&amp;$X$19&amp;" "&amp;$X$20&amp;" is more than Initial Test PWID"&amp;CHAR(10),""),IF(Y68&gt;Y67," * Initial Test and Turned Positive PWID "&amp;$X$19&amp;" "&amp;$Y$20&amp;" is more than Initial Test PWID"&amp;CHAR(10),""),IF(Z68&gt;Z67," * Initial Test and Turned Positive PWID "&amp;$Z$19&amp;" "&amp;$Z$20&amp;" is more than Initial Test PWID"&amp;CHAR(10),""),IF(AA68&gt;AA67," * Initial Test and Turned Positive PWID "&amp;$Z$19&amp;" "&amp;$AA$20&amp;" is more than Initial Test PWID"&amp;CHAR(10),""))</f>
        <v/>
      </c>
      <c r="AD67" s="478" t="str">
        <f>CONCATENATE(AC67,AC68,AC69,AC70,AC71,AC72,AC73,AC74,AC75,AC76,AC77,AC78,AC79,AC80,AC81,AC82,AC83,AC84,AC85,AC86,AC87,AC88,AC89,AC90,AC91,AC92,AC93,AC94,AC95,AC96,AC97,AC98,AC99,AC100,AC101,AC102,AC103,AC104,AC105,AC106)</f>
        <v/>
      </c>
      <c r="AE67" s="120"/>
      <c r="AF67" s="458" t="str">
        <f>CONCATENATE(AE67,AE68,AE69,AE70,AE71,AE72,AE73,AE74,AE75,AE76,AE77,AE78,AE79,AE80,AE81,AE82,AE83,AE84,AE85,AE86,AE87,AE88,AE89,AE90,AE91,AE92,AE93,AE94,AE95,AE96,AE97,AE98,AE99,AE100,AE101,AE102,AE103,AE104,AE105,AE106)</f>
        <v/>
      </c>
      <c r="AG67" s="108">
        <v>50</v>
      </c>
    </row>
    <row r="68" spans="1:33" s="4" customFormat="1" ht="38.25" customHeight="1" thickBot="1" x14ac:dyDescent="0.5">
      <c r="A68" s="431"/>
      <c r="B68" s="202" t="s">
        <v>654</v>
      </c>
      <c r="C68" s="198" t="s">
        <v>265</v>
      </c>
      <c r="D68" s="97"/>
      <c r="E68" s="98"/>
      <c r="F68" s="97"/>
      <c r="G68" s="98"/>
      <c r="H68" s="97"/>
      <c r="I68" s="98"/>
      <c r="J68" s="97"/>
      <c r="K68" s="98"/>
      <c r="L68" s="7"/>
      <c r="M68" s="7"/>
      <c r="N68" s="7"/>
      <c r="O68" s="7"/>
      <c r="P68" s="7"/>
      <c r="Q68" s="7"/>
      <c r="R68" s="7"/>
      <c r="S68" s="7"/>
      <c r="T68" s="7"/>
      <c r="U68" s="7"/>
      <c r="V68" s="7"/>
      <c r="W68" s="7"/>
      <c r="X68" s="7"/>
      <c r="Y68" s="7"/>
      <c r="Z68" s="7"/>
      <c r="AA68" s="186"/>
      <c r="AB68" s="220">
        <f>SUM(D68:AA68)</f>
        <v>0</v>
      </c>
      <c r="AC68" s="222" t="str">
        <f>CONCATENATE(IF(D30&lt;(D67+D69)," * Initial Tests + Repeat Tests PWID "&amp;$D$19&amp;" "&amp;$D$20&amp;" Is more than Newly Tested and/or referred for testing"&amp;CHAR(10),""),IF(E30&lt;(E67+E69)," * Initial Tests + Repeat Tests PWID "&amp;$D$19&amp;" "&amp;$E$20&amp;" Is more than Newly Tested and/or referred for testing"&amp;CHAR(10),""),IF(F30&lt;(F67+F69)," * Initial Tests + Repeat Tests PWID "&amp;$F$19&amp;" "&amp;$F$20&amp;" Is more than Newly Tested and/or referred for testing"&amp;CHAR(10),""),IF(G30&lt;(G67+G69)," * Initial Tests + Repeat Tests PWID "&amp;$F$19&amp;" "&amp;$G$20&amp;" Is more than Newly Tested and/or referred for testing"&amp;CHAR(10),""),IF(H30&lt;(H67+H69)," * Initial Tests + Repeat Tests PWID "&amp;$H$19&amp;" "&amp;$H$20&amp;" Is more than Newly Tested and/or referred for testing"&amp;CHAR(10),""),IF(I30&lt;(I67+I69)," * Initial Tests + Repeat Tests PWID "&amp;$H$19&amp;" "&amp;$I$20&amp;" Is more than Newly Tested and/or referred for testing"&amp;CHAR(10),""),IF(J30&lt;(J67+J69)," * Initial Tests + Repeat Tests PWID "&amp;$J$19&amp;" "&amp;$J$20&amp;" Is more than Newly Tested and/or referred for testing"&amp;CHAR(10),""),IF(K30&lt;(K67+K69)," * Initial Tests + Repeat Tests PWID "&amp;$J$19&amp;" "&amp;$K$20&amp;" Is more than Newly Tested and/or referred for testing"&amp;CHAR(10),""),IF(L30&lt;(L67+L69)," * Initial Tests + Repeat Tests PWID "&amp;$L$19&amp;" "&amp;$L$20&amp;" Is more than Newly Tested and/or referred for testing"&amp;CHAR(10),""),IF(M30&lt;(M67+M69)," * Initial Tests + Repeat Tests PWID "&amp;$L$19&amp;" "&amp;$M$20&amp;" Is more than Newly Tested and/or referred for testing"&amp;CHAR(10),""),IF(N30&lt;(N67+N69)," * Initial Tests + Repeat Tests PWID "&amp;$N$19&amp;" "&amp;$N$20&amp;" Is more than Newly Tested and/or referred for testing"&amp;CHAR(10),""),IF(O30&lt;(O67+O69)," * Initial Tests + Repeat Tests PWID "&amp;$N$19&amp;" "&amp;$O$20&amp;" Is more than Newly Tested and/or referred for testing"&amp;CHAR(10),""),IF(P30&lt;(P67+P69)," * Initial Tests + Repeat Tests PWID "&amp;$P$19&amp;" "&amp;$P$20&amp;" Is more than Newly Tested and/or referred for testing"&amp;CHAR(10),""),IF(Q30&lt;(Q67+Q69)," * Initial Tests + Repeat Tests PWID "&amp;$P$19&amp;" "&amp;$Q$20&amp;" Is more than Newly Tested and/or referred for testing"&amp;CHAR(10),""),IF(R30&lt;(R67+R69)," * Initial Tests + Repeat Tests PWID "&amp;$R$19&amp;" "&amp;$R$20&amp;" Is more than Newly Tested and/or referred for testing"&amp;CHAR(10),""),IF(S30&lt;(S67+S69)," * Initial Tests + Repeat Tests PWID "&amp;$R$19&amp;" "&amp;$S$20&amp;" Is more than Newly Tested and/or referred for testing"&amp;CHAR(10),""),IF(T30&lt;(T67+T69)," * Initial Tests + Repeat Tests PWID "&amp;$T$19&amp;" "&amp;$T$20&amp;" Is more than Newly Tested and/or referred for testing"&amp;CHAR(10),""),IF(U30&lt;(U67+U69)," * Initial Tests + Repeat Tests PWID "&amp;$T$19&amp;" "&amp;$U$20&amp;" Is more than Newly Tested and/or referred for testing"&amp;CHAR(10),""),IF(V30&lt;(V67+V69)," * Initial Tests + Repeat Tests PWID "&amp;$V$19&amp;" "&amp;$V$20&amp;" Is more than Newly Tested and/or referred for testing"&amp;CHAR(10),""),IF(W30&lt;(W67+W69)," * Initial Tests + Repeat Tests PWID "&amp;$V$19&amp;" "&amp;$W$20&amp;" Is more than Newly Tested and/or referred for testing"&amp;CHAR(10),""),IF(X30&lt;(X67+X69)," * Initial Tests + Repeat Tests PWID "&amp;$X$19&amp;" "&amp;$X$20&amp;" Is more than Newly Tested and/or referred for testing"&amp;CHAR(10),""),IF(Y30&lt;(Y67+Y69)," * Initial Tests + Repeat Tests PWID "&amp;$X$19&amp;" "&amp;$Y$20&amp;" Is more than Newly Tested and/or referred for testing"&amp;CHAR(10),""),IF(Z30&lt;(Z67+Z69)," * Initial Tests + Repeat Tests PWID "&amp;$Z$19&amp;" "&amp;$Z$20&amp;" Is more than Newly Tested and/or referred for testing"&amp;CHAR(10),""),IF(AA30&lt;(AA67+AA69)," * Initial Tests + Repeat Tests PWID "&amp;$Z$19&amp;" "&amp;$AA$20&amp;" Is more than Newly Tested and/or referred for testing"&amp;CHAR(10),""))</f>
        <v/>
      </c>
      <c r="AD68" s="461"/>
      <c r="AE68" s="121"/>
      <c r="AF68" s="459"/>
      <c r="AG68" s="108">
        <v>51</v>
      </c>
    </row>
    <row r="69" spans="1:33" s="4" customFormat="1" ht="38.25" customHeight="1" x14ac:dyDescent="0.45">
      <c r="A69" s="431"/>
      <c r="B69" s="217" t="s">
        <v>652</v>
      </c>
      <c r="C69" s="192" t="s">
        <v>266</v>
      </c>
      <c r="D69" s="37"/>
      <c r="E69" s="28"/>
      <c r="F69" s="37"/>
      <c r="G69" s="28"/>
      <c r="H69" s="37"/>
      <c r="I69" s="28"/>
      <c r="J69" s="37"/>
      <c r="K69" s="28"/>
      <c r="L69" s="29"/>
      <c r="M69" s="29"/>
      <c r="N69" s="29"/>
      <c r="O69" s="29"/>
      <c r="P69" s="29"/>
      <c r="Q69" s="29"/>
      <c r="R69" s="29"/>
      <c r="S69" s="29"/>
      <c r="T69" s="29"/>
      <c r="U69" s="29"/>
      <c r="V69" s="29"/>
      <c r="W69" s="29"/>
      <c r="X69" s="29"/>
      <c r="Y69" s="29"/>
      <c r="Z69" s="29"/>
      <c r="AA69" s="29"/>
      <c r="AB69" s="219">
        <f>SUM(D69:AA69)</f>
        <v>0</v>
      </c>
      <c r="AC69" s="223" t="str">
        <f>CONCATENATE(IF(D70&gt;D69," * Repeat Test and Turned Positive PWID "&amp;$D$19&amp;" "&amp;$D$20&amp;" is more than Repeat Test PWID"&amp;CHAR(10),""),IF(E70&gt;E69," * Repeat Test and Turned Positive PWID "&amp;$D$19&amp;" "&amp;$E$20&amp;" is more than Repeat Test PWID"&amp;CHAR(10),""),IF(F70&gt;F69," * Repeat Test and Turned Positive PWID "&amp;$F$19&amp;" "&amp;$F$20&amp;" is more than Repeat Test PWID"&amp;CHAR(10),""),IF(G70&gt;G69," * Repeat Test and Turned Positive PWID "&amp;$F$19&amp;" "&amp;$G$20&amp;" is more than Repeat Test PWID"&amp;CHAR(10),""),IF(H70&gt;H69," * Repeat Test and Turned Positive PWID "&amp;$H$19&amp;" "&amp;$H$20&amp;" is more than Repeat Test PWID"&amp;CHAR(10),""),IF(I70&gt;I69," * Repeat Test and Turned Positive PWID "&amp;$H$19&amp;" "&amp;$I$20&amp;" is more than Repeat Test PWID"&amp;CHAR(10),""),IF(J70&gt;J69," * Repeat Test and Turned Positive PWID "&amp;$J$19&amp;" "&amp;$J$20&amp;" is more than Repeat Test PWID"&amp;CHAR(10),""),IF(K70&gt;K69," * Repeat Test and Turned Positive PWID "&amp;$J$19&amp;" "&amp;$K$20&amp;" is more than Repeat Test PWID"&amp;CHAR(10),""),IF(L70&gt;L69," * Repeat Test and Turned Positive PWID "&amp;$L$19&amp;" "&amp;$L$20&amp;" is more than Repeat Test PWID"&amp;CHAR(10),""),IF(M70&gt;M69," * Repeat Test and Turned Positive PWID "&amp;$L$19&amp;" "&amp;$M$20&amp;" is more than Repeat Test PWID"&amp;CHAR(10),""),IF(N70&gt;N69," * Repeat Test and Turned Positive PWID "&amp;$N$19&amp;" "&amp;$N$20&amp;" is more than Repeat Test PWID"&amp;CHAR(10),""),IF(O70&gt;O69," * Repeat Test and Turned Positive PWID "&amp;$N$19&amp;" "&amp;$O$20&amp;" is more than Repeat Test PWID"&amp;CHAR(10),""),IF(P70&gt;P69," * Repeat Test and Turned Positive PWID "&amp;$P$19&amp;" "&amp;$P$20&amp;" is more than Repeat Test PWID"&amp;CHAR(10),""),IF(Q70&gt;Q69," * Repeat Test and Turned Positive PWID "&amp;$P$19&amp;" "&amp;$Q$20&amp;" is more than Repeat Test PWID"&amp;CHAR(10),""),IF(R70&gt;R69," * Repeat Test and Turned Positive PWID "&amp;$R$19&amp;" "&amp;$R$20&amp;" is more than Repeat Test PWID"&amp;CHAR(10),""),IF(S70&gt;S69," * Repeat Test and Turned Positive PWID "&amp;$R$19&amp;" "&amp;$S$20&amp;" is more than Repeat Test PWID"&amp;CHAR(10),""),IF(T70&gt;T69," * Repeat Test and Turned Positive PWID "&amp;$T$19&amp;" "&amp;$T$20&amp;" is more than Repeat Test PWID"&amp;CHAR(10),""),IF(U70&gt;U69," * Repeat Test and Turned Positive PWID "&amp;$T$19&amp;" "&amp;$U$20&amp;" is more than Repeat Test PWID"&amp;CHAR(10),""),IF(V70&gt;V69," * Repeat Test and Turned Positive PWID "&amp;$V$19&amp;" "&amp;$V$20&amp;" is more than Repeat Test PWID"&amp;CHAR(10),""),IF(W70&gt;W69," * Repeat Test and Turned Positive PWID "&amp;$V$19&amp;" "&amp;$W$20&amp;" is more than Repeat Test PWID"&amp;CHAR(10),""),IF(X70&gt;X69," * Repeat Test and Turned Positive PWID "&amp;$X$19&amp;" "&amp;$X$20&amp;" is more than Repeat Test PWID"&amp;CHAR(10),""),IF(Y70&gt;Y69," * Repeat Test and Turned Positive PWID "&amp;$X$19&amp;" "&amp;$Y$20&amp;" is more than Repeat Test PWID"&amp;CHAR(10),""),IF(Z70&gt;Z69," * Repeat Test and Turned Positive PWID "&amp;$Z$19&amp;" "&amp;$Z$20&amp;" is more than Repeat Test PWID"&amp;CHAR(10),""),IF(AA70&gt;AA69," * Repeat Test and Turned Positive PWID "&amp;$Z$19&amp;" "&amp;$AA$20&amp;" is more than Repeat Test PWID"&amp;CHAR(10),""))</f>
        <v/>
      </c>
      <c r="AD69" s="461"/>
      <c r="AE69" s="120"/>
      <c r="AF69" s="459"/>
      <c r="AG69" s="108">
        <v>50</v>
      </c>
    </row>
    <row r="70" spans="1:33" s="4" customFormat="1" ht="38.25" customHeight="1" thickBot="1" x14ac:dyDescent="0.5">
      <c r="A70" s="432"/>
      <c r="B70" s="218" t="s">
        <v>655</v>
      </c>
      <c r="C70" s="198" t="s">
        <v>267</v>
      </c>
      <c r="D70" s="97"/>
      <c r="E70" s="98"/>
      <c r="F70" s="97"/>
      <c r="G70" s="98"/>
      <c r="H70" s="97"/>
      <c r="I70" s="98"/>
      <c r="J70" s="97"/>
      <c r="K70" s="98"/>
      <c r="L70" s="7"/>
      <c r="M70" s="7"/>
      <c r="N70" s="7"/>
      <c r="O70" s="7"/>
      <c r="P70" s="7"/>
      <c r="Q70" s="7"/>
      <c r="R70" s="7"/>
      <c r="S70" s="7"/>
      <c r="T70" s="7"/>
      <c r="U70" s="7"/>
      <c r="V70" s="7"/>
      <c r="W70" s="7"/>
      <c r="X70" s="7"/>
      <c r="Y70" s="7"/>
      <c r="Z70" s="7"/>
      <c r="AA70" s="186"/>
      <c r="AB70" s="220">
        <f>SUM(J70:AA70)</f>
        <v>0</v>
      </c>
      <c r="AC70" s="222"/>
      <c r="AD70" s="461"/>
      <c r="AE70" s="121"/>
      <c r="AF70" s="459"/>
      <c r="AG70" s="108">
        <v>51</v>
      </c>
    </row>
    <row r="71" spans="1:33" s="4" customFormat="1" ht="38.25" customHeight="1" x14ac:dyDescent="0.45">
      <c r="A71" s="450" t="s">
        <v>435</v>
      </c>
      <c r="B71" s="200" t="s">
        <v>653</v>
      </c>
      <c r="C71" s="192" t="s">
        <v>268</v>
      </c>
      <c r="D71" s="37"/>
      <c r="E71" s="28"/>
      <c r="F71" s="37"/>
      <c r="G71" s="28"/>
      <c r="H71" s="37"/>
      <c r="I71" s="28"/>
      <c r="J71" s="37"/>
      <c r="K71" s="28"/>
      <c r="L71" s="28"/>
      <c r="M71" s="28"/>
      <c r="N71" s="28"/>
      <c r="O71" s="28"/>
      <c r="P71" s="28"/>
      <c r="Q71" s="28"/>
      <c r="R71" s="28"/>
      <c r="S71" s="28"/>
      <c r="T71" s="28"/>
      <c r="U71" s="28"/>
      <c r="V71" s="28"/>
      <c r="W71" s="28"/>
      <c r="X71" s="28"/>
      <c r="Y71" s="28"/>
      <c r="Z71" s="28"/>
      <c r="AA71" s="234"/>
      <c r="AB71" s="235"/>
      <c r="AC71" s="224" t="str">
        <f>CONCATENATE(IF(D72&gt;D71," * Initial Test and Turned Positive Transgender "&amp;$D$19&amp;" "&amp;$D$20&amp;" is more than Initial Test Transgender"&amp;CHAR(10),""),IF(E72&gt;E71," * Initial Test and Turned Positive Transgender "&amp;$D$19&amp;" "&amp;$E$20&amp;" is more than Initial Test Transgender"&amp;CHAR(10),""),IF(F72&gt;F71," * Initial Test and Turned Positive Transgender "&amp;$F$19&amp;" "&amp;$F$20&amp;" is more than Initial Test Transgender"&amp;CHAR(10),""),IF(G72&gt;G71," * Initial Test and Turned Positive Transgender "&amp;$F$19&amp;" "&amp;$G$20&amp;" is more than Initial Test Transgender"&amp;CHAR(10),""),IF(H72&gt;H71," * Initial Test and Turned Positive Transgender "&amp;$H$19&amp;" "&amp;$H$20&amp;" is more than Initial Test Transgender"&amp;CHAR(10),""),IF(I72&gt;I71," * Initial Test and Turned Positive Transgender "&amp;$H$19&amp;" "&amp;$I$20&amp;" is more than Initial Test Transgender"&amp;CHAR(10),""),IF(J72&gt;J71," * Initial Test and Turned Positive Transgender "&amp;$J$19&amp;" "&amp;$J$20&amp;" is more than Initial Test Transgender"&amp;CHAR(10),""),IF(K72&gt;K71," * Initial Test and Turned Positive Transgender "&amp;$J$19&amp;" "&amp;$K$20&amp;" is more than Initial Test Transgender"&amp;CHAR(10),""),IF(L72&gt;L71," * Initial Test and Turned Positive Transgender "&amp;$L$19&amp;" "&amp;$L$20&amp;" is more than Initial Test Transgender"&amp;CHAR(10),""),IF(M72&gt;M71," * Initial Test and Turned Positive Transgender "&amp;$L$19&amp;" "&amp;$M$20&amp;" is more than Initial Test Transgender"&amp;CHAR(10),""),IF(N72&gt;N71," * Initial Test and Turned Positive Transgender "&amp;$N$19&amp;" "&amp;$N$20&amp;" is more than Initial Test Transgender"&amp;CHAR(10),""),IF(O72&gt;O71," * Initial Test and Turned Positive Transgender "&amp;$N$19&amp;" "&amp;$O$20&amp;" is more than Initial Test Transgender"&amp;CHAR(10),""),IF(P72&gt;P71," * Initial Test and Turned Positive Transgender "&amp;$P$19&amp;" "&amp;$P$20&amp;" is more than Initial Test Transgender"&amp;CHAR(10),""),IF(Q72&gt;Q71," * Initial Test and Turned Positive Transgender "&amp;$P$19&amp;" "&amp;$Q$20&amp;" is more than Initial Test Transgender"&amp;CHAR(10),""),IF(R72&gt;R71," * Initial Test and Turned Positive Transgender "&amp;$R$19&amp;" "&amp;$R$20&amp;" is more than Initial Test Transgender"&amp;CHAR(10),""),IF(S72&gt;S71," * Initial Test and Turned Positive Transgender "&amp;$R$19&amp;" "&amp;$S$20&amp;" is more than Initial Test Transgender"&amp;CHAR(10),""),IF(T72&gt;T71," * Initial Test and Turned Positive Transgender "&amp;$T$19&amp;" "&amp;$T$20&amp;" is more than Initial Test Transgender"&amp;CHAR(10),""),IF(U72&gt;U71," * Initial Test and Turned Positive Transgender "&amp;$T$19&amp;" "&amp;$U$20&amp;" is more than Initial Test Transgender"&amp;CHAR(10),""),IF(V72&gt;V71," * Initial Test and Turned Positive Transgender "&amp;$V$19&amp;" "&amp;$V$20&amp;" is more than Initial Test Transgender"&amp;CHAR(10),""),IF(W72&gt;W71," * Initial Test and Turned Positive Transgender "&amp;$V$19&amp;" "&amp;$W$20&amp;" is more than Initial Test Transgender"&amp;CHAR(10),""),IF(X72&gt;X71," * Initial Test and Turned Positive Transgender "&amp;$X$19&amp;" "&amp;$X$20&amp;" is more than Initial Test Transgender"&amp;CHAR(10),""),IF(Y72&gt;Y71," * Initial Test and Turned Positive Transgender "&amp;$X$19&amp;" "&amp;$Y$20&amp;" is more than Initial Test Transgender"&amp;CHAR(10),""),IF(Z72&gt;Z71," * Initial Test and Turned Positive Transgender "&amp;$Z$19&amp;" "&amp;$Z$20&amp;" is more than Initial Test Transgender"&amp;CHAR(10),""),IF(AA72&gt;AA71," * Initial Test and Turned Positive Transgender "&amp;$Z$19&amp;" "&amp;$AA$20&amp;" is more than Initial Test Transgender"&amp;CHAR(10),""),IF(AB72&gt;AB71," * Initial Test and Turned Positive Transgender "&amp;$Z$19&amp;" "&amp;$AA$20&amp;" is more than Initial Test Transgender"&amp;CHAR(10),""))</f>
        <v/>
      </c>
      <c r="AD71" s="461"/>
      <c r="AE71" s="121"/>
      <c r="AF71" s="459"/>
      <c r="AG71" s="108">
        <v>52</v>
      </c>
    </row>
    <row r="72" spans="1:33" s="4" customFormat="1" ht="38.25" customHeight="1" thickBot="1" x14ac:dyDescent="0.5">
      <c r="A72" s="451"/>
      <c r="B72" s="201" t="s">
        <v>654</v>
      </c>
      <c r="C72" s="198" t="s">
        <v>269</v>
      </c>
      <c r="D72" s="97"/>
      <c r="E72" s="98"/>
      <c r="F72" s="97"/>
      <c r="G72" s="98"/>
      <c r="H72" s="97"/>
      <c r="I72" s="98"/>
      <c r="J72" s="97"/>
      <c r="K72" s="98"/>
      <c r="L72" s="98"/>
      <c r="M72" s="98"/>
      <c r="N72" s="98"/>
      <c r="O72" s="98"/>
      <c r="P72" s="98"/>
      <c r="Q72" s="98"/>
      <c r="R72" s="98"/>
      <c r="S72" s="98"/>
      <c r="T72" s="98"/>
      <c r="U72" s="98"/>
      <c r="V72" s="98"/>
      <c r="W72" s="98"/>
      <c r="X72" s="98"/>
      <c r="Y72" s="98"/>
      <c r="Z72" s="98"/>
      <c r="AA72" s="227"/>
      <c r="AB72" s="236"/>
      <c r="AC72" s="224" t="str">
        <f>CONCATENATE(IF(D36&lt;(D71+D73)," * Initial Tests + Repeat Tests Transgender "&amp;$D$19&amp;" "&amp;$D$20&amp;" Is more than Newly Tested and/or referred for testing"&amp;CHAR(10),""),IF(E36&lt;(E71+E73)," * Initial Tests + Repeat Tests Transgender "&amp;$D$19&amp;" "&amp;$E$20&amp;" Is more than Newly Tested and/or referred for testing"&amp;CHAR(10),""),IF(F36&lt;(F71+F73)," * Initial Tests + Repeat Tests Transgender "&amp;$F$19&amp;" "&amp;$F$20&amp;" Is more than Newly Tested and/or referred for testing"&amp;CHAR(10),""),IF(G36&lt;(G71+G73)," * Initial Tests + Repeat Tests Transgender "&amp;$F$19&amp;" "&amp;$G$20&amp;" Is more than Newly Tested and/or referred for testing"&amp;CHAR(10),""),IF(H36&lt;(H71+H73)," * Initial Tests + Repeat Tests Transgender "&amp;$H$19&amp;" "&amp;$H$20&amp;" Is more than Newly Tested and/or referred for testing"&amp;CHAR(10),""),IF(I36&lt;(I71+I73)," * Initial Tests + Repeat Tests Transgender "&amp;$H$19&amp;" "&amp;$I$20&amp;" Is more than Newly Tested and/or referred for testing"&amp;CHAR(10),""),IF(J36&lt;(J71+J73)," * Initial Tests + Repeat Tests Transgender "&amp;$J$19&amp;" "&amp;$J$20&amp;" Is more than Newly Tested and/or referred for testing"&amp;CHAR(10),""),IF(K36&lt;(K71+K73)," * Initial Tests + Repeat Tests Transgender "&amp;$J$19&amp;" "&amp;$K$20&amp;" Is more than Newly Tested and/or referred for testing"&amp;CHAR(10),""),IF(L36&lt;(L71+L73)," * Initial Tests + Repeat Tests Transgender "&amp;$L$19&amp;" "&amp;$L$20&amp;" Is more than Newly Tested and/or referred for testing"&amp;CHAR(10),""),IF(M36&lt;(M71+M73)," * Initial Tests + Repeat Tests Transgender "&amp;$L$19&amp;" "&amp;$M$20&amp;" Is more than Newly Tested and/or referred for testing"&amp;CHAR(10),""),IF(N36&lt;(N71+N73)," * Initial Tests + Repeat Tests Transgender "&amp;$N$19&amp;" "&amp;$N$20&amp;" Is more than Newly Tested and/or referred for testing"&amp;CHAR(10),""),IF(O36&lt;(O71+O73)," * Initial Tests + Repeat Tests Transgender "&amp;$N$19&amp;" "&amp;$O$20&amp;" Is more than Newly Tested and/or referred for testing"&amp;CHAR(10),""),IF(P36&lt;(P71+P73)," * Initial Tests + Repeat Tests Transgender "&amp;$P$19&amp;" "&amp;$P$20&amp;" Is more than Newly Tested and/or referred for testing"&amp;CHAR(10),""),IF(Q36&lt;(Q71+Q73)," * Initial Tests + Repeat Tests Transgender "&amp;$P$19&amp;" "&amp;$Q$20&amp;" Is more than Newly Tested and/or referred for testing"&amp;CHAR(10),""),IF(R36&lt;(R71+R73)," * Initial Tests + Repeat Tests Transgender "&amp;$R$19&amp;" "&amp;$R$20&amp;" Is more than Newly Tested and/or referred for testing"&amp;CHAR(10),""),IF(S36&lt;(S71+S73)," * Initial Tests + Repeat Tests Transgender "&amp;$R$19&amp;" "&amp;$S$20&amp;" Is more than Newly Tested and/or referred for testing"&amp;CHAR(10),""),IF(T36&lt;(T71+T73)," * Initial Tests + Repeat Tests Transgender "&amp;$T$19&amp;" "&amp;$T$20&amp;" Is more than Newly Tested and/or referred for testing"&amp;CHAR(10),""),IF(U36&lt;(U71+U73)," * Initial Tests + Repeat Tests Transgender "&amp;$T$19&amp;" "&amp;$U$20&amp;" Is more than Newly Tested and/or referred for testing"&amp;CHAR(10),""),IF(V36&lt;(V71+V73)," * Initial Tests + Repeat Tests Transgender "&amp;$V$19&amp;" "&amp;$V$20&amp;" Is more than Newly Tested and/or referred for testing"&amp;CHAR(10),""),IF(W36&lt;(W71+W73)," * Initial Tests + Repeat Tests Transgender "&amp;$V$19&amp;" "&amp;$W$20&amp;" Is more than Newly Tested and/or referred for testing"&amp;CHAR(10),""),IF(X36&lt;(X71+X73)," * Initial Tests + Repeat Tests Transgender "&amp;$X$19&amp;" "&amp;$X$20&amp;" Is more than Newly Tested and/or referred for testing"&amp;CHAR(10),""),IF(Y36&lt;(Y71+Y73)," * Initial Tests + Repeat Tests Transgender "&amp;$X$19&amp;" "&amp;$Y$20&amp;" Is more than Newly Tested and/or referred for testing"&amp;CHAR(10),""),IF(Z36&lt;(Z71+Z73)," * Initial Tests + Repeat Tests Transgender "&amp;$Z$19&amp;" "&amp;$Z$20&amp;" Is more than Newly Tested and/or referred for testing"&amp;CHAR(10),""),IF(AA36&lt;(AA71+AA73)," * Initial Tests + Repeat Tests Transgender "&amp;$Z$19&amp;" "&amp;$AA$20&amp;" Is more than Newly Tested and/or referred for testing"&amp;CHAR(10),""),IF(AB36&lt;(AB71+AB73)," * Initial Tests + Repeat Tests Trans-gender "&amp;$AB$19&amp;" "&amp;$AB$20&amp;" Is more than Newly Tested and/or referred for testing"&amp;CHAR(10),""))</f>
        <v/>
      </c>
      <c r="AD72" s="461"/>
      <c r="AE72" s="121"/>
      <c r="AF72" s="459"/>
      <c r="AG72" s="108">
        <v>53</v>
      </c>
    </row>
    <row r="73" spans="1:33" s="4" customFormat="1" ht="38.25" customHeight="1" x14ac:dyDescent="0.45">
      <c r="A73" s="451"/>
      <c r="B73" s="217" t="s">
        <v>652</v>
      </c>
      <c r="C73" s="192" t="s">
        <v>270</v>
      </c>
      <c r="D73" s="37"/>
      <c r="E73" s="28"/>
      <c r="F73" s="37"/>
      <c r="G73" s="28"/>
      <c r="H73" s="37"/>
      <c r="I73" s="28"/>
      <c r="J73" s="37"/>
      <c r="K73" s="28"/>
      <c r="L73" s="28"/>
      <c r="M73" s="28"/>
      <c r="N73" s="28"/>
      <c r="O73" s="28"/>
      <c r="P73" s="28"/>
      <c r="Q73" s="28"/>
      <c r="R73" s="28"/>
      <c r="S73" s="28"/>
      <c r="T73" s="28"/>
      <c r="U73" s="28"/>
      <c r="V73" s="28"/>
      <c r="W73" s="28"/>
      <c r="X73" s="28"/>
      <c r="Y73" s="28"/>
      <c r="Z73" s="28"/>
      <c r="AA73" s="234"/>
      <c r="AB73" s="235"/>
      <c r="AC73" s="224" t="str">
        <f>CONCATENATE(IF(D74&gt;D73," * Repeat Test and Turned Positive Transgender "&amp;$D$19&amp;" "&amp;$D$20&amp;" is more than Repeat Test Transgender"&amp;CHAR(10),""),IF(E74&gt;E73," * Repeat Test and Turned Positive Transgender "&amp;$D$19&amp;" "&amp;$E$20&amp;" is more than Repeat Test Transgender"&amp;CHAR(10),""),IF(F74&gt;F73," * Repeat Test and Turned Positive Transgender "&amp;$F$19&amp;" "&amp;$F$20&amp;" is more than Repeat Test Transgender"&amp;CHAR(10),""),IF(G74&gt;G73," * Repeat Test and Turned Positive Transgender "&amp;$F$19&amp;" "&amp;$G$20&amp;" is more than Repeat Test Transgender"&amp;CHAR(10),""),IF(H74&gt;H73," * Repeat Test and Turned Positive Transgender "&amp;$H$19&amp;" "&amp;$H$20&amp;" is more than Repeat Test Transgender"&amp;CHAR(10),""),IF(I74&gt;I73," * Repeat Test and Turned Positive Transgender "&amp;$H$19&amp;" "&amp;$I$20&amp;" is more than Repeat Test Transgender"&amp;CHAR(10),""),IF(J74&gt;J73," * Repeat Test and Turned Positive Transgender "&amp;$J$19&amp;" "&amp;$J$20&amp;" is more than Repeat Test Transgender"&amp;CHAR(10),""),IF(K74&gt;K73," * Repeat Test and Turned Positive Transgender "&amp;$J$19&amp;" "&amp;$K$20&amp;" is more than Repeat Test Transgender"&amp;CHAR(10),""),IF(L74&gt;L73," * Repeat Test and Turned Positive Transgender "&amp;$L$19&amp;" "&amp;$L$20&amp;" is more than Repeat Test Transgender"&amp;CHAR(10),""),IF(M74&gt;M73," * Repeat Test and Turned Positive Transgender "&amp;$L$19&amp;" "&amp;$M$20&amp;" is more than Repeat Test Transgender"&amp;CHAR(10),""),IF(N74&gt;N73," * Repeat Test and Turned Positive Transgender "&amp;$N$19&amp;" "&amp;$N$20&amp;" is more than Repeat Test Transgender"&amp;CHAR(10),""),IF(O74&gt;O73," * Repeat Test and Turned Positive Transgender "&amp;$N$19&amp;" "&amp;$O$20&amp;" is more than Repeat Test Transgender"&amp;CHAR(10),""),IF(P74&gt;P73," * Repeat Test and Turned Positive Transgender "&amp;$P$19&amp;" "&amp;$P$20&amp;" is more than Repeat Test Transgender"&amp;CHAR(10),""),IF(Q74&gt;Q73," * Repeat Test and Turned Positive Transgender "&amp;$P$19&amp;" "&amp;$Q$20&amp;" is more than Repeat Test Transgender"&amp;CHAR(10),""),IF(R74&gt;R73," * Repeat Test and Turned Positive Transgender "&amp;$R$19&amp;" "&amp;$R$20&amp;" is more than Repeat Test Transgender"&amp;CHAR(10),""),IF(S74&gt;S73," * Repeat Test and Turned Positive Transgender "&amp;$R$19&amp;" "&amp;$S$20&amp;" is more than Repeat Test Transgender"&amp;CHAR(10),""),IF(T74&gt;T73," * Repeat Test and Turned Positive Transgender "&amp;$T$19&amp;" "&amp;$T$20&amp;" is more than Repeat Test Transgender"&amp;CHAR(10),""),IF(U74&gt;U73," * Repeat Test and Turned Positive Transgender "&amp;$T$19&amp;" "&amp;$U$20&amp;" is more than Repeat Test Transgender"&amp;CHAR(10),""),IF(V74&gt;V73," * Repeat Test and Turned Positive Transgender "&amp;$V$19&amp;" "&amp;$V$20&amp;" is more than Repeat Test Transgender"&amp;CHAR(10),""),IF(W74&gt;W73," * Repeat Test and Turned Positive Transgender "&amp;$V$19&amp;" "&amp;$W$20&amp;" is more than Repeat Test Transgender"&amp;CHAR(10),""),IF(X74&gt;X73," * Repeat Test and Turned Positive Transgender "&amp;$X$19&amp;" "&amp;$X$20&amp;" is more than Repeat Test Transgender"&amp;CHAR(10),""),IF(Y74&gt;Y73," * Repeat Test and Turned Positive Transgender "&amp;$X$19&amp;" "&amp;$Y$20&amp;" is more than Repeat Test Transgender"&amp;CHAR(10),""),IF(Z74&gt;Z73," * Repeat Test and Turned Positive Transgender "&amp;$Z$19&amp;" "&amp;$Z$20&amp;" is more than Repeat Test Transgender"&amp;CHAR(10),""),IF(AA74&gt;AA73," * Repeat Test and Turned Positive Transgender "&amp;$Z$19&amp;" "&amp;$AA$20&amp;" is more than Repeat Test Transgender"&amp;CHAR(10),""),IF(AB74&gt;AB73," * Repeat Test and Turned Positive Transgender "&amp;$Z$19&amp;" "&amp;$AA$20&amp;" is more than Repeat Test Transgender"&amp;CHAR(10),""))</f>
        <v/>
      </c>
      <c r="AD73" s="461"/>
      <c r="AE73" s="121"/>
      <c r="AF73" s="459"/>
      <c r="AG73" s="108">
        <v>52</v>
      </c>
    </row>
    <row r="74" spans="1:33" s="4" customFormat="1" ht="38.25" customHeight="1" thickBot="1" x14ac:dyDescent="0.5">
      <c r="A74" s="452"/>
      <c r="B74" s="218" t="s">
        <v>655</v>
      </c>
      <c r="C74" s="198" t="s">
        <v>271</v>
      </c>
      <c r="D74" s="97"/>
      <c r="E74" s="98"/>
      <c r="F74" s="97"/>
      <c r="G74" s="98"/>
      <c r="H74" s="97"/>
      <c r="I74" s="98"/>
      <c r="J74" s="97"/>
      <c r="K74" s="98"/>
      <c r="L74" s="98"/>
      <c r="M74" s="98"/>
      <c r="N74" s="98"/>
      <c r="O74" s="98"/>
      <c r="P74" s="98"/>
      <c r="Q74" s="98"/>
      <c r="R74" s="98"/>
      <c r="S74" s="98"/>
      <c r="T74" s="98"/>
      <c r="U74" s="98"/>
      <c r="V74" s="98"/>
      <c r="W74" s="98"/>
      <c r="X74" s="98"/>
      <c r="Y74" s="98"/>
      <c r="Z74" s="98"/>
      <c r="AA74" s="227"/>
      <c r="AB74" s="236"/>
      <c r="AC74" s="224"/>
      <c r="AD74" s="461"/>
      <c r="AE74" s="121"/>
      <c r="AF74" s="459"/>
      <c r="AG74" s="108">
        <v>53</v>
      </c>
    </row>
    <row r="75" spans="1:33" s="4" customFormat="1" ht="38.25" customHeight="1" x14ac:dyDescent="0.45">
      <c r="A75" s="430" t="s">
        <v>79</v>
      </c>
      <c r="B75" s="200" t="s">
        <v>653</v>
      </c>
      <c r="C75" s="192" t="s">
        <v>272</v>
      </c>
      <c r="D75" s="37"/>
      <c r="E75" s="28"/>
      <c r="F75" s="37"/>
      <c r="G75" s="28"/>
      <c r="H75" s="37"/>
      <c r="I75" s="28"/>
      <c r="J75" s="37"/>
      <c r="K75" s="28"/>
      <c r="L75" s="28"/>
      <c r="M75" s="29"/>
      <c r="N75" s="28"/>
      <c r="O75" s="29"/>
      <c r="P75" s="28"/>
      <c r="Q75" s="29"/>
      <c r="R75" s="28"/>
      <c r="S75" s="29"/>
      <c r="T75" s="28"/>
      <c r="U75" s="29"/>
      <c r="V75" s="28"/>
      <c r="W75" s="29"/>
      <c r="X75" s="28"/>
      <c r="Y75" s="29"/>
      <c r="Z75" s="28"/>
      <c r="AA75" s="29"/>
      <c r="AB75" s="219">
        <f t="shared" ref="AB75:AB80" si="29">SUM(J75:AA75)</f>
        <v>0</v>
      </c>
      <c r="AC75" s="225" t="str">
        <f>CONCATENATE(IF(D76&gt;D75," * Initial Test and Turned Positive FSW "&amp;$D$19&amp;" "&amp;$D$20&amp;" is more than Initial Test FSW"&amp;CHAR(10),""),IF(E76&gt;E75," * Initial Test and Turned Positive FSW "&amp;$D$19&amp;" "&amp;$E$20&amp;" is more than Initial Test FSW"&amp;CHAR(10),""),IF(F76&gt;F75," * Initial Test and Turned Positive FSW "&amp;$F$19&amp;" "&amp;$F$20&amp;" is more than Initial Test FSW"&amp;CHAR(10),""),IF(G76&gt;G75," * Initial Test and Turned Positive FSW "&amp;$F$19&amp;" "&amp;$G$20&amp;" is more than Initial Test FSW"&amp;CHAR(10),""),IF(H76&gt;H75," * Initial Test and Turned Positive FSW "&amp;$H$19&amp;" "&amp;$H$20&amp;" is more than Initial Test FSW"&amp;CHAR(10),""),IF(I76&gt;I75," * Initial Test and Turned Positive FSW "&amp;$H$19&amp;" "&amp;$I$20&amp;" is more than Initial Test FSW"&amp;CHAR(10),""),IF(J76&gt;J75," * Initial Test and Turned Positive FSW "&amp;$J$19&amp;" "&amp;$J$20&amp;" is more than Initial Test FSW"&amp;CHAR(10),""),IF(K76&gt;K75," * Initial Test and Turned Positive FSW "&amp;$J$19&amp;" "&amp;$K$20&amp;" is more than Initial Test FSW"&amp;CHAR(10),""),IF(L76&gt;L75," * Initial Test and Turned Positive FSW "&amp;$L$19&amp;" "&amp;$L$20&amp;" is more than Initial Test FSW"&amp;CHAR(10),""),IF(M76&gt;M75," * Initial Test and Turned Positive FSW "&amp;$L$19&amp;" "&amp;$M$20&amp;" is more than Initial Test FSW"&amp;CHAR(10),""),IF(N76&gt;N75," * Initial Test and Turned Positive FSW "&amp;$N$19&amp;" "&amp;$N$20&amp;" is more than Initial Test FSW"&amp;CHAR(10),""),IF(O76&gt;O75," * Initial Test and Turned Positive FSW "&amp;$N$19&amp;" "&amp;$O$20&amp;" is more than Initial Test FSW"&amp;CHAR(10),""),IF(P76&gt;P75," * Initial Test and Turned Positive FSW "&amp;$P$19&amp;" "&amp;$P$20&amp;" is more than Initial Test FSW"&amp;CHAR(10),""),IF(Q76&gt;Q75," * Initial Test and Turned Positive FSW "&amp;$P$19&amp;" "&amp;$Q$20&amp;" is more than Initial Test FSW"&amp;CHAR(10),""),IF(R76&gt;R75," * Initial Test and Turned Positive FSW "&amp;$R$19&amp;" "&amp;$R$20&amp;" is more than Initial Test FSW"&amp;CHAR(10),""),IF(S76&gt;S75," * Initial Test and Turned Positive FSW "&amp;$R$19&amp;" "&amp;$S$20&amp;" is more than Initial Test FSW"&amp;CHAR(10),""),IF(T76&gt;T75," * Initial Test and Turned Positive FSW "&amp;$T$19&amp;" "&amp;$T$20&amp;" is more than Initial Test FSW"&amp;CHAR(10),""),IF(U76&gt;U75," * Initial Test and Turned Positive FSW "&amp;$T$19&amp;" "&amp;$U$20&amp;" is more than Initial Test FSW"&amp;CHAR(10),""),IF(V76&gt;V75," * Initial Test and Turned Positive FSW "&amp;$V$19&amp;" "&amp;$V$20&amp;" is more than Initial Test FSW"&amp;CHAR(10),""),IF(W76&gt;W75," * Initial Test and Turned Positive FSW "&amp;$V$19&amp;" "&amp;$W$20&amp;" is more than Initial Test FSW"&amp;CHAR(10),""),IF(X76&gt;X75," * Initial Test and Turned Positive FSW "&amp;$X$19&amp;" "&amp;$X$20&amp;" is more than Initial Test FSW"&amp;CHAR(10),""),IF(Y76&gt;Y75," * Initial Test and Turned Positive FSW "&amp;$X$19&amp;" "&amp;$Y$20&amp;" is more than Initial Test FSW"&amp;CHAR(10),""),IF(Z76&gt;Z75," * Initial Test and Turned Positive FSW "&amp;$Z$19&amp;" "&amp;$Z$20&amp;" is more than Initial Test FSW"&amp;CHAR(10),""),IF(AA76&gt;AA75," * Initial Test and Turned Positive FSW "&amp;$Z$19&amp;" "&amp;$AA$20&amp;" is more than Initial Test FSW"&amp;CHAR(10),""))</f>
        <v/>
      </c>
      <c r="AD75" s="461"/>
      <c r="AE75" s="121"/>
      <c r="AF75" s="459"/>
      <c r="AG75" s="108">
        <v>54</v>
      </c>
    </row>
    <row r="76" spans="1:33" s="4" customFormat="1" ht="38.25" customHeight="1" thickBot="1" x14ac:dyDescent="0.5">
      <c r="A76" s="431"/>
      <c r="B76" s="201" t="s">
        <v>654</v>
      </c>
      <c r="C76" s="198" t="s">
        <v>273</v>
      </c>
      <c r="D76" s="97"/>
      <c r="E76" s="98"/>
      <c r="F76" s="97"/>
      <c r="G76" s="98"/>
      <c r="H76" s="97"/>
      <c r="I76" s="98"/>
      <c r="J76" s="97"/>
      <c r="K76" s="98"/>
      <c r="L76" s="98"/>
      <c r="M76" s="7"/>
      <c r="N76" s="98"/>
      <c r="O76" s="7"/>
      <c r="P76" s="98"/>
      <c r="Q76" s="7"/>
      <c r="R76" s="98"/>
      <c r="S76" s="7"/>
      <c r="T76" s="98"/>
      <c r="U76" s="7"/>
      <c r="V76" s="98"/>
      <c r="W76" s="7"/>
      <c r="X76" s="98"/>
      <c r="Y76" s="7"/>
      <c r="Z76" s="98"/>
      <c r="AA76" s="186"/>
      <c r="AB76" s="220">
        <f t="shared" si="29"/>
        <v>0</v>
      </c>
      <c r="AC76" s="225" t="str">
        <f>CONCATENATE(IF(D39&lt;(D75+D77)," * Initial Tests + Repeat Tests  FSW "&amp;$D$19&amp;" "&amp;$D$20&amp;" Is more than Newly Tested and/or referred for testing"&amp;CHAR(10),""),IF(E39&lt;(E75+E77)," * Initial Tests + Repeat Tests  FSW "&amp;$D$19&amp;" "&amp;$E$20&amp;" Is more than Newly Tested and/or referred for testing"&amp;CHAR(10),""),IF(F39&lt;(F75+F77)," * Initial Tests + Repeat Tests  FSW "&amp;$F$19&amp;" "&amp;$F$20&amp;" Is more than Newly Tested and/or referred for testing"&amp;CHAR(10),""),IF(G39&lt;(G75+G77)," * Initial Tests + Repeat Tests  FSW "&amp;$F$19&amp;" "&amp;$G$20&amp;" Is more than Newly Tested and/or referred for testing"&amp;CHAR(10),""),IF(H39&lt;(H75+H77)," * Initial Tests + Repeat Tests  FSW "&amp;$H$19&amp;" "&amp;$H$20&amp;" Is more than Newly Tested and/or referred for testing"&amp;CHAR(10),""),IF(I39&lt;(I75+I77)," * Initial Tests + Repeat Tests  FSW "&amp;$H$19&amp;" "&amp;$I$20&amp;" Is more than Newly Tested and/or referred for testing"&amp;CHAR(10),""),IF(J39&lt;(J75+J77)," * Initial Tests + Repeat Tests  FSW "&amp;$J$19&amp;" "&amp;$J$20&amp;" Is more than Newly Tested and/or referred for testing"&amp;CHAR(10),""),IF(K39&lt;(K75+K77)," * Initial Tests + Repeat Tests  FSW "&amp;$J$19&amp;" "&amp;$K$20&amp;" Is more than Newly Tested and/or referred for testing"&amp;CHAR(10),""),IF(L39&lt;(L75+L77)," * Initial Tests + Repeat Tests  FSW "&amp;$L$19&amp;" "&amp;$L$20&amp;" Is more than Newly Tested and/or referred for testing"&amp;CHAR(10),""),IF(M39&lt;(M75+M77)," * Initial Tests + Repeat Tests  FSW "&amp;$L$19&amp;" "&amp;$M$20&amp;" Is more than Newly Tested and/or referred for testing"&amp;CHAR(10),""),IF(N39&lt;(N75+N77)," * Initial Tests + Repeat Tests  FSW "&amp;$N$19&amp;" "&amp;$N$20&amp;" Is more than Newly Tested and/or referred for testing"&amp;CHAR(10),""),IF(O39&lt;(O75+O77)," * Initial Tests + Repeat Tests  FSW "&amp;$N$19&amp;" "&amp;$O$20&amp;" Is more than Newly Tested and/or referred for testing"&amp;CHAR(10),""),IF(P39&lt;(P75+P77)," * Initial Tests + Repeat Tests  FSW "&amp;$P$19&amp;" "&amp;$P$20&amp;" Is more than Newly Tested and/or referred for testing"&amp;CHAR(10),""),IF(Q39&lt;(Q75+Q77)," * Initial Tests + Repeat Tests  FSW "&amp;$P$19&amp;" "&amp;$Q$20&amp;" Is more than Newly Tested and/or referred for testing"&amp;CHAR(10),""),IF(R39&lt;(R75+R77)," * Initial Tests + Repeat Tests  FSW "&amp;$R$19&amp;" "&amp;$R$20&amp;" Is more than Newly Tested and/or referred for testing"&amp;CHAR(10),""),IF(S39&lt;(S75+S77)," * Initial Tests + Repeat Tests  FSW "&amp;$R$19&amp;" "&amp;$S$20&amp;" Is more than Newly Tested and/or referred for testing"&amp;CHAR(10),""),IF(T39&lt;(T75+T77)," * Initial Tests + Repeat Tests  FSW "&amp;$T$19&amp;" "&amp;$T$20&amp;" Is more than Newly Tested and/or referred for testing"&amp;CHAR(10),""),IF(U39&lt;(U75+U77)," * Initial Tests + Repeat Tests  FSW "&amp;$T$19&amp;" "&amp;$U$20&amp;" Is more than Newly Tested and/or referred for testing"&amp;CHAR(10),""),IF(V39&lt;(V75+V77)," * Initial Tests + Repeat Tests  FSW "&amp;$V$19&amp;" "&amp;$V$20&amp;" Is more than Newly Tested and/or referred for testing"&amp;CHAR(10),""),IF(W39&lt;(W75+W77)," * Initial Tests + Repeat Tests  FSW "&amp;$V$19&amp;" "&amp;$W$20&amp;" Is more than Newly Tested and/or referred for testing"&amp;CHAR(10),""),IF(X39&lt;(X75+X77)," * Initial Tests + Repeat Tests  FSW "&amp;$X$19&amp;" "&amp;$X$20&amp;" Is more than Newly Tested and/or referred for testing"&amp;CHAR(10),""),IF(Y39&lt;(Y75+Y77)," * Initial Tests + Repeat Tests  FSW "&amp;$X$19&amp;" "&amp;$Y$20&amp;" Is more than Newly Tested and/or referred for testing"&amp;CHAR(10),""),IF(Z39&lt;(Z75+Z77)," * Initial Tests + Repeat Tests  FSW "&amp;$Z$19&amp;" "&amp;$Z$20&amp;" Is more than Newly Tested and/or referred for testing"&amp;CHAR(10),""),IF(AA39&lt;(AA75+AA77)," * Initial Tests + Repeat Tests  FSW "&amp;$Z$19&amp;" "&amp;$AA$20&amp;" Is more than Newly Tested and/or referred for testing"&amp;CHAR(10),""))</f>
        <v/>
      </c>
      <c r="AD76" s="461"/>
      <c r="AE76" s="121"/>
      <c r="AF76" s="459"/>
      <c r="AG76" s="108">
        <v>55</v>
      </c>
    </row>
    <row r="77" spans="1:33" s="4" customFormat="1" ht="38.25" customHeight="1" x14ac:dyDescent="0.45">
      <c r="A77" s="431"/>
      <c r="B77" s="217" t="s">
        <v>652</v>
      </c>
      <c r="C77" s="192" t="s">
        <v>274</v>
      </c>
      <c r="D77" s="37"/>
      <c r="E77" s="28"/>
      <c r="F77" s="37"/>
      <c r="G77" s="28"/>
      <c r="H77" s="37"/>
      <c r="I77" s="28"/>
      <c r="J77" s="37"/>
      <c r="K77" s="28"/>
      <c r="L77" s="28"/>
      <c r="M77" s="29"/>
      <c r="N77" s="28"/>
      <c r="O77" s="29"/>
      <c r="P77" s="28"/>
      <c r="Q77" s="29"/>
      <c r="R77" s="28"/>
      <c r="S77" s="29"/>
      <c r="T77" s="28"/>
      <c r="U77" s="29"/>
      <c r="V77" s="28"/>
      <c r="W77" s="29"/>
      <c r="X77" s="28"/>
      <c r="Y77" s="29"/>
      <c r="Z77" s="28"/>
      <c r="AA77" s="29"/>
      <c r="AB77" s="219">
        <f t="shared" ref="AB77:AB78" si="30">SUM(J77:AA77)</f>
        <v>0</v>
      </c>
      <c r="AC77" s="225" t="str">
        <f>CONCATENATE(IF(D78&gt;D77," * Repeat Test and Turned Positive FSW "&amp;$D$19&amp;" "&amp;$D$20&amp;" is more than Repeat Test FSW"&amp;CHAR(10),""),IF(E78&gt;E77," * Repeat Test and Turned Positive FSW "&amp;$D$19&amp;" "&amp;$E$20&amp;" is more than Repeat Test FSW"&amp;CHAR(10),""),IF(F78&gt;F77," * Repeat Test and Turned Positive FSW "&amp;$F$19&amp;" "&amp;$F$20&amp;" is more than Repeat Test FSW"&amp;CHAR(10),""),IF(G78&gt;G77," * Repeat Test and Turned Positive FSW "&amp;$F$19&amp;" "&amp;$G$20&amp;" is more than Repeat Test FSW"&amp;CHAR(10),""),IF(H78&gt;H77," * Repeat Test and Turned Positive FSW "&amp;$H$19&amp;" "&amp;$H$20&amp;" is more than Repeat Test FSW"&amp;CHAR(10),""),IF(I78&gt;I77," * Repeat Test and Turned Positive FSW "&amp;$H$19&amp;" "&amp;$I$20&amp;" is more than Repeat Test FSW"&amp;CHAR(10),""),IF(J78&gt;J77," * Repeat Test and Turned Positive FSW "&amp;$J$19&amp;" "&amp;$J$20&amp;" is more than Repeat Test FSW"&amp;CHAR(10),""),IF(K78&gt;K77," * Repeat Test and Turned Positive FSW "&amp;$J$19&amp;" "&amp;$K$20&amp;" is more than Repeat Test FSW"&amp;CHAR(10),""),IF(L78&gt;L77," * Repeat Test and Turned Positive FSW "&amp;$L$19&amp;" "&amp;$L$20&amp;" is more than Repeat Test FSW"&amp;CHAR(10),""),IF(M78&gt;M77," * Repeat Test and Turned Positive FSW "&amp;$L$19&amp;" "&amp;$M$20&amp;" is more than Repeat Test FSW"&amp;CHAR(10),""),IF(N78&gt;N77," * Repeat Test and Turned Positive FSW "&amp;$N$19&amp;" "&amp;$N$20&amp;" is more than Repeat Test FSW"&amp;CHAR(10),""),IF(O78&gt;O77," * Repeat Test and Turned Positive FSW "&amp;$N$19&amp;" "&amp;$O$20&amp;" is more than Repeat Test FSW"&amp;CHAR(10),""),IF(P78&gt;P77," * Repeat Test and Turned Positive FSW "&amp;$P$19&amp;" "&amp;$P$20&amp;" is more than Repeat Test FSW"&amp;CHAR(10),""),IF(Q78&gt;Q77," * Repeat Test and Turned Positive FSW "&amp;$P$19&amp;" "&amp;$Q$20&amp;" is more than Repeat Test FSW"&amp;CHAR(10),""),IF(R78&gt;R77," * Repeat Test and Turned Positive FSW "&amp;$R$19&amp;" "&amp;$R$20&amp;" is more than Repeat Test FSW"&amp;CHAR(10),""),IF(S78&gt;S77," * Repeat Test and Turned Positive FSW "&amp;$R$19&amp;" "&amp;$S$20&amp;" is more than Repeat Test FSW"&amp;CHAR(10),""),IF(T78&gt;T77," * Repeat Test and Turned Positive FSW "&amp;$T$19&amp;" "&amp;$T$20&amp;" is more than Repeat Test FSW"&amp;CHAR(10),""),IF(U78&gt;U77," * Repeat Test and Turned Positive FSW "&amp;$T$19&amp;" "&amp;$U$20&amp;" is more than Repeat Test FSW"&amp;CHAR(10),""),IF(V78&gt;V77," * Repeat Test and Turned Positive FSW "&amp;$V$19&amp;" "&amp;$V$20&amp;" is more than Repeat Test FSW"&amp;CHAR(10),""),IF(W78&gt;W77," * Repeat Test and Turned Positive FSW "&amp;$V$19&amp;" "&amp;$W$20&amp;" is more than Repeat Test FSW"&amp;CHAR(10),""),IF(X78&gt;X77," * Repeat Test and Turned Positive FSW "&amp;$X$19&amp;" "&amp;$X$20&amp;" is more than Repeat Test FSW"&amp;CHAR(10),""),IF(Y78&gt;Y77," * Repeat Test and Turned Positive FSW "&amp;$X$19&amp;" "&amp;$Y$20&amp;" is more than Repeat Test FSW"&amp;CHAR(10),""),IF(Z78&gt;Z77," * Repeat Test and Turned Positive FSW "&amp;$Z$19&amp;" "&amp;$Z$20&amp;" is more than Repeat Test FSW"&amp;CHAR(10),""),IF(AA78&gt;AA77," * Repeat Test and Turned Positive FSW "&amp;$Z$19&amp;" "&amp;$AA$20&amp;" is more than Repeat Test FSW"&amp;CHAR(10),""))</f>
        <v/>
      </c>
      <c r="AD77" s="461"/>
      <c r="AE77" s="121"/>
      <c r="AF77" s="459"/>
      <c r="AG77" s="108">
        <v>54</v>
      </c>
    </row>
    <row r="78" spans="1:33" s="4" customFormat="1" ht="38.25" customHeight="1" thickBot="1" x14ac:dyDescent="0.5">
      <c r="A78" s="432"/>
      <c r="B78" s="218" t="s">
        <v>655</v>
      </c>
      <c r="C78" s="198" t="s">
        <v>275</v>
      </c>
      <c r="D78" s="97"/>
      <c r="E78" s="98"/>
      <c r="F78" s="97"/>
      <c r="G78" s="98"/>
      <c r="H78" s="97"/>
      <c r="I78" s="98"/>
      <c r="J78" s="97"/>
      <c r="K78" s="98"/>
      <c r="L78" s="98"/>
      <c r="M78" s="7"/>
      <c r="N78" s="98"/>
      <c r="O78" s="7"/>
      <c r="P78" s="98"/>
      <c r="Q78" s="7"/>
      <c r="R78" s="98"/>
      <c r="S78" s="7"/>
      <c r="T78" s="98"/>
      <c r="U78" s="7"/>
      <c r="V78" s="98"/>
      <c r="W78" s="7"/>
      <c r="X78" s="98"/>
      <c r="Y78" s="7"/>
      <c r="Z78" s="98"/>
      <c r="AA78" s="186"/>
      <c r="AB78" s="220">
        <f t="shared" si="30"/>
        <v>0</v>
      </c>
      <c r="AC78" s="225"/>
      <c r="AD78" s="461"/>
      <c r="AE78" s="121"/>
      <c r="AF78" s="459"/>
      <c r="AG78" s="108">
        <v>55</v>
      </c>
    </row>
    <row r="79" spans="1:33" s="4" customFormat="1" ht="38.25" customHeight="1" x14ac:dyDescent="0.45">
      <c r="A79" s="450" t="s">
        <v>167</v>
      </c>
      <c r="B79" s="200" t="s">
        <v>653</v>
      </c>
      <c r="C79" s="192" t="s">
        <v>276</v>
      </c>
      <c r="D79" s="37"/>
      <c r="E79" s="28"/>
      <c r="F79" s="37"/>
      <c r="G79" s="28"/>
      <c r="H79" s="37"/>
      <c r="I79" s="28"/>
      <c r="J79" s="37"/>
      <c r="K79" s="28"/>
      <c r="L79" s="29"/>
      <c r="M79" s="29"/>
      <c r="N79" s="29"/>
      <c r="O79" s="29"/>
      <c r="P79" s="29"/>
      <c r="Q79" s="29"/>
      <c r="R79" s="29"/>
      <c r="S79" s="29"/>
      <c r="T79" s="29"/>
      <c r="U79" s="29"/>
      <c r="V79" s="29"/>
      <c r="W79" s="29"/>
      <c r="X79" s="29"/>
      <c r="Y79" s="29"/>
      <c r="Z79" s="29"/>
      <c r="AA79" s="29"/>
      <c r="AB79" s="219">
        <f t="shared" si="29"/>
        <v>0</v>
      </c>
      <c r="AC79" s="225" t="str">
        <f>CONCATENATE(IF(D80&gt;D79," * Initial Test and Turned Positive People in prison and other closed settings "&amp;$D$19&amp;" "&amp;$D$20&amp;" is more than Initial Test People in prison and other closed settings"&amp;CHAR(10),""),IF(E80&gt;E79," * Initial Test and Turned Positive People in prison and other closed settings "&amp;$D$19&amp;" "&amp;$E$20&amp;" is more than Initial Test People in prison and other closed settings"&amp;CHAR(10),""),IF(F80&gt;F79," * Initial Test and Turned Positive People in prison and other closed settings "&amp;$F$19&amp;" "&amp;$F$20&amp;" is more than Initial Test People in prison and other closed settings"&amp;CHAR(10),""),IF(G80&gt;G79," * Initial Test and Turned Positive People in prison and other closed settings "&amp;$F$19&amp;" "&amp;$G$20&amp;" is more than Initial Test People in prison and other closed settings"&amp;CHAR(10),""),IF(H80&gt;H79," * Initial Test and Turned Positive People in prison and other closed settings "&amp;$H$19&amp;" "&amp;$H$20&amp;" is more than Initial Test People in prison and other closed settings"&amp;CHAR(10),""),IF(I80&gt;I79," * Initial Test and Turned Positive People in prison and other closed settings "&amp;$H$19&amp;" "&amp;$I$20&amp;" is more than Initial Test People in prison and other closed settings"&amp;CHAR(10),""),IF(J80&gt;J79," * Initial Test and Turned Positive People in prison and other closed settings "&amp;$J$19&amp;" "&amp;$J$20&amp;" is more than Initial Test People in prison and other closed settings"&amp;CHAR(10),""),IF(K80&gt;K79," * Initial Test and Turned Positive People in prison and other closed settings "&amp;$J$19&amp;" "&amp;$K$20&amp;" is more than Initial Test People in prison and other closed settings"&amp;CHAR(10),""),IF(L80&gt;L79," * Initial Test and Turned Positive People in prison and other closed settings "&amp;$L$19&amp;" "&amp;$L$20&amp;" is more than Initial Test People in prison and other closed settings"&amp;CHAR(10),""),IF(M80&gt;M79," * Initial Test and Turned Positive People in prison and other closed settings "&amp;$L$19&amp;" "&amp;$M$20&amp;" is more than Initial Test People in prison and other closed settings"&amp;CHAR(10),""),IF(N80&gt;N79," * Initial Test and Turned Positive People in prison and other closed settings "&amp;$N$19&amp;" "&amp;$N$20&amp;" is more than Initial Test People in prison and other closed settings"&amp;CHAR(10),""),IF(O80&gt;O79," * Initial Test and Turned Positive People in prison and other closed settings "&amp;$N$19&amp;" "&amp;$O$20&amp;" is more than Initial Test People in prison and other closed settings"&amp;CHAR(10),""),IF(P80&gt;P79," * Initial Test and Turned Positive People in prison and other closed settings "&amp;$P$19&amp;" "&amp;$P$20&amp;" is more than Initial Test People in prison and other closed settings"&amp;CHAR(10),""),IF(Q80&gt;Q79," * Initial Test and Turned Positive People in prison and other closed settings "&amp;$P$19&amp;" "&amp;$Q$20&amp;" is more than Initial Test People in prison and other closed settings"&amp;CHAR(10),""),IF(R80&gt;R79," * Initial Test and Turned Positive People in prison and other closed settings "&amp;$R$19&amp;" "&amp;$R$20&amp;" is more than Initial Test People in prison and other closed settings"&amp;CHAR(10),""),IF(S80&gt;S79," * Initial Test and Turned Positive People in prison and other closed settings "&amp;$R$19&amp;" "&amp;$S$20&amp;" is more than Initial Test People in prison and other closed settings"&amp;CHAR(10),""),IF(T80&gt;T79," * Initial Test and Turned Positive People in prison and other closed settings "&amp;$T$19&amp;" "&amp;$T$20&amp;" is more than Initial Test People in prison and other closed settings"&amp;CHAR(10),""),IF(U80&gt;U79," * Initial Test and Turned Positive People in prison and other closed settings "&amp;$T$19&amp;" "&amp;$U$20&amp;" is more than Initial Test People in prison and other closed settings"&amp;CHAR(10),""),IF(V80&gt;V79," * Initial Test and Turned Positive People in prison and other closed settings "&amp;$V$19&amp;" "&amp;$V$20&amp;" is more than Initial Test People in prison and other closed settings"&amp;CHAR(10),""),IF(W80&gt;W79," * Initial Test and Turned Positive People in prison and other closed settings "&amp;$V$19&amp;" "&amp;$W$20&amp;" is more than Initial Test People in prison and other closed settings"&amp;CHAR(10),""),IF(X80&gt;X79," * Initial Test and Turned Positive People in prison and other closed settings "&amp;$X$19&amp;" "&amp;$X$20&amp;" is more than Initial Test People in prison and other closed settings"&amp;CHAR(10),""),IF(Y80&gt;Y79," * Initial Test and Turned Positive People in prison and other closed settings "&amp;$X$19&amp;" "&amp;$Y$20&amp;" is more than Initial Test People in prison and other closed settings"&amp;CHAR(10),""),IF(Z80&gt;Z79," * Initial Test and Turned Positive People in prison and other closed settings "&amp;$Z$19&amp;" "&amp;$Z$20&amp;" is more than Initial Test People in prison and other closed settings"&amp;CHAR(10),""),IF(AA80&gt;AA79," * Initial Test and Turned Positive People in prison and other closed settings "&amp;$Z$19&amp;" "&amp;$AA$20&amp;" is more than Initial Test People in prison and other closed settings"&amp;CHAR(10),""))</f>
        <v/>
      </c>
      <c r="AD79" s="461"/>
      <c r="AE79" s="121"/>
      <c r="AF79" s="459"/>
      <c r="AG79" s="108">
        <v>56</v>
      </c>
    </row>
    <row r="80" spans="1:33" s="4" customFormat="1" ht="38.25" customHeight="1" thickBot="1" x14ac:dyDescent="0.5">
      <c r="A80" s="451"/>
      <c r="B80" s="201" t="s">
        <v>654</v>
      </c>
      <c r="C80" s="198" t="s">
        <v>277</v>
      </c>
      <c r="D80" s="97"/>
      <c r="E80" s="98"/>
      <c r="F80" s="97"/>
      <c r="G80" s="98"/>
      <c r="H80" s="97"/>
      <c r="I80" s="98"/>
      <c r="J80" s="97"/>
      <c r="K80" s="98"/>
      <c r="L80" s="7"/>
      <c r="M80" s="7"/>
      <c r="N80" s="7"/>
      <c r="O80" s="7"/>
      <c r="P80" s="7"/>
      <c r="Q80" s="7"/>
      <c r="R80" s="7"/>
      <c r="S80" s="7"/>
      <c r="T80" s="7"/>
      <c r="U80" s="7"/>
      <c r="V80" s="7"/>
      <c r="W80" s="7"/>
      <c r="X80" s="7"/>
      <c r="Y80" s="7"/>
      <c r="Z80" s="7"/>
      <c r="AA80" s="186"/>
      <c r="AB80" s="220">
        <f t="shared" si="29"/>
        <v>0</v>
      </c>
      <c r="AC80" s="225" t="str">
        <f>CONCATENATE(IF(D42&lt;(D79+D81)," * Initial Tests + Repeat Tests Transgender "&amp;$D$19&amp;" "&amp;$D$20&amp;" Is more than Newly Tested and/or referred for testing"&amp;CHAR(10),""),IF(E42&lt;(E79+E81)," * Initial Tests + Repeat Tests Transgender "&amp;$D$19&amp;" "&amp;$E$20&amp;" Is more than Newly Tested and/or referred for testing"&amp;CHAR(10),""),IF(F42&lt;(F79+F81)," * Initial Tests + Repeat Tests Transgender "&amp;$F$19&amp;" "&amp;$F$20&amp;" Is more than Newly Tested and/or referred for testing"&amp;CHAR(10),""),IF(G42&lt;(G79+G81)," * Initial Tests + Repeat Tests Transgender "&amp;$F$19&amp;" "&amp;$G$20&amp;" Is more than Newly Tested and/or referred for testing"&amp;CHAR(10),""),IF(H42&lt;(H79+H81)," * Initial Tests + Repeat Tests Transgender "&amp;$H$19&amp;" "&amp;$H$20&amp;" Is more than Newly Tested and/or referred for testing"&amp;CHAR(10),""),IF(I42&lt;(I79+I81)," * Initial Tests + Repeat Tests Transgender "&amp;$H$19&amp;" "&amp;$I$20&amp;" Is more than Newly Tested and/or referred for testing"&amp;CHAR(10),""),IF(J42&lt;(J79+J81)," * Initial Tests + Repeat Tests Transgender "&amp;$J$19&amp;" "&amp;$J$20&amp;" Is more than Newly Tested and/or referred for testing"&amp;CHAR(10),""),IF(K42&lt;(K79+K81)," * Initial Tests + Repeat Tests Transgender "&amp;$J$19&amp;" "&amp;$K$20&amp;" Is more than Newly Tested and/or referred for testing"&amp;CHAR(10),""),IF(L42&lt;(L79+L81)," * Initial Tests + Repeat Tests Transgender "&amp;$L$19&amp;" "&amp;$L$20&amp;" Is more than Newly Tested and/or referred for testing"&amp;CHAR(10),""),IF(M42&lt;(M79+M81)," * Initial Tests + Repeat Tests Transgender "&amp;$L$19&amp;" "&amp;$M$20&amp;" Is more than Newly Tested and/or referred for testing"&amp;CHAR(10),""),IF(N42&lt;(N79+N81)," * Initial Tests + Repeat Tests Transgender "&amp;$N$19&amp;" "&amp;$N$20&amp;" Is more than Newly Tested and/or referred for testing"&amp;CHAR(10),""),IF(O42&lt;(O79+O81)," * Initial Tests + Repeat Tests Transgender "&amp;$N$19&amp;" "&amp;$O$20&amp;" Is more than Newly Tested and/or referred for testing"&amp;CHAR(10),""),IF(P42&lt;(P79+P81)," * Initial Tests + Repeat Tests Transgender "&amp;$P$19&amp;" "&amp;$P$20&amp;" Is more than Newly Tested and/or referred for testing"&amp;CHAR(10),""),IF(Q42&lt;(Q79+Q81)," * Initial Tests + Repeat Tests Transgender "&amp;$P$19&amp;" "&amp;$Q$20&amp;" Is more than Newly Tested and/or referred for testing"&amp;CHAR(10),""),IF(R42&lt;(R79+R81)," * Initial Tests + Repeat Tests Transgender "&amp;$R$19&amp;" "&amp;$R$20&amp;" Is more than Newly Tested and/or referred for testing"&amp;CHAR(10),""),IF(S42&lt;(S79+S81)," * Initial Tests + Repeat Tests Transgender "&amp;$R$19&amp;" "&amp;$S$20&amp;" Is more than Newly Tested and/or referred for testing"&amp;CHAR(10),""),IF(T42&lt;(T79+T81)," * Initial Tests + Repeat Tests Transgender "&amp;$T$19&amp;" "&amp;$T$20&amp;" Is more than Newly Tested and/or referred for testing"&amp;CHAR(10),""),IF(U42&lt;(U79+U81)," * Initial Tests + Repeat Tests Transgender "&amp;$T$19&amp;" "&amp;$U$20&amp;" Is more than Newly Tested and/or referred for testing"&amp;CHAR(10),""),IF(V42&lt;(V79+V81)," * Initial Tests + Repeat Tests Transgender "&amp;$V$19&amp;" "&amp;$V$20&amp;" Is more than Newly Tested and/or referred for testing"&amp;CHAR(10),""),IF(W42&lt;(W79+W81)," * Initial Tests + Repeat Tests Transgender "&amp;$V$19&amp;" "&amp;$W$20&amp;" Is more than Newly Tested and/or referred for testing"&amp;CHAR(10),""),IF(X42&lt;(X79+X81)," * Initial Tests + Repeat Tests Transgender "&amp;$X$19&amp;" "&amp;$X$20&amp;" Is more than Newly Tested and/or referred for testing"&amp;CHAR(10),""),IF(Y42&lt;(Y79+Y81)," * Initial Tests + Repeat Tests Transgender "&amp;$X$19&amp;" "&amp;$Y$20&amp;" Is more than Newly Tested and/or referred for testing"&amp;CHAR(10),""),IF(Z42&lt;(Z79+Z81)," * Initial Tests + Repeat Tests Transgender "&amp;$Z$19&amp;" "&amp;$Z$20&amp;" Is more than Newly Tested and/or referred for testing"&amp;CHAR(10),""),IF(AA42&lt;(AA79+AA81)," * Initial Tests + Repeat Tests Transgender "&amp;$Z$19&amp;" "&amp;$AA$20&amp;" Is more than Newly Tested and/or referred for testing"&amp;CHAR(10),""),IF(AB42&lt;(AB79+AB81)," * Initial Tests + Repeat Tests People in Prison &amp; other clossed settings "&amp;$AB$19&amp;" "&amp;$AB$20&amp;" Is more than Newly Tested and/or referred for testing"&amp;CHAR(10),""))</f>
        <v/>
      </c>
      <c r="AD80" s="461"/>
      <c r="AE80" s="121"/>
      <c r="AF80" s="459"/>
      <c r="AG80" s="108">
        <v>57</v>
      </c>
    </row>
    <row r="81" spans="1:33" s="4" customFormat="1" ht="38.25" customHeight="1" x14ac:dyDescent="0.45">
      <c r="A81" s="451"/>
      <c r="B81" s="217" t="s">
        <v>652</v>
      </c>
      <c r="C81" s="192" t="s">
        <v>278</v>
      </c>
      <c r="D81" s="37"/>
      <c r="E81" s="28"/>
      <c r="F81" s="37"/>
      <c r="G81" s="28"/>
      <c r="H81" s="37"/>
      <c r="I81" s="28"/>
      <c r="J81" s="37"/>
      <c r="K81" s="28"/>
      <c r="L81" s="29"/>
      <c r="M81" s="29"/>
      <c r="N81" s="29"/>
      <c r="O81" s="29"/>
      <c r="P81" s="29"/>
      <c r="Q81" s="29"/>
      <c r="R81" s="29"/>
      <c r="S81" s="29"/>
      <c r="T81" s="29"/>
      <c r="U81" s="29"/>
      <c r="V81" s="29"/>
      <c r="W81" s="29"/>
      <c r="X81" s="29"/>
      <c r="Y81" s="29"/>
      <c r="Z81" s="29"/>
      <c r="AA81" s="29"/>
      <c r="AB81" s="219">
        <f t="shared" ref="AB81:AB82" si="31">SUM(J81:AA81)</f>
        <v>0</v>
      </c>
      <c r="AC81" s="225" t="str">
        <f>CONCATENATE(IF(D82&gt;D81," * Repeat Test and Turned Positive People in prison and other closed settings "&amp;$D$19&amp;" "&amp;$D$20&amp;" is more than Repeat Test People in prison and other closed settings"&amp;CHAR(10),""),IF(E82&gt;E81," * Repeat Test and Turned Positive People in prison and other closed settings "&amp;$D$19&amp;" "&amp;$E$20&amp;" is more than Repeat Test People in prison and other closed settings"&amp;CHAR(10),""),IF(F82&gt;F81," * Repeat Test and Turned Positive People in prison and other closed settings "&amp;$F$19&amp;" "&amp;$F$20&amp;" is more than Repeat Test People in prison and other closed settings"&amp;CHAR(10),""),IF(G82&gt;G81," * Repeat Test and Turned Positive People in prison and other closed settings "&amp;$F$19&amp;" "&amp;$G$20&amp;" is more than Repeat Test People in prison and other closed settings"&amp;CHAR(10),""),IF(H82&gt;H81," * Repeat Test and Turned Positive People in prison and other closed settings "&amp;$H$19&amp;" "&amp;$H$20&amp;" is more than Repeat Test People in prison and other closed settings"&amp;CHAR(10),""),IF(I82&gt;I81," * Repeat Test and Turned Positive People in prison and other closed settings "&amp;$H$19&amp;" "&amp;$I$20&amp;" is more than Repeat Test People in prison and other closed settings"&amp;CHAR(10),""),IF(J82&gt;J81," * Repeat Test and Turned Positive People in prison and other closed settings "&amp;$J$19&amp;" "&amp;$J$20&amp;" is more than Repeat Test People in prison and other closed settings"&amp;CHAR(10),""),IF(K82&gt;K81," * Repeat Test and Turned Positive People in prison and other closed settings "&amp;$J$19&amp;" "&amp;$K$20&amp;" is more than Repeat Test People in prison and other closed settings"&amp;CHAR(10),""),IF(L82&gt;L81," * Repeat Test and Turned Positive People in prison and other closed settings "&amp;$L$19&amp;" "&amp;$L$20&amp;" is more than Repeat Test People in prison and other closed settings"&amp;CHAR(10),""),IF(M82&gt;M81," * Repeat Test and Turned Positive People in prison and other closed settings "&amp;$L$19&amp;" "&amp;$M$20&amp;" is more than Repeat Test People in prison and other closed settings"&amp;CHAR(10),""),IF(N82&gt;N81," * Repeat Test and Turned Positive People in prison and other closed settings "&amp;$N$19&amp;" "&amp;$N$20&amp;" is more than Repeat Test People in prison and other closed settings"&amp;CHAR(10),""),IF(O82&gt;O81," * Repeat Test and Turned Positive People in prison and other closed settings "&amp;$N$19&amp;" "&amp;$O$20&amp;" is more than Repeat Test People in prison and other closed settings"&amp;CHAR(10),""),IF(P82&gt;P81," * Repeat Test and Turned Positive People in prison and other closed settings "&amp;$P$19&amp;" "&amp;$P$20&amp;" is more than Repeat Test People in prison and other closed settings"&amp;CHAR(10),""),IF(Q82&gt;Q81," * Repeat Test and Turned Positive People in prison and other closed settings "&amp;$P$19&amp;" "&amp;$Q$20&amp;" is more than Repeat Test People in prison and other closed settings"&amp;CHAR(10),""),IF(R82&gt;R81," * Repeat Test and Turned Positive People in prison and other closed settings "&amp;$R$19&amp;" "&amp;$R$20&amp;" is more than Repeat Test People in prison and other closed settings"&amp;CHAR(10),""),IF(S82&gt;S81," * Repeat Test and Turned Positive People in prison and other closed settings "&amp;$R$19&amp;" "&amp;$S$20&amp;" is more than Repeat Test People in prison and other closed settings"&amp;CHAR(10),""),IF(T82&gt;T81," * Repeat Test and Turned Positive People in prison and other closed settings "&amp;$T$19&amp;" "&amp;$T$20&amp;" is more than Repeat Test People in prison and other closed settings"&amp;CHAR(10),""),IF(U82&gt;U81," * Repeat Test and Turned Positive People in prison and other closed settings "&amp;$T$19&amp;" "&amp;$U$20&amp;" is more than Repeat Test People in prison and other closed settings"&amp;CHAR(10),""),IF(V82&gt;V81," * Repeat Test and Turned Positive People in prison and other closed settings "&amp;$V$19&amp;" "&amp;$V$20&amp;" is more than Repeat Test People in prison and other closed settings"&amp;CHAR(10),""),IF(W82&gt;W81," * Repeat Test and Turned Positive People in prison and other closed settings "&amp;$V$19&amp;" "&amp;$W$20&amp;" is more than Repeat Test People in prison and other closed settings"&amp;CHAR(10),""),IF(X82&gt;X81," * Repeat Test and Turned Positive People in prison and other closed settings "&amp;$X$19&amp;" "&amp;$X$20&amp;" is more than Repeat Test People in prison and other closed settings"&amp;CHAR(10),""),IF(Y82&gt;Y81," * Repeat Test and Turned Positive People in prison and other closed settings "&amp;$X$19&amp;" "&amp;$Y$20&amp;" is more than Repeat Test People in prison and other closed settings"&amp;CHAR(10),""),IF(Z82&gt;Z81," * Repeat Test and Turned Positive People in prison and other closed settings "&amp;$Z$19&amp;" "&amp;$Z$20&amp;" is more than Repeat Test People in prison and other closed settings"&amp;CHAR(10),""),IF(AA82&gt;AA81," * Repeat Test and Turned Positive People in prison and other closed settings "&amp;$Z$19&amp;" "&amp;$AA$20&amp;" is more than Repeat Test People in prison and other closed settings"&amp;CHAR(10),""))</f>
        <v/>
      </c>
      <c r="AD81" s="461"/>
      <c r="AE81" s="121"/>
      <c r="AF81" s="459"/>
      <c r="AG81" s="108">
        <v>56</v>
      </c>
    </row>
    <row r="82" spans="1:33" s="4" customFormat="1" ht="38.25" customHeight="1" thickBot="1" x14ac:dyDescent="0.5">
      <c r="A82" s="452"/>
      <c r="B82" s="218" t="s">
        <v>655</v>
      </c>
      <c r="C82" s="198" t="s">
        <v>279</v>
      </c>
      <c r="D82" s="97"/>
      <c r="E82" s="98"/>
      <c r="F82" s="97"/>
      <c r="G82" s="98"/>
      <c r="H82" s="97"/>
      <c r="I82" s="98"/>
      <c r="J82" s="97"/>
      <c r="K82" s="98"/>
      <c r="L82" s="7"/>
      <c r="M82" s="7"/>
      <c r="N82" s="7"/>
      <c r="O82" s="7"/>
      <c r="P82" s="7"/>
      <c r="Q82" s="7"/>
      <c r="R82" s="7"/>
      <c r="S82" s="7"/>
      <c r="T82" s="7"/>
      <c r="U82" s="7"/>
      <c r="V82" s="7"/>
      <c r="W82" s="7"/>
      <c r="X82" s="7"/>
      <c r="Y82" s="7"/>
      <c r="Z82" s="7"/>
      <c r="AA82" s="186"/>
      <c r="AB82" s="220">
        <f t="shared" si="31"/>
        <v>0</v>
      </c>
      <c r="AC82" s="225"/>
      <c r="AD82" s="461"/>
      <c r="AE82" s="121"/>
      <c r="AF82" s="459"/>
      <c r="AG82" s="108">
        <v>57</v>
      </c>
    </row>
    <row r="83" spans="1:33" s="4" customFormat="1" ht="38.25" customHeight="1" x14ac:dyDescent="0.45">
      <c r="A83" s="450" t="s">
        <v>77</v>
      </c>
      <c r="B83" s="200" t="s">
        <v>653</v>
      </c>
      <c r="C83" s="192" t="s">
        <v>280</v>
      </c>
      <c r="D83" s="37"/>
      <c r="E83" s="28"/>
      <c r="F83" s="37"/>
      <c r="G83" s="28"/>
      <c r="H83" s="37"/>
      <c r="I83" s="28"/>
      <c r="J83" s="37"/>
      <c r="K83" s="28"/>
      <c r="L83" s="29"/>
      <c r="M83" s="28"/>
      <c r="N83" s="29"/>
      <c r="O83" s="28"/>
      <c r="P83" s="29"/>
      <c r="Q83" s="28"/>
      <c r="R83" s="29"/>
      <c r="S83" s="28"/>
      <c r="T83" s="29"/>
      <c r="U83" s="28"/>
      <c r="V83" s="29"/>
      <c r="W83" s="28"/>
      <c r="X83" s="29"/>
      <c r="Y83" s="28"/>
      <c r="Z83" s="29"/>
      <c r="AA83" s="28"/>
      <c r="AB83" s="219">
        <f>SUM(J83:AA83)</f>
        <v>0</v>
      </c>
      <c r="AC83" s="225" t="str">
        <f>CONCATENATE(IF(D84&gt;D83," * Initial Test and Turned Positive MSM "&amp;$D$19&amp;" "&amp;$D$20&amp;" is more than Initial Test MSM"&amp;CHAR(10),""),IF(E84&gt;E83," * Initial Test and Turned Positive MSM "&amp;$D$19&amp;" "&amp;$E$20&amp;" is more than Initial Test MSM"&amp;CHAR(10),""),IF(F84&gt;F83," * Initial Test and Turned Positive MSM "&amp;$F$19&amp;" "&amp;$F$20&amp;" is more than Initial Test MSM"&amp;CHAR(10),""),IF(G84&gt;G83," * Initial Test and Turned Positive MSM "&amp;$F$19&amp;" "&amp;$G$20&amp;" is more than Initial Test MSM"&amp;CHAR(10),""),IF(H84&gt;H83," * Initial Test and Turned Positive MSM "&amp;$H$19&amp;" "&amp;$H$20&amp;" is more than Initial Test MSM"&amp;CHAR(10),""),IF(I84&gt;I83," * Initial Test and Turned Positive MSM "&amp;$H$19&amp;" "&amp;$I$20&amp;" is more than Initial Test MSM"&amp;CHAR(10),""),IF(J84&gt;J83," * Initial Test and Turned Positive MSM "&amp;$J$19&amp;" "&amp;$J$20&amp;" is more than Initial Test MSM"&amp;CHAR(10),""),IF(K84&gt;K83," * Initial Test and Turned Positive MSM "&amp;$J$19&amp;" "&amp;$K$20&amp;" is more than Initial Test MSM"&amp;CHAR(10),""),IF(L84&gt;L83," * Initial Test and Turned Positive MSM "&amp;$L$19&amp;" "&amp;$L$20&amp;" is more than Initial Test MSM"&amp;CHAR(10),""),IF(M84&gt;M83," * Initial Test and Turned Positive MSM "&amp;$L$19&amp;" "&amp;$M$20&amp;" is more than Initial Test MSM"&amp;CHAR(10),""),IF(N84&gt;N83," * Initial Test and Turned Positive MSM "&amp;$N$19&amp;" "&amp;$N$20&amp;" is more than Initial Test MSM"&amp;CHAR(10),""),IF(O84&gt;O83," * Initial Test and Turned Positive MSM "&amp;$N$19&amp;" "&amp;$O$20&amp;" is more than Initial Test MSM"&amp;CHAR(10),""),IF(P84&gt;P83," * Initial Test and Turned Positive MSM "&amp;$P$19&amp;" "&amp;$P$20&amp;" is more than Initial Test MSM"&amp;CHAR(10),""),IF(Q84&gt;Q83," * Initial Test and Turned Positive MSM "&amp;$P$19&amp;" "&amp;$Q$20&amp;" is more than Initial Test MSM"&amp;CHAR(10),""),IF(R84&gt;R83," * Initial Test and Turned Positive MSM "&amp;$R$19&amp;" "&amp;$R$20&amp;" is more than Initial Test MSM"&amp;CHAR(10),""),IF(S84&gt;S83," * Initial Test and Turned Positive MSM "&amp;$R$19&amp;" "&amp;$S$20&amp;" is more than Initial Test MSM"&amp;CHAR(10),""),IF(T84&gt;T83," * Initial Test and Turned Positive MSM "&amp;$T$19&amp;" "&amp;$T$20&amp;" is more than Initial Test MSM"&amp;CHAR(10),""),IF(U84&gt;U83," * Initial Test and Turned Positive MSM "&amp;$T$19&amp;" "&amp;$U$20&amp;" is more than Initial Test MSM"&amp;CHAR(10),""),IF(V84&gt;V83," * Initial Test and Turned Positive MSM "&amp;$V$19&amp;" "&amp;$V$20&amp;" is more than Initial Test MSM"&amp;CHAR(10),""),IF(W84&gt;W83," * Initial Test and Turned Positive MSM "&amp;$V$19&amp;" "&amp;$W$20&amp;" is more than Initial Test MSM"&amp;CHAR(10),""),IF(X84&gt;X83," * Initial Test and Turned Positive MSM "&amp;$X$19&amp;" "&amp;$X$20&amp;" is more than Initial Test MSM"&amp;CHAR(10),""),IF(Y84&gt;Y83," * Initial Test and Turned Positive MSM "&amp;$X$19&amp;" "&amp;$Y$20&amp;" is more than Initial Test MSM"&amp;CHAR(10),""),IF(Z84&gt;Z83," * Initial Test and Turned Positive MSM "&amp;$Z$19&amp;" "&amp;$Z$20&amp;" is more than Initial Test MSM"&amp;CHAR(10),""),IF(AA84&gt;AA83," * Initial Test and Turned Positive MSM "&amp;$Z$19&amp;" "&amp;$AA$20&amp;" is more than Initial Test MSM"&amp;CHAR(10),""))</f>
        <v/>
      </c>
      <c r="AD83" s="461"/>
      <c r="AE83" s="121"/>
      <c r="AF83" s="459"/>
      <c r="AG83" s="108">
        <v>58</v>
      </c>
    </row>
    <row r="84" spans="1:33" s="4" customFormat="1" ht="38.25" customHeight="1" thickBot="1" x14ac:dyDescent="0.5">
      <c r="A84" s="451"/>
      <c r="B84" s="201" t="s">
        <v>654</v>
      </c>
      <c r="C84" s="198" t="s">
        <v>281</v>
      </c>
      <c r="D84" s="97"/>
      <c r="E84" s="98"/>
      <c r="F84" s="97"/>
      <c r="G84" s="98"/>
      <c r="H84" s="97"/>
      <c r="I84" s="98"/>
      <c r="J84" s="97"/>
      <c r="K84" s="98"/>
      <c r="L84" s="7"/>
      <c r="M84" s="98"/>
      <c r="N84" s="7"/>
      <c r="O84" s="98"/>
      <c r="P84" s="7"/>
      <c r="Q84" s="98"/>
      <c r="R84" s="7"/>
      <c r="S84" s="98"/>
      <c r="T84" s="7"/>
      <c r="U84" s="98"/>
      <c r="V84" s="7"/>
      <c r="W84" s="98"/>
      <c r="X84" s="7"/>
      <c r="Y84" s="98"/>
      <c r="Z84" s="7"/>
      <c r="AA84" s="98"/>
      <c r="AB84" s="220">
        <f>SUM(J84:AA84)</f>
        <v>0</v>
      </c>
      <c r="AC84" s="225"/>
      <c r="AD84" s="461"/>
      <c r="AE84" s="121"/>
      <c r="AF84" s="459"/>
      <c r="AG84" s="108">
        <v>59</v>
      </c>
    </row>
    <row r="85" spans="1:33" s="4" customFormat="1" ht="38.25" customHeight="1" x14ac:dyDescent="0.45">
      <c r="A85" s="451"/>
      <c r="B85" s="217" t="s">
        <v>652</v>
      </c>
      <c r="C85" s="192" t="s">
        <v>282</v>
      </c>
      <c r="D85" s="37"/>
      <c r="E85" s="28"/>
      <c r="F85" s="37"/>
      <c r="G85" s="28"/>
      <c r="H85" s="37"/>
      <c r="I85" s="28"/>
      <c r="J85" s="37"/>
      <c r="K85" s="28"/>
      <c r="L85" s="29"/>
      <c r="M85" s="28"/>
      <c r="N85" s="29"/>
      <c r="O85" s="28"/>
      <c r="P85" s="29"/>
      <c r="Q85" s="28"/>
      <c r="R85" s="29"/>
      <c r="S85" s="28"/>
      <c r="T85" s="29"/>
      <c r="U85" s="28"/>
      <c r="V85" s="29"/>
      <c r="W85" s="28"/>
      <c r="X85" s="29"/>
      <c r="Y85" s="28"/>
      <c r="Z85" s="29"/>
      <c r="AA85" s="28"/>
      <c r="AB85" s="219">
        <f>SUM(J85:AA85)</f>
        <v>0</v>
      </c>
      <c r="AC85" s="225" t="str">
        <f>CONCATENATE(IF(D86&gt;D85," * Repeat Test and Turned Positive MSM "&amp;$D$19&amp;" "&amp;$D$20&amp;" is more than Repeat Test MSM"&amp;CHAR(10),""),IF(E86&gt;E85," * Repeat Test and Turned Positive MSM "&amp;$D$19&amp;" "&amp;$E$20&amp;" is more than Repeat Test MSM"&amp;CHAR(10),""),IF(F86&gt;F85," * Repeat Test and Turned Positive MSM "&amp;$F$19&amp;" "&amp;$F$20&amp;" is more than Repeat Test MSM"&amp;CHAR(10),""),IF(G86&gt;G85," * Repeat Test and Turned Positive MSM "&amp;$F$19&amp;" "&amp;$G$20&amp;" is more than Repeat Test MSM"&amp;CHAR(10),""),IF(H86&gt;H85," * Repeat Test and Turned Positive MSM "&amp;$H$19&amp;" "&amp;$H$20&amp;" is more than Repeat Test MSM"&amp;CHAR(10),""),IF(I86&gt;I85," * Repeat Test and Turned Positive MSM "&amp;$H$19&amp;" "&amp;$I$20&amp;" is more than Repeat Test MSM"&amp;CHAR(10),""),IF(J86&gt;J85," * Repeat Test and Turned Positive MSM "&amp;$J$19&amp;" "&amp;$J$20&amp;" is more than Repeat Test MSM"&amp;CHAR(10),""),IF(K86&gt;K85," * Repeat Test and Turned Positive MSM "&amp;$J$19&amp;" "&amp;$K$20&amp;" is more than Repeat Test MSM"&amp;CHAR(10),""),IF(L86&gt;L85," * Repeat Test and Turned Positive MSM "&amp;$L$19&amp;" "&amp;$L$20&amp;" is more than Repeat Test MSM"&amp;CHAR(10),""),IF(M86&gt;M85," * Repeat Test and Turned Positive MSM "&amp;$L$19&amp;" "&amp;$M$20&amp;" is more than Repeat Test MSM"&amp;CHAR(10),""),IF(N86&gt;N85," * Repeat Test and Turned Positive MSM "&amp;$N$19&amp;" "&amp;$N$20&amp;" is more than Repeat Test MSM"&amp;CHAR(10),""),IF(O86&gt;O85," * Repeat Test and Turned Positive MSM "&amp;$N$19&amp;" "&amp;$O$20&amp;" is more than Repeat Test MSM"&amp;CHAR(10),""),IF(P86&gt;P85," * Repeat Test and Turned Positive MSM "&amp;$P$19&amp;" "&amp;$P$20&amp;" is more than Repeat Test MSM"&amp;CHAR(10),""),IF(Q86&gt;Q85," * Repeat Test and Turned Positive MSM "&amp;$P$19&amp;" "&amp;$Q$20&amp;" is more than Repeat Test MSM"&amp;CHAR(10),""),IF(R86&gt;R85," * Repeat Test and Turned Positive MSM "&amp;$R$19&amp;" "&amp;$R$20&amp;" is more than Repeat Test MSM"&amp;CHAR(10),""),IF(S86&gt;S85," * Repeat Test and Turned Positive MSM "&amp;$R$19&amp;" "&amp;$S$20&amp;" is more than Repeat Test MSM"&amp;CHAR(10),""),IF(T86&gt;T85," * Repeat Test and Turned Positive MSM "&amp;$T$19&amp;" "&amp;$T$20&amp;" is more than Repeat Test MSM"&amp;CHAR(10),""),IF(U86&gt;U85," * Repeat Test and Turned Positive MSM "&amp;$T$19&amp;" "&amp;$U$20&amp;" is more than Repeat Test MSM"&amp;CHAR(10),""),IF(V86&gt;V85," * Repeat Test and Turned Positive MSM "&amp;$V$19&amp;" "&amp;$V$20&amp;" is more than Repeat Test MSM"&amp;CHAR(10),""),IF(W86&gt;W85," * Repeat Test and Turned Positive MSM "&amp;$V$19&amp;" "&amp;$W$20&amp;" is more than Repeat Test MSM"&amp;CHAR(10),""),IF(X86&gt;X85," * Repeat Test and Turned Positive MSM "&amp;$X$19&amp;" "&amp;$X$20&amp;" is more than Repeat Test MSM"&amp;CHAR(10),""),IF(Y86&gt;Y85," * Repeat Test and Turned Positive MSM "&amp;$X$19&amp;" "&amp;$Y$20&amp;" is more than Repeat Test MSM"&amp;CHAR(10),""),IF(Z86&gt;Z85," * Repeat Test and Turned Positive MSM "&amp;$Z$19&amp;" "&amp;$Z$20&amp;" is more than Repeat Test MSM"&amp;CHAR(10),""),IF(AA86&gt;AA85," * Repeat Test and Turned Positive MSM "&amp;$Z$19&amp;" "&amp;$AA$20&amp;" is more than Repeat Test MSM"&amp;CHAR(10),""))</f>
        <v/>
      </c>
      <c r="AD85" s="461"/>
      <c r="AE85" s="121"/>
      <c r="AF85" s="459"/>
      <c r="AG85" s="108">
        <v>58</v>
      </c>
    </row>
    <row r="86" spans="1:33" s="4" customFormat="1" ht="38.25" customHeight="1" thickBot="1" x14ac:dyDescent="0.5">
      <c r="A86" s="452"/>
      <c r="B86" s="218" t="s">
        <v>655</v>
      </c>
      <c r="C86" s="198" t="s">
        <v>283</v>
      </c>
      <c r="D86" s="97"/>
      <c r="E86" s="98"/>
      <c r="F86" s="97"/>
      <c r="G86" s="98"/>
      <c r="H86" s="97"/>
      <c r="I86" s="98"/>
      <c r="J86" s="97"/>
      <c r="K86" s="98"/>
      <c r="L86" s="7"/>
      <c r="M86" s="98"/>
      <c r="N86" s="7"/>
      <c r="O86" s="98"/>
      <c r="P86" s="7"/>
      <c r="Q86" s="98"/>
      <c r="R86" s="7"/>
      <c r="S86" s="98"/>
      <c r="T86" s="7"/>
      <c r="U86" s="98"/>
      <c r="V86" s="7"/>
      <c r="W86" s="98"/>
      <c r="X86" s="7"/>
      <c r="Y86" s="98"/>
      <c r="Z86" s="7"/>
      <c r="AA86" s="98"/>
      <c r="AB86" s="220">
        <f>SUM(J86:AA86)</f>
        <v>0</v>
      </c>
      <c r="AC86" s="225" t="str">
        <f>CONCATENATE(IF(D33&lt;(D83+D85)," * Initial Tests + Repeat Tests Transgender "&amp;$D$19&amp;" "&amp;$D$20&amp;" Is more than Newly Tested and/or referred for testing"&amp;CHAR(10),""),IF(E33&lt;(E83+E85)," * Initial Tests + Repeat Tests Transgender "&amp;$D$19&amp;" "&amp;$E$20&amp;" Is more than Newly Tested and/or referred for testing"&amp;CHAR(10),""),IF(F33&lt;(F83+F85)," * Initial Tests + Repeat Tests Transgender "&amp;$F$19&amp;" "&amp;$F$20&amp;" Is more than Newly Tested and/or referred for testing"&amp;CHAR(10),""),IF(G33&lt;(G83+G85)," * Initial Tests + Repeat Tests Transgender "&amp;$F$19&amp;" "&amp;$G$20&amp;" Is more than Newly Tested and/or referred for testing"&amp;CHAR(10),""),IF(H33&lt;(H83+H85)," * Initial Tests + Repeat Tests Transgender "&amp;$H$19&amp;" "&amp;$H$20&amp;" Is more than Newly Tested and/or referred for testing"&amp;CHAR(10),""),IF(I33&lt;(I83+I85)," * Initial Tests + Repeat Tests Transgender "&amp;$H$19&amp;" "&amp;$I$20&amp;" Is more than Newly Tested and/or referred for testing"&amp;CHAR(10),""),IF(J33&lt;(J83+J85)," * Initial Tests + Repeat Tests Transgender "&amp;$J$19&amp;" "&amp;$J$20&amp;" Is more than Newly Tested and/or referred for testing"&amp;CHAR(10),""),IF(K33&lt;(K83+K85)," * Initial Tests + Repeat Tests Transgender "&amp;$J$19&amp;" "&amp;$K$20&amp;" Is more than Newly Tested and/or referred for testing"&amp;CHAR(10),""),IF(L33&lt;(L83+L85)," * Initial Tests + Repeat Tests Transgender "&amp;$L$19&amp;" "&amp;$L$20&amp;" Is more than Newly Tested and/or referred for testing"&amp;CHAR(10),""),IF(M33&lt;(M83+M85)," * Initial Tests + Repeat Tests Transgender "&amp;$L$19&amp;" "&amp;$M$20&amp;" Is more than Newly Tested and/or referred for testing"&amp;CHAR(10),""),IF(N33&lt;(N83+N85)," * Initial Tests + Repeat Tests Transgender "&amp;$N$19&amp;" "&amp;$N$20&amp;" Is more than Newly Tested and/or referred for testing"&amp;CHAR(10),""),IF(O33&lt;(O83+O85)," * Initial Tests + Repeat Tests Transgender "&amp;$N$19&amp;" "&amp;$O$20&amp;" Is more than Newly Tested and/or referred for testing"&amp;CHAR(10),""),IF(P33&lt;(P83+P85)," * Initial Tests + Repeat Tests Transgender "&amp;$P$19&amp;" "&amp;$P$20&amp;" Is more than Newly Tested and/or referred for testing"&amp;CHAR(10),""),IF(Q33&lt;(Q83+Q85)," * Initial Tests + Repeat Tests Transgender "&amp;$P$19&amp;" "&amp;$Q$20&amp;" Is more than Newly Tested and/or referred for testing"&amp;CHAR(10),""),IF(R33&lt;(R83+R85)," * Initial Tests + Repeat Tests Transgender "&amp;$R$19&amp;" "&amp;$R$20&amp;" Is more than Newly Tested and/or referred for testing"&amp;CHAR(10),""),IF(S33&lt;(S83+S85)," * Initial Tests + Repeat Tests Transgender "&amp;$R$19&amp;" "&amp;$S$20&amp;" Is more than Newly Tested and/or referred for testing"&amp;CHAR(10),""),IF(T33&lt;(T83+T85)," * Initial Tests + Repeat Tests Transgender "&amp;$T$19&amp;" "&amp;$T$20&amp;" Is more than Newly Tested and/or referred for testing"&amp;CHAR(10),""),IF(U33&lt;(U83+U85)," * Initial Tests + Repeat Tests Transgender "&amp;$T$19&amp;" "&amp;$U$20&amp;" Is more than Newly Tested and/or referred for testing"&amp;CHAR(10),""),IF(V33&lt;(V83+V85)," * Initial Tests + Repeat Tests Transgender "&amp;$V$19&amp;" "&amp;$V$20&amp;" Is more than Newly Tested and/or referred for testing"&amp;CHAR(10),""),IF(W33&lt;(W83+W85)," * Initial Tests + Repeat Tests Transgender "&amp;$V$19&amp;" "&amp;$W$20&amp;" Is more than Newly Tested and/or referred for testing"&amp;CHAR(10),""),IF(X33&lt;(X83+X85)," * Initial Tests + Repeat Tests Transgender "&amp;$X$19&amp;" "&amp;$X$20&amp;" Is more than Newly Tested and/or referred for testing"&amp;CHAR(10),""),IF(Y33&lt;(Y83+Y85)," * Initial Tests + Repeat Tests Transgender "&amp;$X$19&amp;" "&amp;$Y$20&amp;" Is more than Newly Tested and/or referred for testing"&amp;CHAR(10),""),IF(Z33&lt;(Z83+Z85)," * Initial Tests + Repeat Tests Transgender "&amp;$Z$19&amp;" "&amp;$Z$20&amp;" Is more than Newly Tested and/or referred for testing"&amp;CHAR(10),""),IF(AA33&lt;(AA83+AA85)," * Initial Tests + Repeat Tests Transgender "&amp;$Z$19&amp;" "&amp;$AA$20&amp;" Is more than Newly Tested and/or referred for testing"&amp;CHAR(10),""))</f>
        <v/>
      </c>
      <c r="AD86" s="461"/>
      <c r="AE86" s="121"/>
      <c r="AF86" s="459"/>
      <c r="AG86" s="108">
        <v>59</v>
      </c>
    </row>
    <row r="87" spans="1:33" s="4" customFormat="1" ht="38.25" customHeight="1" x14ac:dyDescent="0.45">
      <c r="A87" s="426" t="s">
        <v>104</v>
      </c>
      <c r="B87" s="200" t="s">
        <v>653</v>
      </c>
      <c r="C87" s="192" t="s">
        <v>284</v>
      </c>
      <c r="D87" s="37"/>
      <c r="E87" s="28"/>
      <c r="F87" s="37"/>
      <c r="G87" s="28"/>
      <c r="H87" s="37"/>
      <c r="I87" s="28"/>
      <c r="J87" s="37"/>
      <c r="K87" s="28"/>
      <c r="L87" s="26"/>
      <c r="M87" s="26"/>
      <c r="N87" s="26"/>
      <c r="O87" s="26"/>
      <c r="P87" s="26"/>
      <c r="Q87" s="26"/>
      <c r="R87" s="26"/>
      <c r="S87" s="26"/>
      <c r="T87" s="26"/>
      <c r="U87" s="26"/>
      <c r="V87" s="26"/>
      <c r="W87" s="26"/>
      <c r="X87" s="26"/>
      <c r="Y87" s="26"/>
      <c r="Z87" s="26"/>
      <c r="AA87" s="105"/>
      <c r="AB87" s="221">
        <f>SUM(D87:AA87)</f>
        <v>0</v>
      </c>
      <c r="AC87" s="226" t="str">
        <f>CONCATENATE(IF(D88&gt;D87," * Initial Test and Turned Positive Mobile Service Modality "&amp;$D$19&amp;" "&amp;$D$20&amp;" is more than Initial Test Mobile Service Modality"&amp;CHAR(10),""),IF(E88&gt;E87," * Initial Test and Turned Positive Mobile Service Modality "&amp;$D$19&amp;" "&amp;$E$20&amp;" is more than Initial Test Mobile Service Modality"&amp;CHAR(10),""),IF(F88&gt;F87," * Initial Test and Turned Positive Mobile Service Modality "&amp;$F$19&amp;" "&amp;$F$20&amp;" is more than Initial Test Mobile Service Modality"&amp;CHAR(10),""),IF(G88&gt;G87," * Initial Test and Turned Positive Mobile Service Modality "&amp;$F$19&amp;" "&amp;$G$20&amp;" is more than Initial Test Mobile Service Modality"&amp;CHAR(10),""),IF(H88&gt;H87," * Initial Test and Turned Positive Mobile Service Modality "&amp;$H$19&amp;" "&amp;$H$20&amp;" is more than Initial Test Mobile Service Modality"&amp;CHAR(10),""),IF(I88&gt;I87," * Initial Test and Turned Positive Mobile Service Modality "&amp;$H$19&amp;" "&amp;$I$20&amp;" is more than Initial Test Mobile Service Modality"&amp;CHAR(10),""),IF(J88&gt;J87," * Initial Test and Turned Positive Mobile Service Modality "&amp;$J$19&amp;" "&amp;$J$20&amp;" is more than Initial Test Mobile Service Modality"&amp;CHAR(10),""),IF(K88&gt;K87," * Initial Test and Turned Positive Mobile Service Modality "&amp;$J$19&amp;" "&amp;$K$20&amp;" is more than Initial Test Mobile Service Modality"&amp;CHAR(10),""),IF(L88&gt;L87," * Initial Test and Turned Positive Mobile Service Modality "&amp;$L$19&amp;" "&amp;$L$20&amp;" is more than Initial Test Mobile Service Modality"&amp;CHAR(10),""),IF(M88&gt;M87," * Initial Test and Turned Positive Mobile Service Modality "&amp;$L$19&amp;" "&amp;$M$20&amp;" is more than Initial Test Mobile Service Modality"&amp;CHAR(10),""),IF(N88&gt;N87," * Initial Test and Turned Positive Mobile Service Modality "&amp;$N$19&amp;" "&amp;$N$20&amp;" is more than Initial Test Mobile Service Modality"&amp;CHAR(10),""),IF(O88&gt;O87," * Initial Test and Turned Positive Mobile Service Modality "&amp;$N$19&amp;" "&amp;$O$20&amp;" is more than Initial Test Mobile Service Modality"&amp;CHAR(10),""),IF(P88&gt;P87," * Initial Test and Turned Positive Mobile Service Modality "&amp;$P$19&amp;" "&amp;$P$20&amp;" is more than Initial Test Mobile Service Modality"&amp;CHAR(10),""),IF(Q88&gt;Q87," * Initial Test and Turned Positive Mobile Service Modality "&amp;$P$19&amp;" "&amp;$Q$20&amp;" is more than Initial Test Mobile Service Modality"&amp;CHAR(10),""),IF(R88&gt;R87," * Initial Test and Turned Positive Mobile Service Modality "&amp;$R$19&amp;" "&amp;$R$20&amp;" is more than Initial Test Mobile Service Modality"&amp;CHAR(10),""),IF(S88&gt;S87," * Initial Test and Turned Positive Mobile Service Modality "&amp;$R$19&amp;" "&amp;$S$20&amp;" is more than Initial Test Mobile Service Modality"&amp;CHAR(10),""),IF(T88&gt;T87," * Initial Test and Turned Positive Mobile Service Modality "&amp;$T$19&amp;" "&amp;$T$20&amp;" is more than Initial Test Mobile Service Modality"&amp;CHAR(10),""),IF(U88&gt;U87," * Initial Test and Turned Positive Mobile Service Modality "&amp;$T$19&amp;" "&amp;$U$20&amp;" is more than Initial Test Mobile Service Modality"&amp;CHAR(10),""),IF(V88&gt;V87," * Initial Test and Turned Positive Mobile Service Modality "&amp;$V$19&amp;" "&amp;$V$20&amp;" is more than Initial Test Mobile Service Modality"&amp;CHAR(10),""),IF(W88&gt;W87," * Initial Test and Turned Positive Mobile Service Modality "&amp;$V$19&amp;" "&amp;$W$20&amp;" is more than Initial Test Mobile Service Modality"&amp;CHAR(10),""),IF(X88&gt;X87," * Initial Test and Turned Positive Mobile Service Modality "&amp;$X$19&amp;" "&amp;$X$20&amp;" is more than Initial Test Mobile Service Modality"&amp;CHAR(10),""),IF(Y88&gt;Y87," * Initial Test and Turned Positive Mobile Service Modality "&amp;$X$19&amp;" "&amp;$Y$20&amp;" is more than Initial Test Mobile Service Modality"&amp;CHAR(10),""),IF(Z88&gt;Z87," * Initial Test and Turned Positive Mobile Service Modality "&amp;$Z$19&amp;" "&amp;$Z$20&amp;" is more than Initial Test Mobile Service Modality"&amp;CHAR(10),""),IF(AA88&gt;AA87," * Initial Test and Turned Positive Mobile Service Modality "&amp;$Z$19&amp;" "&amp;$AA$20&amp;" is more than Initial Test Mobile Service Modality"&amp;CHAR(10),""))</f>
        <v/>
      </c>
      <c r="AD87" s="461"/>
      <c r="AE87" s="125"/>
      <c r="AF87" s="459"/>
      <c r="AG87" s="108">
        <v>60</v>
      </c>
    </row>
    <row r="88" spans="1:33" s="4" customFormat="1" ht="38.25" customHeight="1" thickBot="1" x14ac:dyDescent="0.5">
      <c r="A88" s="427"/>
      <c r="B88" s="201" t="s">
        <v>654</v>
      </c>
      <c r="C88" s="198" t="s">
        <v>285</v>
      </c>
      <c r="D88" s="97"/>
      <c r="E88" s="98"/>
      <c r="F88" s="97"/>
      <c r="G88" s="98"/>
      <c r="H88" s="97"/>
      <c r="I88" s="98"/>
      <c r="J88" s="97"/>
      <c r="K88" s="98"/>
      <c r="L88" s="32"/>
      <c r="M88" s="32"/>
      <c r="N88" s="32"/>
      <c r="O88" s="32"/>
      <c r="P88" s="32"/>
      <c r="Q88" s="32"/>
      <c r="R88" s="32"/>
      <c r="S88" s="32"/>
      <c r="T88" s="32"/>
      <c r="U88" s="32"/>
      <c r="V88" s="32"/>
      <c r="W88" s="32"/>
      <c r="X88" s="32"/>
      <c r="Y88" s="32"/>
      <c r="Z88" s="32"/>
      <c r="AA88" s="104"/>
      <c r="AB88" s="220">
        <f t="shared" ref="AB88" si="32">SUM(D88:AA88)</f>
        <v>0</v>
      </c>
      <c r="AC88" s="225"/>
      <c r="AD88" s="461"/>
      <c r="AE88" s="122"/>
      <c r="AF88" s="459"/>
      <c r="AG88" s="108">
        <v>61</v>
      </c>
    </row>
    <row r="89" spans="1:33" s="4" customFormat="1" ht="38.25" customHeight="1" x14ac:dyDescent="0.45">
      <c r="A89" s="427"/>
      <c r="B89" s="217" t="s">
        <v>652</v>
      </c>
      <c r="C89" s="192" t="s">
        <v>286</v>
      </c>
      <c r="D89" s="37"/>
      <c r="E89" s="28"/>
      <c r="F89" s="37"/>
      <c r="G89" s="28"/>
      <c r="H89" s="37"/>
      <c r="I89" s="28"/>
      <c r="J89" s="37"/>
      <c r="K89" s="28"/>
      <c r="L89" s="26"/>
      <c r="M89" s="26"/>
      <c r="N89" s="26"/>
      <c r="O89" s="26"/>
      <c r="P89" s="26"/>
      <c r="Q89" s="26"/>
      <c r="R89" s="26"/>
      <c r="S89" s="26"/>
      <c r="T89" s="26"/>
      <c r="U89" s="26"/>
      <c r="V89" s="26"/>
      <c r="W89" s="26"/>
      <c r="X89" s="26"/>
      <c r="Y89" s="26"/>
      <c r="Z89" s="26"/>
      <c r="AA89" s="105"/>
      <c r="AB89" s="221">
        <f>SUM(D89:AA89)</f>
        <v>0</v>
      </c>
      <c r="AC89" s="226" t="str">
        <f>CONCATENATE(IF(D90&gt;D89," * Repeat Test and Turned Positive Mobile Service Modality "&amp;$D$19&amp;" "&amp;$D$20&amp;" is more than Repeat Test Mobile Service Modality"&amp;CHAR(10),""),IF(E90&gt;E89," * Repeat Test and Turned Positive Mobile Service Modality "&amp;$D$19&amp;" "&amp;$E$20&amp;" is more than Repeat Test Mobile Service Modality"&amp;CHAR(10),""),IF(F90&gt;F89," * Repeat Test and Turned Positive Mobile Service Modality "&amp;$F$19&amp;" "&amp;$F$20&amp;" is more than Repeat Test Mobile Service Modality"&amp;CHAR(10),""),IF(G90&gt;G89," * Repeat Test and Turned Positive Mobile Service Modality "&amp;$F$19&amp;" "&amp;$G$20&amp;" is more than Repeat Test Mobile Service Modality"&amp;CHAR(10),""),IF(H90&gt;H89," * Repeat Test and Turned Positive Mobile Service Modality "&amp;$H$19&amp;" "&amp;$H$20&amp;" is more than Repeat Test Mobile Service Modality"&amp;CHAR(10),""),IF(I90&gt;I89," * Repeat Test and Turned Positive Mobile Service Modality "&amp;$H$19&amp;" "&amp;$I$20&amp;" is more than Repeat Test Mobile Service Modality"&amp;CHAR(10),""),IF(J90&gt;J89," * Repeat Test and Turned Positive Mobile Service Modality "&amp;$J$19&amp;" "&amp;$J$20&amp;" is more than Repeat Test Mobile Service Modality"&amp;CHAR(10),""),IF(K90&gt;K89," * Repeat Test and Turned Positive Mobile Service Modality "&amp;$J$19&amp;" "&amp;$K$20&amp;" is more than Repeat Test Mobile Service Modality"&amp;CHAR(10),""),IF(L90&gt;L89," * Repeat Test and Turned Positive Mobile Service Modality "&amp;$L$19&amp;" "&amp;$L$20&amp;" is more than Repeat Test Mobile Service Modality"&amp;CHAR(10),""),IF(M90&gt;M89," * Repeat Test and Turned Positive Mobile Service Modality "&amp;$L$19&amp;" "&amp;$M$20&amp;" is more than Repeat Test Mobile Service Modality"&amp;CHAR(10),""),IF(N90&gt;N89," * Repeat Test and Turned Positive Mobile Service Modality "&amp;$N$19&amp;" "&amp;$N$20&amp;" is more than Repeat Test Mobile Service Modality"&amp;CHAR(10),""),IF(O90&gt;O89," * Repeat Test and Turned Positive Mobile Service Modality "&amp;$N$19&amp;" "&amp;$O$20&amp;" is more than Repeat Test Mobile Service Modality"&amp;CHAR(10),""),IF(P90&gt;P89," * Repeat Test and Turned Positive Mobile Service Modality "&amp;$P$19&amp;" "&amp;$P$20&amp;" is more than Repeat Test Mobile Service Modality"&amp;CHAR(10),""),IF(Q90&gt;Q89," * Repeat Test and Turned Positive Mobile Service Modality "&amp;$P$19&amp;" "&amp;$Q$20&amp;" is more than Repeat Test Mobile Service Modality"&amp;CHAR(10),""),IF(R90&gt;R89," * Repeat Test and Turned Positive Mobile Service Modality "&amp;$R$19&amp;" "&amp;$R$20&amp;" is more than Repeat Test Mobile Service Modality"&amp;CHAR(10),""),IF(S90&gt;S89," * Repeat Test and Turned Positive Mobile Service Modality "&amp;$R$19&amp;" "&amp;$S$20&amp;" is more than Repeat Test Mobile Service Modality"&amp;CHAR(10),""),IF(T90&gt;T89," * Repeat Test and Turned Positive Mobile Service Modality "&amp;$T$19&amp;" "&amp;$T$20&amp;" is more than Repeat Test Mobile Service Modality"&amp;CHAR(10),""),IF(U90&gt;U89," * Repeat Test and Turned Positive Mobile Service Modality "&amp;$T$19&amp;" "&amp;$U$20&amp;" is more than Repeat Test Mobile Service Modality"&amp;CHAR(10),""),IF(V90&gt;V89," * Repeat Test and Turned Positive Mobile Service Modality "&amp;$V$19&amp;" "&amp;$V$20&amp;" is more than Repeat Test Mobile Service Modality"&amp;CHAR(10),""),IF(W90&gt;W89," * Repeat Test and Turned Positive Mobile Service Modality "&amp;$V$19&amp;" "&amp;$W$20&amp;" is more than Repeat Test Mobile Service Modality"&amp;CHAR(10),""),IF(X90&gt;X89," * Repeat Test and Turned Positive Mobile Service Modality "&amp;$X$19&amp;" "&amp;$X$20&amp;" is more than Repeat Test Mobile Service Modality"&amp;CHAR(10),""),IF(Y90&gt;Y89," * Repeat Test and Turned Positive Mobile Service Modality "&amp;$X$19&amp;" "&amp;$Y$20&amp;" is more than Repeat Test Mobile Service Modality"&amp;CHAR(10),""),IF(Z90&gt;Z89," * Repeat Test and Turned Positive Mobile Service Modality "&amp;$Z$19&amp;" "&amp;$Z$20&amp;" is more than Repeat Test Mobile Service Modality"&amp;CHAR(10),""),IF(AA90&gt;AA89," * Repeat Test and Turned Positive Mobile Service Modality "&amp;$Z$19&amp;" "&amp;$AA$20&amp;" is more than Repeat Test Mobile Service Modality"&amp;CHAR(10),""))</f>
        <v/>
      </c>
      <c r="AD89" s="461"/>
      <c r="AE89" s="125"/>
      <c r="AF89" s="459"/>
      <c r="AG89" s="108">
        <v>60</v>
      </c>
    </row>
    <row r="90" spans="1:33" s="4" customFormat="1" ht="38.25" customHeight="1" thickBot="1" x14ac:dyDescent="0.5">
      <c r="A90" s="428"/>
      <c r="B90" s="218" t="s">
        <v>655</v>
      </c>
      <c r="C90" s="198" t="s">
        <v>287</v>
      </c>
      <c r="D90" s="97"/>
      <c r="E90" s="98"/>
      <c r="F90" s="97"/>
      <c r="G90" s="98"/>
      <c r="H90" s="97"/>
      <c r="I90" s="98"/>
      <c r="J90" s="97"/>
      <c r="K90" s="98"/>
      <c r="L90" s="32"/>
      <c r="M90" s="32"/>
      <c r="N90" s="32"/>
      <c r="O90" s="32"/>
      <c r="P90" s="32"/>
      <c r="Q90" s="32"/>
      <c r="R90" s="32"/>
      <c r="S90" s="32"/>
      <c r="T90" s="32"/>
      <c r="U90" s="32"/>
      <c r="V90" s="32"/>
      <c r="W90" s="32"/>
      <c r="X90" s="32"/>
      <c r="Y90" s="32"/>
      <c r="Z90" s="32"/>
      <c r="AA90" s="104"/>
      <c r="AB90" s="220">
        <f t="shared" ref="AB90:AB96" si="33">SUM(D90:AA90)</f>
        <v>0</v>
      </c>
      <c r="AC90" s="225"/>
      <c r="AD90" s="461"/>
      <c r="AE90" s="122"/>
      <c r="AF90" s="459"/>
      <c r="AG90" s="108">
        <v>61</v>
      </c>
    </row>
    <row r="91" spans="1:33" s="4" customFormat="1" ht="38.25" customHeight="1" x14ac:dyDescent="0.45">
      <c r="A91" s="426" t="s">
        <v>105</v>
      </c>
      <c r="B91" s="200" t="s">
        <v>653</v>
      </c>
      <c r="C91" s="192" t="s">
        <v>288</v>
      </c>
      <c r="D91" s="37"/>
      <c r="E91" s="28"/>
      <c r="F91" s="37"/>
      <c r="G91" s="28"/>
      <c r="H91" s="37"/>
      <c r="I91" s="28"/>
      <c r="J91" s="37"/>
      <c r="K91" s="28"/>
      <c r="L91" s="9"/>
      <c r="M91" s="9"/>
      <c r="N91" s="9"/>
      <c r="O91" s="9"/>
      <c r="P91" s="9"/>
      <c r="Q91" s="9"/>
      <c r="R91" s="9"/>
      <c r="S91" s="9"/>
      <c r="T91" s="9"/>
      <c r="U91" s="9"/>
      <c r="V91" s="9"/>
      <c r="W91" s="9"/>
      <c r="X91" s="9"/>
      <c r="Y91" s="9"/>
      <c r="Z91" s="9"/>
      <c r="AA91" s="187"/>
      <c r="AB91" s="219">
        <f t="shared" si="33"/>
        <v>0</v>
      </c>
      <c r="AC91" s="225" t="str">
        <f>CONCATENATE(IF(D92&gt;D91," * Initial Test and Turned Positive VCT Service Modality "&amp;$D$19&amp;" "&amp;$D$20&amp;" is more than Initial Test VCT Service Modality"&amp;CHAR(10),""),IF(E92&gt;E91," * Initial Test and Turned Positive VCT Service Modality "&amp;$D$19&amp;" "&amp;$E$20&amp;" is more than Initial Test VCT Service Modality"&amp;CHAR(10),""),IF(F92&gt;F91," * Initial Test and Turned Positive VCT Service Modality "&amp;$F$19&amp;" "&amp;$F$20&amp;" is more than Initial Test VCT Service Modality"&amp;CHAR(10),""),IF(G92&gt;G91," * Initial Test and Turned Positive VCT Service Modality "&amp;$F$19&amp;" "&amp;$G$20&amp;" is more than Initial Test VCT Service Modality"&amp;CHAR(10),""),IF(H92&gt;H91," * Initial Test and Turned Positive VCT Service Modality "&amp;$H$19&amp;" "&amp;$H$20&amp;" is more than Initial Test VCT Service Modality"&amp;CHAR(10),""),IF(I92&gt;I91," * Initial Test and Turned Positive VCT Service Modality "&amp;$H$19&amp;" "&amp;$I$20&amp;" is more than Initial Test VCT Service Modality"&amp;CHAR(10),""),IF(J92&gt;J91," * Initial Test and Turned Positive VCT Service Modality "&amp;$J$19&amp;" "&amp;$J$20&amp;" is more than Initial Test VCT Service Modality"&amp;CHAR(10),""),IF(K92&gt;K91," * Initial Test and Turned Positive VCT Service Modality "&amp;$J$19&amp;" "&amp;$K$20&amp;" is more than Initial Test VCT Service Modality"&amp;CHAR(10),""),IF(L92&gt;L91," * Initial Test and Turned Positive VCT Service Modality "&amp;$L$19&amp;" "&amp;$L$20&amp;" is more than Initial Test VCT Service Modality"&amp;CHAR(10),""),IF(M92&gt;M91," * Initial Test and Turned Positive VCT Service Modality "&amp;$L$19&amp;" "&amp;$M$20&amp;" is more than Initial Test VCT Service Modality"&amp;CHAR(10),""),IF(N92&gt;N91," * Initial Test and Turned Positive VCT Service Modality "&amp;$N$19&amp;" "&amp;$N$20&amp;" is more than Initial Test VCT Service Modality"&amp;CHAR(10),""),IF(O92&gt;O91," * Initial Test and Turned Positive VCT Service Modality "&amp;$N$19&amp;" "&amp;$O$20&amp;" is more than Initial Test VCT Service Modality"&amp;CHAR(10),""),IF(P92&gt;P91," * Initial Test and Turned Positive VCT Service Modality "&amp;$P$19&amp;" "&amp;$P$20&amp;" is more than Initial Test VCT Service Modality"&amp;CHAR(10),""),IF(Q92&gt;Q91," * Initial Test and Turned Positive VCT Service Modality "&amp;$P$19&amp;" "&amp;$Q$20&amp;" is more than Initial Test VCT Service Modality"&amp;CHAR(10),""),IF(R92&gt;R91," * Initial Test and Turned Positive VCT Service Modality "&amp;$R$19&amp;" "&amp;$R$20&amp;" is more than Initial Test VCT Service Modality"&amp;CHAR(10),""),IF(S92&gt;S91," * Initial Test and Turned Positive VCT Service Modality "&amp;$R$19&amp;" "&amp;$S$20&amp;" is more than Initial Test VCT Service Modality"&amp;CHAR(10),""),IF(T92&gt;T91," * Initial Test and Turned Positive VCT Service Modality "&amp;$T$19&amp;" "&amp;$T$20&amp;" is more than Initial Test VCT Service Modality"&amp;CHAR(10),""),IF(U92&gt;U91," * Initial Test and Turned Positive VCT Service Modality "&amp;$T$19&amp;" "&amp;$U$20&amp;" is more than Initial Test VCT Service Modality"&amp;CHAR(10),""),IF(V92&gt;V91," * Initial Test and Turned Positive VCT Service Modality "&amp;$V$19&amp;" "&amp;$V$20&amp;" is more than Initial Test VCT Service Modality"&amp;CHAR(10),""),IF(W92&gt;W91," * Initial Test and Turned Positive VCT Service Modality "&amp;$V$19&amp;" "&amp;$W$20&amp;" is more than Initial Test VCT Service Modality"&amp;CHAR(10),""),IF(X92&gt;X91," * Initial Test and Turned Positive VCT Service Modality "&amp;$X$19&amp;" "&amp;$X$20&amp;" is more than Initial Test VCT Service Modality"&amp;CHAR(10),""),IF(Y92&gt;Y91," * Initial Test and Turned Positive VCT Service Modality "&amp;$X$19&amp;" "&amp;$Y$20&amp;" is more than Initial Test VCT Service Modality"&amp;CHAR(10),""),IF(Z92&gt;Z91," * Initial Test and Turned Positive VCT Service Modality "&amp;$Z$19&amp;" "&amp;$Z$20&amp;" is more than Initial Test VCT Service Modality"&amp;CHAR(10),""),IF(AA92&gt;AA91," * Initial Test and Turned Positive VCT Service Modality "&amp;$Z$19&amp;" "&amp;$AA$20&amp;" is more than Initial Test VCT Service Modality"&amp;CHAR(10),""))</f>
        <v/>
      </c>
      <c r="AD91" s="461"/>
      <c r="AE91" s="121"/>
      <c r="AF91" s="459"/>
      <c r="AG91" s="108">
        <v>62</v>
      </c>
    </row>
    <row r="92" spans="1:33" s="4" customFormat="1" ht="38.25" customHeight="1" thickBot="1" x14ac:dyDescent="0.5">
      <c r="A92" s="427"/>
      <c r="B92" s="201" t="s">
        <v>654</v>
      </c>
      <c r="C92" s="198" t="s">
        <v>289</v>
      </c>
      <c r="D92" s="97"/>
      <c r="E92" s="98"/>
      <c r="F92" s="97"/>
      <c r="G92" s="98"/>
      <c r="H92" s="97"/>
      <c r="I92" s="98"/>
      <c r="J92" s="97"/>
      <c r="K92" s="98"/>
      <c r="L92" s="10"/>
      <c r="M92" s="10"/>
      <c r="N92" s="10"/>
      <c r="O92" s="10"/>
      <c r="P92" s="10"/>
      <c r="Q92" s="10"/>
      <c r="R92" s="10"/>
      <c r="S92" s="10"/>
      <c r="T92" s="10"/>
      <c r="U92" s="10"/>
      <c r="V92" s="10"/>
      <c r="W92" s="10"/>
      <c r="X92" s="10"/>
      <c r="Y92" s="10"/>
      <c r="Z92" s="10"/>
      <c r="AA92" s="188"/>
      <c r="AB92" s="220">
        <f t="shared" si="33"/>
        <v>0</v>
      </c>
      <c r="AC92" s="225"/>
      <c r="AD92" s="461"/>
      <c r="AE92" s="121"/>
      <c r="AF92" s="459"/>
      <c r="AG92" s="108">
        <v>63</v>
      </c>
    </row>
    <row r="93" spans="1:33" s="4" customFormat="1" ht="38.25" customHeight="1" x14ac:dyDescent="0.45">
      <c r="A93" s="427"/>
      <c r="B93" s="217" t="s">
        <v>652</v>
      </c>
      <c r="C93" s="192" t="s">
        <v>290</v>
      </c>
      <c r="D93" s="37"/>
      <c r="E93" s="28"/>
      <c r="F93" s="37"/>
      <c r="G93" s="28"/>
      <c r="H93" s="37"/>
      <c r="I93" s="28"/>
      <c r="J93" s="37"/>
      <c r="K93" s="28"/>
      <c r="L93" s="9"/>
      <c r="M93" s="9"/>
      <c r="N93" s="9"/>
      <c r="O93" s="9"/>
      <c r="P93" s="9"/>
      <c r="Q93" s="9"/>
      <c r="R93" s="9"/>
      <c r="S93" s="9"/>
      <c r="T93" s="9"/>
      <c r="U93" s="9"/>
      <c r="V93" s="9"/>
      <c r="W93" s="9"/>
      <c r="X93" s="9"/>
      <c r="Y93" s="9"/>
      <c r="Z93" s="9"/>
      <c r="AA93" s="187"/>
      <c r="AB93" s="219">
        <f t="shared" ref="AB93:AB94" si="34">SUM(D93:AA93)</f>
        <v>0</v>
      </c>
      <c r="AC93" s="225" t="str">
        <f>CONCATENATE(IF(D94&gt;D93," * Repeat Test and Turned Positive VCT Service Modality "&amp;$D$19&amp;" "&amp;$D$20&amp;" is more than Repeat Test VCT Service Modality"&amp;CHAR(10),""),IF(E94&gt;E93," * Repeat Test and Turned Positive VCT Service Modality "&amp;$D$19&amp;" "&amp;$E$20&amp;" is more than Repeat Test VCT Service Modality"&amp;CHAR(10),""),IF(F94&gt;F93," * Repeat Test and Turned Positive VCT Service Modality "&amp;$F$19&amp;" "&amp;$F$20&amp;" is more than Repeat Test VCT Service Modality"&amp;CHAR(10),""),IF(G94&gt;G93," * Repeat Test and Turned Positive VCT Service Modality "&amp;$F$19&amp;" "&amp;$G$20&amp;" is more than Repeat Test VCT Service Modality"&amp;CHAR(10),""),IF(H94&gt;H93," * Repeat Test and Turned Positive VCT Service Modality "&amp;$H$19&amp;" "&amp;$H$20&amp;" is more than Repeat Test VCT Service Modality"&amp;CHAR(10),""),IF(I94&gt;I93," * Repeat Test and Turned Positive VCT Service Modality "&amp;$H$19&amp;" "&amp;$I$20&amp;" is more than Repeat Test VCT Service Modality"&amp;CHAR(10),""),IF(J94&gt;J93," * Repeat Test and Turned Positive VCT Service Modality "&amp;$J$19&amp;" "&amp;$J$20&amp;" is more than Repeat Test VCT Service Modality"&amp;CHAR(10),""),IF(K94&gt;K93," * Repeat Test and Turned Positive VCT Service Modality "&amp;$J$19&amp;" "&amp;$K$20&amp;" is more than Repeat Test VCT Service Modality"&amp;CHAR(10),""),IF(L94&gt;L93," * Repeat Test and Turned Positive VCT Service Modality "&amp;$L$19&amp;" "&amp;$L$20&amp;" is more than Repeat Test VCT Service Modality"&amp;CHAR(10),""),IF(M94&gt;M93," * Repeat Test and Turned Positive VCT Service Modality "&amp;$L$19&amp;" "&amp;$M$20&amp;" is more than Repeat Test VCT Service Modality"&amp;CHAR(10),""),IF(N94&gt;N93," * Repeat Test and Turned Positive VCT Service Modality "&amp;$N$19&amp;" "&amp;$N$20&amp;" is more than Repeat Test VCT Service Modality"&amp;CHAR(10),""),IF(O94&gt;O93," * Repeat Test and Turned Positive VCT Service Modality "&amp;$N$19&amp;" "&amp;$O$20&amp;" is more than Repeat Test VCT Service Modality"&amp;CHAR(10),""),IF(P94&gt;P93," * Repeat Test and Turned Positive VCT Service Modality "&amp;$P$19&amp;" "&amp;$P$20&amp;" is more than Repeat Test VCT Service Modality"&amp;CHAR(10),""),IF(Q94&gt;Q93," * Repeat Test and Turned Positive VCT Service Modality "&amp;$P$19&amp;" "&amp;$Q$20&amp;" is more than Repeat Test VCT Service Modality"&amp;CHAR(10),""),IF(R94&gt;R93," * Repeat Test and Turned Positive VCT Service Modality "&amp;$R$19&amp;" "&amp;$R$20&amp;" is more than Repeat Test VCT Service Modality"&amp;CHAR(10),""),IF(S94&gt;S93," * Repeat Test and Turned Positive VCT Service Modality "&amp;$R$19&amp;" "&amp;$S$20&amp;" is more than Repeat Test VCT Service Modality"&amp;CHAR(10),""),IF(T94&gt;T93," * Repeat Test and Turned Positive VCT Service Modality "&amp;$T$19&amp;" "&amp;$T$20&amp;" is more than Repeat Test VCT Service Modality"&amp;CHAR(10),""),IF(U94&gt;U93," * Repeat Test and Turned Positive VCT Service Modality "&amp;$T$19&amp;" "&amp;$U$20&amp;" is more than Repeat Test VCT Service Modality"&amp;CHAR(10),""),IF(V94&gt;V93," * Repeat Test and Turned Positive VCT Service Modality "&amp;$V$19&amp;" "&amp;$V$20&amp;" is more than Repeat Test VCT Service Modality"&amp;CHAR(10),""),IF(W94&gt;W93," * Repeat Test and Turned Positive VCT Service Modality "&amp;$V$19&amp;" "&amp;$W$20&amp;" is more than Repeat Test VCT Service Modality"&amp;CHAR(10),""),IF(X94&gt;X93," * Repeat Test and Turned Positive VCT Service Modality "&amp;$X$19&amp;" "&amp;$X$20&amp;" is more than Repeat Test VCT Service Modality"&amp;CHAR(10),""),IF(Y94&gt;Y93," * Repeat Test and Turned Positive VCT Service Modality "&amp;$X$19&amp;" "&amp;$Y$20&amp;" is more than Repeat Test VCT Service Modality"&amp;CHAR(10),""),IF(Z94&gt;Z93," * Repeat Test and Turned Positive VCT Service Modality "&amp;$Z$19&amp;" "&amp;$Z$20&amp;" is more than Repeat Test VCT Service Modality"&amp;CHAR(10),""),IF(AA94&gt;AA93," * Repeat Test and Turned Positive VCT Service Modality "&amp;$Z$19&amp;" "&amp;$AA$20&amp;" is more than Repeat Test VCT Service Modality"&amp;CHAR(10),""))</f>
        <v/>
      </c>
      <c r="AD93" s="461"/>
      <c r="AE93" s="121"/>
      <c r="AF93" s="459"/>
      <c r="AG93" s="108">
        <v>62</v>
      </c>
    </row>
    <row r="94" spans="1:33" s="4" customFormat="1" ht="38.25" customHeight="1" thickBot="1" x14ac:dyDescent="0.5">
      <c r="A94" s="428"/>
      <c r="B94" s="218" t="s">
        <v>655</v>
      </c>
      <c r="C94" s="198" t="s">
        <v>291</v>
      </c>
      <c r="D94" s="97"/>
      <c r="E94" s="98"/>
      <c r="F94" s="97"/>
      <c r="G94" s="98"/>
      <c r="H94" s="97"/>
      <c r="I94" s="98"/>
      <c r="J94" s="97"/>
      <c r="K94" s="98"/>
      <c r="L94" s="10"/>
      <c r="M94" s="10"/>
      <c r="N94" s="10"/>
      <c r="O94" s="10"/>
      <c r="P94" s="10"/>
      <c r="Q94" s="10"/>
      <c r="R94" s="10"/>
      <c r="S94" s="10"/>
      <c r="T94" s="10"/>
      <c r="U94" s="10"/>
      <c r="V94" s="10"/>
      <c r="W94" s="10"/>
      <c r="X94" s="10"/>
      <c r="Y94" s="10"/>
      <c r="Z94" s="10"/>
      <c r="AA94" s="188"/>
      <c r="AB94" s="220">
        <f t="shared" si="34"/>
        <v>0</v>
      </c>
      <c r="AC94" s="225"/>
      <c r="AD94" s="461"/>
      <c r="AE94" s="121"/>
      <c r="AF94" s="459"/>
      <c r="AG94" s="108">
        <v>63</v>
      </c>
    </row>
    <row r="95" spans="1:33" s="126" customFormat="1" ht="38.25" customHeight="1" x14ac:dyDescent="0.45">
      <c r="A95" s="426" t="s">
        <v>106</v>
      </c>
      <c r="B95" s="200" t="s">
        <v>653</v>
      </c>
      <c r="C95" s="192" t="s">
        <v>292</v>
      </c>
      <c r="D95" s="37"/>
      <c r="E95" s="28"/>
      <c r="F95" s="37"/>
      <c r="G95" s="28"/>
      <c r="H95" s="37"/>
      <c r="I95" s="28"/>
      <c r="J95" s="37"/>
      <c r="K95" s="28"/>
      <c r="L95" s="8"/>
      <c r="M95" s="8"/>
      <c r="N95" s="8"/>
      <c r="O95" s="8"/>
      <c r="P95" s="8"/>
      <c r="Q95" s="8"/>
      <c r="R95" s="8"/>
      <c r="S95" s="8"/>
      <c r="T95" s="8"/>
      <c r="U95" s="8"/>
      <c r="V95" s="8"/>
      <c r="W95" s="8"/>
      <c r="X95" s="8"/>
      <c r="Y95" s="8"/>
      <c r="Z95" s="8"/>
      <c r="AA95" s="189"/>
      <c r="AB95" s="219">
        <f t="shared" si="33"/>
        <v>0</v>
      </c>
      <c r="AC95" s="225" t="str">
        <f>CONCATENATE(IF(D96&gt;D95," *Initial Test and Turned Positive  Other Service Modality "&amp;$D$19&amp;" "&amp;$D$20&amp;" is more than Initial Test Other Service Modality"&amp;CHAR(10),""),IF(E96&gt;E95," *Initial Test and Turned Positive  Other Service Modality "&amp;$D$19&amp;" "&amp;$E$20&amp;" is more than Initial Test Other Service Modality"&amp;CHAR(10),""),IF(F96&gt;F95," *Initial Test and Turned Positive  Other Service Modality "&amp;$F$19&amp;" "&amp;$F$20&amp;" is more than Initial Test Other Service Modality"&amp;CHAR(10),""),IF(G96&gt;G95," *Initial Test and Turned Positive  Other Service Modality "&amp;$F$19&amp;" "&amp;$G$20&amp;" is more than Initial Test Other Service Modality"&amp;CHAR(10),""),IF(H96&gt;H95," *Initial Test and Turned Positive  Other Service Modality "&amp;$H$19&amp;" "&amp;$H$20&amp;" is more than Initial Test Other Service Modality"&amp;CHAR(10),""),IF(I96&gt;I95," *Initial Test and Turned Positive  Other Service Modality "&amp;$H$19&amp;" "&amp;$I$20&amp;" is more than Initial Test Other Service Modality"&amp;CHAR(10),""),IF(J96&gt;J95," *Initial Test and Turned Positive  Other Service Modality "&amp;$J$19&amp;" "&amp;$J$20&amp;" is more than Initial Test Other Service Modality"&amp;CHAR(10),""),IF(K96&gt;K95," *Initial Test and Turned Positive  Other Service Modality "&amp;$J$19&amp;" "&amp;$K$20&amp;" is more than Initial Test Other Service Modality"&amp;CHAR(10),""),IF(L96&gt;L95," *Initial Test and Turned Positive  Other Service Modality "&amp;$L$19&amp;" "&amp;$L$20&amp;" is more than Initial Test Other Service Modality"&amp;CHAR(10),""),IF(M96&gt;M95," *Initial Test and Turned Positive  Other Service Modality "&amp;$L$19&amp;" "&amp;$M$20&amp;" is more than Initial Test Other Service Modality"&amp;CHAR(10),""),IF(N96&gt;N95," *Initial Test and Turned Positive  Other Service Modality "&amp;$N$19&amp;" "&amp;$N$20&amp;" is more than Initial Test Other Service Modality"&amp;CHAR(10),""),IF(O96&gt;O95," *Initial Test and Turned Positive  Other Service Modality "&amp;$N$19&amp;" "&amp;$O$20&amp;" is more than Initial Test Other Service Modality"&amp;CHAR(10),""),IF(P96&gt;P95," *Initial Test and Turned Positive  Other Service Modality "&amp;$P$19&amp;" "&amp;$P$20&amp;" is more than Initial Test Other Service Modality"&amp;CHAR(10),""),IF(Q96&gt;Q95," *Initial Test and Turned Positive  Other Service Modality "&amp;$P$19&amp;" "&amp;$Q$20&amp;" is more than Initial Test Other Service Modality"&amp;CHAR(10),""),IF(R96&gt;R95," *Initial Test and Turned Positive  Other Service Modality "&amp;$R$19&amp;" "&amp;$R$20&amp;" is more than Initial Test Other Service Modality"&amp;CHAR(10),""),IF(S96&gt;S95," *Initial Test and Turned Positive  Other Service Modality "&amp;$R$19&amp;" "&amp;$S$20&amp;" is more than Initial Test Other Service Modality"&amp;CHAR(10),""),IF(T96&gt;T95," *Initial Test and Turned Positive  Other Service Modality "&amp;$T$19&amp;" "&amp;$T$20&amp;" is more than Initial Test Other Service Modality"&amp;CHAR(10),""),IF(U96&gt;U95," *Initial Test and Turned Positive  Other Service Modality "&amp;$T$19&amp;" "&amp;$U$20&amp;" is more than Initial Test Other Service Modality"&amp;CHAR(10),""),IF(V96&gt;V95," *Initial Test and Turned Positive  Other Service Modality "&amp;$V$19&amp;" "&amp;$V$20&amp;" is more than Initial Test Other Service Modality"&amp;CHAR(10),""),IF(W96&gt;W95," *Initial Test and Turned Positive  Other Service Modality "&amp;$V$19&amp;" "&amp;$W$20&amp;" is more than Initial Test Other Service Modality"&amp;CHAR(10),""),IF(X96&gt;X95," *Initial Test and Turned Positive  Other Service Modality "&amp;$X$19&amp;" "&amp;$X$20&amp;" is more than Initial Test Other Service Modality"&amp;CHAR(10),""),IF(Y96&gt;Y95," *Initial Test and Turned Positive  Other Service Modality "&amp;$X$19&amp;" "&amp;$Y$20&amp;" is more than Initial Test Other Service Modality"&amp;CHAR(10),""),IF(Z96&gt;Z95," *Initial Test and Turned Positive  Other Service Modality "&amp;$Z$19&amp;" "&amp;$Z$20&amp;" is more than Initial Test Other Service Modality"&amp;CHAR(10),""),IF(AA96&gt;AA95," *Initial Test and Turned Positive  Other Service Modality "&amp;$Z$19&amp;" "&amp;$AA$20&amp;" is more than Initial Test Other Service Modality"&amp;CHAR(10),""))</f>
        <v/>
      </c>
      <c r="AD95" s="461"/>
      <c r="AE95" s="121"/>
      <c r="AF95" s="459"/>
      <c r="AG95" s="108">
        <v>64</v>
      </c>
    </row>
    <row r="96" spans="1:33" s="126" customFormat="1" ht="38.25" customHeight="1" thickBot="1" x14ac:dyDescent="0.5">
      <c r="A96" s="427"/>
      <c r="B96" s="201" t="s">
        <v>654</v>
      </c>
      <c r="C96" s="198" t="s">
        <v>293</v>
      </c>
      <c r="D96" s="97"/>
      <c r="E96" s="98"/>
      <c r="F96" s="97"/>
      <c r="G96" s="98"/>
      <c r="H96" s="97"/>
      <c r="I96" s="98"/>
      <c r="J96" s="97"/>
      <c r="K96" s="98"/>
      <c r="L96" s="11"/>
      <c r="M96" s="11"/>
      <c r="N96" s="11"/>
      <c r="O96" s="11"/>
      <c r="P96" s="11"/>
      <c r="Q96" s="11"/>
      <c r="R96" s="11"/>
      <c r="S96" s="11"/>
      <c r="T96" s="11"/>
      <c r="U96" s="11"/>
      <c r="V96" s="11"/>
      <c r="W96" s="11"/>
      <c r="X96" s="11"/>
      <c r="Y96" s="11"/>
      <c r="Z96" s="11"/>
      <c r="AA96" s="190"/>
      <c r="AB96" s="220">
        <f t="shared" si="33"/>
        <v>0</v>
      </c>
      <c r="AC96" s="225"/>
      <c r="AD96" s="461"/>
      <c r="AE96" s="121"/>
      <c r="AF96" s="459"/>
      <c r="AG96" s="108">
        <v>65</v>
      </c>
    </row>
    <row r="97" spans="1:33" s="126" customFormat="1" ht="38.25" customHeight="1" x14ac:dyDescent="0.45">
      <c r="A97" s="427"/>
      <c r="B97" s="217" t="s">
        <v>652</v>
      </c>
      <c r="C97" s="192" t="s">
        <v>294</v>
      </c>
      <c r="D97" s="37"/>
      <c r="E97" s="28"/>
      <c r="F97" s="37"/>
      <c r="G97" s="28"/>
      <c r="H97" s="37"/>
      <c r="I97" s="28"/>
      <c r="J97" s="37"/>
      <c r="K97" s="28"/>
      <c r="L97" s="8"/>
      <c r="M97" s="8"/>
      <c r="N97" s="8"/>
      <c r="O97" s="8"/>
      <c r="P97" s="8"/>
      <c r="Q97" s="8"/>
      <c r="R97" s="8"/>
      <c r="S97" s="8"/>
      <c r="T97" s="8"/>
      <c r="U97" s="8"/>
      <c r="V97" s="8"/>
      <c r="W97" s="8"/>
      <c r="X97" s="8"/>
      <c r="Y97" s="8"/>
      <c r="Z97" s="8"/>
      <c r="AA97" s="189"/>
      <c r="AB97" s="219">
        <f t="shared" ref="AB97:AB98" si="35">SUM(D97:AA97)</f>
        <v>0</v>
      </c>
      <c r="AC97" s="225" t="str">
        <f>CONCATENATE(IF(D98&gt;D97," *Repeat Test and Turned Positive  Other Service Modality "&amp;$D$19&amp;" "&amp;$D$20&amp;" is more than Repeat Test Other Service Modality"&amp;CHAR(10),""),IF(E98&gt;E97," *Repeat Test and Turned Positive  Other Service Modality "&amp;$D$19&amp;" "&amp;$E$20&amp;" is more than Repeat Test Other Service Modality"&amp;CHAR(10),""),IF(F98&gt;F97," *Repeat Test and Turned Positive  Other Service Modality "&amp;$F$19&amp;" "&amp;$F$20&amp;" is more than Repeat Test Other Service Modality"&amp;CHAR(10),""),IF(G98&gt;G97," *Repeat Test and Turned Positive  Other Service Modality "&amp;$F$19&amp;" "&amp;$G$20&amp;" is more than Repeat Test Other Service Modality"&amp;CHAR(10),""),IF(H98&gt;H97," *Repeat Test and Turned Positive  Other Service Modality "&amp;$H$19&amp;" "&amp;$H$20&amp;" is more than Repeat Test Other Service Modality"&amp;CHAR(10),""),IF(I98&gt;I97," *Repeat Test and Turned Positive  Other Service Modality "&amp;$H$19&amp;" "&amp;$I$20&amp;" is more than Repeat Test Other Service Modality"&amp;CHAR(10),""),IF(J98&gt;J97," *Repeat Test and Turned Positive  Other Service Modality "&amp;$J$19&amp;" "&amp;$J$20&amp;" is more than Repeat Test Other Service Modality"&amp;CHAR(10),""),IF(K98&gt;K97," *Repeat Test and Turned Positive  Other Service Modality "&amp;$J$19&amp;" "&amp;$K$20&amp;" is more than Repeat Test Other Service Modality"&amp;CHAR(10),""),IF(L98&gt;L97," *Repeat Test and Turned Positive  Other Service Modality "&amp;$L$19&amp;" "&amp;$L$20&amp;" is more than Repeat Test Other Service Modality"&amp;CHAR(10),""),IF(M98&gt;M97," *Repeat Test and Turned Positive  Other Service Modality "&amp;$L$19&amp;" "&amp;$M$20&amp;" is more than Repeat Test Other Service Modality"&amp;CHAR(10),""),IF(N98&gt;N97," *Repeat Test and Turned Positive  Other Service Modality "&amp;$N$19&amp;" "&amp;$N$20&amp;" is more than Repeat Test Other Service Modality"&amp;CHAR(10),""),IF(O98&gt;O97," *Repeat Test and Turned Positive  Other Service Modality "&amp;$N$19&amp;" "&amp;$O$20&amp;" is more than Repeat Test Other Service Modality"&amp;CHAR(10),""),IF(P98&gt;P97," *Repeat Test and Turned Positive  Other Service Modality "&amp;$P$19&amp;" "&amp;$P$20&amp;" is more than Repeat Test Other Service Modality"&amp;CHAR(10),""),IF(Q98&gt;Q97," *Repeat Test and Turned Positive  Other Service Modality "&amp;$P$19&amp;" "&amp;$Q$20&amp;" is more than Repeat Test Other Service Modality"&amp;CHAR(10),""),IF(R98&gt;R97," *Repeat Test and Turned Positive  Other Service Modality "&amp;$R$19&amp;" "&amp;$R$20&amp;" is more than Repeat Test Other Service Modality"&amp;CHAR(10),""),IF(S98&gt;S97," *Repeat Test and Turned Positive  Other Service Modality "&amp;$R$19&amp;" "&amp;$S$20&amp;" is more than Repeat Test Other Service Modality"&amp;CHAR(10),""),IF(T98&gt;T97," *Repeat Test and Turned Positive  Other Service Modality "&amp;$T$19&amp;" "&amp;$T$20&amp;" is more than Repeat Test Other Service Modality"&amp;CHAR(10),""),IF(U98&gt;U97," *Repeat Test and Turned Positive  Other Service Modality "&amp;$T$19&amp;" "&amp;$U$20&amp;" is more than Repeat Test Other Service Modality"&amp;CHAR(10),""),IF(V98&gt;V97," *Repeat Test and Turned Positive  Other Service Modality "&amp;$V$19&amp;" "&amp;$V$20&amp;" is more than Repeat Test Other Service Modality"&amp;CHAR(10),""),IF(W98&gt;W97," *Repeat Test and Turned Positive  Other Service Modality "&amp;$V$19&amp;" "&amp;$W$20&amp;" is more than Repeat Test Other Service Modality"&amp;CHAR(10),""),IF(X98&gt;X97," *Repeat Test and Turned Positive  Other Service Modality "&amp;$X$19&amp;" "&amp;$X$20&amp;" is more than Repeat Test Other Service Modality"&amp;CHAR(10),""),IF(Y98&gt;Y97," *Repeat Test and Turned Positive  Other Service Modality "&amp;$X$19&amp;" "&amp;$Y$20&amp;" is more than Repeat Test Other Service Modality"&amp;CHAR(10),""),IF(Z98&gt;Z97," *Repeat Test and Turned Positive  Other Service Modality "&amp;$Z$19&amp;" "&amp;$Z$20&amp;" is more than Repeat Test Other Service Modality"&amp;CHAR(10),""),IF(AA98&gt;AA97," *Repeat Test and Turned Positive  Other Service Modality "&amp;$Z$19&amp;" "&amp;$AA$20&amp;" is more than Repeat Test Other Service Modality"&amp;CHAR(10),""))</f>
        <v/>
      </c>
      <c r="AD97" s="461"/>
      <c r="AE97" s="121"/>
      <c r="AF97" s="459"/>
      <c r="AG97" s="108">
        <v>64</v>
      </c>
    </row>
    <row r="98" spans="1:33" s="126" customFormat="1" ht="38.25" customHeight="1" thickBot="1" x14ac:dyDescent="0.5">
      <c r="A98" s="428"/>
      <c r="B98" s="218" t="s">
        <v>655</v>
      </c>
      <c r="C98" s="198" t="s">
        <v>295</v>
      </c>
      <c r="D98" s="95"/>
      <c r="E98" s="96"/>
      <c r="F98" s="95"/>
      <c r="G98" s="96"/>
      <c r="H98" s="95"/>
      <c r="I98" s="96"/>
      <c r="J98" s="95"/>
      <c r="K98" s="96"/>
      <c r="L98" s="302"/>
      <c r="M98" s="302"/>
      <c r="N98" s="302"/>
      <c r="O98" s="302"/>
      <c r="P98" s="302"/>
      <c r="Q98" s="302"/>
      <c r="R98" s="302"/>
      <c r="S98" s="302"/>
      <c r="T98" s="302"/>
      <c r="U98" s="302"/>
      <c r="V98" s="302"/>
      <c r="W98" s="302"/>
      <c r="X98" s="302"/>
      <c r="Y98" s="302"/>
      <c r="Z98" s="302"/>
      <c r="AA98" s="303"/>
      <c r="AB98" s="304">
        <f t="shared" si="35"/>
        <v>0</v>
      </c>
      <c r="AC98" s="225"/>
      <c r="AD98" s="461"/>
      <c r="AE98" s="121"/>
      <c r="AF98" s="459"/>
      <c r="AG98" s="108">
        <v>65</v>
      </c>
    </row>
    <row r="99" spans="1:33" s="126" customFormat="1" ht="38.25" customHeight="1" x14ac:dyDescent="0.45">
      <c r="A99" s="426" t="s">
        <v>656</v>
      </c>
      <c r="B99" s="243" t="s">
        <v>653</v>
      </c>
      <c r="C99" s="264" t="s">
        <v>296</v>
      </c>
      <c r="D99" s="305">
        <f>SUM(D83,D79,D75,D71,D67)</f>
        <v>0</v>
      </c>
      <c r="E99" s="306">
        <f t="shared" ref="E99:AB99" si="36">SUM(E83,E79,E75,E71,E67)</f>
        <v>0</v>
      </c>
      <c r="F99" s="306">
        <f t="shared" si="36"/>
        <v>0</v>
      </c>
      <c r="G99" s="306">
        <f t="shared" si="36"/>
        <v>0</v>
      </c>
      <c r="H99" s="306">
        <f t="shared" si="36"/>
        <v>0</v>
      </c>
      <c r="I99" s="306">
        <f t="shared" si="36"/>
        <v>0</v>
      </c>
      <c r="J99" s="306">
        <f t="shared" si="36"/>
        <v>0</v>
      </c>
      <c r="K99" s="306">
        <f t="shared" si="36"/>
        <v>0</v>
      </c>
      <c r="L99" s="306">
        <f t="shared" si="36"/>
        <v>0</v>
      </c>
      <c r="M99" s="306">
        <f t="shared" si="36"/>
        <v>0</v>
      </c>
      <c r="N99" s="306">
        <f t="shared" si="36"/>
        <v>0</v>
      </c>
      <c r="O99" s="306">
        <f t="shared" si="36"/>
        <v>0</v>
      </c>
      <c r="P99" s="306">
        <f t="shared" si="36"/>
        <v>0</v>
      </c>
      <c r="Q99" s="306">
        <f t="shared" si="36"/>
        <v>0</v>
      </c>
      <c r="R99" s="306">
        <f t="shared" si="36"/>
        <v>0</v>
      </c>
      <c r="S99" s="306">
        <f t="shared" si="36"/>
        <v>0</v>
      </c>
      <c r="T99" s="306">
        <f t="shared" si="36"/>
        <v>0</v>
      </c>
      <c r="U99" s="306">
        <f t="shared" si="36"/>
        <v>0</v>
      </c>
      <c r="V99" s="306">
        <f t="shared" si="36"/>
        <v>0</v>
      </c>
      <c r="W99" s="306">
        <f t="shared" si="36"/>
        <v>0</v>
      </c>
      <c r="X99" s="306">
        <f t="shared" si="36"/>
        <v>0</v>
      </c>
      <c r="Y99" s="306">
        <f t="shared" si="36"/>
        <v>0</v>
      </c>
      <c r="Z99" s="306">
        <f t="shared" si="36"/>
        <v>0</v>
      </c>
      <c r="AA99" s="307">
        <f t="shared" si="36"/>
        <v>0</v>
      </c>
      <c r="AB99" s="312">
        <f t="shared" si="36"/>
        <v>0</v>
      </c>
      <c r="AC99" s="129" t="str">
        <f>CONCATENATE(IF(D103&lt;&gt;D99," *Initial Test by KP Type "&amp;$D$19&amp;" "&amp;$D$20&amp;" is more than Initial Test by Modality"&amp;CHAR(10),""),IF(E103&lt;&gt;E99," *Initial Test by KP Type "&amp;$D$19&amp;" "&amp;$E$20&amp;" is more than Initial Test by Modality"&amp;CHAR(10),""),IF(F103&lt;&gt;F99," *Initial Test by KP Type "&amp;$F$19&amp;" "&amp;$F$20&amp;" is more than Initial Test by Modality"&amp;CHAR(10),""),IF(G103&lt;&gt;G99," *Initial Test by KP Type "&amp;$F$19&amp;" "&amp;$G$20&amp;" is more than Initial Test by Modality"&amp;CHAR(10),""),IF(H103&lt;&gt;H99," *Initial Test by KP Type "&amp;$H$19&amp;" "&amp;$H$20&amp;" is more than Initial Test by Modality"&amp;CHAR(10),""),IF(I103&lt;&gt;I99," *Initial Test by KP Type "&amp;$H$19&amp;" "&amp;$I$20&amp;" is more than Initial Test by Modality"&amp;CHAR(10),""),IF(J103&lt;&gt;J99," *Initial Test by KP Type "&amp;$J$19&amp;" "&amp;$J$20&amp;" is more than Initial Test by Modality"&amp;CHAR(10),""),IF(K103&lt;&gt;K99," *Initial Test by KP Type "&amp;$J$19&amp;" "&amp;$K$20&amp;" is more than Initial Test by Modality"&amp;CHAR(10),""),IF(L103&lt;&gt;L99," *Initial Test by KP Type "&amp;$L$19&amp;" "&amp;$L$20&amp;" is more than Initial Test by Modality"&amp;CHAR(10),""),IF(M103&lt;&gt;M99," *Initial Test by KP Type "&amp;$L$19&amp;" "&amp;$M$20&amp;" is more than Initial Test by Modality"&amp;CHAR(10),""),IF(N103&lt;&gt;N99," *Initial Test by KP Type "&amp;$N$19&amp;" "&amp;$N$20&amp;" is more than Initial Test by Modality"&amp;CHAR(10),""),IF(O103&lt;&gt;O99," *Initial Test by KP Type "&amp;$N$19&amp;" "&amp;$O$20&amp;" is more than Initial Test by Modality"&amp;CHAR(10),""),IF(P103&lt;&gt;P99," *Initial Test by KP Type "&amp;$P$19&amp;" "&amp;$P$20&amp;" is more than Initial Test by Modality"&amp;CHAR(10),""),IF(Q103&lt;&gt;Q99," *Initial Test by KP Type "&amp;$P$19&amp;" "&amp;$Q$20&amp;" is more than Initial Test by Modality"&amp;CHAR(10),""),IF(R103&lt;&gt;R99," *Initial Test by KP Type "&amp;$R$19&amp;" "&amp;$R$20&amp;" is more than Initial Test by Modality"&amp;CHAR(10),""),IF(S103&lt;&gt;S99," *Initial Test by KP Type "&amp;$R$19&amp;" "&amp;$S$20&amp;" is more than Initial Test by Modality"&amp;CHAR(10),""),IF(T103&lt;&gt;T99," *Initial Test by KP Type "&amp;$T$19&amp;" "&amp;$T$20&amp;" is more than Initial Test by Modality"&amp;CHAR(10),""),IF(U103&lt;&gt;U99," *Initial Test by KP Type "&amp;$T$19&amp;" "&amp;$U$20&amp;" is more than Initial Test by Modality"&amp;CHAR(10),""),IF(V103&lt;&gt;V99," *Initial Test by KP Type "&amp;$V$19&amp;" "&amp;$V$20&amp;" is more than Initial Test by Modality"&amp;CHAR(10),""),IF(W103&lt;&gt;W99," *Initial Test by KP Type "&amp;$V$19&amp;" "&amp;$W$20&amp;" is more than Initial Test by Modality"&amp;CHAR(10),""),IF(X103&lt;&gt;X99," *Initial Test by KP Type "&amp;$X$19&amp;" "&amp;$X$20&amp;" is more than Initial Test by Modality"&amp;CHAR(10),""),IF(Y103&lt;&gt;Y99," *Initial Test by KP Type "&amp;$X$19&amp;" "&amp;$Y$20&amp;" is more than Initial Test by Modality"&amp;CHAR(10),""),IF(Z103&lt;&gt;Z99," *Initial Test by KP Type "&amp;$Z$19&amp;" "&amp;$Z$20&amp;" is more than Initial Test by Modality"&amp;CHAR(10),""),IF(AA103&lt;&gt;AA99," *Initial Test by KP Type "&amp;$Z$19&amp;" "&amp;$AA$20&amp;" is more than Initial Test by Modality"&amp;CHAR(10),""))</f>
        <v/>
      </c>
      <c r="AD99" s="461"/>
      <c r="AE99" s="121"/>
      <c r="AF99" s="459"/>
      <c r="AG99" s="108">
        <v>64</v>
      </c>
    </row>
    <row r="100" spans="1:33" s="126" customFormat="1" ht="38.25" customHeight="1" thickBot="1" x14ac:dyDescent="0.5">
      <c r="A100" s="427"/>
      <c r="B100" s="244" t="s">
        <v>654</v>
      </c>
      <c r="C100" s="301" t="s">
        <v>297</v>
      </c>
      <c r="D100" s="308">
        <f>SUM(D84,D80,D76,D72,D68)</f>
        <v>0</v>
      </c>
      <c r="E100" s="309">
        <f t="shared" ref="E100:AB100" si="37">SUM(E84,E80,E76,E72,E68)</f>
        <v>0</v>
      </c>
      <c r="F100" s="309">
        <f t="shared" si="37"/>
        <v>0</v>
      </c>
      <c r="G100" s="309">
        <f t="shared" si="37"/>
        <v>0</v>
      </c>
      <c r="H100" s="309">
        <f t="shared" si="37"/>
        <v>0</v>
      </c>
      <c r="I100" s="309">
        <f t="shared" si="37"/>
        <v>0</v>
      </c>
      <c r="J100" s="309">
        <f t="shared" si="37"/>
        <v>0</v>
      </c>
      <c r="K100" s="309">
        <f t="shared" si="37"/>
        <v>0</v>
      </c>
      <c r="L100" s="309">
        <f t="shared" si="37"/>
        <v>0</v>
      </c>
      <c r="M100" s="309">
        <f t="shared" si="37"/>
        <v>0</v>
      </c>
      <c r="N100" s="309">
        <f t="shared" si="37"/>
        <v>0</v>
      </c>
      <c r="O100" s="309">
        <f t="shared" si="37"/>
        <v>0</v>
      </c>
      <c r="P100" s="309">
        <f t="shared" si="37"/>
        <v>0</v>
      </c>
      <c r="Q100" s="309">
        <f t="shared" si="37"/>
        <v>0</v>
      </c>
      <c r="R100" s="309">
        <f t="shared" si="37"/>
        <v>0</v>
      </c>
      <c r="S100" s="309">
        <f t="shared" si="37"/>
        <v>0</v>
      </c>
      <c r="T100" s="309">
        <f t="shared" si="37"/>
        <v>0</v>
      </c>
      <c r="U100" s="309">
        <f t="shared" si="37"/>
        <v>0</v>
      </c>
      <c r="V100" s="309">
        <f t="shared" si="37"/>
        <v>0</v>
      </c>
      <c r="W100" s="309">
        <f t="shared" si="37"/>
        <v>0</v>
      </c>
      <c r="X100" s="309">
        <f t="shared" si="37"/>
        <v>0</v>
      </c>
      <c r="Y100" s="309">
        <f t="shared" si="37"/>
        <v>0</v>
      </c>
      <c r="Z100" s="309">
        <f t="shared" si="37"/>
        <v>0</v>
      </c>
      <c r="AA100" s="310">
        <f t="shared" si="37"/>
        <v>0</v>
      </c>
      <c r="AB100" s="312">
        <f t="shared" si="37"/>
        <v>0</v>
      </c>
      <c r="AC100" s="129" t="str">
        <f>CONCATENATE(IF(D104&lt;&gt;D100," *Initial Test and turned positive by KP Type "&amp;$D$19&amp;" "&amp;$D$20&amp;" is more than Initial Test and turned positive by Modality"&amp;CHAR(10),""),IF(E104&lt;&gt;E100," *Initial Test and turned positive by KP Type "&amp;$D$19&amp;" "&amp;$E$20&amp;" is more than Initial Test and turned positive by Modality"&amp;CHAR(10),""),IF(F104&lt;&gt;F100," *Initial Test and turned positive by KP Type "&amp;$F$19&amp;" "&amp;$F$20&amp;" is more than Initial Test and turned positive by Modality"&amp;CHAR(10),""),IF(G104&lt;&gt;G100," *Initial Test and turned positive by KP Type "&amp;$F$19&amp;" "&amp;$G$20&amp;" is more than Initial Test and turned positive by Modality"&amp;CHAR(10),""),IF(H104&lt;&gt;H100," *Initial Test and turned positive by KP Type "&amp;$H$19&amp;" "&amp;$H$20&amp;" is more than Initial Test and turned positive by Modality"&amp;CHAR(10),""),IF(I104&lt;&gt;I100," *Initial Test and turned positive by KP Type "&amp;$H$19&amp;" "&amp;$I$20&amp;" is more than Initial Test and turned positive by Modality"&amp;CHAR(10),""),IF(J104&lt;&gt;J100," *Initial Test and turned positive by KP Type "&amp;$J$19&amp;" "&amp;$J$20&amp;" is more than Initial Test and turned positive by Modality"&amp;CHAR(10),""),IF(K104&lt;&gt;K100," *Initial Test and turned positive by KP Type "&amp;$J$19&amp;" "&amp;$K$20&amp;" is more than Initial Test and turned positive by Modality"&amp;CHAR(10),""),IF(L104&lt;&gt;L100," *Initial Test and turned positive by KP Type "&amp;$L$19&amp;" "&amp;$L$20&amp;" is more than Initial Test and turned positive by Modality"&amp;CHAR(10),""),IF(M104&lt;&gt;M100," *Initial Test and turned positive by KP Type "&amp;$L$19&amp;" "&amp;$M$20&amp;" is more than Initial Test and turned positive by Modality"&amp;CHAR(10),""),IF(N104&lt;&gt;N100," *Initial Test and turned positive by KP Type "&amp;$N$19&amp;" "&amp;$N$20&amp;" is more than Initial Test and turned positive by Modality"&amp;CHAR(10),""),IF(O104&lt;&gt;O100," *Initial Test and turned positive by KP Type "&amp;$N$19&amp;" "&amp;$O$20&amp;" is more than Initial Test and turned positive by Modality"&amp;CHAR(10),""),IF(P104&lt;&gt;P100," *Initial Test and turned positive by KP Type "&amp;$P$19&amp;" "&amp;$P$20&amp;" is more than Initial Test and turned positive by Modality"&amp;CHAR(10),""),IF(Q104&lt;&gt;Q100," *Initial Test and turned positive by KP Type "&amp;$P$19&amp;" "&amp;$Q$20&amp;" is more than Initial Test and turned positive by Modality"&amp;CHAR(10),""),IF(R104&lt;&gt;R100," *Initial Test and turned positive by KP Type "&amp;$R$19&amp;" "&amp;$R$20&amp;" is more than Initial Test and turned positive by Modality"&amp;CHAR(10),""),IF(S104&lt;&gt;S100," *Initial Test and turned positive by KP Type "&amp;$R$19&amp;" "&amp;$S$20&amp;" is more than Initial Test and turned positive by Modality"&amp;CHAR(10),""),IF(T104&lt;&gt;T100," *Initial Test and turned positive by KP Type "&amp;$T$19&amp;" "&amp;$T$20&amp;" is more than Initial Test and turned positive by Modality"&amp;CHAR(10),""),IF(U104&lt;&gt;U100," *Initial Test and turned positive by KP Type "&amp;$T$19&amp;" "&amp;$U$20&amp;" is more than Initial Test and turned positive by Modality"&amp;CHAR(10),""),IF(V104&lt;&gt;V100," *Initial Test and turned positive by KP Type "&amp;$V$19&amp;" "&amp;$V$20&amp;" is more than Initial Test and turned positive by Modality"&amp;CHAR(10),""),IF(W104&lt;&gt;W100," *Initial Test and turned positive by KP Type "&amp;$V$19&amp;" "&amp;$W$20&amp;" is more than Initial Test and turned positive by Modality"&amp;CHAR(10),""),IF(X104&lt;&gt;X100," *Initial Test and turned positive by KP Type "&amp;$X$19&amp;" "&amp;$X$20&amp;" is more than Initial Test and turned positive by Modality"&amp;CHAR(10),""),IF(Y104&lt;&gt;Y100," *Initial Test and turned positive by KP Type "&amp;$X$19&amp;" "&amp;$Y$20&amp;" is more than Initial Test and turned positive by Modality"&amp;CHAR(10),""),IF(Z104&lt;&gt;Z100," *Initial Test and turned positive by KP Type "&amp;$Z$19&amp;" "&amp;$Z$20&amp;" is more than Initial Test and turned positive by Modality"&amp;CHAR(10),""),IF(AA104&lt;&gt;AA100," *Initial Test and turned positive by KP Type "&amp;$Z$19&amp;" "&amp;$AA$20&amp;" is more than Initial Test and turned positive by Modality"&amp;CHAR(10),""))</f>
        <v/>
      </c>
      <c r="AD100" s="461"/>
      <c r="AE100" s="121"/>
      <c r="AF100" s="459"/>
      <c r="AG100" s="108">
        <v>65</v>
      </c>
    </row>
    <row r="101" spans="1:33" s="126" customFormat="1" ht="38.25" customHeight="1" x14ac:dyDescent="0.45">
      <c r="A101" s="427"/>
      <c r="B101" s="243" t="s">
        <v>652</v>
      </c>
      <c r="C101" s="264" t="s">
        <v>298</v>
      </c>
      <c r="D101" s="305">
        <f>SUM(D85,D81,D77,D73,D69)</f>
        <v>0</v>
      </c>
      <c r="E101" s="306">
        <f t="shared" ref="E101:AB101" si="38">SUM(E85,E81,E77,E73,E69)</f>
        <v>0</v>
      </c>
      <c r="F101" s="306">
        <f t="shared" si="38"/>
        <v>0</v>
      </c>
      <c r="G101" s="306">
        <f t="shared" si="38"/>
        <v>0</v>
      </c>
      <c r="H101" s="306">
        <f t="shared" si="38"/>
        <v>0</v>
      </c>
      <c r="I101" s="306">
        <f t="shared" si="38"/>
        <v>0</v>
      </c>
      <c r="J101" s="306">
        <f t="shared" si="38"/>
        <v>0</v>
      </c>
      <c r="K101" s="306">
        <f t="shared" si="38"/>
        <v>0</v>
      </c>
      <c r="L101" s="306">
        <f t="shared" si="38"/>
        <v>0</v>
      </c>
      <c r="M101" s="306">
        <f t="shared" si="38"/>
        <v>0</v>
      </c>
      <c r="N101" s="306">
        <f t="shared" si="38"/>
        <v>0</v>
      </c>
      <c r="O101" s="306">
        <f t="shared" si="38"/>
        <v>0</v>
      </c>
      <c r="P101" s="306">
        <f t="shared" si="38"/>
        <v>0</v>
      </c>
      <c r="Q101" s="306">
        <f t="shared" si="38"/>
        <v>0</v>
      </c>
      <c r="R101" s="306">
        <f t="shared" si="38"/>
        <v>0</v>
      </c>
      <c r="S101" s="306">
        <f t="shared" si="38"/>
        <v>0</v>
      </c>
      <c r="T101" s="306">
        <f t="shared" si="38"/>
        <v>0</v>
      </c>
      <c r="U101" s="306">
        <f t="shared" si="38"/>
        <v>0</v>
      </c>
      <c r="V101" s="306">
        <f t="shared" si="38"/>
        <v>0</v>
      </c>
      <c r="W101" s="306">
        <f t="shared" si="38"/>
        <v>0</v>
      </c>
      <c r="X101" s="306">
        <f t="shared" si="38"/>
        <v>0</v>
      </c>
      <c r="Y101" s="306">
        <f t="shared" si="38"/>
        <v>0</v>
      </c>
      <c r="Z101" s="306">
        <f t="shared" si="38"/>
        <v>0</v>
      </c>
      <c r="AA101" s="307">
        <f t="shared" si="38"/>
        <v>0</v>
      </c>
      <c r="AB101" s="312">
        <f t="shared" si="38"/>
        <v>0</v>
      </c>
      <c r="AC101" s="129" t="str">
        <f>CONCATENATE(IF(D105&lt;&gt;D101," *Repeat Test by KP Type "&amp;$D$19&amp;" "&amp;$D$20&amp;" is more than Repeat Test by Modality"&amp;CHAR(10),""),IF(E105&lt;&gt;E101," *Repeat Test by KP Type "&amp;$D$19&amp;" "&amp;$E$20&amp;" is more than Repeat Test by Modality"&amp;CHAR(10),""),IF(F105&lt;&gt;F101," *Repeat Test by KP Type "&amp;$F$19&amp;" "&amp;$F$20&amp;" is more than Repeat Test by Modality"&amp;CHAR(10),""),IF(G105&lt;&gt;G101," *Repeat Test by KP Type "&amp;$F$19&amp;" "&amp;$G$20&amp;" is more than Repeat Test by Modality"&amp;CHAR(10),""),IF(H105&lt;&gt;H101," *Repeat Test by KP Type "&amp;$H$19&amp;" "&amp;$H$20&amp;" is more than Repeat Test by Modality"&amp;CHAR(10),""),IF(I105&lt;&gt;I101," *Repeat Test by KP Type "&amp;$H$19&amp;" "&amp;$I$20&amp;" is more than Repeat Test by Modality"&amp;CHAR(10),""),IF(J105&lt;&gt;J101," *Repeat Test by KP Type "&amp;$J$19&amp;" "&amp;$J$20&amp;" is more than Repeat Test by Modality"&amp;CHAR(10),""),IF(K105&lt;&gt;K101," *Repeat Test by KP Type "&amp;$J$19&amp;" "&amp;$K$20&amp;" is more than Repeat Test by Modality"&amp;CHAR(10),""),IF(L105&lt;&gt;L101," *Repeat Test by KP Type "&amp;$L$19&amp;" "&amp;$L$20&amp;" is more than Repeat Test by Modality"&amp;CHAR(10),""),IF(M105&lt;&gt;M101," *Repeat Test by KP Type "&amp;$L$19&amp;" "&amp;$M$20&amp;" is more than Repeat Test by Modality"&amp;CHAR(10),""),IF(N105&lt;&gt;N101," *Repeat Test by KP Type "&amp;$N$19&amp;" "&amp;$N$20&amp;" is more than Repeat Test by Modality"&amp;CHAR(10),""),IF(O105&lt;&gt;O101," *Repeat Test by KP Type "&amp;$N$19&amp;" "&amp;$O$20&amp;" is more than Repeat Test by Modality"&amp;CHAR(10),""),IF(P105&lt;&gt;P101," *Repeat Test by KP Type "&amp;$P$19&amp;" "&amp;$P$20&amp;" is more than Repeat Test by Modality"&amp;CHAR(10),""),IF(Q105&lt;&gt;Q101," *Repeat Test by KP Type "&amp;$P$19&amp;" "&amp;$Q$20&amp;" is more than Repeat Test by Modality"&amp;CHAR(10),""),IF(R105&lt;&gt;R101," *Repeat Test by KP Type "&amp;$R$19&amp;" "&amp;$R$20&amp;" is more than Repeat Test by Modality"&amp;CHAR(10),""),IF(S105&lt;&gt;S101," *Repeat Test by KP Type "&amp;$R$19&amp;" "&amp;$S$20&amp;" is more than Repeat Test by Modality"&amp;CHAR(10),""),IF(T105&lt;&gt;T101," *Repeat Test by KP Type "&amp;$T$19&amp;" "&amp;$T$20&amp;" is more than Repeat Test by Modality"&amp;CHAR(10),""),IF(U105&lt;&gt;U101," *Repeat Test by KP Type "&amp;$T$19&amp;" "&amp;$U$20&amp;" is more than Repeat Test by Modality"&amp;CHAR(10),""),IF(V105&lt;&gt;V101," *Repeat Test by KP Type "&amp;$V$19&amp;" "&amp;$V$20&amp;" is more than Repeat Test by Modality"&amp;CHAR(10),""),IF(W105&lt;&gt;W101," *Repeat Test by KP Type "&amp;$V$19&amp;" "&amp;$W$20&amp;" is more than Repeat Test by Modality"&amp;CHAR(10),""),IF(X105&lt;&gt;X101," *Repeat Test by KP Type "&amp;$X$19&amp;" "&amp;$X$20&amp;" is more than Repeat Test by Modality"&amp;CHAR(10),""),IF(Y105&lt;&gt;Y101," *Repeat Test by KP Type "&amp;$X$19&amp;" "&amp;$Y$20&amp;" is more than Repeat Test by Modality"&amp;CHAR(10),""),IF(Z105&lt;&gt;Z101," *Repeat Test by KP Type "&amp;$Z$19&amp;" "&amp;$Z$20&amp;" is more than Repeat Test by Modality"&amp;CHAR(10),""),IF(AA105&lt;&gt;AA101," *Repeat Test by KP Type "&amp;$Z$19&amp;" "&amp;$AA$20&amp;" is more than Repeat Test by Modality"&amp;CHAR(10),""))</f>
        <v/>
      </c>
      <c r="AD101" s="461"/>
      <c r="AE101" s="121"/>
      <c r="AF101" s="459"/>
      <c r="AG101" s="108">
        <v>64</v>
      </c>
    </row>
    <row r="102" spans="1:33" s="126" customFormat="1" ht="38.25" customHeight="1" thickBot="1" x14ac:dyDescent="0.5">
      <c r="A102" s="428"/>
      <c r="B102" s="244" t="s">
        <v>655</v>
      </c>
      <c r="C102" s="301" t="s">
        <v>299</v>
      </c>
      <c r="D102" s="308">
        <f t="shared" ref="D102:AB102" si="39">SUM(D86,D82,D78,D74,D70)</f>
        <v>0</v>
      </c>
      <c r="E102" s="309">
        <f t="shared" si="39"/>
        <v>0</v>
      </c>
      <c r="F102" s="309">
        <f t="shared" si="39"/>
        <v>0</v>
      </c>
      <c r="G102" s="309">
        <f t="shared" si="39"/>
        <v>0</v>
      </c>
      <c r="H102" s="309">
        <f t="shared" si="39"/>
        <v>0</v>
      </c>
      <c r="I102" s="309">
        <f t="shared" si="39"/>
        <v>0</v>
      </c>
      <c r="J102" s="309">
        <f t="shared" si="39"/>
        <v>0</v>
      </c>
      <c r="K102" s="309">
        <f t="shared" si="39"/>
        <v>0</v>
      </c>
      <c r="L102" s="309">
        <f t="shared" si="39"/>
        <v>0</v>
      </c>
      <c r="M102" s="309">
        <f t="shared" si="39"/>
        <v>0</v>
      </c>
      <c r="N102" s="309">
        <f t="shared" si="39"/>
        <v>0</v>
      </c>
      <c r="O102" s="309">
        <f t="shared" si="39"/>
        <v>0</v>
      </c>
      <c r="P102" s="309">
        <f t="shared" si="39"/>
        <v>0</v>
      </c>
      <c r="Q102" s="309">
        <f t="shared" si="39"/>
        <v>0</v>
      </c>
      <c r="R102" s="309">
        <f t="shared" si="39"/>
        <v>0</v>
      </c>
      <c r="S102" s="309">
        <f t="shared" si="39"/>
        <v>0</v>
      </c>
      <c r="T102" s="309">
        <f t="shared" si="39"/>
        <v>0</v>
      </c>
      <c r="U102" s="309">
        <f t="shared" si="39"/>
        <v>0</v>
      </c>
      <c r="V102" s="309">
        <f t="shared" si="39"/>
        <v>0</v>
      </c>
      <c r="W102" s="309">
        <f t="shared" si="39"/>
        <v>0</v>
      </c>
      <c r="X102" s="309">
        <f t="shared" si="39"/>
        <v>0</v>
      </c>
      <c r="Y102" s="309">
        <f t="shared" si="39"/>
        <v>0</v>
      </c>
      <c r="Z102" s="309">
        <f t="shared" si="39"/>
        <v>0</v>
      </c>
      <c r="AA102" s="310">
        <f t="shared" si="39"/>
        <v>0</v>
      </c>
      <c r="AB102" s="313">
        <f t="shared" si="39"/>
        <v>0</v>
      </c>
      <c r="AC102" s="129" t="str">
        <f>CONCATENATE(IF(D106&lt;&gt;D102," *Repeat Test and turned positive by KP Type "&amp;$D$19&amp;" "&amp;$D$20&amp;" is more than Repeat Test and turned positive by Modality"&amp;CHAR(10),""),IF(E106&lt;&gt;E102," *Repeat Test and turned positive by KP Type "&amp;$D$19&amp;" "&amp;$E$20&amp;" is more than Repeat Test and turned positive by Modality"&amp;CHAR(10),""),IF(F106&lt;&gt;F102," *Repeat Test and turned positive by KP Type "&amp;$F$19&amp;" "&amp;$F$20&amp;" is more than Repeat Test and turned positive by Modality"&amp;CHAR(10),""),IF(G106&lt;&gt;G102," *Repeat Test and turned positive by KP Type "&amp;$F$19&amp;" "&amp;$G$20&amp;" is more than Repeat Test and turned positive by Modality"&amp;CHAR(10),""),IF(H106&lt;&gt;H102," *Repeat Test and turned positive by KP Type "&amp;$H$19&amp;" "&amp;$H$20&amp;" is more than Repeat Test and turned positive by Modality"&amp;CHAR(10),""),IF(I106&lt;&gt;I102," *Repeat Test and turned positive by KP Type "&amp;$H$19&amp;" "&amp;$I$20&amp;" is more than Repeat Test and turned positive by Modality"&amp;CHAR(10),""),IF(J106&lt;&gt;J102," *Repeat Test and turned positive by KP Type "&amp;$J$19&amp;" "&amp;$J$20&amp;" is more than Repeat Test and turned positive by Modality"&amp;CHAR(10),""),IF(K106&lt;&gt;K102," *Repeat Test and turned positive by KP Type "&amp;$J$19&amp;" "&amp;$K$20&amp;" is more than Repeat Test and turned positive by Modality"&amp;CHAR(10),""),IF(L106&lt;&gt;L102," *Repeat Test and turned positive by KP Type "&amp;$L$19&amp;" "&amp;$L$20&amp;" is more than Repeat Test and turned positive by Modality"&amp;CHAR(10),""),IF(M106&lt;&gt;M102," *Repeat Test and turned positive by KP Type "&amp;$L$19&amp;" "&amp;$M$20&amp;" is more than Repeat Test and turned positive by Modality"&amp;CHAR(10),""),IF(N106&lt;&gt;N102," *Repeat Test and turned positive by KP Type "&amp;$N$19&amp;" "&amp;$N$20&amp;" is more than Repeat Test and turned positive by Modality"&amp;CHAR(10),""),IF(O106&lt;&gt;O102," *Repeat Test and turned positive by KP Type "&amp;$N$19&amp;" "&amp;$O$20&amp;" is more than Repeat Test and turned positive by Modality"&amp;CHAR(10),""),IF(P106&lt;&gt;P102," *Repeat Test and turned positive by KP Type "&amp;$P$19&amp;" "&amp;$P$20&amp;" is more than Repeat Test and turned positive by Modality"&amp;CHAR(10),""),IF(Q106&lt;&gt;Q102," *Repeat Test and turned positive by KP Type "&amp;$P$19&amp;" "&amp;$Q$20&amp;" is more than Repeat Test and turned positive by Modality"&amp;CHAR(10),""),IF(R106&lt;&gt;R102," *Repeat Test and turned positive by KP Type "&amp;$R$19&amp;" "&amp;$R$20&amp;" is more than Repeat Test and turned positive by Modality"&amp;CHAR(10),""),IF(S106&lt;&gt;S102," *Repeat Test and turned positive by KP Type "&amp;$R$19&amp;" "&amp;$S$20&amp;" is more than Repeat Test and turned positive by Modality"&amp;CHAR(10),""),IF(T106&lt;&gt;T102," *Repeat Test and turned positive by KP Type "&amp;$T$19&amp;" "&amp;$T$20&amp;" is more than Repeat Test and turned positive by Modality"&amp;CHAR(10),""),IF(U106&lt;&gt;U102," *Repeat Test and turned positive by KP Type "&amp;$T$19&amp;" "&amp;$U$20&amp;" is more than Repeat Test and turned positive by Modality"&amp;CHAR(10),""),IF(V106&lt;&gt;V102," *Repeat Test and turned positive by KP Type "&amp;$V$19&amp;" "&amp;$V$20&amp;" is more than Repeat Test and turned positive by Modality"&amp;CHAR(10),""),IF(W106&lt;&gt;W102," *Repeat Test and turned positive by KP Type "&amp;$V$19&amp;" "&amp;$W$20&amp;" is more than Repeat Test and turned positive by Modality"&amp;CHAR(10),""),IF(X106&lt;&gt;X102," *Repeat Test and turned positive by KP Type "&amp;$X$19&amp;" "&amp;$X$20&amp;" is more than Repeat Test and turned positive by Modality"&amp;CHAR(10),""),IF(Y106&lt;&gt;Y102," *Repeat Test and turned positive by KP Type "&amp;$X$19&amp;" "&amp;$Y$20&amp;" is more than Repeat Test and turned positive by Modality"&amp;CHAR(10),""),IF(Z106&lt;&gt;Z102," *Repeat Test and turned positive by KP Type "&amp;$Z$19&amp;" "&amp;$Z$20&amp;" is more than Repeat Test and turned positive by Modality"&amp;CHAR(10),""),IF(AA106&lt;&gt;AA102," *Repeat Test and turned positive by KP Type "&amp;$Z$19&amp;" "&amp;$AA$20&amp;" is more than Repeat Test and turned positive by Modality"&amp;CHAR(10),""))</f>
        <v/>
      </c>
      <c r="AD102" s="461"/>
      <c r="AE102" s="121"/>
      <c r="AF102" s="459"/>
      <c r="AG102" s="108">
        <v>65</v>
      </c>
    </row>
    <row r="103" spans="1:33" s="126" customFormat="1" ht="38.25" customHeight="1" x14ac:dyDescent="0.45">
      <c r="A103" s="426" t="s">
        <v>657</v>
      </c>
      <c r="B103" s="243" t="s">
        <v>653</v>
      </c>
      <c r="C103" s="192" t="s">
        <v>713</v>
      </c>
      <c r="D103" s="315">
        <f t="shared" ref="D103:AB103" si="40">SUM(D95,D91,D87,D114)</f>
        <v>0</v>
      </c>
      <c r="E103" s="316">
        <f t="shared" si="40"/>
        <v>0</v>
      </c>
      <c r="F103" s="316">
        <f t="shared" si="40"/>
        <v>0</v>
      </c>
      <c r="G103" s="316">
        <f t="shared" si="40"/>
        <v>0</v>
      </c>
      <c r="H103" s="316">
        <f t="shared" si="40"/>
        <v>0</v>
      </c>
      <c r="I103" s="316">
        <f t="shared" si="40"/>
        <v>0</v>
      </c>
      <c r="J103" s="316">
        <f t="shared" si="40"/>
        <v>0</v>
      </c>
      <c r="K103" s="316">
        <f t="shared" si="40"/>
        <v>0</v>
      </c>
      <c r="L103" s="251">
        <f t="shared" si="40"/>
        <v>0</v>
      </c>
      <c r="M103" s="251">
        <f t="shared" si="40"/>
        <v>0</v>
      </c>
      <c r="N103" s="251">
        <f t="shared" si="40"/>
        <v>0</v>
      </c>
      <c r="O103" s="251">
        <f t="shared" si="40"/>
        <v>0</v>
      </c>
      <c r="P103" s="251">
        <f t="shared" si="40"/>
        <v>0</v>
      </c>
      <c r="Q103" s="251">
        <f t="shared" si="40"/>
        <v>0</v>
      </c>
      <c r="R103" s="251">
        <f t="shared" si="40"/>
        <v>0</v>
      </c>
      <c r="S103" s="251">
        <f t="shared" si="40"/>
        <v>0</v>
      </c>
      <c r="T103" s="251">
        <f t="shared" si="40"/>
        <v>0</v>
      </c>
      <c r="U103" s="251">
        <f t="shared" si="40"/>
        <v>0</v>
      </c>
      <c r="V103" s="251">
        <f t="shared" si="40"/>
        <v>0</v>
      </c>
      <c r="W103" s="251">
        <f t="shared" si="40"/>
        <v>0</v>
      </c>
      <c r="X103" s="251">
        <f t="shared" si="40"/>
        <v>0</v>
      </c>
      <c r="Y103" s="251">
        <f t="shared" si="40"/>
        <v>0</v>
      </c>
      <c r="Z103" s="251">
        <f t="shared" si="40"/>
        <v>0</v>
      </c>
      <c r="AA103" s="314">
        <f t="shared" si="40"/>
        <v>0</v>
      </c>
      <c r="AB103" s="251">
        <f t="shared" si="40"/>
        <v>0</v>
      </c>
      <c r="AC103" s="225" t="str">
        <f>CONCATENATE(IF(D104&gt;D103," *Initial Test and Turned Positive  Other Service Modality "&amp;$D$19&amp;" "&amp;$D$20&amp;" is more than Initial Test Other Service Modality"&amp;CHAR(10),""),IF(E104&gt;E103," *Initial Test and Turned Positive  Other Service Modality "&amp;$D$19&amp;" "&amp;$E$20&amp;" is more than Initial Test Other Service Modality"&amp;CHAR(10),""),IF(F104&gt;F103," *Initial Test and Turned Positive  Other Service Modality "&amp;$F$19&amp;" "&amp;$F$20&amp;" is more than Initial Test Other Service Modality"&amp;CHAR(10),""),IF(G104&gt;G103," *Initial Test and Turned Positive  Other Service Modality "&amp;$F$19&amp;" "&amp;$G$20&amp;" is more than Initial Test Other Service Modality"&amp;CHAR(10),""),IF(H104&gt;H103," *Initial Test and Turned Positive  Other Service Modality "&amp;$H$19&amp;" "&amp;$H$20&amp;" is more than Initial Test Other Service Modality"&amp;CHAR(10),""),IF(I104&gt;I103," *Initial Test and Turned Positive  Other Service Modality "&amp;$H$19&amp;" "&amp;$I$20&amp;" is more than Initial Test Other Service Modality"&amp;CHAR(10),""),IF(J104&gt;J103," *Initial Test and Turned Positive  Other Service Modality "&amp;$J$19&amp;" "&amp;$J$20&amp;" is more than Initial Test Other Service Modality"&amp;CHAR(10),""),IF(K104&gt;K103," *Initial Test and Turned Positive  Other Service Modality "&amp;$J$19&amp;" "&amp;$K$20&amp;" is more than Initial Test Other Service Modality"&amp;CHAR(10),""),IF(L104&gt;L103," *Initial Test and Turned Positive  Other Service Modality "&amp;$L$19&amp;" "&amp;$L$20&amp;" is more than Initial Test Other Service Modality"&amp;CHAR(10),""),IF(M104&gt;M103," *Initial Test and Turned Positive  Other Service Modality "&amp;$L$19&amp;" "&amp;$M$20&amp;" is more than Initial Test Other Service Modality"&amp;CHAR(10),""),IF(N104&gt;N103," *Initial Test and Turned Positive  Other Service Modality "&amp;$N$19&amp;" "&amp;$N$20&amp;" is more than Initial Test Other Service Modality"&amp;CHAR(10),""),IF(O104&gt;O103," *Initial Test and Turned Positive  Other Service Modality "&amp;$N$19&amp;" "&amp;$O$20&amp;" is more than Initial Test Other Service Modality"&amp;CHAR(10),""),IF(P104&gt;P103," *Initial Test and Turned Positive  Other Service Modality "&amp;$P$19&amp;" "&amp;$P$20&amp;" is more than Initial Test Other Service Modality"&amp;CHAR(10),""),IF(Q104&gt;Q103," *Initial Test and Turned Positive  Other Service Modality "&amp;$P$19&amp;" "&amp;$Q$20&amp;" is more than Initial Test Other Service Modality"&amp;CHAR(10),""),IF(R104&gt;R103," *Initial Test and Turned Positive  Other Service Modality "&amp;$R$19&amp;" "&amp;$R$20&amp;" is more than Initial Test Other Service Modality"&amp;CHAR(10),""),IF(S104&gt;S103," *Initial Test and Turned Positive  Other Service Modality "&amp;$R$19&amp;" "&amp;$S$20&amp;" is more than Initial Test Other Service Modality"&amp;CHAR(10),""),IF(T104&gt;T103," *Initial Test and Turned Positive  Other Service Modality "&amp;$T$19&amp;" "&amp;$T$20&amp;" is more than Initial Test Other Service Modality"&amp;CHAR(10),""),IF(U104&gt;U103," *Initial Test and Turned Positive  Other Service Modality "&amp;$T$19&amp;" "&amp;$U$20&amp;" is more than Initial Test Other Service Modality"&amp;CHAR(10),""),IF(V104&gt;V103," *Initial Test and Turned Positive  Other Service Modality "&amp;$V$19&amp;" "&amp;$V$20&amp;" is more than Initial Test Other Service Modality"&amp;CHAR(10),""),IF(W104&gt;W103," *Initial Test and Turned Positive  Other Service Modality "&amp;$V$19&amp;" "&amp;$W$20&amp;" is more than Initial Test Other Service Modality"&amp;CHAR(10),""),IF(X104&gt;X103," *Initial Test and Turned Positive  Other Service Modality "&amp;$X$19&amp;" "&amp;$X$20&amp;" is more than Initial Test Other Service Modality"&amp;CHAR(10),""),IF(Y104&gt;Y103," *Initial Test and Turned Positive  Other Service Modality "&amp;$X$19&amp;" "&amp;$Y$20&amp;" is more than Initial Test Other Service Modality"&amp;CHAR(10),""),IF(Z104&gt;Z103," *Initial Test and Turned Positive  Other Service Modality "&amp;$Z$19&amp;" "&amp;$Z$20&amp;" is more than Initial Test Other Service Modality"&amp;CHAR(10),""),IF(AA104&gt;AA103," *Initial Test and Turned Positive  Other Service Modality "&amp;$Z$19&amp;" "&amp;$AA$20&amp;" is more than Initial Test Other Service Modality"&amp;CHAR(10),""))</f>
        <v/>
      </c>
      <c r="AD103" s="461"/>
      <c r="AE103" s="121"/>
      <c r="AF103" s="459"/>
      <c r="AG103" s="108">
        <v>64</v>
      </c>
    </row>
    <row r="104" spans="1:33" s="126" customFormat="1" ht="38.25" customHeight="1" thickBot="1" x14ac:dyDescent="0.5">
      <c r="A104" s="427"/>
      <c r="B104" s="244" t="s">
        <v>654</v>
      </c>
      <c r="C104" s="301" t="s">
        <v>714</v>
      </c>
      <c r="D104" s="318">
        <f t="shared" ref="D104:AB104" si="41">SUM(D96,D92,D88,D115)</f>
        <v>0</v>
      </c>
      <c r="E104" s="318">
        <f t="shared" si="41"/>
        <v>0</v>
      </c>
      <c r="F104" s="318">
        <f t="shared" si="41"/>
        <v>0</v>
      </c>
      <c r="G104" s="318">
        <f t="shared" si="41"/>
        <v>0</v>
      </c>
      <c r="H104" s="318">
        <f t="shared" si="41"/>
        <v>0</v>
      </c>
      <c r="I104" s="318">
        <f t="shared" si="41"/>
        <v>0</v>
      </c>
      <c r="J104" s="318">
        <f t="shared" si="41"/>
        <v>0</v>
      </c>
      <c r="K104" s="318">
        <f t="shared" si="41"/>
        <v>0</v>
      </c>
      <c r="L104" s="318">
        <f t="shared" si="41"/>
        <v>0</v>
      </c>
      <c r="M104" s="318">
        <f t="shared" si="41"/>
        <v>0</v>
      </c>
      <c r="N104" s="318">
        <f t="shared" si="41"/>
        <v>0</v>
      </c>
      <c r="O104" s="318">
        <f t="shared" si="41"/>
        <v>0</v>
      </c>
      <c r="P104" s="318">
        <f t="shared" si="41"/>
        <v>0</v>
      </c>
      <c r="Q104" s="318">
        <f t="shared" si="41"/>
        <v>0</v>
      </c>
      <c r="R104" s="318">
        <f t="shared" si="41"/>
        <v>0</v>
      </c>
      <c r="S104" s="318">
        <f t="shared" si="41"/>
        <v>0</v>
      </c>
      <c r="T104" s="318">
        <f t="shared" si="41"/>
        <v>0</v>
      </c>
      <c r="U104" s="318">
        <f t="shared" si="41"/>
        <v>0</v>
      </c>
      <c r="V104" s="318">
        <f t="shared" si="41"/>
        <v>0</v>
      </c>
      <c r="W104" s="318">
        <f t="shared" si="41"/>
        <v>0</v>
      </c>
      <c r="X104" s="318">
        <f t="shared" si="41"/>
        <v>0</v>
      </c>
      <c r="Y104" s="318">
        <f t="shared" si="41"/>
        <v>0</v>
      </c>
      <c r="Z104" s="318">
        <f t="shared" si="41"/>
        <v>0</v>
      </c>
      <c r="AA104" s="318">
        <f t="shared" si="41"/>
        <v>0</v>
      </c>
      <c r="AB104" s="311">
        <f t="shared" si="41"/>
        <v>0</v>
      </c>
      <c r="AC104" s="129"/>
      <c r="AD104" s="461"/>
      <c r="AE104" s="121"/>
      <c r="AF104" s="459"/>
      <c r="AG104" s="108">
        <v>65</v>
      </c>
    </row>
    <row r="105" spans="1:33" s="126" customFormat="1" ht="38.25" customHeight="1" x14ac:dyDescent="0.45">
      <c r="A105" s="427"/>
      <c r="B105" s="243" t="s">
        <v>652</v>
      </c>
      <c r="C105" s="264" t="s">
        <v>715</v>
      </c>
      <c r="D105" s="311">
        <f t="shared" ref="D105:K105" si="42">SUM(D97,D93,D89)</f>
        <v>0</v>
      </c>
      <c r="E105" s="311">
        <f t="shared" si="42"/>
        <v>0</v>
      </c>
      <c r="F105" s="311">
        <f t="shared" si="42"/>
        <v>0</v>
      </c>
      <c r="G105" s="311">
        <f t="shared" si="42"/>
        <v>0</v>
      </c>
      <c r="H105" s="311">
        <f t="shared" si="42"/>
        <v>0</v>
      </c>
      <c r="I105" s="311">
        <f t="shared" si="42"/>
        <v>0</v>
      </c>
      <c r="J105" s="311">
        <f t="shared" si="42"/>
        <v>0</v>
      </c>
      <c r="K105" s="311">
        <f t="shared" si="42"/>
        <v>0</v>
      </c>
      <c r="L105" s="311">
        <f>SUM(L97,L93,L89)</f>
        <v>0</v>
      </c>
      <c r="M105" s="311">
        <f t="shared" ref="M105:AB105" si="43">SUM(M97,M93,M89)</f>
        <v>0</v>
      </c>
      <c r="N105" s="311">
        <f t="shared" si="43"/>
        <v>0</v>
      </c>
      <c r="O105" s="311">
        <f t="shared" si="43"/>
        <v>0</v>
      </c>
      <c r="P105" s="311">
        <f t="shared" si="43"/>
        <v>0</v>
      </c>
      <c r="Q105" s="311">
        <f t="shared" si="43"/>
        <v>0</v>
      </c>
      <c r="R105" s="311">
        <f t="shared" si="43"/>
        <v>0</v>
      </c>
      <c r="S105" s="311">
        <f t="shared" si="43"/>
        <v>0</v>
      </c>
      <c r="T105" s="311">
        <f t="shared" si="43"/>
        <v>0</v>
      </c>
      <c r="U105" s="311">
        <f t="shared" si="43"/>
        <v>0</v>
      </c>
      <c r="V105" s="311">
        <f t="shared" si="43"/>
        <v>0</v>
      </c>
      <c r="W105" s="311">
        <f t="shared" si="43"/>
        <v>0</v>
      </c>
      <c r="X105" s="311">
        <f t="shared" si="43"/>
        <v>0</v>
      </c>
      <c r="Y105" s="311">
        <f t="shared" si="43"/>
        <v>0</v>
      </c>
      <c r="Z105" s="311">
        <f t="shared" si="43"/>
        <v>0</v>
      </c>
      <c r="AA105" s="311">
        <f t="shared" si="43"/>
        <v>0</v>
      </c>
      <c r="AB105" s="317">
        <f t="shared" si="43"/>
        <v>0</v>
      </c>
      <c r="AC105" s="225" t="str">
        <f>CONCATENATE(IF(D106&gt;D105," *Repeat Test and Turned Positive  Other Service Modality "&amp;$D$19&amp;" "&amp;$D$20&amp;" is more than Repeat Test Other Service Modality"&amp;CHAR(10),""),IF(E106&gt;E105," *Repeat Test and Turned Positive  Other Service Modality "&amp;$D$19&amp;" "&amp;$E$20&amp;" is more than Repeat Test Other Service Modality"&amp;CHAR(10),""),IF(F106&gt;F105," *Repeat Test and Turned Positive  Other Service Modality "&amp;$F$19&amp;" "&amp;$F$20&amp;" is more than Repeat Test Other Service Modality"&amp;CHAR(10),""),IF(G106&gt;G105," *Repeat Test and Turned Positive  Other Service Modality "&amp;$F$19&amp;" "&amp;$G$20&amp;" is more than Repeat Test Other Service Modality"&amp;CHAR(10),""),IF(H106&gt;H105," *Repeat Test and Turned Positive  Other Service Modality "&amp;$H$19&amp;" "&amp;$H$20&amp;" is more than Repeat Test Other Service Modality"&amp;CHAR(10),""),IF(I106&gt;I105," *Repeat Test and Turned Positive  Other Service Modality "&amp;$H$19&amp;" "&amp;$I$20&amp;" is more than Repeat Test Other Service Modality"&amp;CHAR(10),""),IF(J106&gt;J105," *Repeat Test and Turned Positive  Other Service Modality "&amp;$J$19&amp;" "&amp;$J$20&amp;" is more than Repeat Test Other Service Modality"&amp;CHAR(10),""),IF(K106&gt;K105," *Repeat Test and Turned Positive  Other Service Modality "&amp;$J$19&amp;" "&amp;$K$20&amp;" is more than Repeat Test Other Service Modality"&amp;CHAR(10),""),IF(L106&gt;L105," *Repeat Test and Turned Positive  Other Service Modality "&amp;$L$19&amp;" "&amp;$L$20&amp;" is more than Repeat Test Other Service Modality"&amp;CHAR(10),""),IF(M106&gt;M105," *Repeat Test and Turned Positive  Other Service Modality "&amp;$L$19&amp;" "&amp;$M$20&amp;" is more than Repeat Test Other Service Modality"&amp;CHAR(10),""),IF(N106&gt;N105," *Repeat Test and Turned Positive  Other Service Modality "&amp;$N$19&amp;" "&amp;$N$20&amp;" is more than Repeat Test Other Service Modality"&amp;CHAR(10),""),IF(O106&gt;O105," *Repeat Test and Turned Positive  Other Service Modality "&amp;$N$19&amp;" "&amp;$O$20&amp;" is more than Repeat Test Other Service Modality"&amp;CHAR(10),""),IF(P106&gt;P105," *Repeat Test and Turned Positive  Other Service Modality "&amp;$P$19&amp;" "&amp;$P$20&amp;" is more than Repeat Test Other Service Modality"&amp;CHAR(10),""),IF(Q106&gt;Q105," *Repeat Test and Turned Positive  Other Service Modality "&amp;$P$19&amp;" "&amp;$Q$20&amp;" is more than Repeat Test Other Service Modality"&amp;CHAR(10),""),IF(R106&gt;R105," *Repeat Test and Turned Positive  Other Service Modality "&amp;$R$19&amp;" "&amp;$R$20&amp;" is more than Repeat Test Other Service Modality"&amp;CHAR(10),""),IF(S106&gt;S105," *Repeat Test and Turned Positive  Other Service Modality "&amp;$R$19&amp;" "&amp;$S$20&amp;" is more than Repeat Test Other Service Modality"&amp;CHAR(10),""),IF(T106&gt;T105," *Repeat Test and Turned Positive  Other Service Modality "&amp;$T$19&amp;" "&amp;$T$20&amp;" is more than Repeat Test Other Service Modality"&amp;CHAR(10),""),IF(U106&gt;U105," *Repeat Test and Turned Positive  Other Service Modality "&amp;$T$19&amp;" "&amp;$U$20&amp;" is more than Repeat Test Other Service Modality"&amp;CHAR(10),""),IF(V106&gt;V105," *Repeat Test and Turned Positive  Other Service Modality "&amp;$V$19&amp;" "&amp;$V$20&amp;" is more than Repeat Test Other Service Modality"&amp;CHAR(10),""),IF(W106&gt;W105," *Repeat Test and Turned Positive  Other Service Modality "&amp;$V$19&amp;" "&amp;$W$20&amp;" is more than Repeat Test Other Service Modality"&amp;CHAR(10),""),IF(X106&gt;X105," *Repeat Test and Turned Positive  Other Service Modality "&amp;$X$19&amp;" "&amp;$X$20&amp;" is more than Repeat Test Other Service Modality"&amp;CHAR(10),""),IF(Y106&gt;Y105," *Repeat Test and Turned Positive  Other Service Modality "&amp;$X$19&amp;" "&amp;$Y$20&amp;" is more than Repeat Test Other Service Modality"&amp;CHAR(10),""),IF(Z106&gt;Z105," *Repeat Test and Turned Positive  Other Service Modality "&amp;$Z$19&amp;" "&amp;$Z$20&amp;" is more than Repeat Test Other Service Modality"&amp;CHAR(10),""),IF(AA106&gt;AA105," *Repeat Test and Turned Positive  Other Service Modality "&amp;$Z$19&amp;" "&amp;$AA$20&amp;" is more than Repeat Test Other Service Modality"&amp;CHAR(10),""))</f>
        <v/>
      </c>
      <c r="AD105" s="461"/>
      <c r="AE105" s="121"/>
      <c r="AF105" s="459"/>
      <c r="AG105" s="108">
        <v>64</v>
      </c>
    </row>
    <row r="106" spans="1:33" s="126" customFormat="1" ht="38.25" customHeight="1" thickBot="1" x14ac:dyDescent="0.5">
      <c r="A106" s="428"/>
      <c r="B106" s="244" t="s">
        <v>655</v>
      </c>
      <c r="C106" s="301" t="s">
        <v>716</v>
      </c>
      <c r="D106" s="311">
        <f t="shared" ref="D106:AB106" si="44">SUM(D98,D94,D90)</f>
        <v>0</v>
      </c>
      <c r="E106" s="311">
        <f t="shared" si="44"/>
        <v>0</v>
      </c>
      <c r="F106" s="311">
        <f t="shared" si="44"/>
        <v>0</v>
      </c>
      <c r="G106" s="311">
        <f t="shared" si="44"/>
        <v>0</v>
      </c>
      <c r="H106" s="311">
        <f t="shared" si="44"/>
        <v>0</v>
      </c>
      <c r="I106" s="311">
        <f t="shared" si="44"/>
        <v>0</v>
      </c>
      <c r="J106" s="311">
        <f t="shared" si="44"/>
        <v>0</v>
      </c>
      <c r="K106" s="311">
        <f t="shared" si="44"/>
        <v>0</v>
      </c>
      <c r="L106" s="311">
        <f t="shared" si="44"/>
        <v>0</v>
      </c>
      <c r="M106" s="311">
        <f t="shared" si="44"/>
        <v>0</v>
      </c>
      <c r="N106" s="311">
        <f t="shared" si="44"/>
        <v>0</v>
      </c>
      <c r="O106" s="311">
        <f t="shared" si="44"/>
        <v>0</v>
      </c>
      <c r="P106" s="311">
        <f t="shared" si="44"/>
        <v>0</v>
      </c>
      <c r="Q106" s="311">
        <f t="shared" si="44"/>
        <v>0</v>
      </c>
      <c r="R106" s="311">
        <f t="shared" si="44"/>
        <v>0</v>
      </c>
      <c r="S106" s="311">
        <f t="shared" si="44"/>
        <v>0</v>
      </c>
      <c r="T106" s="311">
        <f t="shared" si="44"/>
        <v>0</v>
      </c>
      <c r="U106" s="311">
        <f t="shared" si="44"/>
        <v>0</v>
      </c>
      <c r="V106" s="311">
        <f t="shared" si="44"/>
        <v>0</v>
      </c>
      <c r="W106" s="311">
        <f t="shared" si="44"/>
        <v>0</v>
      </c>
      <c r="X106" s="311">
        <f t="shared" si="44"/>
        <v>0</v>
      </c>
      <c r="Y106" s="311">
        <f t="shared" si="44"/>
        <v>0</v>
      </c>
      <c r="Z106" s="311">
        <f t="shared" si="44"/>
        <v>0</v>
      </c>
      <c r="AA106" s="311">
        <f t="shared" si="44"/>
        <v>0</v>
      </c>
      <c r="AB106" s="311">
        <f t="shared" si="44"/>
        <v>0</v>
      </c>
      <c r="AC106" s="130"/>
      <c r="AD106" s="462"/>
      <c r="AE106" s="121"/>
      <c r="AF106" s="460"/>
      <c r="AG106" s="108">
        <v>65</v>
      </c>
    </row>
    <row r="107" spans="1:33" s="4" customFormat="1" ht="38.25" customHeight="1" thickBot="1" x14ac:dyDescent="0.5">
      <c r="A107" s="626" t="s">
        <v>237</v>
      </c>
      <c r="B107" s="552"/>
      <c r="C107" s="552"/>
      <c r="D107" s="479"/>
      <c r="E107" s="479"/>
      <c r="F107" s="479"/>
      <c r="G107" s="479"/>
      <c r="H107" s="479"/>
      <c r="I107" s="479"/>
      <c r="J107" s="479"/>
      <c r="K107" s="479"/>
      <c r="L107" s="479"/>
      <c r="M107" s="479"/>
      <c r="N107" s="479"/>
      <c r="O107" s="479"/>
      <c r="P107" s="479"/>
      <c r="Q107" s="479"/>
      <c r="R107" s="479"/>
      <c r="S107" s="479"/>
      <c r="T107" s="479"/>
      <c r="U107" s="479"/>
      <c r="V107" s="479"/>
      <c r="W107" s="479"/>
      <c r="X107" s="479"/>
      <c r="Y107" s="479"/>
      <c r="Z107" s="479"/>
      <c r="AA107" s="479"/>
      <c r="AB107" s="479"/>
      <c r="AC107" s="552"/>
      <c r="AD107" s="552"/>
      <c r="AE107" s="552"/>
      <c r="AF107" s="553"/>
      <c r="AG107" s="108">
        <v>66</v>
      </c>
    </row>
    <row r="108" spans="1:33" s="4" customFormat="1" ht="27" hidden="1" customHeight="1" thickBot="1" x14ac:dyDescent="0.5">
      <c r="A108" s="574" t="s">
        <v>17</v>
      </c>
      <c r="B108" s="491" t="s">
        <v>25</v>
      </c>
      <c r="C108" s="573" t="s">
        <v>24</v>
      </c>
      <c r="D108" s="630" t="s">
        <v>0</v>
      </c>
      <c r="E108" s="630"/>
      <c r="F108" s="630" t="s">
        <v>1</v>
      </c>
      <c r="G108" s="630"/>
      <c r="H108" s="630" t="s">
        <v>2</v>
      </c>
      <c r="I108" s="630"/>
      <c r="J108" s="630" t="s">
        <v>3</v>
      </c>
      <c r="K108" s="630"/>
      <c r="L108" s="465" t="s">
        <v>4</v>
      </c>
      <c r="M108" s="466"/>
      <c r="N108" s="465" t="s">
        <v>5</v>
      </c>
      <c r="O108" s="466"/>
      <c r="P108" s="465" t="s">
        <v>6</v>
      </c>
      <c r="Q108" s="466"/>
      <c r="R108" s="465" t="s">
        <v>7</v>
      </c>
      <c r="S108" s="466"/>
      <c r="T108" s="465" t="s">
        <v>8</v>
      </c>
      <c r="U108" s="466"/>
      <c r="V108" s="465" t="s">
        <v>14</v>
      </c>
      <c r="W108" s="466"/>
      <c r="X108" s="465" t="s">
        <v>15</v>
      </c>
      <c r="Y108" s="466"/>
      <c r="Z108" s="465" t="s">
        <v>9</v>
      </c>
      <c r="AA108" s="466"/>
      <c r="AB108" s="575" t="s">
        <v>12</v>
      </c>
      <c r="AC108" s="602" t="s">
        <v>26</v>
      </c>
      <c r="AD108" s="467" t="s">
        <v>31</v>
      </c>
      <c r="AE108" s="463" t="s">
        <v>32</v>
      </c>
      <c r="AF108" s="463" t="s">
        <v>32</v>
      </c>
      <c r="AG108" s="108">
        <v>67</v>
      </c>
    </row>
    <row r="109" spans="1:33" s="4" customFormat="1" ht="27" hidden="1" customHeight="1" thickBot="1" x14ac:dyDescent="0.5">
      <c r="A109" s="485"/>
      <c r="B109" s="487"/>
      <c r="C109" s="488"/>
      <c r="D109" s="12" t="s">
        <v>10</v>
      </c>
      <c r="E109" s="12" t="s">
        <v>11</v>
      </c>
      <c r="F109" s="12" t="s">
        <v>10</v>
      </c>
      <c r="G109" s="12" t="s">
        <v>11</v>
      </c>
      <c r="H109" s="12" t="s">
        <v>10</v>
      </c>
      <c r="I109" s="12" t="s">
        <v>11</v>
      </c>
      <c r="J109" s="12" t="s">
        <v>10</v>
      </c>
      <c r="K109" s="12" t="s">
        <v>11</v>
      </c>
      <c r="L109" s="12" t="s">
        <v>10</v>
      </c>
      <c r="M109" s="12" t="s">
        <v>11</v>
      </c>
      <c r="N109" s="12" t="s">
        <v>10</v>
      </c>
      <c r="O109" s="12" t="s">
        <v>11</v>
      </c>
      <c r="P109" s="12" t="s">
        <v>10</v>
      </c>
      <c r="Q109" s="12" t="s">
        <v>11</v>
      </c>
      <c r="R109" s="12" t="s">
        <v>10</v>
      </c>
      <c r="S109" s="12" t="s">
        <v>11</v>
      </c>
      <c r="T109" s="12" t="s">
        <v>10</v>
      </c>
      <c r="U109" s="12" t="s">
        <v>11</v>
      </c>
      <c r="V109" s="12" t="s">
        <v>10</v>
      </c>
      <c r="W109" s="12" t="s">
        <v>11</v>
      </c>
      <c r="X109" s="12" t="s">
        <v>10</v>
      </c>
      <c r="Y109" s="12" t="s">
        <v>11</v>
      </c>
      <c r="Z109" s="12" t="s">
        <v>10</v>
      </c>
      <c r="AA109" s="12" t="s">
        <v>11</v>
      </c>
      <c r="AB109" s="576"/>
      <c r="AC109" s="625"/>
      <c r="AD109" s="468"/>
      <c r="AE109" s="464"/>
      <c r="AF109" s="469"/>
      <c r="AG109" s="108">
        <v>68</v>
      </c>
    </row>
    <row r="110" spans="1:33" s="4" customFormat="1" ht="38.25" customHeight="1" x14ac:dyDescent="0.45">
      <c r="A110" s="426" t="s">
        <v>107</v>
      </c>
      <c r="B110" s="143" t="s">
        <v>117</v>
      </c>
      <c r="C110" s="192" t="s">
        <v>301</v>
      </c>
      <c r="D110" s="37"/>
      <c r="E110" s="28"/>
      <c r="F110" s="37"/>
      <c r="G110" s="28"/>
      <c r="H110" s="37"/>
      <c r="I110" s="28"/>
      <c r="J110" s="37"/>
      <c r="K110" s="28"/>
      <c r="L110" s="29"/>
      <c r="M110" s="29"/>
      <c r="N110" s="29"/>
      <c r="O110" s="29"/>
      <c r="P110" s="29"/>
      <c r="Q110" s="29"/>
      <c r="R110" s="29"/>
      <c r="S110" s="29"/>
      <c r="T110" s="29"/>
      <c r="U110" s="29"/>
      <c r="V110" s="29"/>
      <c r="W110" s="29"/>
      <c r="X110" s="29"/>
      <c r="Y110" s="29"/>
      <c r="Z110" s="29"/>
      <c r="AA110" s="102"/>
      <c r="AB110" s="99">
        <f>SUM(D110:AA110)</f>
        <v>0</v>
      </c>
      <c r="AC110" s="124" t="str">
        <f>CONCATENATE(IF(D111&gt;D110," * Accepted Index Testing "&amp;$D$19&amp;" "&amp;$D$20&amp;" is more than Offered Index Testing"&amp;CHAR(10),""),IF(E111&gt;E110," * Accepted Index Testing "&amp;$D$19&amp;" "&amp;$E$20&amp;" is more than Offered Index Testing"&amp;CHAR(10),""),IF(F111&gt;F110," * Accepted Index Testing "&amp;$F$19&amp;" "&amp;$F$20&amp;" is more than Offered Index Testing"&amp;CHAR(10),""),IF(G111&gt;G110," * Accepted Index Testing "&amp;$F$19&amp;" "&amp;$G$20&amp;" is more than Offered Index Testing"&amp;CHAR(10),""),IF(H111&gt;H110," * Accepted Index Testing "&amp;$H$19&amp;" "&amp;$H$20&amp;" is more than Offered Index Testing"&amp;CHAR(10),""),IF(I111&gt;I110," * Accepted Index Testing "&amp;$H$19&amp;" "&amp;$I$20&amp;" is more than Offered Index Testing"&amp;CHAR(10),""),IF(J111&gt;J110," * Accepted Index Testing "&amp;$J$19&amp;" "&amp;$J$20&amp;" is more than Offered Index Testing"&amp;CHAR(10),""),IF(K111&gt;K110," * Accepted Index Testing "&amp;$J$19&amp;" "&amp;$K$20&amp;" is more than Offered Index Testing"&amp;CHAR(10),""),IF(L111&gt;L110," * Accepted Index Testing "&amp;$L$19&amp;" "&amp;$L$20&amp;" is more than Offered Index Testing"&amp;CHAR(10),""),IF(M111&gt;M110," * Accepted Index Testing "&amp;$L$19&amp;" "&amp;$M$20&amp;" is more than Offered Index Testing"&amp;CHAR(10),""),IF(N111&gt;N110," * Accepted Index Testing "&amp;$N$19&amp;" "&amp;$N$20&amp;" is more than Offered Index Testing"&amp;CHAR(10),""),IF(O111&gt;O110," * Accepted Index Testing "&amp;$N$19&amp;" "&amp;$O$20&amp;" is more than Offered Index Testing"&amp;CHAR(10),""),IF(P111&gt;P110," * Accepted Index Testing "&amp;$P$19&amp;" "&amp;$P$20&amp;" is more than Offered Index Testing"&amp;CHAR(10),""),IF(Q111&gt;Q110," * Accepted Index Testing "&amp;$P$19&amp;" "&amp;$Q$20&amp;" is more than Offered Index Testing"&amp;CHAR(10),""),IF(R111&gt;R110," * Accepted Index Testing "&amp;$R$19&amp;" "&amp;$R$20&amp;" is more than Offered Index Testing"&amp;CHAR(10),""),IF(S111&gt;S110," * Accepted Index Testing "&amp;$R$19&amp;" "&amp;$S$20&amp;" is more than Offered Index Testing"&amp;CHAR(10),""),IF(T111&gt;T110," * Accepted Index Testing "&amp;$T$19&amp;" "&amp;$T$20&amp;" is more than Offered Index Testing"&amp;CHAR(10),""),IF(U111&gt;U110," * Accepted Index Testing "&amp;$T$19&amp;" "&amp;$U$20&amp;" is more than Offered Index Testing"&amp;CHAR(10),""),IF(V111&gt;V110," * Accepted Index Testing "&amp;$V$19&amp;" "&amp;$V$20&amp;" is more than Offered Index Testing"&amp;CHAR(10),""),IF(W111&gt;W110," * Accepted Index Testing "&amp;$V$19&amp;" "&amp;$W$20&amp;" is more than Offered Index Testing"&amp;CHAR(10),""),IF(X111&gt;X110," * Accepted Index Testing "&amp;$X$19&amp;" "&amp;$X$20&amp;" is more than Offered Index Testing"&amp;CHAR(10),""),IF(Y111&gt;Y110," * Accepted Index Testing "&amp;$X$19&amp;" "&amp;$Y$20&amp;" is more than Offered Index Testing"&amp;CHAR(10),""),IF(Z111&gt;Z110," * Accepted Index Testing "&amp;$Z$19&amp;" "&amp;$Z$20&amp;" is more than Offered Index Testing"&amp;CHAR(10),""),IF(AA111&gt;AA110," * Accepted Index Testing "&amp;$Z$19&amp;" "&amp;$AA$20&amp;" is more than Offered Index Testing"&amp;CHAR(10),""))</f>
        <v/>
      </c>
      <c r="AD110" s="478" t="str">
        <f>CONCATENATE(AC110,AC111,AC112,AC113,AC114,AC115)</f>
        <v/>
      </c>
      <c r="AE110" s="120"/>
      <c r="AF110" s="458" t="str">
        <f>CONCATENATE(AE115,AE114,AE113,AE112,AE111,AE110)</f>
        <v/>
      </c>
      <c r="AG110" s="108">
        <v>69</v>
      </c>
    </row>
    <row r="111" spans="1:33" s="4" customFormat="1" ht="38.25" customHeight="1" x14ac:dyDescent="0.45">
      <c r="A111" s="427"/>
      <c r="B111" s="144" t="s">
        <v>116</v>
      </c>
      <c r="C111" s="193" t="s">
        <v>302</v>
      </c>
      <c r="D111" s="36"/>
      <c r="E111" s="27"/>
      <c r="F111" s="36"/>
      <c r="G111" s="27"/>
      <c r="H111" s="36"/>
      <c r="I111" s="27"/>
      <c r="J111" s="36"/>
      <c r="K111" s="27"/>
      <c r="L111" s="25"/>
      <c r="M111" s="25"/>
      <c r="N111" s="25"/>
      <c r="O111" s="25"/>
      <c r="P111" s="25"/>
      <c r="Q111" s="25"/>
      <c r="R111" s="25"/>
      <c r="S111" s="25"/>
      <c r="T111" s="25"/>
      <c r="U111" s="25"/>
      <c r="V111" s="25"/>
      <c r="W111" s="25"/>
      <c r="X111" s="25"/>
      <c r="Y111" s="25"/>
      <c r="Z111" s="25"/>
      <c r="AA111" s="103"/>
      <c r="AB111" s="100">
        <f t="shared" ref="AB111:AB133" si="45">SUM(D111:AA111)</f>
        <v>0</v>
      </c>
      <c r="AC111" s="123"/>
      <c r="AD111" s="461"/>
      <c r="AE111" s="121"/>
      <c r="AF111" s="459"/>
      <c r="AG111" s="108">
        <v>70</v>
      </c>
    </row>
    <row r="112" spans="1:33" s="4" customFormat="1" ht="38.25" customHeight="1" x14ac:dyDescent="0.45">
      <c r="A112" s="427"/>
      <c r="B112" s="144" t="s">
        <v>109</v>
      </c>
      <c r="C112" s="193" t="s">
        <v>303</v>
      </c>
      <c r="D112" s="36"/>
      <c r="E112" s="27"/>
      <c r="F112" s="36"/>
      <c r="G112" s="27"/>
      <c r="H112" s="36"/>
      <c r="I112" s="27"/>
      <c r="J112" s="36"/>
      <c r="K112" s="27"/>
      <c r="L112" s="25"/>
      <c r="M112" s="25"/>
      <c r="N112" s="25"/>
      <c r="O112" s="25"/>
      <c r="P112" s="25"/>
      <c r="Q112" s="25"/>
      <c r="R112" s="25"/>
      <c r="S112" s="25"/>
      <c r="T112" s="25"/>
      <c r="U112" s="25"/>
      <c r="V112" s="25"/>
      <c r="W112" s="25"/>
      <c r="X112" s="25"/>
      <c r="Y112" s="25"/>
      <c r="Z112" s="25"/>
      <c r="AA112" s="103"/>
      <c r="AB112" s="100">
        <f t="shared" si="45"/>
        <v>0</v>
      </c>
      <c r="AC112" s="123"/>
      <c r="AD112" s="461"/>
      <c r="AE112" s="121"/>
      <c r="AF112" s="459"/>
      <c r="AG112" s="108">
        <v>71</v>
      </c>
    </row>
    <row r="113" spans="1:33" s="4" customFormat="1" ht="38.25" customHeight="1" x14ac:dyDescent="0.45">
      <c r="A113" s="427"/>
      <c r="B113" s="144" t="s">
        <v>108</v>
      </c>
      <c r="C113" s="193" t="s">
        <v>304</v>
      </c>
      <c r="D113" s="36"/>
      <c r="E113" s="27"/>
      <c r="F113" s="36"/>
      <c r="G113" s="27"/>
      <c r="H113" s="36"/>
      <c r="I113" s="27"/>
      <c r="J113" s="36"/>
      <c r="K113" s="27"/>
      <c r="L113" s="25"/>
      <c r="M113" s="25"/>
      <c r="N113" s="25"/>
      <c r="O113" s="25"/>
      <c r="P113" s="25"/>
      <c r="Q113" s="25"/>
      <c r="R113" s="25"/>
      <c r="S113" s="25"/>
      <c r="T113" s="25"/>
      <c r="U113" s="25"/>
      <c r="V113" s="25"/>
      <c r="W113" s="25"/>
      <c r="X113" s="25"/>
      <c r="Y113" s="25"/>
      <c r="Z113" s="25"/>
      <c r="AA113" s="103"/>
      <c r="AB113" s="100">
        <f t="shared" si="45"/>
        <v>0</v>
      </c>
      <c r="AC113" s="123"/>
      <c r="AD113" s="461"/>
      <c r="AE113" s="121"/>
      <c r="AF113" s="459"/>
      <c r="AG113" s="108">
        <v>72</v>
      </c>
    </row>
    <row r="114" spans="1:33" s="4" customFormat="1" ht="38.25" customHeight="1" x14ac:dyDescent="0.45">
      <c r="A114" s="427"/>
      <c r="B114" s="144" t="s">
        <v>23</v>
      </c>
      <c r="C114" s="193" t="s">
        <v>305</v>
      </c>
      <c r="D114" s="36"/>
      <c r="E114" s="27"/>
      <c r="F114" s="36"/>
      <c r="G114" s="27"/>
      <c r="H114" s="36"/>
      <c r="I114" s="27"/>
      <c r="J114" s="36"/>
      <c r="K114" s="27"/>
      <c r="L114" s="25"/>
      <c r="M114" s="25"/>
      <c r="N114" s="25"/>
      <c r="O114" s="25"/>
      <c r="P114" s="25"/>
      <c r="Q114" s="25"/>
      <c r="R114" s="25"/>
      <c r="S114" s="25"/>
      <c r="T114" s="25"/>
      <c r="U114" s="25"/>
      <c r="V114" s="25"/>
      <c r="W114" s="25"/>
      <c r="X114" s="25"/>
      <c r="Y114" s="25"/>
      <c r="Z114" s="25"/>
      <c r="AA114" s="103"/>
      <c r="AB114" s="100">
        <f t="shared" si="45"/>
        <v>0</v>
      </c>
      <c r="AC114" s="123" t="str">
        <f>CONCATENATE(IF(D115&gt;D114," * Positive HTS_INDEX "&amp;$D$19&amp;" "&amp;$D$20&amp;" is more than Tested HTS_INDEX"&amp;CHAR(10),""),IF(E115&gt;E114," * Positive HTS_INDEX "&amp;$D$19&amp;" "&amp;$E$20&amp;" is more than Tested HTS_INDEX"&amp;CHAR(10),""),IF(F115&gt;F114," * Positive HTS_INDEX "&amp;$F$19&amp;" "&amp;$F$20&amp;" is more than Tested HTS_INDEX"&amp;CHAR(10),""),IF(G115&gt;G114," * Positive HTS_INDEX "&amp;$F$19&amp;" "&amp;$G$20&amp;" is more than Tested HTS_INDEX"&amp;CHAR(10),""),IF(H115&gt;H114," * Positive HTS_INDEX "&amp;$H$19&amp;" "&amp;$H$20&amp;" is more than Tested HTS_INDEX"&amp;CHAR(10),""),IF(I115&gt;I114," * Positive HTS_INDEX "&amp;$H$19&amp;" "&amp;$I$20&amp;" is more than Tested HTS_INDEX"&amp;CHAR(10),""),IF(J115&gt;J114," * Positive HTS_INDEX "&amp;$J$19&amp;" "&amp;$J$20&amp;" is more than Tested HTS_INDEX"&amp;CHAR(10),""),IF(K115&gt;K114," * Positive HTS_INDEX "&amp;$J$19&amp;" "&amp;$K$20&amp;" is more than Tested HTS_INDEX"&amp;CHAR(10),""),IF(L115&gt;L114," * Positive HTS_INDEX "&amp;$L$19&amp;" "&amp;$L$20&amp;" is more than Tested HTS_INDEX"&amp;CHAR(10),""),IF(M115&gt;M114," * Positive HTS_INDEX "&amp;$L$19&amp;" "&amp;$M$20&amp;" is more than Tested HTS_INDEX"&amp;CHAR(10),""),IF(N115&gt;N114," * Positive HTS_INDEX "&amp;$N$19&amp;" "&amp;$N$20&amp;" is more than Tested HTS_INDEX"&amp;CHAR(10),""),IF(O115&gt;O114," * Positive HTS_INDEX "&amp;$N$19&amp;" "&amp;$O$20&amp;" is more than Tested HTS_INDEX"&amp;CHAR(10),""),IF(P115&gt;P114," * Positive HTS_INDEX "&amp;$P$19&amp;" "&amp;$P$20&amp;" is more than Tested HTS_INDEX"&amp;CHAR(10),""),IF(Q115&gt;Q114," * Positive HTS_INDEX "&amp;$P$19&amp;" "&amp;$Q$20&amp;" is more than Tested HTS_INDEX"&amp;CHAR(10),""),IF(R115&gt;R114," * Positive HTS_INDEX "&amp;$R$19&amp;" "&amp;$R$20&amp;" is more than Tested HTS_INDEX"&amp;CHAR(10),""),IF(S115&gt;S114," * Positive HTS_INDEX "&amp;$R$19&amp;" "&amp;$S$20&amp;" is more than Tested HTS_INDEX"&amp;CHAR(10),""),IF(T115&gt;T114," * Positive HTS_INDEX "&amp;$T$19&amp;" "&amp;$T$20&amp;" is more than Tested HTS_INDEX"&amp;CHAR(10),""),IF(U115&gt;U114," * Positive HTS_INDEX "&amp;$T$19&amp;" "&amp;$U$20&amp;" is more than Tested HTS_INDEX"&amp;CHAR(10),""),IF(V115&gt;V114," * Positive HTS_INDEX "&amp;$V$19&amp;" "&amp;$V$20&amp;" is more than Tested HTS_INDEX"&amp;CHAR(10),""),IF(W115&gt;W114," * Positive HTS_INDEX "&amp;$V$19&amp;" "&amp;$W$20&amp;" is more than Tested HTS_INDEX"&amp;CHAR(10),""),IF(X115&gt;X114," * Positive HTS_INDEX "&amp;$X$19&amp;" "&amp;$X$20&amp;" is more than Tested HTS_INDEX"&amp;CHAR(10),""),IF(Y115&gt;Y114," * Positive HTS_INDEX "&amp;$X$19&amp;" "&amp;$Y$20&amp;" is more than Tested HTS_INDEX"&amp;CHAR(10),""),IF(Z115&gt;Z114," * Positive HTS_INDEX "&amp;$Z$19&amp;" "&amp;$Z$20&amp;" is more than Tested HTS_INDEX"&amp;CHAR(10),""),IF(AA115&gt;AA114," * Positive HTS_INDEX "&amp;$Z$19&amp;" "&amp;$AA$20&amp;" is more than Tested HTS_INDEX"&amp;CHAR(10),""))</f>
        <v/>
      </c>
      <c r="AD114" s="461"/>
      <c r="AE114" s="121"/>
      <c r="AF114" s="459"/>
      <c r="AG114" s="108">
        <v>73</v>
      </c>
    </row>
    <row r="115" spans="1:33" s="4" customFormat="1" ht="38.25" customHeight="1" thickBot="1" x14ac:dyDescent="0.5">
      <c r="A115" s="428"/>
      <c r="B115" s="184" t="s">
        <v>22</v>
      </c>
      <c r="C115" s="198" t="s">
        <v>306</v>
      </c>
      <c r="D115" s="97"/>
      <c r="E115" s="98"/>
      <c r="F115" s="97"/>
      <c r="G115" s="98"/>
      <c r="H115" s="97"/>
      <c r="I115" s="98"/>
      <c r="J115" s="97"/>
      <c r="K115" s="98"/>
      <c r="L115" s="32"/>
      <c r="M115" s="32"/>
      <c r="N115" s="32"/>
      <c r="O115" s="32"/>
      <c r="P115" s="32"/>
      <c r="Q115" s="32"/>
      <c r="R115" s="32"/>
      <c r="S115" s="32"/>
      <c r="T115" s="32"/>
      <c r="U115" s="32"/>
      <c r="V115" s="32"/>
      <c r="W115" s="32"/>
      <c r="X115" s="32"/>
      <c r="Y115" s="32"/>
      <c r="Z115" s="32"/>
      <c r="AA115" s="104"/>
      <c r="AB115" s="101">
        <f t="shared" si="45"/>
        <v>0</v>
      </c>
      <c r="AC115" s="123"/>
      <c r="AD115" s="462"/>
      <c r="AE115" s="121"/>
      <c r="AF115" s="460"/>
      <c r="AG115" s="108">
        <v>74</v>
      </c>
    </row>
    <row r="116" spans="1:33" s="4" customFormat="1" ht="38.25" customHeight="1" thickBot="1" x14ac:dyDescent="0.5">
      <c r="A116" s="474" t="s">
        <v>238</v>
      </c>
      <c r="B116" s="475"/>
      <c r="C116" s="476"/>
      <c r="D116" s="475"/>
      <c r="E116" s="475"/>
      <c r="F116" s="475"/>
      <c r="G116" s="475"/>
      <c r="H116" s="475"/>
      <c r="I116" s="475"/>
      <c r="J116" s="475"/>
      <c r="K116" s="475"/>
      <c r="L116" s="475"/>
      <c r="M116" s="475"/>
      <c r="N116" s="475"/>
      <c r="O116" s="475"/>
      <c r="P116" s="475"/>
      <c r="Q116" s="475"/>
      <c r="R116" s="475"/>
      <c r="S116" s="475"/>
      <c r="T116" s="475"/>
      <c r="U116" s="475"/>
      <c r="V116" s="475"/>
      <c r="W116" s="475"/>
      <c r="X116" s="475"/>
      <c r="Y116" s="475"/>
      <c r="Z116" s="475"/>
      <c r="AA116" s="475"/>
      <c r="AB116" s="475"/>
      <c r="AC116" s="475"/>
      <c r="AD116" s="475"/>
      <c r="AE116" s="475"/>
      <c r="AF116" s="477"/>
      <c r="AG116" s="108">
        <v>75</v>
      </c>
    </row>
    <row r="117" spans="1:33" s="4" customFormat="1" ht="30.75" hidden="1" customHeight="1" thickBot="1" x14ac:dyDescent="0.5">
      <c r="A117" s="484" t="s">
        <v>17</v>
      </c>
      <c r="B117" s="486" t="s">
        <v>25</v>
      </c>
      <c r="C117" s="488" t="s">
        <v>24</v>
      </c>
      <c r="D117" s="483" t="s">
        <v>0</v>
      </c>
      <c r="E117" s="483"/>
      <c r="F117" s="483" t="s">
        <v>1</v>
      </c>
      <c r="G117" s="483"/>
      <c r="H117" s="483" t="s">
        <v>2</v>
      </c>
      <c r="I117" s="483"/>
      <c r="J117" s="483" t="s">
        <v>3</v>
      </c>
      <c r="K117" s="483"/>
      <c r="L117" s="489" t="s">
        <v>4</v>
      </c>
      <c r="M117" s="490"/>
      <c r="N117" s="489" t="s">
        <v>5</v>
      </c>
      <c r="O117" s="490"/>
      <c r="P117" s="489" t="s">
        <v>6</v>
      </c>
      <c r="Q117" s="490"/>
      <c r="R117" s="489" t="s">
        <v>7</v>
      </c>
      <c r="S117" s="490"/>
      <c r="T117" s="489" t="s">
        <v>8</v>
      </c>
      <c r="U117" s="490"/>
      <c r="V117" s="489" t="s">
        <v>14</v>
      </c>
      <c r="W117" s="490"/>
      <c r="X117" s="489" t="s">
        <v>15</v>
      </c>
      <c r="Y117" s="490"/>
      <c r="Z117" s="489" t="s">
        <v>9</v>
      </c>
      <c r="AA117" s="490"/>
      <c r="AB117" s="628" t="s">
        <v>12</v>
      </c>
      <c r="AC117" s="629" t="s">
        <v>26</v>
      </c>
      <c r="AD117" s="113"/>
      <c r="AE117" s="627" t="s">
        <v>32</v>
      </c>
      <c r="AF117" s="114"/>
      <c r="AG117" s="108">
        <v>76</v>
      </c>
    </row>
    <row r="118" spans="1:33" s="4" customFormat="1" ht="30.75" hidden="1" customHeight="1" thickBot="1" x14ac:dyDescent="0.5">
      <c r="A118" s="485"/>
      <c r="B118" s="487"/>
      <c r="C118" s="488"/>
      <c r="D118" s="12" t="s">
        <v>10</v>
      </c>
      <c r="E118" s="12" t="s">
        <v>11</v>
      </c>
      <c r="F118" s="12" t="s">
        <v>10</v>
      </c>
      <c r="G118" s="12" t="s">
        <v>11</v>
      </c>
      <c r="H118" s="12" t="s">
        <v>10</v>
      </c>
      <c r="I118" s="12" t="s">
        <v>11</v>
      </c>
      <c r="J118" s="12" t="s">
        <v>10</v>
      </c>
      <c r="K118" s="12" t="s">
        <v>11</v>
      </c>
      <c r="L118" s="12" t="s">
        <v>10</v>
      </c>
      <c r="M118" s="12" t="s">
        <v>11</v>
      </c>
      <c r="N118" s="12" t="s">
        <v>10</v>
      </c>
      <c r="O118" s="12" t="s">
        <v>11</v>
      </c>
      <c r="P118" s="12" t="s">
        <v>10</v>
      </c>
      <c r="Q118" s="12" t="s">
        <v>11</v>
      </c>
      <c r="R118" s="12" t="s">
        <v>10</v>
      </c>
      <c r="S118" s="12" t="s">
        <v>11</v>
      </c>
      <c r="T118" s="12" t="s">
        <v>10</v>
      </c>
      <c r="U118" s="12" t="s">
        <v>11</v>
      </c>
      <c r="V118" s="12" t="s">
        <v>10</v>
      </c>
      <c r="W118" s="12" t="s">
        <v>11</v>
      </c>
      <c r="X118" s="12" t="s">
        <v>10</v>
      </c>
      <c r="Y118" s="12" t="s">
        <v>11</v>
      </c>
      <c r="Z118" s="12" t="s">
        <v>10</v>
      </c>
      <c r="AA118" s="12" t="s">
        <v>11</v>
      </c>
      <c r="AB118" s="471"/>
      <c r="AC118" s="625"/>
      <c r="AD118" s="113"/>
      <c r="AE118" s="464"/>
      <c r="AF118" s="114"/>
      <c r="AG118" s="108">
        <v>77</v>
      </c>
    </row>
    <row r="119" spans="1:33" s="4" customFormat="1" ht="38.25" customHeight="1" x14ac:dyDescent="0.45">
      <c r="A119" s="632" t="s">
        <v>110</v>
      </c>
      <c r="B119" s="241" t="s">
        <v>118</v>
      </c>
      <c r="C119" s="192" t="s">
        <v>307</v>
      </c>
      <c r="D119" s="185">
        <f t="shared" ref="D119:K119" si="46">SUM(D121:D125)</f>
        <v>0</v>
      </c>
      <c r="E119" s="115">
        <f t="shared" si="46"/>
        <v>0</v>
      </c>
      <c r="F119" s="115">
        <f t="shared" si="46"/>
        <v>0</v>
      </c>
      <c r="G119" s="115">
        <f t="shared" si="46"/>
        <v>0</v>
      </c>
      <c r="H119" s="115">
        <f t="shared" si="46"/>
        <v>0</v>
      </c>
      <c r="I119" s="115">
        <f t="shared" si="46"/>
        <v>0</v>
      </c>
      <c r="J119" s="115">
        <f t="shared" si="46"/>
        <v>0</v>
      </c>
      <c r="K119" s="115">
        <f t="shared" si="46"/>
        <v>0</v>
      </c>
      <c r="L119" s="115">
        <f>SUM(L121:L125)</f>
        <v>0</v>
      </c>
      <c r="M119" s="115">
        <f t="shared" ref="M119:AB119" si="47">SUM(M121:M125)</f>
        <v>0</v>
      </c>
      <c r="N119" s="115">
        <f t="shared" si="47"/>
        <v>0</v>
      </c>
      <c r="O119" s="115">
        <f t="shared" si="47"/>
        <v>0</v>
      </c>
      <c r="P119" s="115">
        <f t="shared" si="47"/>
        <v>0</v>
      </c>
      <c r="Q119" s="115">
        <f t="shared" si="47"/>
        <v>0</v>
      </c>
      <c r="R119" s="115">
        <f t="shared" si="47"/>
        <v>0</v>
      </c>
      <c r="S119" s="115">
        <f t="shared" si="47"/>
        <v>0</v>
      </c>
      <c r="T119" s="115">
        <f t="shared" si="47"/>
        <v>0</v>
      </c>
      <c r="U119" s="115">
        <f t="shared" si="47"/>
        <v>0</v>
      </c>
      <c r="V119" s="115">
        <f t="shared" si="47"/>
        <v>0</v>
      </c>
      <c r="W119" s="115">
        <f t="shared" si="47"/>
        <v>0</v>
      </c>
      <c r="X119" s="115">
        <f t="shared" si="47"/>
        <v>0</v>
      </c>
      <c r="Y119" s="115">
        <f t="shared" si="47"/>
        <v>0</v>
      </c>
      <c r="Z119" s="115">
        <f t="shared" si="47"/>
        <v>0</v>
      </c>
      <c r="AA119" s="116">
        <f t="shared" si="47"/>
        <v>0</v>
      </c>
      <c r="AB119" s="237">
        <f t="shared" si="47"/>
        <v>0</v>
      </c>
      <c r="AC119" s="124"/>
      <c r="AD119" s="461" t="str">
        <f>CONCATENATE(AC119,AC120,AC121,AC122,AC123,AC124,AC125,AC126,AC127,AC128,AC129,AC130,AC131,AC132,AC133)</f>
        <v/>
      </c>
      <c r="AE119" s="121"/>
      <c r="AF119" s="459" t="str">
        <f>CONCATENATE(AE119,AE120,AE121,AE122,AE123,AE124,AE125,AE126,AE127,AE128,AE129,AE130,AE131,AE132,AE133)</f>
        <v/>
      </c>
      <c r="AG119" s="108">
        <v>78</v>
      </c>
    </row>
    <row r="120" spans="1:33" s="4" customFormat="1" ht="38.25" customHeight="1" thickBot="1" x14ac:dyDescent="0.5">
      <c r="A120" s="633"/>
      <c r="B120" s="242" t="s">
        <v>119</v>
      </c>
      <c r="C120" s="193" t="s">
        <v>308</v>
      </c>
      <c r="D120" s="64">
        <f t="shared" ref="D120:K120" si="48">SUM(D126:D130)</f>
        <v>0</v>
      </c>
      <c r="E120" s="64">
        <f t="shared" si="48"/>
        <v>0</v>
      </c>
      <c r="F120" s="64">
        <f t="shared" si="48"/>
        <v>0</v>
      </c>
      <c r="G120" s="64">
        <f t="shared" si="48"/>
        <v>0</v>
      </c>
      <c r="H120" s="64">
        <f t="shared" si="48"/>
        <v>0</v>
      </c>
      <c r="I120" s="64">
        <f t="shared" si="48"/>
        <v>0</v>
      </c>
      <c r="J120" s="64">
        <f t="shared" si="48"/>
        <v>0</v>
      </c>
      <c r="K120" s="64">
        <f t="shared" si="48"/>
        <v>0</v>
      </c>
      <c r="L120" s="64">
        <f>SUM(L126:L130)</f>
        <v>0</v>
      </c>
      <c r="M120" s="64">
        <f t="shared" ref="M120:AA120" si="49">SUM(M126:M130)</f>
        <v>0</v>
      </c>
      <c r="N120" s="64">
        <f t="shared" si="49"/>
        <v>0</v>
      </c>
      <c r="O120" s="64">
        <f t="shared" si="49"/>
        <v>0</v>
      </c>
      <c r="P120" s="64">
        <f t="shared" si="49"/>
        <v>0</v>
      </c>
      <c r="Q120" s="64">
        <f t="shared" si="49"/>
        <v>0</v>
      </c>
      <c r="R120" s="64">
        <f t="shared" si="49"/>
        <v>0</v>
      </c>
      <c r="S120" s="64">
        <f t="shared" si="49"/>
        <v>0</v>
      </c>
      <c r="T120" s="64">
        <f t="shared" si="49"/>
        <v>0</v>
      </c>
      <c r="U120" s="64">
        <f t="shared" si="49"/>
        <v>0</v>
      </c>
      <c r="V120" s="64">
        <f t="shared" si="49"/>
        <v>0</v>
      </c>
      <c r="W120" s="64">
        <f t="shared" si="49"/>
        <v>0</v>
      </c>
      <c r="X120" s="64">
        <f t="shared" si="49"/>
        <v>0</v>
      </c>
      <c r="Y120" s="64">
        <f t="shared" si="49"/>
        <v>0</v>
      </c>
      <c r="Z120" s="64">
        <f t="shared" si="49"/>
        <v>0</v>
      </c>
      <c r="AA120" s="64">
        <f t="shared" si="49"/>
        <v>0</v>
      </c>
      <c r="AB120" s="238">
        <f t="shared" ref="AB120" si="50">SUM(AB126:AB130)</f>
        <v>0</v>
      </c>
      <c r="AC120" s="127"/>
      <c r="AD120" s="461"/>
      <c r="AE120" s="121"/>
      <c r="AF120" s="459"/>
      <c r="AG120" s="108">
        <v>79</v>
      </c>
    </row>
    <row r="121" spans="1:33" s="4" customFormat="1" ht="38.25" customHeight="1" x14ac:dyDescent="0.45">
      <c r="A121" s="207" t="s">
        <v>76</v>
      </c>
      <c r="B121" s="143" t="s">
        <v>112</v>
      </c>
      <c r="C121" s="192" t="s">
        <v>309</v>
      </c>
      <c r="D121" s="37"/>
      <c r="E121" s="28"/>
      <c r="F121" s="37"/>
      <c r="G121" s="28"/>
      <c r="H121" s="37"/>
      <c r="I121" s="28"/>
      <c r="J121" s="37"/>
      <c r="K121" s="28"/>
      <c r="L121" s="29"/>
      <c r="M121" s="29"/>
      <c r="N121" s="29"/>
      <c r="O121" s="29"/>
      <c r="P121" s="29"/>
      <c r="Q121" s="29"/>
      <c r="R121" s="29"/>
      <c r="S121" s="29"/>
      <c r="T121" s="29"/>
      <c r="U121" s="29"/>
      <c r="V121" s="29"/>
      <c r="W121" s="29"/>
      <c r="X121" s="29"/>
      <c r="Y121" s="29"/>
      <c r="Z121" s="29"/>
      <c r="AA121" s="102"/>
      <c r="AB121" s="99">
        <f t="shared" si="45"/>
        <v>0</v>
      </c>
      <c r="AC121" s="128"/>
      <c r="AD121" s="461"/>
      <c r="AE121" s="121"/>
      <c r="AF121" s="459"/>
      <c r="AG121" s="108">
        <v>80</v>
      </c>
    </row>
    <row r="122" spans="1:33" s="4" customFormat="1" ht="38.25" customHeight="1" thickBot="1" x14ac:dyDescent="0.5">
      <c r="A122" s="208" t="s">
        <v>77</v>
      </c>
      <c r="B122" s="144" t="s">
        <v>112</v>
      </c>
      <c r="C122" s="193" t="s">
        <v>310</v>
      </c>
      <c r="D122" s="36"/>
      <c r="E122" s="27"/>
      <c r="F122" s="36"/>
      <c r="G122" s="27"/>
      <c r="H122" s="36"/>
      <c r="I122" s="27"/>
      <c r="J122" s="36"/>
      <c r="K122" s="27"/>
      <c r="L122" s="25"/>
      <c r="M122" s="27"/>
      <c r="N122" s="25"/>
      <c r="O122" s="27"/>
      <c r="P122" s="25"/>
      <c r="Q122" s="27"/>
      <c r="R122" s="25"/>
      <c r="S122" s="27"/>
      <c r="T122" s="25"/>
      <c r="U122" s="27"/>
      <c r="V122" s="25"/>
      <c r="W122" s="27"/>
      <c r="X122" s="25"/>
      <c r="Y122" s="27"/>
      <c r="Z122" s="25"/>
      <c r="AA122" s="27"/>
      <c r="AB122" s="117">
        <f t="shared" si="45"/>
        <v>0</v>
      </c>
      <c r="AC122" s="129"/>
      <c r="AD122" s="461"/>
      <c r="AE122" s="121"/>
      <c r="AF122" s="459"/>
      <c r="AG122" s="108">
        <v>81</v>
      </c>
    </row>
    <row r="123" spans="1:33" s="4" customFormat="1" ht="38.25" customHeight="1" thickBot="1" x14ac:dyDescent="0.5">
      <c r="A123" s="208" t="s">
        <v>435</v>
      </c>
      <c r="B123" s="144" t="s">
        <v>112</v>
      </c>
      <c r="C123" s="193" t="s">
        <v>311</v>
      </c>
      <c r="D123" s="36"/>
      <c r="E123" s="27"/>
      <c r="F123" s="36"/>
      <c r="G123" s="27"/>
      <c r="H123" s="36"/>
      <c r="I123" s="27"/>
      <c r="J123" s="36"/>
      <c r="K123" s="27"/>
      <c r="L123" s="27"/>
      <c r="M123" s="27"/>
      <c r="N123" s="27"/>
      <c r="O123" s="27"/>
      <c r="P123" s="27"/>
      <c r="Q123" s="27"/>
      <c r="R123" s="27"/>
      <c r="S123" s="27"/>
      <c r="T123" s="27"/>
      <c r="U123" s="27"/>
      <c r="V123" s="27"/>
      <c r="W123" s="27"/>
      <c r="X123" s="27"/>
      <c r="Y123" s="27"/>
      <c r="Z123" s="27"/>
      <c r="AA123" s="232"/>
      <c r="AB123" s="233"/>
      <c r="AC123" s="129"/>
      <c r="AD123" s="461"/>
      <c r="AE123" s="121"/>
      <c r="AF123" s="459"/>
      <c r="AG123" s="108">
        <v>82</v>
      </c>
    </row>
    <row r="124" spans="1:33" s="4" customFormat="1" ht="38.25" customHeight="1" x14ac:dyDescent="0.45">
      <c r="A124" s="208" t="s">
        <v>79</v>
      </c>
      <c r="B124" s="144" t="s">
        <v>112</v>
      </c>
      <c r="C124" s="193" t="s">
        <v>312</v>
      </c>
      <c r="D124" s="36"/>
      <c r="E124" s="27"/>
      <c r="F124" s="36"/>
      <c r="G124" s="27"/>
      <c r="H124" s="36"/>
      <c r="I124" s="27"/>
      <c r="J124" s="36"/>
      <c r="K124" s="27"/>
      <c r="L124" s="27"/>
      <c r="M124" s="25"/>
      <c r="N124" s="27"/>
      <c r="O124" s="25"/>
      <c r="P124" s="27"/>
      <c r="Q124" s="25"/>
      <c r="R124" s="27"/>
      <c r="S124" s="25"/>
      <c r="T124" s="27"/>
      <c r="U124" s="25"/>
      <c r="V124" s="27"/>
      <c r="W124" s="25"/>
      <c r="X124" s="27"/>
      <c r="Y124" s="25"/>
      <c r="Z124" s="27"/>
      <c r="AA124" s="103"/>
      <c r="AB124" s="106">
        <f t="shared" si="45"/>
        <v>0</v>
      </c>
      <c r="AC124" s="129"/>
      <c r="AD124" s="461"/>
      <c r="AE124" s="121"/>
      <c r="AF124" s="459"/>
      <c r="AG124" s="108">
        <v>83</v>
      </c>
    </row>
    <row r="125" spans="1:33" s="4" customFormat="1" ht="38.25" customHeight="1" thickBot="1" x14ac:dyDescent="0.5">
      <c r="A125" s="209" t="s">
        <v>167</v>
      </c>
      <c r="B125" s="145" t="s">
        <v>112</v>
      </c>
      <c r="C125" s="198" t="s">
        <v>313</v>
      </c>
      <c r="D125" s="97"/>
      <c r="E125" s="98"/>
      <c r="F125" s="97"/>
      <c r="G125" s="98"/>
      <c r="H125" s="97"/>
      <c r="I125" s="98"/>
      <c r="J125" s="97"/>
      <c r="K125" s="98"/>
      <c r="L125" s="32"/>
      <c r="M125" s="32"/>
      <c r="N125" s="32"/>
      <c r="O125" s="32"/>
      <c r="P125" s="32"/>
      <c r="Q125" s="32"/>
      <c r="R125" s="32"/>
      <c r="S125" s="32"/>
      <c r="T125" s="32"/>
      <c r="U125" s="32"/>
      <c r="V125" s="32"/>
      <c r="W125" s="32"/>
      <c r="X125" s="32"/>
      <c r="Y125" s="32"/>
      <c r="Z125" s="32"/>
      <c r="AA125" s="104"/>
      <c r="AB125" s="101">
        <f t="shared" si="45"/>
        <v>0</v>
      </c>
      <c r="AC125" s="130"/>
      <c r="AD125" s="461"/>
      <c r="AE125" s="121"/>
      <c r="AF125" s="459"/>
      <c r="AG125" s="108">
        <v>84</v>
      </c>
    </row>
    <row r="126" spans="1:33" s="4" customFormat="1" ht="38.25" customHeight="1" x14ac:dyDescent="0.45">
      <c r="A126" s="207" t="s">
        <v>76</v>
      </c>
      <c r="B126" s="143" t="s">
        <v>113</v>
      </c>
      <c r="C126" s="192" t="s">
        <v>314</v>
      </c>
      <c r="D126" s="37"/>
      <c r="E126" s="28"/>
      <c r="F126" s="37"/>
      <c r="G126" s="28"/>
      <c r="H126" s="37"/>
      <c r="I126" s="28"/>
      <c r="J126" s="37"/>
      <c r="K126" s="28"/>
      <c r="L126" s="29"/>
      <c r="M126" s="29"/>
      <c r="N126" s="29"/>
      <c r="O126" s="29"/>
      <c r="P126" s="29"/>
      <c r="Q126" s="29"/>
      <c r="R126" s="29"/>
      <c r="S126" s="29"/>
      <c r="T126" s="29"/>
      <c r="U126" s="29"/>
      <c r="V126" s="29"/>
      <c r="W126" s="29"/>
      <c r="X126" s="29"/>
      <c r="Y126" s="29"/>
      <c r="Z126" s="29"/>
      <c r="AA126" s="102"/>
      <c r="AB126" s="100">
        <f t="shared" si="45"/>
        <v>0</v>
      </c>
      <c r="AC126" s="128"/>
      <c r="AD126" s="461"/>
      <c r="AE126" s="121"/>
      <c r="AF126" s="459"/>
      <c r="AG126" s="108">
        <v>85</v>
      </c>
    </row>
    <row r="127" spans="1:33" s="4" customFormat="1" ht="38.25" customHeight="1" thickBot="1" x14ac:dyDescent="0.5">
      <c r="A127" s="208" t="s">
        <v>77</v>
      </c>
      <c r="B127" s="144" t="s">
        <v>113</v>
      </c>
      <c r="C127" s="193" t="s">
        <v>315</v>
      </c>
      <c r="D127" s="36"/>
      <c r="E127" s="27"/>
      <c r="F127" s="36"/>
      <c r="G127" s="27"/>
      <c r="H127" s="36"/>
      <c r="I127" s="27"/>
      <c r="J127" s="36"/>
      <c r="K127" s="27"/>
      <c r="L127" s="25"/>
      <c r="M127" s="27"/>
      <c r="N127" s="25"/>
      <c r="O127" s="27"/>
      <c r="P127" s="25"/>
      <c r="Q127" s="27"/>
      <c r="R127" s="25"/>
      <c r="S127" s="27"/>
      <c r="T127" s="25"/>
      <c r="U127" s="27"/>
      <c r="V127" s="25"/>
      <c r="W127" s="27"/>
      <c r="X127" s="25"/>
      <c r="Y127" s="27"/>
      <c r="Z127" s="25"/>
      <c r="AA127" s="27"/>
      <c r="AB127" s="117">
        <f t="shared" si="45"/>
        <v>0</v>
      </c>
      <c r="AC127" s="129"/>
      <c r="AD127" s="461"/>
      <c r="AE127" s="121"/>
      <c r="AF127" s="459"/>
      <c r="AG127" s="108">
        <v>86</v>
      </c>
    </row>
    <row r="128" spans="1:33" s="4" customFormat="1" ht="38.25" customHeight="1" thickBot="1" x14ac:dyDescent="0.5">
      <c r="A128" s="208" t="s">
        <v>435</v>
      </c>
      <c r="B128" s="144" t="s">
        <v>113</v>
      </c>
      <c r="C128" s="193" t="s">
        <v>316</v>
      </c>
      <c r="D128" s="36"/>
      <c r="E128" s="27"/>
      <c r="F128" s="36"/>
      <c r="G128" s="27"/>
      <c r="H128" s="36"/>
      <c r="I128" s="27"/>
      <c r="J128" s="36"/>
      <c r="K128" s="27"/>
      <c r="L128" s="27"/>
      <c r="M128" s="27"/>
      <c r="N128" s="27"/>
      <c r="O128" s="27"/>
      <c r="P128" s="27"/>
      <c r="Q128" s="27"/>
      <c r="R128" s="27"/>
      <c r="S128" s="27"/>
      <c r="T128" s="27"/>
      <c r="U128" s="27"/>
      <c r="V128" s="27"/>
      <c r="W128" s="27"/>
      <c r="X128" s="27"/>
      <c r="Y128" s="27"/>
      <c r="Z128" s="27"/>
      <c r="AA128" s="232"/>
      <c r="AB128" s="228"/>
      <c r="AC128" s="129"/>
      <c r="AD128" s="461"/>
      <c r="AE128" s="121"/>
      <c r="AF128" s="459"/>
      <c r="AG128" s="108">
        <v>87</v>
      </c>
    </row>
    <row r="129" spans="1:33" s="4" customFormat="1" ht="38.25" customHeight="1" x14ac:dyDescent="0.45">
      <c r="A129" s="208" t="s">
        <v>79</v>
      </c>
      <c r="B129" s="144" t="s">
        <v>113</v>
      </c>
      <c r="C129" s="193" t="s">
        <v>317</v>
      </c>
      <c r="D129" s="36"/>
      <c r="E129" s="27"/>
      <c r="F129" s="36"/>
      <c r="G129" s="27"/>
      <c r="H129" s="36"/>
      <c r="I129" s="27"/>
      <c r="J129" s="36"/>
      <c r="K129" s="27"/>
      <c r="L129" s="27"/>
      <c r="M129" s="25"/>
      <c r="N129" s="27"/>
      <c r="O129" s="25"/>
      <c r="P129" s="27"/>
      <c r="Q129" s="25"/>
      <c r="R129" s="27"/>
      <c r="S129" s="25"/>
      <c r="T129" s="27"/>
      <c r="U129" s="25"/>
      <c r="V129" s="27"/>
      <c r="W129" s="25"/>
      <c r="X129" s="27"/>
      <c r="Y129" s="25"/>
      <c r="Z129" s="27"/>
      <c r="AA129" s="103"/>
      <c r="AB129" s="100">
        <f t="shared" si="45"/>
        <v>0</v>
      </c>
      <c r="AC129" s="129"/>
      <c r="AD129" s="461"/>
      <c r="AE129" s="121"/>
      <c r="AF129" s="459"/>
      <c r="AG129" s="108">
        <v>88</v>
      </c>
    </row>
    <row r="130" spans="1:33" s="4" customFormat="1" ht="38.25" customHeight="1" thickBot="1" x14ac:dyDescent="0.5">
      <c r="A130" s="209" t="s">
        <v>167</v>
      </c>
      <c r="B130" s="145" t="s">
        <v>113</v>
      </c>
      <c r="C130" s="198" t="s">
        <v>318</v>
      </c>
      <c r="D130" s="97"/>
      <c r="E130" s="98"/>
      <c r="F130" s="97"/>
      <c r="G130" s="98"/>
      <c r="H130" s="97"/>
      <c r="I130" s="98"/>
      <c r="J130" s="97"/>
      <c r="K130" s="98"/>
      <c r="L130" s="32"/>
      <c r="M130" s="32"/>
      <c r="N130" s="32"/>
      <c r="O130" s="32"/>
      <c r="P130" s="32"/>
      <c r="Q130" s="32"/>
      <c r="R130" s="32"/>
      <c r="S130" s="32"/>
      <c r="T130" s="32"/>
      <c r="U130" s="32"/>
      <c r="V130" s="32"/>
      <c r="W130" s="32"/>
      <c r="X130" s="32"/>
      <c r="Y130" s="32"/>
      <c r="Z130" s="32"/>
      <c r="AA130" s="104"/>
      <c r="AB130" s="101">
        <f t="shared" si="45"/>
        <v>0</v>
      </c>
      <c r="AC130" s="130"/>
      <c r="AD130" s="461"/>
      <c r="AE130" s="121"/>
      <c r="AF130" s="459"/>
      <c r="AG130" s="108">
        <v>89</v>
      </c>
    </row>
    <row r="131" spans="1:33" s="4" customFormat="1" ht="38.25" customHeight="1" x14ac:dyDescent="0.45">
      <c r="A131" s="634" t="s">
        <v>111</v>
      </c>
      <c r="B131" s="143" t="s">
        <v>114</v>
      </c>
      <c r="C131" s="193" t="s">
        <v>319</v>
      </c>
      <c r="D131" s="36"/>
      <c r="E131" s="27"/>
      <c r="F131" s="36"/>
      <c r="G131" s="27"/>
      <c r="H131" s="36"/>
      <c r="I131" s="27"/>
      <c r="J131" s="36"/>
      <c r="K131" s="27"/>
      <c r="L131" s="26"/>
      <c r="M131" s="26"/>
      <c r="N131" s="26"/>
      <c r="O131" s="26"/>
      <c r="P131" s="26"/>
      <c r="Q131" s="26"/>
      <c r="R131" s="26"/>
      <c r="S131" s="26"/>
      <c r="T131" s="26"/>
      <c r="U131" s="26"/>
      <c r="V131" s="26"/>
      <c r="W131" s="26"/>
      <c r="X131" s="26"/>
      <c r="Y131" s="26"/>
      <c r="Z131" s="26"/>
      <c r="AA131" s="26"/>
      <c r="AB131" s="100">
        <f t="shared" si="45"/>
        <v>0</v>
      </c>
      <c r="AC131" s="124" t="str">
        <f>CONCATENATE(IF(D120&lt;&gt;(D131+D132+D133)," * Total Hts Self by KP_Type  "&amp;$D$19&amp;" "&amp;$D$20&amp;" Is more than Total Hts Self by Self + Sex partner + Other"&amp;CHAR(10),""),IF(E120&lt;&gt;(E131+E132+E133)," * Total Hts Self by KP_Type  "&amp;$D$19&amp;" "&amp;$E$20&amp;" Is more than Total Hts Self by Self + Sex partner + Other"&amp;CHAR(10),""),IF(F120&lt;&gt;(F131+F132+F133)," * Total Hts Self by KP_Type  "&amp;$F$19&amp;" "&amp;$F$20&amp;" Is more than Total Hts Self by Self + Sex partner + Other"&amp;CHAR(10),""),IF(G120&lt;&gt;(G131+G132+G133)," * Total Hts Self by KP_Type  "&amp;$F$19&amp;" "&amp;$G$20&amp;" Is more than Total Hts Self by Self + Sex partner + Other"&amp;CHAR(10),""),IF(H120&lt;&gt;(H131+H132+H133)," * Total Hts Self by KP_Type  "&amp;$H$19&amp;" "&amp;$H$20&amp;" Is more than Total Hts Self by Self + Sex partner + Other"&amp;CHAR(10),""),IF(I120&lt;&gt;(I131+I132+I133)," * Total Hts Self by KP_Type  "&amp;$H$19&amp;" "&amp;$I$20&amp;" Is more than Total Hts Self by Self + Sex partner + Other"&amp;CHAR(10),""),IF(J120&lt;&gt;(J131+J132+J133)," * Total Hts Self by KP_Type  "&amp;$J$19&amp;" "&amp;$J$20&amp;" Is more than Total Hts Self by Self + Sex partner + Other"&amp;CHAR(10),""),IF(K120&lt;&gt;(K131+K132+K133)," * Total Hts Self by KP_Type  "&amp;$J$19&amp;" "&amp;$K$20&amp;" Is more than Total Hts Self by Self + Sex partner + Other"&amp;CHAR(10),""),IF(L120&lt;&gt;(L131+L132+L133)," * Total Hts Self by KP_Type  "&amp;$L$19&amp;" "&amp;$L$20&amp;" Is more than Total Hts Self by Self + Sex partner + Other"&amp;CHAR(10),""),IF(M120&lt;&gt;(M131+M132+M133)," * Total Hts Self by KP_Type  "&amp;$L$19&amp;" "&amp;$M$20&amp;" Is more than Total Hts Self by Self + Sex partner + Other"&amp;CHAR(10),""),IF(N120&lt;&gt;(N131+N132+N133)," * Total Hts Self by KP_Type  "&amp;$N$19&amp;" "&amp;$N$20&amp;" Is more than Total Hts Self by Self + Sex partner + Other"&amp;CHAR(10),""),IF(O120&lt;&gt;(O131+O132+O133)," * Total Hts Self by KP_Type  "&amp;$N$19&amp;" "&amp;$O$20&amp;" Is more than Total Hts Self by Self + Sex partner + Other"&amp;CHAR(10),""),IF(P120&lt;&gt;(P131+P132+P133)," * Total Hts Self by KP_Type  "&amp;$P$19&amp;" "&amp;$P$20&amp;" Is more than Total Hts Self by Self + Sex partner + Other"&amp;CHAR(10),""),IF(Q120&lt;&gt;(Q131+Q132+Q133)," * Total Hts Self by KP_Type  "&amp;$P$19&amp;" "&amp;$Q$20&amp;" Is more than Total Hts Self by Self + Sex partner + Other"&amp;CHAR(10),""),IF(R120&lt;&gt;(R131+R132+R133)," * Total Hts Self by KP_Type  "&amp;$R$19&amp;" "&amp;$R$20&amp;" Is more than Total Hts Self by Self + Sex partner + Other"&amp;CHAR(10),""),IF(S120&lt;&gt;(S131+S132+S133)," * Total Hts Self by KP_Type  "&amp;$R$19&amp;" "&amp;$S$20&amp;" Is more than Total Hts Self by Self + Sex partner + Other"&amp;CHAR(10),""),IF(T120&lt;&gt;(T131+T132+T133)," * Total Hts Self by KP_Type  "&amp;$T$19&amp;" "&amp;$T$20&amp;" Is more than Total Hts Self by Self + Sex partner + Other"&amp;CHAR(10),""),IF(U120&lt;&gt;(U131+U132+U133)," * Total Hts Self by KP_Type  "&amp;$T$19&amp;" "&amp;$U$20&amp;" Is more than Total Hts Self by Self + Sex partner + Other"&amp;CHAR(10),""),IF(V120&lt;&gt;(V131+V132+V133)," * Total Hts Self by KP_Type  "&amp;$V$19&amp;" "&amp;$V$20&amp;" Is more than Total Hts Self by Self + Sex partner + Other"&amp;CHAR(10),""),IF(W120&lt;&gt;(W131+W132+W133)," * Total Hts Self by KP_Type  "&amp;$V$19&amp;" "&amp;$W$20&amp;" Is more than Total Hts Self by Self + Sex partner + Other"&amp;CHAR(10),""),IF(X120&lt;&gt;(X131+X132+X133)," * Total Hts Self by KP_Type  "&amp;$X$19&amp;" "&amp;$X$20&amp;" Is more than Total Hts Self by Self + Sex partner + Other"&amp;CHAR(10),""),IF(Y120&lt;&gt;(Y131+Y132+Y133)," * Total Hts Self by KP_Type  "&amp;$X$19&amp;" "&amp;$Y$20&amp;" Is more than Total Hts Self by Self + Sex partner + Other"&amp;CHAR(10),""),IF(Z120&lt;&gt;(Z131+Z132+Z133)," * Total Hts Self by KP_Type  "&amp;$Z$19&amp;" "&amp;$Z$20&amp;" Is more than Total Hts Self by Self + Sex partner + Other"&amp;CHAR(10),""),IF(AA120&lt;&gt;(AA131+AA132+AA133)," * Total Hts Self by KP_Type  "&amp;$Z$19&amp;" "&amp;$AA$20&amp;" Is more than Total Hts Self by Self + Sex partner + Other"&amp;CHAR(10),""))</f>
        <v/>
      </c>
      <c r="AD131" s="461"/>
      <c r="AE131" s="121"/>
      <c r="AF131" s="459"/>
      <c r="AG131" s="108">
        <v>90</v>
      </c>
    </row>
    <row r="132" spans="1:33" s="4" customFormat="1" ht="38.25" customHeight="1" x14ac:dyDescent="0.45">
      <c r="A132" s="547"/>
      <c r="B132" s="144" t="s">
        <v>115</v>
      </c>
      <c r="C132" s="193" t="s">
        <v>320</v>
      </c>
      <c r="D132" s="36"/>
      <c r="E132" s="27"/>
      <c r="F132" s="36"/>
      <c r="G132" s="27"/>
      <c r="H132" s="36"/>
      <c r="I132" s="27"/>
      <c r="J132" s="36"/>
      <c r="K132" s="27"/>
      <c r="L132" s="25"/>
      <c r="M132" s="25"/>
      <c r="N132" s="25"/>
      <c r="O132" s="25"/>
      <c r="P132" s="25"/>
      <c r="Q132" s="25"/>
      <c r="R132" s="25"/>
      <c r="S132" s="25"/>
      <c r="T132" s="25"/>
      <c r="U132" s="25"/>
      <c r="V132" s="25"/>
      <c r="W132" s="25"/>
      <c r="X132" s="25"/>
      <c r="Y132" s="25"/>
      <c r="Z132" s="25"/>
      <c r="AA132" s="25"/>
      <c r="AB132" s="100">
        <f t="shared" si="45"/>
        <v>0</v>
      </c>
      <c r="AC132" s="123"/>
      <c r="AD132" s="461"/>
      <c r="AE132" s="121"/>
      <c r="AF132" s="459"/>
      <c r="AG132" s="108">
        <v>91</v>
      </c>
    </row>
    <row r="133" spans="1:33" s="4" customFormat="1" ht="38.25" customHeight="1" thickBot="1" x14ac:dyDescent="0.5">
      <c r="A133" s="635"/>
      <c r="B133" s="145" t="s">
        <v>13</v>
      </c>
      <c r="C133" s="198" t="s">
        <v>321</v>
      </c>
      <c r="D133" s="97"/>
      <c r="E133" s="98"/>
      <c r="F133" s="97"/>
      <c r="G133" s="98"/>
      <c r="H133" s="97"/>
      <c r="I133" s="98"/>
      <c r="J133" s="97"/>
      <c r="K133" s="98"/>
      <c r="L133" s="32"/>
      <c r="M133" s="32"/>
      <c r="N133" s="32"/>
      <c r="O133" s="32"/>
      <c r="P133" s="32"/>
      <c r="Q133" s="32"/>
      <c r="R133" s="32"/>
      <c r="S133" s="32"/>
      <c r="T133" s="32"/>
      <c r="U133" s="32"/>
      <c r="V133" s="32"/>
      <c r="W133" s="32"/>
      <c r="X133" s="32"/>
      <c r="Y133" s="32"/>
      <c r="Z133" s="32"/>
      <c r="AA133" s="32"/>
      <c r="AB133" s="101">
        <f t="shared" si="45"/>
        <v>0</v>
      </c>
      <c r="AC133" s="123"/>
      <c r="AD133" s="462"/>
      <c r="AE133" s="121"/>
      <c r="AF133" s="460"/>
      <c r="AG133" s="108">
        <v>92</v>
      </c>
    </row>
    <row r="134" spans="1:33" s="4" customFormat="1" ht="38.25" customHeight="1" thickBot="1" x14ac:dyDescent="0.5">
      <c r="A134" s="474" t="s">
        <v>239</v>
      </c>
      <c r="B134" s="475"/>
      <c r="C134" s="476"/>
      <c r="D134" s="475"/>
      <c r="E134" s="475"/>
      <c r="F134" s="475"/>
      <c r="G134" s="475"/>
      <c r="H134" s="475"/>
      <c r="I134" s="475"/>
      <c r="J134" s="475"/>
      <c r="K134" s="475"/>
      <c r="L134" s="475"/>
      <c r="M134" s="475"/>
      <c r="N134" s="475"/>
      <c r="O134" s="475"/>
      <c r="P134" s="475"/>
      <c r="Q134" s="475"/>
      <c r="R134" s="475"/>
      <c r="S134" s="475"/>
      <c r="T134" s="475"/>
      <c r="U134" s="475"/>
      <c r="V134" s="475"/>
      <c r="W134" s="475"/>
      <c r="X134" s="475"/>
      <c r="Y134" s="475"/>
      <c r="Z134" s="475"/>
      <c r="AA134" s="475"/>
      <c r="AB134" s="476"/>
      <c r="AC134" s="475"/>
      <c r="AD134" s="475"/>
      <c r="AE134" s="475"/>
      <c r="AF134" s="477"/>
      <c r="AG134" s="108">
        <v>154</v>
      </c>
    </row>
    <row r="135" spans="1:33" s="6" customFormat="1" ht="38.25" customHeight="1" thickBot="1" x14ac:dyDescent="0.5">
      <c r="A135" s="212" t="s">
        <v>188</v>
      </c>
      <c r="B135" s="212" t="s">
        <v>188</v>
      </c>
      <c r="C135" s="177" t="s">
        <v>322</v>
      </c>
      <c r="D135" s="136">
        <f t="shared" ref="D135:AB135" si="51">SUM(D136:D140)</f>
        <v>0</v>
      </c>
      <c r="E135" s="136">
        <f t="shared" si="51"/>
        <v>0</v>
      </c>
      <c r="F135" s="136">
        <f t="shared" si="51"/>
        <v>0</v>
      </c>
      <c r="G135" s="136">
        <f t="shared" si="51"/>
        <v>0</v>
      </c>
      <c r="H135" s="136">
        <f t="shared" si="51"/>
        <v>0</v>
      </c>
      <c r="I135" s="136">
        <f t="shared" si="51"/>
        <v>0</v>
      </c>
      <c r="J135" s="136">
        <f t="shared" si="51"/>
        <v>0</v>
      </c>
      <c r="K135" s="136">
        <f t="shared" si="51"/>
        <v>0</v>
      </c>
      <c r="L135" s="136">
        <f t="shared" si="51"/>
        <v>0</v>
      </c>
      <c r="M135" s="136">
        <f t="shared" si="51"/>
        <v>0</v>
      </c>
      <c r="N135" s="136">
        <f t="shared" si="51"/>
        <v>0</v>
      </c>
      <c r="O135" s="136">
        <f t="shared" si="51"/>
        <v>0</v>
      </c>
      <c r="P135" s="136">
        <f t="shared" si="51"/>
        <v>0</v>
      </c>
      <c r="Q135" s="136">
        <f t="shared" si="51"/>
        <v>0</v>
      </c>
      <c r="R135" s="136">
        <f t="shared" si="51"/>
        <v>0</v>
      </c>
      <c r="S135" s="136">
        <f t="shared" si="51"/>
        <v>0</v>
      </c>
      <c r="T135" s="136">
        <f t="shared" si="51"/>
        <v>0</v>
      </c>
      <c r="U135" s="136">
        <f t="shared" si="51"/>
        <v>0</v>
      </c>
      <c r="V135" s="136">
        <f t="shared" si="51"/>
        <v>0</v>
      </c>
      <c r="W135" s="136">
        <f t="shared" si="51"/>
        <v>0</v>
      </c>
      <c r="X135" s="136">
        <f t="shared" si="51"/>
        <v>0</v>
      </c>
      <c r="Y135" s="136">
        <f t="shared" si="51"/>
        <v>0</v>
      </c>
      <c r="Z135" s="136">
        <f t="shared" si="51"/>
        <v>0</v>
      </c>
      <c r="AA135" s="136">
        <f t="shared" si="51"/>
        <v>0</v>
      </c>
      <c r="AB135" s="136">
        <f t="shared" si="51"/>
        <v>0</v>
      </c>
      <c r="AC135" s="137" t="str">
        <f>CONCATENATE(IF(D135&gt;(D104+D106)," * Started on ART "&amp;$D$19&amp;" "&amp;$D$20&amp;" Is more Total Positive By modality"&amp;CHAR(10),""),IF(E135&gt;(E104+E106)," * Started on ART "&amp;$D$19&amp;" "&amp;$E$20&amp;" Is more Total Positive By modality"&amp;CHAR(10),""),IF(F135&gt;(F104+F106)," * Started on ART "&amp;$F$19&amp;" "&amp;$F$20&amp;" Is more Total Positive By modality"&amp;CHAR(10),""),IF(G135&gt;(G104+G106)," * Started on ART "&amp;$F$19&amp;" "&amp;$G$20&amp;" Is more Total Positive By modality"&amp;CHAR(10),""),IF(H135&gt;(H104+H106)," * Started on ART "&amp;$H$19&amp;" "&amp;$H$20&amp;" Is more Total Positive By modality"&amp;CHAR(10),""),IF(I135&gt;(I104+I106)," * Started on ART "&amp;$H$19&amp;" "&amp;$I$20&amp;" Is more Total Positive By modality"&amp;CHAR(10),""),IF(J135&gt;(J104+J106)," * Started on ART "&amp;$J$19&amp;" "&amp;$J$20&amp;" Is more Total Positive By modality"&amp;CHAR(10),""),IF(K135&gt;(K104+K106)," * Started on ART "&amp;$J$19&amp;" "&amp;$K$20&amp;" Is more Total Positive By modality"&amp;CHAR(10),""),IF(L135&gt;(L104+L106)," * Started on ART "&amp;$L$19&amp;" "&amp;$L$20&amp;" Is more Total Positive By modality"&amp;CHAR(10),""),IF(M135&gt;(M104+M106)," * Started on ART "&amp;$L$19&amp;" "&amp;$M$20&amp;" Is more Total Positive By modality"&amp;CHAR(10),""),IF(N135&gt;(N104+N106)," * Started on ART "&amp;$N$19&amp;" "&amp;$N$20&amp;" Is more Total Positive By modality"&amp;CHAR(10),""),IF(O135&gt;(O104+O106)," * Started on ART "&amp;$N$19&amp;" "&amp;$O$20&amp;" Is more Total Positive By modality"&amp;CHAR(10),""),IF(P135&gt;(P104+P106)," * Started on ART "&amp;$P$19&amp;" "&amp;$P$20&amp;" Is more Total Positive By modality"&amp;CHAR(10),""),IF(Q135&gt;(Q104+Q106)," * Started on ART "&amp;$P$19&amp;" "&amp;$Q$20&amp;" Is more Total Positive By modality"&amp;CHAR(10),""),IF(R135&gt;(R104+R106)," * Started on ART "&amp;$R$19&amp;" "&amp;$R$20&amp;" Is more Total Positive By modality"&amp;CHAR(10),""),IF(S135&gt;(S104+S106)," * Started on ART "&amp;$R$19&amp;" "&amp;$S$20&amp;" Is more Total Positive By modality"&amp;CHAR(10),""),IF(T135&gt;(T104+T106)," * Started on ART "&amp;$T$19&amp;" "&amp;$T$20&amp;" Is more Total Positive By modality"&amp;CHAR(10),""),IF(U135&gt;(U104+U106)," * Started on ART "&amp;$T$19&amp;" "&amp;$U$20&amp;" Is more Total Positive By modality"&amp;CHAR(10),""),IF(V135&gt;(V104+V106)," * Started on ART "&amp;$V$19&amp;" "&amp;$V$20&amp;" Is more Total Positive By modality"&amp;CHAR(10),""),IF(W135&gt;(W104+W106)," * Started on ART "&amp;$V$19&amp;" "&amp;$W$20&amp;" Is more Total Positive By modality"&amp;CHAR(10),""),IF(X135&gt;(X104+X106)," * Started on ART "&amp;$X$19&amp;" "&amp;$X$20&amp;" Is more Total Positive By modality"&amp;CHAR(10),""),IF(Y135&gt;(Y104+Y106)," * Started on ART "&amp;$X$19&amp;" "&amp;$Y$20&amp;" Is more Total Positive By modality"&amp;CHAR(10),""),IF(Z135&gt;(Z104+Z106)," * Started on ART "&amp;$Z$19&amp;" "&amp;$Z$20&amp;" Is more Total Positive By modality"&amp;CHAR(10),""),IF(AA135&gt;(AA104+AA106)," * Started on ART "&amp;$Z$19&amp;" "&amp;$AA$20&amp;" Is more Total Positive By modality"&amp;CHAR(10),""))</f>
        <v/>
      </c>
      <c r="AD135" s="541" t="str">
        <f>CONCATENATE(AC135,AC136,AC137,AC138,AC139,AC140)</f>
        <v/>
      </c>
      <c r="AE135" s="138" t="str">
        <f>CONCATENATE(IF(D135&lt;(D104+D106)," * Started on ART "&amp;$D$19&amp;" "&amp;$D$20&amp;" Is less than  Total Positive By modality"&amp;CHAR(10),""),IF(E135&lt;(E104+E106)," * Started on ART "&amp;$D$19&amp;" "&amp;$E$20&amp;" Is less than  Total Positive By modality"&amp;CHAR(10),""),IF(F135&lt;(F104+F106)," * Started on ART "&amp;$F$19&amp;" "&amp;$F$20&amp;" Is less than  Total Positive By modality"&amp;CHAR(10),""),IF(G135&lt;(G104+G106)," * Started on ART "&amp;$F$19&amp;" "&amp;$G$20&amp;" Is less than  Total Positive By modality"&amp;CHAR(10),""),IF(H135&lt;(H104+H106)," * Started on ART "&amp;$H$19&amp;" "&amp;$H$20&amp;" Is less than  Total Positive By modality"&amp;CHAR(10),""),IF(I135&lt;(I104+I106)," * Started on ART "&amp;$H$19&amp;" "&amp;$I$20&amp;" Is less than  Total Positive By modality"&amp;CHAR(10),""),IF(J135&lt;(J104+J106)," * Started on ART "&amp;$J$19&amp;" "&amp;$J$20&amp;" Is less than  Total Positive By modality"&amp;CHAR(10),""),IF(K135&lt;(K104+K106)," * Started on ART "&amp;$J$19&amp;" "&amp;$K$20&amp;" Is less than  Total Positive By modality"&amp;CHAR(10),""),IF(L135&lt;(L104+L106)," * Started on ART "&amp;$L$19&amp;" "&amp;$L$20&amp;" Is less than  Total Positive By modality"&amp;CHAR(10),""),IF(M135&lt;(M104+M106)," * Started on ART "&amp;$L$19&amp;" "&amp;$M$20&amp;" Is less than  Total Positive By modality"&amp;CHAR(10),""),IF(N135&lt;(N104+N106)," * Started on ART "&amp;$N$19&amp;" "&amp;$N$20&amp;" Is less than  Total Positive By modality"&amp;CHAR(10),""),IF(O135&lt;(O104+O106)," * Started on ART "&amp;$N$19&amp;" "&amp;$O$20&amp;" Is less than  Total Positive By modality"&amp;CHAR(10),""),IF(P135&lt;(P104+P106)," * Started on ART "&amp;$P$19&amp;" "&amp;$P$20&amp;" Is less than  Total Positive By modality"&amp;CHAR(10),""),IF(Q135&lt;(Q104+Q106)," * Started on ART "&amp;$P$19&amp;" "&amp;$Q$20&amp;" Is less than  Total Positive By modality"&amp;CHAR(10),""),IF(R135&lt;(R104+R106)," * Started on ART "&amp;$R$19&amp;" "&amp;$R$20&amp;" Is less than  Total Positive By modality"&amp;CHAR(10),""),IF(S135&lt;(S104+S106)," * Started on ART "&amp;$R$19&amp;" "&amp;$S$20&amp;" Is less than  Total Positive By modality"&amp;CHAR(10),""),IF(T135&lt;(T104+T106)," * Started on ART "&amp;$T$19&amp;" "&amp;$T$20&amp;" Is less than  Total Positive By modality"&amp;CHAR(10),""),IF(U135&lt;(U104+U106)," * Started on ART "&amp;$T$19&amp;" "&amp;$U$20&amp;" Is less than  Total Positive By modality"&amp;CHAR(10),""),IF(V135&lt;(V104+V106)," * Started on ART "&amp;$V$19&amp;" "&amp;$V$20&amp;" Is less than  Total Positive By modality"&amp;CHAR(10),""),IF(W135&lt;(W104+W106)," * Started on ART "&amp;$V$19&amp;" "&amp;$W$20&amp;" Is less than  Total Positive By modality"&amp;CHAR(10),""),IF(X135&lt;(X104+X106)," * Started on ART "&amp;$X$19&amp;" "&amp;$X$20&amp;" Is less than  Total Positive By modality"&amp;CHAR(10),""),IF(Y135&lt;(Y104+Y106)," * Started on ART "&amp;$X$19&amp;" "&amp;$Y$20&amp;" Is less than  Total Positive By modality"&amp;CHAR(10),""),IF(Z135&lt;(Z104+Z106)," * Started on ART "&amp;$Z$19&amp;" "&amp;$Z$20&amp;" Is less than  Total Positive By modality"&amp;CHAR(10),""),IF(AA135&lt;(AA104+AA106)," * Started on ART "&amp;$Z$19&amp;" "&amp;$AA$20&amp;" Is less than  Total Positive By modality"&amp;CHAR(10),""))</f>
        <v/>
      </c>
      <c r="AF135" s="544" t="str">
        <f>CONCATENATE(AE135,AE136,AE137,AE138,AE139,AE140)</f>
        <v/>
      </c>
      <c r="AG135" s="108">
        <v>155</v>
      </c>
    </row>
    <row r="136" spans="1:33" s="4" customFormat="1" ht="38.25" customHeight="1" thickBot="1" x14ac:dyDescent="0.5">
      <c r="A136" s="213" t="s">
        <v>79</v>
      </c>
      <c r="B136" s="150" t="s">
        <v>193</v>
      </c>
      <c r="C136" s="192" t="s">
        <v>323</v>
      </c>
      <c r="D136" s="38"/>
      <c r="E136" s="28"/>
      <c r="F136" s="37"/>
      <c r="G136" s="28"/>
      <c r="H136" s="37"/>
      <c r="I136" s="28"/>
      <c r="J136" s="37"/>
      <c r="K136" s="28"/>
      <c r="L136" s="28"/>
      <c r="M136" s="29"/>
      <c r="N136" s="28"/>
      <c r="O136" s="29"/>
      <c r="P136" s="28"/>
      <c r="Q136" s="29"/>
      <c r="R136" s="28"/>
      <c r="S136" s="29"/>
      <c r="T136" s="28"/>
      <c r="U136" s="29"/>
      <c r="V136" s="28"/>
      <c r="W136" s="29"/>
      <c r="X136" s="28"/>
      <c r="Y136" s="29"/>
      <c r="Z136" s="28"/>
      <c r="AA136" s="109"/>
      <c r="AB136" s="106">
        <f t="shared" ref="AB136:AB139" si="52">SUM(D136:AA136)</f>
        <v>0</v>
      </c>
      <c r="AC136" s="128"/>
      <c r="AD136" s="542"/>
      <c r="AE136" s="121"/>
      <c r="AF136" s="545"/>
      <c r="AG136" s="108">
        <v>156</v>
      </c>
    </row>
    <row r="137" spans="1:33" s="4" customFormat="1" ht="38.25" customHeight="1" x14ac:dyDescent="0.45">
      <c r="A137" s="208" t="s">
        <v>77</v>
      </c>
      <c r="B137" s="148" t="s">
        <v>189</v>
      </c>
      <c r="C137" s="193" t="s">
        <v>324</v>
      </c>
      <c r="D137" s="110"/>
      <c r="E137" s="27"/>
      <c r="F137" s="36"/>
      <c r="G137" s="27"/>
      <c r="H137" s="36"/>
      <c r="I137" s="27"/>
      <c r="J137" s="36"/>
      <c r="K137" s="27"/>
      <c r="L137" s="25"/>
      <c r="M137" s="28"/>
      <c r="N137" s="25"/>
      <c r="O137" s="28"/>
      <c r="P137" s="25"/>
      <c r="Q137" s="28"/>
      <c r="R137" s="25"/>
      <c r="S137" s="28"/>
      <c r="T137" s="25"/>
      <c r="U137" s="28"/>
      <c r="V137" s="25"/>
      <c r="W137" s="28"/>
      <c r="X137" s="25"/>
      <c r="Y137" s="28"/>
      <c r="Z137" s="25"/>
      <c r="AA137" s="28"/>
      <c r="AB137" s="100">
        <f t="shared" si="52"/>
        <v>0</v>
      </c>
      <c r="AC137" s="129"/>
      <c r="AD137" s="542"/>
      <c r="AE137" s="121"/>
      <c r="AF137" s="545"/>
      <c r="AG137" s="108">
        <v>157</v>
      </c>
    </row>
    <row r="138" spans="1:33" s="4" customFormat="1" ht="38.25" customHeight="1" x14ac:dyDescent="0.45">
      <c r="A138" s="208" t="s">
        <v>167</v>
      </c>
      <c r="B138" s="148" t="s">
        <v>190</v>
      </c>
      <c r="C138" s="193" t="s">
        <v>325</v>
      </c>
      <c r="D138" s="110"/>
      <c r="E138" s="27"/>
      <c r="F138" s="36"/>
      <c r="G138" s="27"/>
      <c r="H138" s="36"/>
      <c r="I138" s="27"/>
      <c r="J138" s="36"/>
      <c r="K138" s="27"/>
      <c r="L138" s="25"/>
      <c r="M138" s="25"/>
      <c r="N138" s="25"/>
      <c r="O138" s="25"/>
      <c r="P138" s="25"/>
      <c r="Q138" s="25"/>
      <c r="R138" s="25"/>
      <c r="S138" s="25"/>
      <c r="T138" s="25"/>
      <c r="U138" s="25"/>
      <c r="V138" s="25"/>
      <c r="W138" s="25"/>
      <c r="X138" s="25"/>
      <c r="Y138" s="25"/>
      <c r="Z138" s="25"/>
      <c r="AA138" s="111"/>
      <c r="AB138" s="100">
        <f t="shared" si="52"/>
        <v>0</v>
      </c>
      <c r="AC138" s="129"/>
      <c r="AD138" s="542"/>
      <c r="AE138" s="121"/>
      <c r="AF138" s="545"/>
      <c r="AG138" s="108">
        <v>159</v>
      </c>
    </row>
    <row r="139" spans="1:33" s="4" customFormat="1" ht="38.25" customHeight="1" thickBot="1" x14ac:dyDescent="0.5">
      <c r="A139" s="208" t="s">
        <v>76</v>
      </c>
      <c r="B139" s="148" t="s">
        <v>191</v>
      </c>
      <c r="C139" s="193" t="s">
        <v>326</v>
      </c>
      <c r="D139" s="110"/>
      <c r="E139" s="27"/>
      <c r="F139" s="36"/>
      <c r="G139" s="27"/>
      <c r="H139" s="36"/>
      <c r="I139" s="27"/>
      <c r="J139" s="36"/>
      <c r="K139" s="27"/>
      <c r="L139" s="25"/>
      <c r="M139" s="25"/>
      <c r="N139" s="25"/>
      <c r="O139" s="25"/>
      <c r="P139" s="25"/>
      <c r="Q139" s="25"/>
      <c r="R139" s="25"/>
      <c r="S139" s="25"/>
      <c r="T139" s="25"/>
      <c r="U139" s="25"/>
      <c r="V139" s="25"/>
      <c r="W139" s="25"/>
      <c r="X139" s="25"/>
      <c r="Y139" s="25"/>
      <c r="Z139" s="25"/>
      <c r="AA139" s="111"/>
      <c r="AB139" s="101">
        <f t="shared" si="52"/>
        <v>0</v>
      </c>
      <c r="AC139" s="130"/>
      <c r="AD139" s="542"/>
      <c r="AE139" s="121"/>
      <c r="AF139" s="545"/>
      <c r="AG139" s="108">
        <v>160</v>
      </c>
    </row>
    <row r="140" spans="1:33" s="4" customFormat="1" ht="38.25" customHeight="1" thickBot="1" x14ac:dyDescent="0.5">
      <c r="A140" s="214" t="s">
        <v>435</v>
      </c>
      <c r="B140" s="149" t="s">
        <v>192</v>
      </c>
      <c r="C140" s="198" t="s">
        <v>327</v>
      </c>
      <c r="D140" s="112"/>
      <c r="E140" s="98"/>
      <c r="F140" s="97"/>
      <c r="G140" s="98"/>
      <c r="H140" s="97"/>
      <c r="I140" s="98"/>
      <c r="J140" s="97"/>
      <c r="K140" s="98"/>
      <c r="L140" s="98"/>
      <c r="M140" s="98"/>
      <c r="N140" s="98"/>
      <c r="O140" s="98"/>
      <c r="P140" s="98"/>
      <c r="Q140" s="98"/>
      <c r="R140" s="98"/>
      <c r="S140" s="98"/>
      <c r="T140" s="98"/>
      <c r="U140" s="98"/>
      <c r="V140" s="98"/>
      <c r="W140" s="98"/>
      <c r="X140" s="98"/>
      <c r="Y140" s="98"/>
      <c r="Z140" s="98"/>
      <c r="AA140" s="227"/>
      <c r="AB140" s="228"/>
      <c r="AC140" s="129"/>
      <c r="AD140" s="542"/>
      <c r="AE140" s="121"/>
      <c r="AF140" s="546"/>
      <c r="AG140" s="108">
        <v>161</v>
      </c>
    </row>
    <row r="141" spans="1:33" s="4" customFormat="1" ht="38.25" customHeight="1" thickBot="1" x14ac:dyDescent="0.5">
      <c r="A141" s="474" t="s">
        <v>240</v>
      </c>
      <c r="B141" s="475"/>
      <c r="C141" s="476"/>
      <c r="D141" s="475"/>
      <c r="E141" s="475"/>
      <c r="F141" s="475"/>
      <c r="G141" s="475"/>
      <c r="H141" s="475"/>
      <c r="I141" s="475"/>
      <c r="J141" s="475"/>
      <c r="K141" s="475"/>
      <c r="L141" s="475"/>
      <c r="M141" s="475"/>
      <c r="N141" s="475"/>
      <c r="O141" s="475"/>
      <c r="P141" s="475"/>
      <c r="Q141" s="475"/>
      <c r="R141" s="475"/>
      <c r="S141" s="475"/>
      <c r="T141" s="475"/>
      <c r="U141" s="475"/>
      <c r="V141" s="475"/>
      <c r="W141" s="475"/>
      <c r="X141" s="475"/>
      <c r="Y141" s="475"/>
      <c r="Z141" s="475"/>
      <c r="AA141" s="475"/>
      <c r="AB141" s="476"/>
      <c r="AC141" s="475"/>
      <c r="AD141" s="475"/>
      <c r="AE141" s="475"/>
      <c r="AF141" s="477"/>
      <c r="AG141" s="108">
        <v>154</v>
      </c>
    </row>
    <row r="142" spans="1:33" s="6" customFormat="1" ht="38.25" customHeight="1" thickBot="1" x14ac:dyDescent="0.5">
      <c r="A142" s="212" t="s">
        <v>194</v>
      </c>
      <c r="B142" s="212" t="s">
        <v>194</v>
      </c>
      <c r="C142" s="177" t="s">
        <v>328</v>
      </c>
      <c r="D142" s="136">
        <f t="shared" ref="D142:L142" si="53">SUM(D143:D147)</f>
        <v>0</v>
      </c>
      <c r="E142" s="136">
        <f t="shared" si="53"/>
        <v>0</v>
      </c>
      <c r="F142" s="136">
        <f t="shared" si="53"/>
        <v>0</v>
      </c>
      <c r="G142" s="136">
        <f t="shared" si="53"/>
        <v>0</v>
      </c>
      <c r="H142" s="136">
        <f t="shared" si="53"/>
        <v>0</v>
      </c>
      <c r="I142" s="136">
        <f t="shared" si="53"/>
        <v>0</v>
      </c>
      <c r="J142" s="136">
        <f t="shared" si="53"/>
        <v>0</v>
      </c>
      <c r="K142" s="136">
        <f t="shared" si="53"/>
        <v>0</v>
      </c>
      <c r="L142" s="136">
        <f t="shared" si="53"/>
        <v>0</v>
      </c>
      <c r="M142" s="136">
        <f t="shared" ref="M142:AA142" si="54">SUM(M143:M147)</f>
        <v>0</v>
      </c>
      <c r="N142" s="136">
        <f t="shared" si="54"/>
        <v>0</v>
      </c>
      <c r="O142" s="136">
        <f t="shared" si="54"/>
        <v>0</v>
      </c>
      <c r="P142" s="136">
        <f t="shared" si="54"/>
        <v>0</v>
      </c>
      <c r="Q142" s="136">
        <f t="shared" si="54"/>
        <v>0</v>
      </c>
      <c r="R142" s="136">
        <f t="shared" si="54"/>
        <v>0</v>
      </c>
      <c r="S142" s="136">
        <f t="shared" si="54"/>
        <v>0</v>
      </c>
      <c r="T142" s="136">
        <f t="shared" si="54"/>
        <v>0</v>
      </c>
      <c r="U142" s="136">
        <f t="shared" si="54"/>
        <v>0</v>
      </c>
      <c r="V142" s="136">
        <f t="shared" si="54"/>
        <v>0</v>
      </c>
      <c r="W142" s="136">
        <f t="shared" si="54"/>
        <v>0</v>
      </c>
      <c r="X142" s="136">
        <f t="shared" si="54"/>
        <v>0</v>
      </c>
      <c r="Y142" s="136">
        <f t="shared" si="54"/>
        <v>0</v>
      </c>
      <c r="Z142" s="136">
        <f t="shared" si="54"/>
        <v>0</v>
      </c>
      <c r="AA142" s="136">
        <f t="shared" si="54"/>
        <v>0</v>
      </c>
      <c r="AB142" s="136">
        <f>SUM(AB143:AB147)</f>
        <v>0</v>
      </c>
      <c r="AC142" s="231" t="str">
        <f>CONCATENATE(IF(D156&gt;D142," * VL Done "&amp;$D$19&amp;" "&amp;$D$20&amp;" is more than TX_Curr"&amp;CHAR(10),""),IF(E156&gt;E142," * VL Done "&amp;$D$19&amp;" "&amp;$E$20&amp;" is more than TX_Curr"&amp;CHAR(10),""),IF(F156&gt;F142," * VL Done "&amp;$F$19&amp;" "&amp;$F$20&amp;" is more than TX_Curr"&amp;CHAR(10),""),IF(G156&gt;G142," * VL Done "&amp;$F$19&amp;" "&amp;$G$20&amp;" is more than TX_Curr"&amp;CHAR(10),""),IF(H156&gt;H142," * VL Done "&amp;$H$19&amp;" "&amp;$H$20&amp;" is more than TX_Curr"&amp;CHAR(10),""),IF(I156&gt;I142," * VL Done "&amp;$H$19&amp;" "&amp;$I$20&amp;" is more than TX_Curr"&amp;CHAR(10),""),IF(J156&gt;J142," * VL Done "&amp;$J$19&amp;" "&amp;$J$20&amp;" is more than TX_Curr"&amp;CHAR(10),""),IF(K156&gt;K142," * VL Done "&amp;$J$19&amp;" "&amp;$K$20&amp;" is more than TX_Curr"&amp;CHAR(10),""),IF(L156&gt;L142," * VL Done "&amp;$L$19&amp;" "&amp;$L$20&amp;" is more than TX_Curr"&amp;CHAR(10),""),IF(M156&gt;M142," * VL Done "&amp;$L$19&amp;" "&amp;$M$20&amp;" is more than TX_Curr"&amp;CHAR(10),""),IF(N156&gt;N142," * VL Done "&amp;$N$19&amp;" "&amp;$N$20&amp;" is more than TX_Curr"&amp;CHAR(10),""),IF(O156&gt;O142," * VL Done "&amp;$N$19&amp;" "&amp;$O$20&amp;" is more than TX_Curr"&amp;CHAR(10),""),IF(P156&gt;P142," * VL Done "&amp;$P$19&amp;" "&amp;$P$20&amp;" is more than TX_Curr"&amp;CHAR(10),""),IF(Q156&gt;Q142," * VL Done "&amp;$P$19&amp;" "&amp;$Q$20&amp;" is more than TX_Curr"&amp;CHAR(10),""),IF(R156&gt;R142," * VL Done "&amp;$R$19&amp;" "&amp;$R$20&amp;" is more than TX_Curr"&amp;CHAR(10),""),IF(S156&gt;S142," * VL Done "&amp;$R$19&amp;" "&amp;$S$20&amp;" is more than TX_Curr"&amp;CHAR(10),""),IF(T156&gt;T142," * VL Done "&amp;$T$19&amp;" "&amp;$T$20&amp;" is more than TX_Curr"&amp;CHAR(10),""),IF(U156&gt;U142," * VL Done "&amp;$T$19&amp;" "&amp;$U$20&amp;" is more than TX_Curr"&amp;CHAR(10),""),IF(V156&gt;V142," * VL Done "&amp;$V$19&amp;" "&amp;$V$20&amp;" is more than TX_Curr"&amp;CHAR(10),""),IF(W156&gt;W142," * VL Done "&amp;$V$19&amp;" "&amp;$W$20&amp;" is more than TX_Curr"&amp;CHAR(10),""),IF(X156&gt;X142," * VL Done "&amp;$X$19&amp;" "&amp;$X$20&amp;" is more than TX_Curr"&amp;CHAR(10),""),IF(Y156&gt;Y142," * VL Done "&amp;$X$19&amp;" "&amp;$Y$20&amp;" is more than TX_Curr"&amp;CHAR(10),""),IF(Z156&gt;Z142," * VL Done "&amp;$Z$19&amp;" "&amp;$Z$20&amp;" is more than TX_Curr"&amp;CHAR(10),""),IF(AA156&gt;AA142," * VL Done "&amp;$Z$19&amp;" "&amp;$AA$20&amp;" is more than TX_Curr"&amp;CHAR(10),""),IF(AB156&gt;AB142," * VL Done "&amp;$Z$19&amp;" "&amp;$AA$20&amp;" is more than TX_Curr"&amp;CHAR(10),""))</f>
        <v/>
      </c>
      <c r="AD142" s="541" t="str">
        <f>CONCATENATE(AC142,AC143,AC144,AC145,AC146,AC147)</f>
        <v/>
      </c>
      <c r="AE142" s="138" t="str">
        <f>IF(AB156&lt;AB142," * "&amp;AB142-AB156&amp;" Patients  have no VL Done . Please provide an explanation"&amp;CHAR(10),"")</f>
        <v/>
      </c>
      <c r="AF142" s="621" t="str">
        <f>CONCATENATE(AE142,AE144,AE143,AE145,AE146,AE147)</f>
        <v/>
      </c>
      <c r="AG142" s="108">
        <v>155</v>
      </c>
    </row>
    <row r="143" spans="1:33" s="4" customFormat="1" ht="38.25" customHeight="1" thickBot="1" x14ac:dyDescent="0.5">
      <c r="A143" s="213" t="s">
        <v>79</v>
      </c>
      <c r="B143" s="150" t="s">
        <v>199</v>
      </c>
      <c r="C143" s="192" t="s">
        <v>329</v>
      </c>
      <c r="D143" s="38"/>
      <c r="E143" s="28"/>
      <c r="F143" s="37"/>
      <c r="G143" s="28"/>
      <c r="H143" s="37"/>
      <c r="I143" s="28"/>
      <c r="J143" s="37"/>
      <c r="K143" s="28"/>
      <c r="L143" s="28"/>
      <c r="M143" s="29"/>
      <c r="N143" s="28"/>
      <c r="O143" s="29"/>
      <c r="P143" s="28"/>
      <c r="Q143" s="29"/>
      <c r="R143" s="28"/>
      <c r="S143" s="29"/>
      <c r="T143" s="28"/>
      <c r="U143" s="29"/>
      <c r="V143" s="28"/>
      <c r="W143" s="29"/>
      <c r="X143" s="28"/>
      <c r="Y143" s="29"/>
      <c r="Z143" s="28"/>
      <c r="AA143" s="29"/>
      <c r="AB143" s="106">
        <f t="shared" ref="AB143:AB146" si="55">SUM(D143:AA143)</f>
        <v>0</v>
      </c>
      <c r="AC143" s="231" t="str">
        <f>CONCATENATE(IF(D143&lt;(D158+D164)," * VL Done FSW "&amp;$D$19&amp;" "&amp;$D$20&amp;" is more than TX_CURR "&amp;CHAR(10),""),IF(E143&lt;(E158+E164)," * VL Done FSW "&amp;$D$19&amp;" "&amp;$E$20&amp;" is more than TX_CURR "&amp;CHAR(10),""),IF(F143&lt;(F158+F164)," * VL Done FSW "&amp;$F$19&amp;" "&amp;$F$20&amp;" is more than TX_CURR "&amp;CHAR(10),""),IF(G143&lt;(G158+G164)," * VL Done FSW "&amp;$F$19&amp;" "&amp;$G$20&amp;" is more than TX_CURR "&amp;CHAR(10),""),IF(H143&lt;(H158+H164)," * VL Done FSW "&amp;$H$19&amp;" "&amp;$H$20&amp;" is more than TX_CURR "&amp;CHAR(10),""),IF(I143&lt;(I158+I164)," * VL Done FSW "&amp;$H$19&amp;" "&amp;$I$20&amp;" is more than TX_CURR "&amp;CHAR(10),""),IF(J143&lt;(J158+J164)," * VL Done FSW "&amp;$J$19&amp;" "&amp;$J$20&amp;" is more than TX_CURR "&amp;CHAR(10),""),IF(K143&lt;(K158+K164)," * VL Done FSW "&amp;$J$19&amp;" "&amp;$K$20&amp;" is more than TX_CURR "&amp;CHAR(10),""),IF(L143&lt;(L158+L164)," * VL Done FSW "&amp;$L$19&amp;" "&amp;$L$20&amp;" is more than TX_CURR "&amp;CHAR(10),""),IF(M143&lt;(M158+M164)," * VL Done FSW "&amp;$L$19&amp;" "&amp;$M$20&amp;" is more than TX_CURR "&amp;CHAR(10),""),IF(N143&lt;(N158+N164)," * VL Done FSW "&amp;$N$19&amp;" "&amp;$N$20&amp;" is more than TX_CURR "&amp;CHAR(10),""),IF(O143&lt;(O158+O164)," * VL Done FSW "&amp;$N$19&amp;" "&amp;$O$20&amp;" is more than TX_CURR "&amp;CHAR(10),""),IF(P143&lt;(P158+P164)," * VL Done FSW "&amp;$P$19&amp;" "&amp;$P$20&amp;" is more than TX_CURR "&amp;CHAR(10),""),IF(Q143&lt;(Q158+Q164)," * VL Done FSW "&amp;$P$19&amp;" "&amp;$Q$20&amp;" is more than TX_CURR "&amp;CHAR(10),""),IF(R143&lt;(R158+R164)," * VL Done FSW "&amp;$R$19&amp;" "&amp;$R$20&amp;" is more than TX_CURR "&amp;CHAR(10),""),IF(S143&lt;(S158+S164)," * VL Done FSW "&amp;$R$19&amp;" "&amp;$S$20&amp;" is more than TX_CURR "&amp;CHAR(10),""),IF(T143&lt;(T158+T164)," * VL Done FSW "&amp;$T$19&amp;" "&amp;$T$20&amp;" is more than TX_CURR "&amp;CHAR(10),""),IF(U143&lt;(U158+U164)," * VL Done FSW "&amp;$T$19&amp;" "&amp;$U$20&amp;" is more than TX_CURR "&amp;CHAR(10),""),IF(V143&lt;(V158+V164)," * VL Done FSW "&amp;$V$19&amp;" "&amp;$V$20&amp;" is more than TX_CURR "&amp;CHAR(10),""),IF(W143&lt;(W158+W164)," * VL Done FSW "&amp;$V$19&amp;" "&amp;$W$20&amp;" is more than TX_CURR "&amp;CHAR(10),""),IF(X143&lt;(X158+X164)," * VL Done FSW "&amp;$X$19&amp;" "&amp;$X$20&amp;" is more than TX_CURR "&amp;CHAR(10),""),IF(Y143&lt;(Y158+Y164)," * VL Done FSW "&amp;$X$19&amp;" "&amp;$Y$20&amp;" is more than TX_CURR "&amp;CHAR(10),""),IF(Z143&lt;(Z158+Z164)," * VL Done FSW "&amp;$Z$19&amp;" "&amp;$Z$20&amp;" is more than TX_CURR "&amp;CHAR(10),""),IF(AA143&lt;(AA158+AA164)," * VL Done FSW "&amp;$Z$19&amp;" "&amp;$AA$20&amp;" is more than TX_CURR "&amp;CHAR(10),""))</f>
        <v/>
      </c>
      <c r="AD143" s="542"/>
      <c r="AE143" s="121"/>
      <c r="AF143" s="622"/>
      <c r="AG143" s="108">
        <v>156</v>
      </c>
    </row>
    <row r="144" spans="1:33" s="4" customFormat="1" ht="38.25" customHeight="1" x14ac:dyDescent="0.45">
      <c r="A144" s="208" t="s">
        <v>77</v>
      </c>
      <c r="B144" s="148" t="s">
        <v>195</v>
      </c>
      <c r="C144" s="193" t="s">
        <v>330</v>
      </c>
      <c r="D144" s="110"/>
      <c r="E144" s="27"/>
      <c r="F144" s="36"/>
      <c r="G144" s="27"/>
      <c r="H144" s="36"/>
      <c r="I144" s="27"/>
      <c r="J144" s="36"/>
      <c r="K144" s="27"/>
      <c r="L144" s="25"/>
      <c r="M144" s="28"/>
      <c r="N144" s="25"/>
      <c r="O144" s="28"/>
      <c r="P144" s="25"/>
      <c r="Q144" s="28"/>
      <c r="R144" s="25"/>
      <c r="S144" s="28"/>
      <c r="T144" s="25"/>
      <c r="U144" s="28"/>
      <c r="V144" s="25"/>
      <c r="W144" s="28"/>
      <c r="X144" s="25"/>
      <c r="Y144" s="28"/>
      <c r="Z144" s="25"/>
      <c r="AA144" s="28"/>
      <c r="AB144" s="100">
        <f t="shared" si="55"/>
        <v>0</v>
      </c>
      <c r="AC144" s="129" t="str">
        <f>CONCATENATE(IF(D144&lt;(D159+D165)," * VL Done MSM "&amp;$D$19&amp;" "&amp;$D$20&amp;" is more than TX_CURR "&amp;CHAR(10),""),IF(E144&lt;(E159+E165)," * VL Done MSM "&amp;$D$19&amp;" "&amp;$E$20&amp;" is more than TX_CURR "&amp;CHAR(10),""),IF(F144&lt;(F159+F165)," * VL Done MSM "&amp;$F$19&amp;" "&amp;$F$20&amp;" is more than TX_CURR "&amp;CHAR(10),""),IF(G144&lt;(G159+G165)," * VL Done MSM "&amp;$F$19&amp;" "&amp;$G$20&amp;" is more than TX_CURR "&amp;CHAR(10),""),IF(H144&lt;(H159+H165)," * VL Done MSM "&amp;$H$19&amp;" "&amp;$H$20&amp;" is more than TX_CURR "&amp;CHAR(10),""),IF(I144&lt;(I159+I165)," * VL Done MSM "&amp;$H$19&amp;" "&amp;$I$20&amp;" is more than TX_CURR "&amp;CHAR(10),""),IF(J144&lt;(J159+J165)," * VL Done MSM "&amp;$J$19&amp;" "&amp;$J$20&amp;" is more than TX_CURR "&amp;CHAR(10),""),IF(K144&lt;(K159+K165)," * VL Done MSM "&amp;$J$19&amp;" "&amp;$K$20&amp;" is more than TX_CURR "&amp;CHAR(10),""),IF(L144&lt;(L159+L165)," * VL Done MSM "&amp;$L$19&amp;" "&amp;$L$20&amp;" is more than TX_CURR "&amp;CHAR(10),""),IF(M144&lt;(M159+M165)," * VL Done MSM "&amp;$L$19&amp;" "&amp;$M$20&amp;" is more than TX_CURR "&amp;CHAR(10),""),IF(N144&lt;(N159+N165)," * VL Done MSM "&amp;$N$19&amp;" "&amp;$N$20&amp;" is more than TX_CURR "&amp;CHAR(10),""),IF(O144&lt;(O159+O165)," * VL Done MSM "&amp;$N$19&amp;" "&amp;$O$20&amp;" is more than TX_CURR "&amp;CHAR(10),""),IF(P144&lt;(P159+P165)," * VL Done MSM "&amp;$P$19&amp;" "&amp;$P$20&amp;" is more than TX_CURR "&amp;CHAR(10),""),IF(Q144&lt;(Q159+Q165)," * VL Done MSM "&amp;$P$19&amp;" "&amp;$Q$20&amp;" is more than TX_CURR "&amp;CHAR(10),""),IF(R144&lt;(R159+R165)," * VL Done MSM "&amp;$R$19&amp;" "&amp;$R$20&amp;" is more than TX_CURR "&amp;CHAR(10),""),IF(S144&lt;(S159+S165)," * VL Done MSM "&amp;$R$19&amp;" "&amp;$S$20&amp;" is more than TX_CURR "&amp;CHAR(10),""),IF(T144&lt;(T159+T165)," * VL Done MSM "&amp;$T$19&amp;" "&amp;$T$20&amp;" is more than TX_CURR "&amp;CHAR(10),""),IF(U144&lt;(U159+U165)," * VL Done MSM "&amp;$T$19&amp;" "&amp;$U$20&amp;" is more than TX_CURR "&amp;CHAR(10),""),IF(V144&lt;(V159+V165)," * VL Done MSM "&amp;$V$19&amp;" "&amp;$V$20&amp;" is more than TX_CURR "&amp;CHAR(10),""),IF(W144&lt;(W159+W165)," * VL Done MSM "&amp;$V$19&amp;" "&amp;$W$20&amp;" is more than TX_CURR "&amp;CHAR(10),""),IF(X144&lt;(X159+X165)," * VL Done MSM "&amp;$X$19&amp;" "&amp;$X$20&amp;" is more than TX_CURR "&amp;CHAR(10),""),IF(Y144&lt;(Y159+Y165)," * VL Done MSM "&amp;$X$19&amp;" "&amp;$Y$20&amp;" is more than TX_CURR "&amp;CHAR(10),""),IF(Z144&lt;(Z159+Z165)," * VL Done MSM "&amp;$Z$19&amp;" "&amp;$Z$20&amp;" is more than TX_CURR "&amp;CHAR(10),""),IF(AA144&lt;(AA159+AA165)," * VL Done MSM "&amp;$Z$19&amp;" "&amp;$AA$20&amp;" is more than TX_CURR "&amp;CHAR(10),""))</f>
        <v/>
      </c>
      <c r="AD144" s="542"/>
      <c r="AE144" s="121"/>
      <c r="AF144" s="622"/>
      <c r="AG144" s="108">
        <v>157</v>
      </c>
    </row>
    <row r="145" spans="1:33" s="4" customFormat="1" ht="38.25" customHeight="1" x14ac:dyDescent="0.45">
      <c r="A145" s="208" t="s">
        <v>167</v>
      </c>
      <c r="B145" s="148" t="s">
        <v>196</v>
      </c>
      <c r="C145" s="193" t="s">
        <v>331</v>
      </c>
      <c r="D145" s="110"/>
      <c r="E145" s="27"/>
      <c r="F145" s="36"/>
      <c r="G145" s="27"/>
      <c r="H145" s="36"/>
      <c r="I145" s="27"/>
      <c r="J145" s="36"/>
      <c r="K145" s="27"/>
      <c r="L145" s="25"/>
      <c r="M145" s="25"/>
      <c r="N145" s="25"/>
      <c r="O145" s="25"/>
      <c r="P145" s="25"/>
      <c r="Q145" s="25"/>
      <c r="R145" s="25"/>
      <c r="S145" s="25"/>
      <c r="T145" s="25"/>
      <c r="U145" s="25"/>
      <c r="V145" s="25"/>
      <c r="W145" s="25"/>
      <c r="X145" s="25"/>
      <c r="Y145" s="25"/>
      <c r="Z145" s="25"/>
      <c r="AA145" s="25"/>
      <c r="AB145" s="100">
        <f t="shared" si="55"/>
        <v>0</v>
      </c>
      <c r="AC145" s="129" t="str">
        <f>CONCATENATE(IF(D145&lt;(D160+D166)," * VL Done People in Prison "&amp;$D$19&amp;" "&amp;$D$20&amp;" is more than TX_CURR "&amp;CHAR(10),""),IF(E145&lt;(E160+E166)," * VL Done People in Prison "&amp;$D$19&amp;" "&amp;$E$20&amp;" is more than TX_CURR "&amp;CHAR(10),""),IF(F145&lt;(F160+F166)," * VL Done People in Prison "&amp;$F$19&amp;" "&amp;$F$20&amp;" is more than TX_CURR "&amp;CHAR(10),""),IF(G145&lt;(G160+G166)," * VL Done People in Prison "&amp;$F$19&amp;" "&amp;$G$20&amp;" is more than TX_CURR "&amp;CHAR(10),""),IF(H145&lt;(H160+H166)," * VL Done People in Prison "&amp;$H$19&amp;" "&amp;$H$20&amp;" is more than TX_CURR "&amp;CHAR(10),""),IF(I145&lt;(I160+I166)," * VL Done People in Prison "&amp;$H$19&amp;" "&amp;$I$20&amp;" is more than TX_CURR "&amp;CHAR(10),""),IF(J145&lt;(J160+J166)," * VL Done People in Prison "&amp;$J$19&amp;" "&amp;$J$20&amp;" is more than TX_CURR "&amp;CHAR(10),""),IF(K145&lt;(K160+K166)," * VL Done People in Prison "&amp;$J$19&amp;" "&amp;$K$20&amp;" is more than TX_CURR "&amp;CHAR(10),""),IF(L145&lt;(L160+L166)," * VL Done People in Prison "&amp;$L$19&amp;" "&amp;$L$20&amp;" is more than TX_CURR "&amp;CHAR(10),""),IF(M145&lt;(M160+M166)," * VL Done People in Prison "&amp;$L$19&amp;" "&amp;$M$20&amp;" is more than TX_CURR "&amp;CHAR(10),""),IF(N145&lt;(N160+N166)," * VL Done People in Prison "&amp;$N$19&amp;" "&amp;$N$20&amp;" is more than TX_CURR "&amp;CHAR(10),""),IF(O145&lt;(O160+O166)," * VL Done People in Prison "&amp;$N$19&amp;" "&amp;$O$20&amp;" is more than TX_CURR "&amp;CHAR(10),""),IF(P145&lt;(P160+P166)," * VL Done People in Prison "&amp;$P$19&amp;" "&amp;$P$20&amp;" is more than TX_CURR "&amp;CHAR(10),""),IF(Q145&lt;(Q160+Q166)," * VL Done People in Prison "&amp;$P$19&amp;" "&amp;$Q$20&amp;" is more than TX_CURR "&amp;CHAR(10),""),IF(R145&lt;(R160+R166)," * VL Done People in Prison "&amp;$R$19&amp;" "&amp;$R$20&amp;" is more than TX_CURR "&amp;CHAR(10),""),IF(S145&lt;(S160+S166)," * VL Done People in Prison "&amp;$R$19&amp;" "&amp;$S$20&amp;" is more than TX_CURR "&amp;CHAR(10),""),IF(T145&lt;(T160+T166)," * VL Done People in Prison "&amp;$T$19&amp;" "&amp;$T$20&amp;" is more than TX_CURR "&amp;CHAR(10),""),IF(U145&lt;(U160+U166)," * VL Done People in Prison "&amp;$T$19&amp;" "&amp;$U$20&amp;" is more than TX_CURR "&amp;CHAR(10),""),IF(V145&lt;(V160+V166)," * VL Done People in Prison "&amp;$V$19&amp;" "&amp;$V$20&amp;" is more than TX_CURR "&amp;CHAR(10),""),IF(W145&lt;(W160+W166)," * VL Done People in Prison "&amp;$V$19&amp;" "&amp;$W$20&amp;" is more than TX_CURR "&amp;CHAR(10),""),IF(X145&lt;(X160+X166)," * VL Done People in Prison "&amp;$X$19&amp;" "&amp;$X$20&amp;" is more than TX_CURR "&amp;CHAR(10),""),IF(Y145&lt;(Y160+Y166)," * VL Done People in Prison "&amp;$X$19&amp;" "&amp;$Y$20&amp;" is more than TX_CURR "&amp;CHAR(10),""),IF(Z145&lt;(Z160+Z166)," * VL Done People in Prison "&amp;$Z$19&amp;" "&amp;$Z$20&amp;" is more than TX_CURR "&amp;CHAR(10),""),IF(AA145&lt;(AA160+AA166)," * VL Done People in Prison "&amp;$Z$19&amp;" "&amp;$AA$20&amp;" is more than TX_CURR "&amp;CHAR(10),""))</f>
        <v/>
      </c>
      <c r="AD145" s="542"/>
      <c r="AE145" s="121"/>
      <c r="AF145" s="622"/>
      <c r="AG145" s="108">
        <v>159</v>
      </c>
    </row>
    <row r="146" spans="1:33" s="4" customFormat="1" ht="38.25" customHeight="1" thickBot="1" x14ac:dyDescent="0.5">
      <c r="A146" s="208" t="s">
        <v>76</v>
      </c>
      <c r="B146" s="148" t="s">
        <v>197</v>
      </c>
      <c r="C146" s="193" t="s">
        <v>332</v>
      </c>
      <c r="D146" s="110"/>
      <c r="E146" s="27"/>
      <c r="F146" s="36"/>
      <c r="G146" s="27"/>
      <c r="H146" s="36"/>
      <c r="I146" s="27"/>
      <c r="J146" s="36"/>
      <c r="K146" s="27"/>
      <c r="L146" s="25"/>
      <c r="M146" s="25"/>
      <c r="N146" s="25"/>
      <c r="O146" s="25"/>
      <c r="P146" s="25"/>
      <c r="Q146" s="25"/>
      <c r="R146" s="25"/>
      <c r="S146" s="25"/>
      <c r="T146" s="25"/>
      <c r="U146" s="25"/>
      <c r="V146" s="25"/>
      <c r="W146" s="25"/>
      <c r="X146" s="25"/>
      <c r="Y146" s="25"/>
      <c r="Z146" s="25"/>
      <c r="AA146" s="25"/>
      <c r="AB146" s="101">
        <f t="shared" si="55"/>
        <v>0</v>
      </c>
      <c r="AC146" s="130" t="str">
        <f>CONCATENATE(IF(D146&lt;(D161+D167)," * VL Done People in Prison "&amp;$D$19&amp;" "&amp;$D$20&amp;" is more than TX_CURR "&amp;CHAR(10),""),IF(E146&lt;(E161+E167)," * VL Done People in Prison "&amp;$D$19&amp;" "&amp;$E$20&amp;" is more than TX_CURR "&amp;CHAR(10),""),IF(F146&lt;(F161+F167)," * VL Done People in Prison "&amp;$F$19&amp;" "&amp;$F$20&amp;" is more than TX_CURR "&amp;CHAR(10),""),IF(G146&lt;(G161+G167)," * VL Done People in Prison "&amp;$F$19&amp;" "&amp;$G$20&amp;" is more than TX_CURR "&amp;CHAR(10),""),IF(H146&lt;(H161+H167)," * VL Done People in Prison "&amp;$H$19&amp;" "&amp;$H$20&amp;" is more than TX_CURR "&amp;CHAR(10),""),IF(I146&lt;(I161+I167)," * VL Done People in Prison "&amp;$H$19&amp;" "&amp;$I$20&amp;" is more than TX_CURR "&amp;CHAR(10),""),IF(J146&lt;(J161+J167)," * VL Done People in Prison "&amp;$J$19&amp;" "&amp;$J$20&amp;" is more than TX_CURR "&amp;CHAR(10),""),IF(K146&lt;(K161+K167)," * VL Done People in Prison "&amp;$J$19&amp;" "&amp;$K$20&amp;" is more than TX_CURR "&amp;CHAR(10),""),IF(L146&lt;(L161+L167)," * VL Done People in Prison "&amp;$L$19&amp;" "&amp;$L$20&amp;" is more than TX_CURR "&amp;CHAR(10),""),IF(M146&lt;(M161+M167)," * VL Done People in Prison "&amp;$L$19&amp;" "&amp;$M$20&amp;" is more than TX_CURR "&amp;CHAR(10),""),IF(N146&lt;(N161+N167)," * VL Done People in Prison "&amp;$N$19&amp;" "&amp;$N$20&amp;" is more than TX_CURR "&amp;CHAR(10),""),IF(O146&lt;(O161+O167)," * VL Done People in Prison "&amp;$N$19&amp;" "&amp;$O$20&amp;" is more than TX_CURR "&amp;CHAR(10),""),IF(P146&lt;(P161+P167)," * VL Done People in Prison "&amp;$P$19&amp;" "&amp;$P$20&amp;" is more than TX_CURR "&amp;CHAR(10),""),IF(Q146&lt;(Q161+Q167)," * VL Done People in Prison "&amp;$P$19&amp;" "&amp;$Q$20&amp;" is more than TX_CURR "&amp;CHAR(10),""),IF(R146&lt;(R161+R167)," * VL Done People in Prison "&amp;$R$19&amp;" "&amp;$R$20&amp;" is more than TX_CURR "&amp;CHAR(10),""),IF(S146&lt;(S161+S167)," * VL Done People in Prison "&amp;$R$19&amp;" "&amp;$S$20&amp;" is more than TX_CURR "&amp;CHAR(10),""),IF(T146&lt;(T161+T167)," * VL Done People in Prison "&amp;$T$19&amp;" "&amp;$T$20&amp;" is more than TX_CURR "&amp;CHAR(10),""),IF(U146&lt;(U161+U167)," * VL Done People in Prison "&amp;$T$19&amp;" "&amp;$U$20&amp;" is more than TX_CURR "&amp;CHAR(10),""),IF(V146&lt;(V161+V167)," * VL Done People in Prison "&amp;$V$19&amp;" "&amp;$V$20&amp;" is more than TX_CURR "&amp;CHAR(10),""),IF(W146&lt;(W161+W167)," * VL Done People in Prison "&amp;$V$19&amp;" "&amp;$W$20&amp;" is more than TX_CURR "&amp;CHAR(10),""),IF(X146&lt;(X161+X167)," * VL Done People in Prison "&amp;$X$19&amp;" "&amp;$X$20&amp;" is more than TX_CURR "&amp;CHAR(10),""),IF(Y146&lt;(Y161+Y167)," * VL Done People in Prison "&amp;$X$19&amp;" "&amp;$Y$20&amp;" is more than TX_CURR "&amp;CHAR(10),""),IF(Z146&lt;(Z161+Z167)," * VL Done People in Prison "&amp;$Z$19&amp;" "&amp;$Z$20&amp;" is more than TX_CURR "&amp;CHAR(10),""),IF(AA146&lt;(AA161+AA167)," * VL Done People in Prison "&amp;$Z$19&amp;" "&amp;$AA$20&amp;" is more than TX_CURR "&amp;CHAR(10),""))</f>
        <v/>
      </c>
      <c r="AD146" s="542"/>
      <c r="AE146" s="121"/>
      <c r="AF146" s="622"/>
      <c r="AG146" s="108">
        <v>160</v>
      </c>
    </row>
    <row r="147" spans="1:33" s="4" customFormat="1" ht="38.25" customHeight="1" thickBot="1" x14ac:dyDescent="0.5">
      <c r="A147" s="214" t="s">
        <v>435</v>
      </c>
      <c r="B147" s="149" t="s">
        <v>198</v>
      </c>
      <c r="C147" s="198" t="s">
        <v>333</v>
      </c>
      <c r="D147" s="112"/>
      <c r="E147" s="98"/>
      <c r="F147" s="97"/>
      <c r="G147" s="98"/>
      <c r="H147" s="97"/>
      <c r="I147" s="98"/>
      <c r="J147" s="97"/>
      <c r="K147" s="98"/>
      <c r="L147" s="98"/>
      <c r="M147" s="98"/>
      <c r="N147" s="98"/>
      <c r="O147" s="98"/>
      <c r="P147" s="98"/>
      <c r="Q147" s="98"/>
      <c r="R147" s="98"/>
      <c r="S147" s="98"/>
      <c r="T147" s="98"/>
      <c r="U147" s="98"/>
      <c r="V147" s="98"/>
      <c r="W147" s="98"/>
      <c r="X147" s="98"/>
      <c r="Y147" s="98"/>
      <c r="Z147" s="98"/>
      <c r="AA147" s="227"/>
      <c r="AB147" s="228"/>
      <c r="AC147" s="129" t="str">
        <f>IF(AB147&lt;(AB162+AB168)," * VL Done People in Prison "&amp;$Z$19&amp;" "&amp;$AB$20&amp;" is more than TX_CURR "&amp;CHAR(10),"")</f>
        <v/>
      </c>
      <c r="AD147" s="542"/>
      <c r="AE147" s="121"/>
      <c r="AF147" s="623"/>
      <c r="AG147" s="108">
        <v>161</v>
      </c>
    </row>
    <row r="148" spans="1:33" s="4" customFormat="1" ht="38.25" customHeight="1" thickBot="1" x14ac:dyDescent="0.5">
      <c r="A148" s="474" t="s">
        <v>241</v>
      </c>
      <c r="B148" s="475"/>
      <c r="C148" s="476"/>
      <c r="D148" s="475"/>
      <c r="E148" s="475"/>
      <c r="F148" s="475"/>
      <c r="G148" s="475"/>
      <c r="H148" s="475"/>
      <c r="I148" s="475"/>
      <c r="J148" s="475"/>
      <c r="K148" s="475"/>
      <c r="L148" s="475"/>
      <c r="M148" s="475"/>
      <c r="N148" s="475"/>
      <c r="O148" s="475"/>
      <c r="P148" s="475"/>
      <c r="Q148" s="475"/>
      <c r="R148" s="475"/>
      <c r="S148" s="475"/>
      <c r="T148" s="475"/>
      <c r="U148" s="475"/>
      <c r="V148" s="475"/>
      <c r="W148" s="475"/>
      <c r="X148" s="475"/>
      <c r="Y148" s="475"/>
      <c r="Z148" s="475"/>
      <c r="AA148" s="475"/>
      <c r="AB148" s="476"/>
      <c r="AC148" s="475"/>
      <c r="AD148" s="475"/>
      <c r="AE148" s="475"/>
      <c r="AF148" s="477"/>
      <c r="AG148" s="108">
        <v>154</v>
      </c>
    </row>
    <row r="149" spans="1:33" s="6" customFormat="1" ht="38.25" customHeight="1" thickBot="1" x14ac:dyDescent="0.5">
      <c r="A149" s="212" t="s">
        <v>200</v>
      </c>
      <c r="B149" s="146" t="s">
        <v>200</v>
      </c>
      <c r="C149" s="177" t="s">
        <v>334</v>
      </c>
      <c r="D149" s="136">
        <f t="shared" ref="D149:AB149" si="56">SUM(D150:D154)</f>
        <v>0</v>
      </c>
      <c r="E149" s="136">
        <f t="shared" si="56"/>
        <v>0</v>
      </c>
      <c r="F149" s="136">
        <f t="shared" si="56"/>
        <v>0</v>
      </c>
      <c r="G149" s="136">
        <f t="shared" si="56"/>
        <v>0</v>
      </c>
      <c r="H149" s="136">
        <f t="shared" si="56"/>
        <v>0</v>
      </c>
      <c r="I149" s="136">
        <f t="shared" si="56"/>
        <v>0</v>
      </c>
      <c r="J149" s="136">
        <f t="shared" si="56"/>
        <v>0</v>
      </c>
      <c r="K149" s="136">
        <f t="shared" si="56"/>
        <v>0</v>
      </c>
      <c r="L149" s="136">
        <f t="shared" si="56"/>
        <v>0</v>
      </c>
      <c r="M149" s="136">
        <f t="shared" si="56"/>
        <v>0</v>
      </c>
      <c r="N149" s="136">
        <f t="shared" si="56"/>
        <v>0</v>
      </c>
      <c r="O149" s="136">
        <f t="shared" si="56"/>
        <v>0</v>
      </c>
      <c r="P149" s="136">
        <f t="shared" si="56"/>
        <v>0</v>
      </c>
      <c r="Q149" s="136">
        <f t="shared" si="56"/>
        <v>0</v>
      </c>
      <c r="R149" s="136">
        <f t="shared" si="56"/>
        <v>0</v>
      </c>
      <c r="S149" s="136">
        <f t="shared" si="56"/>
        <v>0</v>
      </c>
      <c r="T149" s="136">
        <f t="shared" si="56"/>
        <v>0</v>
      </c>
      <c r="U149" s="136">
        <f t="shared" si="56"/>
        <v>0</v>
      </c>
      <c r="V149" s="136">
        <f t="shared" si="56"/>
        <v>0</v>
      </c>
      <c r="W149" s="136">
        <f t="shared" si="56"/>
        <v>0</v>
      </c>
      <c r="X149" s="136">
        <f t="shared" si="56"/>
        <v>0</v>
      </c>
      <c r="Y149" s="136">
        <f t="shared" si="56"/>
        <v>0</v>
      </c>
      <c r="Z149" s="136">
        <f t="shared" si="56"/>
        <v>0</v>
      </c>
      <c r="AA149" s="136">
        <f t="shared" si="56"/>
        <v>0</v>
      </c>
      <c r="AB149" s="136">
        <f t="shared" si="56"/>
        <v>0</v>
      </c>
      <c r="AC149" s="137"/>
      <c r="AD149" s="541" t="str">
        <f>CONCATENATE(AC149,AC150,AC151,AC152,AC153,AC154)</f>
        <v/>
      </c>
      <c r="AE149" s="138"/>
      <c r="AF149" s="544" t="str">
        <f>CONCATENATE(AE149,AE150,AE151,AE152,AE153,AE154)</f>
        <v/>
      </c>
      <c r="AG149" s="108">
        <v>155</v>
      </c>
    </row>
    <row r="150" spans="1:33" s="4" customFormat="1" ht="38.25" customHeight="1" thickBot="1" x14ac:dyDescent="0.5">
      <c r="A150" s="213" t="s">
        <v>79</v>
      </c>
      <c r="B150" s="150" t="s">
        <v>205</v>
      </c>
      <c r="C150" s="192" t="s">
        <v>335</v>
      </c>
      <c r="D150" s="38"/>
      <c r="E150" s="28"/>
      <c r="F150" s="37"/>
      <c r="G150" s="28"/>
      <c r="H150" s="37"/>
      <c r="I150" s="28"/>
      <c r="J150" s="37"/>
      <c r="K150" s="28"/>
      <c r="L150" s="28"/>
      <c r="M150" s="29"/>
      <c r="N150" s="28"/>
      <c r="O150" s="29"/>
      <c r="P150" s="28"/>
      <c r="Q150" s="29"/>
      <c r="R150" s="28"/>
      <c r="S150" s="29"/>
      <c r="T150" s="28"/>
      <c r="U150" s="29"/>
      <c r="V150" s="28"/>
      <c r="W150" s="29"/>
      <c r="X150" s="28"/>
      <c r="Y150" s="29"/>
      <c r="Z150" s="28"/>
      <c r="AA150" s="109"/>
      <c r="AB150" s="106">
        <f t="shared" ref="AB150:AB153" si="57">SUM(D150:AA150)</f>
        <v>0</v>
      </c>
      <c r="AC150" s="128"/>
      <c r="AD150" s="542"/>
      <c r="AE150" s="121"/>
      <c r="AF150" s="545"/>
      <c r="AG150" s="108">
        <v>156</v>
      </c>
    </row>
    <row r="151" spans="1:33" s="4" customFormat="1" ht="38.25" customHeight="1" x14ac:dyDescent="0.45">
      <c r="A151" s="208" t="s">
        <v>77</v>
      </c>
      <c r="B151" s="148" t="s">
        <v>201</v>
      </c>
      <c r="C151" s="193" t="s">
        <v>336</v>
      </c>
      <c r="D151" s="110"/>
      <c r="E151" s="27"/>
      <c r="F151" s="36"/>
      <c r="G151" s="27"/>
      <c r="H151" s="36"/>
      <c r="I151" s="27"/>
      <c r="J151" s="36"/>
      <c r="K151" s="27"/>
      <c r="L151" s="25"/>
      <c r="M151" s="28"/>
      <c r="N151" s="25"/>
      <c r="O151" s="28"/>
      <c r="P151" s="25"/>
      <c r="Q151" s="28"/>
      <c r="R151" s="25"/>
      <c r="S151" s="28"/>
      <c r="T151" s="25"/>
      <c r="U151" s="28"/>
      <c r="V151" s="25"/>
      <c r="W151" s="28"/>
      <c r="X151" s="25"/>
      <c r="Y151" s="28"/>
      <c r="Z151" s="25"/>
      <c r="AA151" s="28"/>
      <c r="AB151" s="100">
        <f t="shared" si="57"/>
        <v>0</v>
      </c>
      <c r="AC151" s="129"/>
      <c r="AD151" s="542"/>
      <c r="AE151" s="121"/>
      <c r="AF151" s="545"/>
      <c r="AG151" s="108">
        <v>157</v>
      </c>
    </row>
    <row r="152" spans="1:33" s="4" customFormat="1" ht="38.25" customHeight="1" x14ac:dyDescent="0.45">
      <c r="A152" s="208" t="s">
        <v>167</v>
      </c>
      <c r="B152" s="148" t="s">
        <v>202</v>
      </c>
      <c r="C152" s="193" t="s">
        <v>337</v>
      </c>
      <c r="D152" s="110"/>
      <c r="E152" s="27"/>
      <c r="F152" s="36"/>
      <c r="G152" s="27"/>
      <c r="H152" s="36"/>
      <c r="I152" s="27"/>
      <c r="J152" s="36"/>
      <c r="K152" s="27"/>
      <c r="L152" s="25"/>
      <c r="M152" s="25"/>
      <c r="N152" s="25"/>
      <c r="O152" s="25"/>
      <c r="P152" s="25"/>
      <c r="Q152" s="25"/>
      <c r="R152" s="25"/>
      <c r="S152" s="25"/>
      <c r="T152" s="25"/>
      <c r="U152" s="25"/>
      <c r="V152" s="25"/>
      <c r="W152" s="25"/>
      <c r="X152" s="25"/>
      <c r="Y152" s="25"/>
      <c r="Z152" s="25"/>
      <c r="AA152" s="111"/>
      <c r="AB152" s="100">
        <f t="shared" si="57"/>
        <v>0</v>
      </c>
      <c r="AC152" s="129"/>
      <c r="AD152" s="542"/>
      <c r="AE152" s="121"/>
      <c r="AF152" s="545"/>
      <c r="AG152" s="108">
        <v>159</v>
      </c>
    </row>
    <row r="153" spans="1:33" s="4" customFormat="1" ht="38.25" customHeight="1" thickBot="1" x14ac:dyDescent="0.5">
      <c r="A153" s="208" t="s">
        <v>76</v>
      </c>
      <c r="B153" s="148" t="s">
        <v>203</v>
      </c>
      <c r="C153" s="193" t="s">
        <v>338</v>
      </c>
      <c r="D153" s="110"/>
      <c r="E153" s="27"/>
      <c r="F153" s="36"/>
      <c r="G153" s="27"/>
      <c r="H153" s="36"/>
      <c r="I153" s="27"/>
      <c r="J153" s="36"/>
      <c r="K153" s="27"/>
      <c r="L153" s="25"/>
      <c r="M153" s="25"/>
      <c r="N153" s="25"/>
      <c r="O153" s="25"/>
      <c r="P153" s="25"/>
      <c r="Q153" s="25"/>
      <c r="R153" s="25"/>
      <c r="S153" s="25"/>
      <c r="T153" s="25"/>
      <c r="U153" s="25"/>
      <c r="V153" s="25"/>
      <c r="W153" s="25"/>
      <c r="X153" s="25"/>
      <c r="Y153" s="25"/>
      <c r="Z153" s="25"/>
      <c r="AA153" s="111"/>
      <c r="AB153" s="101">
        <f t="shared" si="57"/>
        <v>0</v>
      </c>
      <c r="AC153" s="130"/>
      <c r="AD153" s="542"/>
      <c r="AE153" s="121"/>
      <c r="AF153" s="545"/>
      <c r="AG153" s="108">
        <v>160</v>
      </c>
    </row>
    <row r="154" spans="1:33" s="4" customFormat="1" ht="38.25" customHeight="1" thickBot="1" x14ac:dyDescent="0.5">
      <c r="A154" s="214" t="s">
        <v>435</v>
      </c>
      <c r="B154" s="149" t="s">
        <v>204</v>
      </c>
      <c r="C154" s="198" t="s">
        <v>339</v>
      </c>
      <c r="D154" s="112"/>
      <c r="E154" s="98"/>
      <c r="F154" s="97"/>
      <c r="G154" s="98"/>
      <c r="H154" s="97"/>
      <c r="I154" s="98"/>
      <c r="J154" s="97"/>
      <c r="K154" s="98"/>
      <c r="L154" s="98"/>
      <c r="M154" s="98"/>
      <c r="N154" s="98"/>
      <c r="O154" s="98"/>
      <c r="P154" s="98"/>
      <c r="Q154" s="98"/>
      <c r="R154" s="98"/>
      <c r="S154" s="98"/>
      <c r="T154" s="98"/>
      <c r="U154" s="98"/>
      <c r="V154" s="98"/>
      <c r="W154" s="98"/>
      <c r="X154" s="98"/>
      <c r="Y154" s="98"/>
      <c r="Z154" s="98"/>
      <c r="AA154" s="227"/>
      <c r="AB154" s="228"/>
      <c r="AC154" s="129"/>
      <c r="AD154" s="542"/>
      <c r="AE154" s="121"/>
      <c r="AF154" s="546"/>
      <c r="AG154" s="108">
        <v>161</v>
      </c>
    </row>
    <row r="155" spans="1:33" s="4" customFormat="1" ht="38.25" customHeight="1" thickBot="1" x14ac:dyDescent="0.5">
      <c r="A155" s="474" t="s">
        <v>242</v>
      </c>
      <c r="B155" s="475"/>
      <c r="C155" s="479"/>
      <c r="D155" s="475"/>
      <c r="E155" s="475"/>
      <c r="F155" s="475"/>
      <c r="G155" s="475"/>
      <c r="H155" s="475"/>
      <c r="I155" s="475"/>
      <c r="J155" s="475"/>
      <c r="K155" s="475"/>
      <c r="L155" s="475"/>
      <c r="M155" s="475"/>
      <c r="N155" s="475"/>
      <c r="O155" s="475"/>
      <c r="P155" s="475"/>
      <c r="Q155" s="475"/>
      <c r="R155" s="475"/>
      <c r="S155" s="475"/>
      <c r="T155" s="475"/>
      <c r="U155" s="475"/>
      <c r="V155" s="475"/>
      <c r="W155" s="475"/>
      <c r="X155" s="475"/>
      <c r="Y155" s="475"/>
      <c r="Z155" s="475"/>
      <c r="AA155" s="475"/>
      <c r="AB155" s="476"/>
      <c r="AC155" s="475"/>
      <c r="AD155" s="475"/>
      <c r="AE155" s="475"/>
      <c r="AF155" s="477"/>
      <c r="AG155" s="108">
        <v>154</v>
      </c>
    </row>
    <row r="156" spans="1:33" s="4" customFormat="1" ht="38.25" customHeight="1" thickBot="1" x14ac:dyDescent="0.5">
      <c r="A156" s="191" t="s">
        <v>206</v>
      </c>
      <c r="B156" s="191" t="s">
        <v>219</v>
      </c>
      <c r="C156" s="175" t="s">
        <v>340</v>
      </c>
      <c r="D156" s="240">
        <f>SUM(D157,D163)</f>
        <v>0</v>
      </c>
      <c r="E156" s="136">
        <f t="shared" ref="E156:AB156" si="58">SUM(E157,E163)</f>
        <v>0</v>
      </c>
      <c r="F156" s="136">
        <f t="shared" si="58"/>
        <v>0</v>
      </c>
      <c r="G156" s="136">
        <f t="shared" si="58"/>
        <v>0</v>
      </c>
      <c r="H156" s="136">
        <f t="shared" si="58"/>
        <v>0</v>
      </c>
      <c r="I156" s="136">
        <f t="shared" si="58"/>
        <v>0</v>
      </c>
      <c r="J156" s="136">
        <f t="shared" si="58"/>
        <v>0</v>
      </c>
      <c r="K156" s="136">
        <f t="shared" si="58"/>
        <v>0</v>
      </c>
      <c r="L156" s="136">
        <f t="shared" si="58"/>
        <v>0</v>
      </c>
      <c r="M156" s="136">
        <f t="shared" ref="M156" si="59">SUM(M157,M163)</f>
        <v>0</v>
      </c>
      <c r="N156" s="136">
        <f t="shared" ref="N156" si="60">SUM(N157,N163)</f>
        <v>0</v>
      </c>
      <c r="O156" s="136">
        <f t="shared" ref="O156" si="61">SUM(O157,O163)</f>
        <v>0</v>
      </c>
      <c r="P156" s="136">
        <f t="shared" ref="P156" si="62">SUM(P157,P163)</f>
        <v>0</v>
      </c>
      <c r="Q156" s="136">
        <f t="shared" ref="Q156" si="63">SUM(Q157,Q163)</f>
        <v>0</v>
      </c>
      <c r="R156" s="136">
        <f t="shared" ref="R156" si="64">SUM(R157,R163)</f>
        <v>0</v>
      </c>
      <c r="S156" s="136">
        <f t="shared" ref="S156" si="65">SUM(S157,S163)</f>
        <v>0</v>
      </c>
      <c r="T156" s="136">
        <f t="shared" ref="T156" si="66">SUM(T157,T163)</f>
        <v>0</v>
      </c>
      <c r="U156" s="136">
        <f t="shared" ref="U156" si="67">SUM(U157,U163)</f>
        <v>0</v>
      </c>
      <c r="V156" s="136">
        <f t="shared" ref="V156" si="68">SUM(V157,V163)</f>
        <v>0</v>
      </c>
      <c r="W156" s="136">
        <f t="shared" ref="W156" si="69">SUM(W157,W163)</f>
        <v>0</v>
      </c>
      <c r="X156" s="136">
        <f t="shared" ref="X156" si="70">SUM(X157,X163)</f>
        <v>0</v>
      </c>
      <c r="Y156" s="136">
        <f t="shared" ref="Y156" si="71">SUM(Y157,Y163)</f>
        <v>0</v>
      </c>
      <c r="Z156" s="136">
        <f t="shared" ref="Z156" si="72">SUM(Z157,Z163)</f>
        <v>0</v>
      </c>
      <c r="AA156" s="136">
        <f t="shared" ref="AA156" si="73">SUM(AA157,AA163)</f>
        <v>0</v>
      </c>
      <c r="AB156" s="230">
        <f t="shared" si="58"/>
        <v>0</v>
      </c>
      <c r="AC156" s="231" t="str">
        <f>CONCATENATE(IF(D169&gt;D156," * VL Suppressed "&amp;$D$19&amp;" "&amp;$D$20&amp;" is more than VL Done"&amp;CHAR(10),""),IF(E169&gt;E156," * VL Suppressed "&amp;$D$19&amp;" "&amp;$E$20&amp;" is more than VL Done"&amp;CHAR(10),""),IF(F169&gt;F156," * VL Suppressed "&amp;$F$19&amp;" "&amp;$F$20&amp;" is more than VL Done"&amp;CHAR(10),""),IF(G169&gt;G156," * VL Suppressed "&amp;$F$19&amp;" "&amp;$G$20&amp;" is more than VL Done"&amp;CHAR(10),""),IF(H169&gt;H156," * VL Suppressed "&amp;$H$19&amp;" "&amp;$H$20&amp;" is more than VL Done"&amp;CHAR(10),""),IF(I169&gt;I156," * VL Suppressed "&amp;$H$19&amp;" "&amp;$I$20&amp;" is more than VL Done"&amp;CHAR(10),""),IF(J169&gt;J156," * VL Suppressed "&amp;$J$19&amp;" "&amp;$J$20&amp;" is more than VL Done"&amp;CHAR(10),""),IF(K169&gt;K156," * VL Suppressed "&amp;$J$19&amp;" "&amp;$K$20&amp;" is more than VL Done"&amp;CHAR(10),""),IF(L169&gt;L156," * VL Suppressed "&amp;$L$19&amp;" "&amp;$L$20&amp;" is more than VL Done"&amp;CHAR(10),""),IF(M169&gt;M156," * VL Suppressed "&amp;$L$19&amp;" "&amp;$M$20&amp;" is more than VL Done"&amp;CHAR(10),""),IF(N169&gt;N156," * VL Suppressed "&amp;$N$19&amp;" "&amp;$N$20&amp;" is more than VL Done"&amp;CHAR(10),""),IF(O169&gt;O156," * VL Suppressed "&amp;$N$19&amp;" "&amp;$O$20&amp;" is more than VL Done"&amp;CHAR(10),""),IF(P169&gt;P156," * VL Suppressed "&amp;$P$19&amp;" "&amp;$P$20&amp;" is more than VL Done"&amp;CHAR(10),""),IF(Q169&gt;Q156," * VL Suppressed "&amp;$P$19&amp;" "&amp;$Q$20&amp;" is more than VL Done"&amp;CHAR(10),""),IF(R169&gt;R156," * VL Suppressed "&amp;$R$19&amp;" "&amp;$R$20&amp;" is more than VL Done"&amp;CHAR(10),""),IF(S169&gt;S156," * VL Suppressed "&amp;$R$19&amp;" "&amp;$S$20&amp;" is more than VL Done"&amp;CHAR(10),""),IF(T169&gt;T156," * VL Suppressed "&amp;$T$19&amp;" "&amp;$T$20&amp;" is more than VL Done"&amp;CHAR(10),""),IF(U169&gt;U156," * VL Suppressed "&amp;$T$19&amp;" "&amp;$U$20&amp;" is more than VL Done"&amp;CHAR(10),""),IF(V169&gt;V156," * VL Suppressed "&amp;$V$19&amp;" "&amp;$V$20&amp;" is more than VL Done"&amp;CHAR(10),""),IF(W169&gt;W156," * VL Suppressed "&amp;$V$19&amp;" "&amp;$W$20&amp;" is more than VL Done"&amp;CHAR(10),""),IF(X169&gt;X156," * VL Suppressed "&amp;$X$19&amp;" "&amp;$X$20&amp;" is more than VL Done"&amp;CHAR(10),""),IF(Y169&gt;Y156," * VL Suppressed "&amp;$X$19&amp;" "&amp;$Y$20&amp;" is more than VL Done"&amp;CHAR(10),""),IF(Z169&gt;Z156," * VL Suppressed "&amp;$Z$19&amp;" "&amp;$Z$20&amp;" is more than VL Done"&amp;CHAR(10),""),IF(AA169&gt;AA156," * VL Suppressed "&amp;$Z$19&amp;" "&amp;$AA$20&amp;" is more than VL Done"&amp;CHAR(10),""),IF(AB169&gt;AB168156," * VL Suppressed "&amp;$Z$19&amp;" "&amp;$AA$20&amp;" is more than VL Done"&amp;CHAR(10),""))</f>
        <v/>
      </c>
      <c r="AD156" s="196"/>
      <c r="AE156" s="229"/>
      <c r="AF156" s="197"/>
      <c r="AG156" s="108"/>
    </row>
    <row r="157" spans="1:33" s="6" customFormat="1" ht="38.25" customHeight="1" thickBot="1" x14ac:dyDescent="0.5">
      <c r="A157" s="212" t="s">
        <v>207</v>
      </c>
      <c r="B157" s="245" t="s">
        <v>207</v>
      </c>
      <c r="C157" s="175" t="s">
        <v>341</v>
      </c>
      <c r="D157" s="240">
        <f t="shared" ref="D157:L157" si="74">SUM(D158:D162)</f>
        <v>0</v>
      </c>
      <c r="E157" s="136">
        <f t="shared" si="74"/>
        <v>0</v>
      </c>
      <c r="F157" s="136">
        <f t="shared" si="74"/>
        <v>0</v>
      </c>
      <c r="G157" s="136">
        <f t="shared" si="74"/>
        <v>0</v>
      </c>
      <c r="H157" s="136">
        <f t="shared" si="74"/>
        <v>0</v>
      </c>
      <c r="I157" s="136">
        <f t="shared" si="74"/>
        <v>0</v>
      </c>
      <c r="J157" s="136">
        <f t="shared" si="74"/>
        <v>0</v>
      </c>
      <c r="K157" s="136">
        <f t="shared" si="74"/>
        <v>0</v>
      </c>
      <c r="L157" s="136">
        <f t="shared" si="74"/>
        <v>0</v>
      </c>
      <c r="M157" s="136">
        <f t="shared" ref="M157:AB157" si="75">SUM(M158:M162)</f>
        <v>0</v>
      </c>
      <c r="N157" s="136">
        <f t="shared" si="75"/>
        <v>0</v>
      </c>
      <c r="O157" s="136">
        <f t="shared" si="75"/>
        <v>0</v>
      </c>
      <c r="P157" s="136">
        <f t="shared" si="75"/>
        <v>0</v>
      </c>
      <c r="Q157" s="136">
        <f t="shared" si="75"/>
        <v>0</v>
      </c>
      <c r="R157" s="136">
        <f t="shared" si="75"/>
        <v>0</v>
      </c>
      <c r="S157" s="136">
        <f t="shared" si="75"/>
        <v>0</v>
      </c>
      <c r="T157" s="136">
        <f t="shared" si="75"/>
        <v>0</v>
      </c>
      <c r="U157" s="136">
        <f t="shared" si="75"/>
        <v>0</v>
      </c>
      <c r="V157" s="136">
        <f t="shared" si="75"/>
        <v>0</v>
      </c>
      <c r="W157" s="136">
        <f t="shared" si="75"/>
        <v>0</v>
      </c>
      <c r="X157" s="136">
        <f t="shared" si="75"/>
        <v>0</v>
      </c>
      <c r="Y157" s="136">
        <f t="shared" si="75"/>
        <v>0</v>
      </c>
      <c r="Z157" s="136">
        <f t="shared" si="75"/>
        <v>0</v>
      </c>
      <c r="AA157" s="136">
        <f t="shared" si="75"/>
        <v>0</v>
      </c>
      <c r="AB157" s="136">
        <f t="shared" si="75"/>
        <v>0</v>
      </c>
      <c r="AC157" s="194" t="str">
        <f>CONCATENATE(IF(D170&gt;D157," * VL suppressed Routine"&amp;$D$19&amp;" "&amp;$D$20&amp;" is more than VL Done Routine"&amp;CHAR(10),""),IF(E170&gt;E157," * VL suppressed Routine "&amp;$D$19&amp;" "&amp;$E$20&amp;" is more than VL Done Routine"&amp;CHAR(10),""),IF(F170&gt;F157," * VL suppressed Routine "&amp;$F$19&amp;" "&amp;$F$20&amp;" is more than VL Done Routine"&amp;CHAR(10),""),IF(G170&gt;G157," * VL suppressed Routine "&amp;$F$19&amp;" "&amp;$G$20&amp;" is more than VL Done Routine"&amp;CHAR(10),""),IF(H170&gt;H157," * VL suppressed Routine "&amp;$H$19&amp;" "&amp;$H$20&amp;" is more than VL Done Routine"&amp;CHAR(10),""),IF(I170&gt;I157," * VL suppressed Routine "&amp;$H$19&amp;" "&amp;$I$20&amp;" is more than VL Done Routine"&amp;CHAR(10),""),IF(J170&gt;J157," * VL suppressed Routine "&amp;$J$19&amp;" "&amp;$J$20&amp;" is more than VL Done Routine"&amp;CHAR(10),""),IF(K170&gt;K157," * VL suppressed Routine "&amp;$J$19&amp;" "&amp;$K$20&amp;" is more than VL Done Routine"&amp;CHAR(10),""),IF(L170&gt;L157," * VL suppressed Routine "&amp;$L$19&amp;" "&amp;$L$20&amp;" is more than VL Done Routine"&amp;CHAR(10),""),IF(M170&gt;M157," * VL suppressed Routine "&amp;$L$19&amp;" "&amp;$M$20&amp;" is more than VL Done Routine"&amp;CHAR(10),""),IF(N170&gt;N157," * VL suppressed Routine "&amp;$N$19&amp;" "&amp;$N$20&amp;" is more than VL Done Routine"&amp;CHAR(10),""),IF(O170&gt;O157," * VL suppressed Routine "&amp;$N$19&amp;" "&amp;$O$20&amp;" is more than VL Done Routine"&amp;CHAR(10),""),IF(P170&gt;P157," * VL suppressed Routine "&amp;$P$19&amp;" "&amp;$P$20&amp;" is more than VL Done Routine"&amp;CHAR(10),""),IF(Q170&gt;Q157," * VL suppressed Routine "&amp;$P$19&amp;" "&amp;$Q$20&amp;" is more than VL Done Routine"&amp;CHAR(10),""),IF(R170&gt;R157," * VL suppressed Routine "&amp;$R$19&amp;" "&amp;$R$20&amp;" is more than VL Done Routine"&amp;CHAR(10),""),IF(S170&gt;S157," * VL suppressed Routine "&amp;$R$19&amp;" "&amp;$S$20&amp;" is more than VL Done Routine"&amp;CHAR(10),""),IF(T170&gt;T157," * VL suppressed Routine "&amp;$T$19&amp;" "&amp;$T$20&amp;" is more than VL Done Routine"&amp;CHAR(10),""),IF(U170&gt;U157," * VL suppressed Routine "&amp;$T$19&amp;" "&amp;$U$20&amp;" is more than VL Done Routine"&amp;CHAR(10),""),IF(V170&gt;V157," * VL suppressed Routine "&amp;$V$19&amp;" "&amp;$V$20&amp;" is more than VL Done Routine"&amp;CHAR(10),""),IF(W170&gt;W157," * VL suppressed Routine "&amp;$V$19&amp;" "&amp;$W$20&amp;" is more than VL Done Routine"&amp;CHAR(10),""),IF(X170&gt;X157," * VL suppressed Routine "&amp;$X$19&amp;" "&amp;$X$20&amp;" is more than VL Done Routine"&amp;CHAR(10),""),IF(Y170&gt;Y157," * VL suppressed Routine "&amp;$X$19&amp;" "&amp;$Y$20&amp;" is more than VL Done Routine"&amp;CHAR(10),""),IF(Z170&gt;Z157," * VL suppressed Routine "&amp;$Z$19&amp;" "&amp;$Z$20&amp;" is more than VL Done Routine"&amp;CHAR(10),""),IF(AA170&gt;AA157," * VL suppressed Routine "&amp;$Z$19&amp;" "&amp;$AA$20&amp;" is more than VL Done Routine"&amp;CHAR(10),""),IF(AB170&gt;AB157," * VL suppressed Routine "&amp;$AB$19&amp;" "&amp;$AB$20&amp;" is more than VL Done Routine"&amp;CHAR(10),""))</f>
        <v/>
      </c>
      <c r="AD157" s="541" t="str">
        <f>CONCATENATE(AC157,AC158,AC159,AC160,AC161,AC162,AC163,AC164,AC165,AC166,AC167,AC168,AC169,AC170,AC171,AC172,AC173,AC174,AC175,AC176,AC177,AC178,AC179,AC180,AC181,AC143,AC144,AC145,AC146,AC147)</f>
        <v/>
      </c>
      <c r="AE157" s="138" t="str">
        <f>IF((AB156-AB169)&gt;1," * "&amp;(((AB156-AB169)/AB156)*100)&amp;"% of Patients  are not virally suppressed . Please provide an explanation"&amp;CHAR(10),"")</f>
        <v/>
      </c>
      <c r="AF157" s="541" t="str">
        <f>CONCATENATE(AE157,AE158,AE159,AE160,AE161,AE162,AE163,AE164,AE165,AE166,AE167,AE168,AE169,AE170,AE171,AE172,AE173,AE174,AE175,AE176,AE177,AE178,AE179,AE180,AE181)</f>
        <v/>
      </c>
      <c r="AG157" s="108">
        <v>155</v>
      </c>
    </row>
    <row r="158" spans="1:33" s="4" customFormat="1" ht="38.25" customHeight="1" thickBot="1" x14ac:dyDescent="0.5">
      <c r="A158" s="213" t="s">
        <v>79</v>
      </c>
      <c r="B158" s="150" t="s">
        <v>208</v>
      </c>
      <c r="C158" s="193" t="s">
        <v>342</v>
      </c>
      <c r="D158" s="37"/>
      <c r="E158" s="28"/>
      <c r="F158" s="37"/>
      <c r="G158" s="28"/>
      <c r="H158" s="37"/>
      <c r="I158" s="28"/>
      <c r="J158" s="37"/>
      <c r="K158" s="28"/>
      <c r="L158" s="28"/>
      <c r="M158" s="29"/>
      <c r="N158" s="28"/>
      <c r="O158" s="29"/>
      <c r="P158" s="28"/>
      <c r="Q158" s="29"/>
      <c r="R158" s="28"/>
      <c r="S158" s="29"/>
      <c r="T158" s="28"/>
      <c r="U158" s="29"/>
      <c r="V158" s="28"/>
      <c r="W158" s="29"/>
      <c r="X158" s="28"/>
      <c r="Y158" s="29"/>
      <c r="Z158" s="28"/>
      <c r="AA158" s="29"/>
      <c r="AB158" s="106">
        <f t="shared" ref="AB158:AB161" si="76">SUM(D158:AA158)</f>
        <v>0</v>
      </c>
      <c r="AC158" s="194" t="str">
        <f>CONCATENATE(IF(D171&gt;D158," * VL suppressed Routine FSW "&amp;$D$19&amp;" "&amp;$D$20&amp;" is more than VL Done Routine"&amp;CHAR(10),""),IF(E171&gt;E158," * VL suppressed Routine FSW "&amp;$D$19&amp;" "&amp;$E$20&amp;" is more than VL Done Routine"&amp;CHAR(10),""),IF(F171&gt;F158," * VL suppressed Routine FSW "&amp;$F$19&amp;" "&amp;$F$20&amp;" is more than VL Done Routine"&amp;CHAR(10),""),IF(G171&gt;G158," * VL suppressed Routine FSW "&amp;$F$19&amp;" "&amp;$G$20&amp;" is more than VL Done Routine"&amp;CHAR(10),""),IF(H171&gt;H158," * VL suppressed Routine FSW "&amp;$H$19&amp;" "&amp;$H$20&amp;" is more than VL Done Routine"&amp;CHAR(10),""),IF(I171&gt;I158," * VL suppressed Routine FSW "&amp;$H$19&amp;" "&amp;$I$20&amp;" is more than VL Done Routine"&amp;CHAR(10),""),IF(J171&gt;J158," * VL suppressed Routine FSW "&amp;$J$19&amp;" "&amp;$J$20&amp;" is more than VL Done Routine"&amp;CHAR(10),""),IF(K171&gt;K158," * VL suppressed Routine FSW "&amp;$J$19&amp;" "&amp;$K$20&amp;" is more than VL Done Routine"&amp;CHAR(10),""),IF(L171&gt;L158," * VL suppressed Routine FSW "&amp;$L$19&amp;" "&amp;$L$20&amp;" is more than VL Done Routine"&amp;CHAR(10),""),IF(M171&gt;M158," * VL suppressed Routine FSW "&amp;$L$19&amp;" "&amp;$M$20&amp;" is more than VL Done Routine"&amp;CHAR(10),""),IF(N171&gt;N158," * VL suppressed Routine FSW "&amp;$N$19&amp;" "&amp;$N$20&amp;" is more than VL Done Routine"&amp;CHAR(10),""),IF(O171&gt;O158," * VL suppressed Routine FSW "&amp;$N$19&amp;" "&amp;$O$20&amp;" is more than VL Done Routine"&amp;CHAR(10),""),IF(P171&gt;P158," * VL suppressed Routine FSW "&amp;$P$19&amp;" "&amp;$P$20&amp;" is more than VL Done Routine"&amp;CHAR(10),""),IF(Q171&gt;Q158," * VL suppressed Routine FSW "&amp;$P$19&amp;" "&amp;$Q$20&amp;" is more than VL Done Routine"&amp;CHAR(10),""),IF(R171&gt;R158," * VL suppressed Routine FSW "&amp;$R$19&amp;" "&amp;$R$20&amp;" is more than VL Done Routine"&amp;CHAR(10),""),IF(S171&gt;S158," * VL suppressed Routine FSW "&amp;$R$19&amp;" "&amp;$S$20&amp;" is more than VL Done Routine"&amp;CHAR(10),""),IF(T171&gt;T158," * VL suppressed Routine FSW "&amp;$T$19&amp;" "&amp;$T$20&amp;" is more than VL Done Routine"&amp;CHAR(10),""),IF(U171&gt;U158," * VL suppressed Routine FSW "&amp;$T$19&amp;" "&amp;$U$20&amp;" is more than VL Done Routine"&amp;CHAR(10),""),IF(V171&gt;V158," * VL suppressed Routine FSW "&amp;$V$19&amp;" "&amp;$V$20&amp;" is more than VL Done Routine"&amp;CHAR(10),""),IF(W171&gt;W158," * VL suppressed Routine FSW "&amp;$V$19&amp;" "&amp;$W$20&amp;" is more than VL Done Routine"&amp;CHAR(10),""),IF(X171&gt;X158," * VL suppressed Routine FSW "&amp;$X$19&amp;" "&amp;$X$20&amp;" is more than VL Done Routine"&amp;CHAR(10),""),IF(Y171&gt;Y158," * VL suppressed Routine FSW "&amp;$X$19&amp;" "&amp;$Y$20&amp;" is more than VL Done Routine"&amp;CHAR(10),""),IF(Z171&gt;Z158," * VL suppressed Routine FSW "&amp;$Z$19&amp;" "&amp;$Z$20&amp;" is more than VL Done Routine"&amp;CHAR(10),""),IF(AA171&gt;AA158," * VL suppressed Routine FSW "&amp;$Z$19&amp;" "&amp;$AA$20&amp;" is more than VL Done Routine"&amp;CHAR(10),""),IF(AB171&gt;AB158," * VL suppressed Routine FSW "&amp;$AB$19&amp;" "&amp;$AB$20&amp;" is more than VL Done Routine"&amp;CHAR(10),""))</f>
        <v/>
      </c>
      <c r="AD158" s="542"/>
      <c r="AE158" s="121"/>
      <c r="AF158" s="542"/>
      <c r="AG158" s="108">
        <v>156</v>
      </c>
    </row>
    <row r="159" spans="1:33" s="4" customFormat="1" ht="38.25" customHeight="1" x14ac:dyDescent="0.45">
      <c r="A159" s="208" t="s">
        <v>77</v>
      </c>
      <c r="B159" s="148" t="s">
        <v>209</v>
      </c>
      <c r="C159" s="193" t="s">
        <v>343</v>
      </c>
      <c r="D159" s="36"/>
      <c r="E159" s="27"/>
      <c r="F159" s="36"/>
      <c r="G159" s="27"/>
      <c r="H159" s="36"/>
      <c r="I159" s="27"/>
      <c r="J159" s="36"/>
      <c r="K159" s="27"/>
      <c r="L159" s="25"/>
      <c r="M159" s="28"/>
      <c r="N159" s="25"/>
      <c r="O159" s="28"/>
      <c r="P159" s="25"/>
      <c r="Q159" s="28"/>
      <c r="R159" s="25"/>
      <c r="S159" s="28"/>
      <c r="T159" s="25"/>
      <c r="U159" s="28"/>
      <c r="V159" s="25"/>
      <c r="W159" s="28"/>
      <c r="X159" s="25"/>
      <c r="Y159" s="28"/>
      <c r="Z159" s="25"/>
      <c r="AA159" s="28"/>
      <c r="AB159" s="100">
        <f t="shared" si="76"/>
        <v>0</v>
      </c>
      <c r="AC159" s="194" t="str">
        <f>CONCATENATE(IF(D172&gt;D159," * VL suppressed Routine MSM "&amp;$D$19&amp;" "&amp;$D$20&amp;" is more than VL Done Routine"&amp;CHAR(10),""),IF(E172&gt;E159," * VL suppressed Routine MSM "&amp;$D$19&amp;" "&amp;$E$20&amp;" is more than VL Done Routine"&amp;CHAR(10),""),IF(F172&gt;F159," * VL suppressed Routine MSM "&amp;$F$19&amp;" "&amp;$F$20&amp;" is more than VL Done Routine"&amp;CHAR(10),""),IF(G172&gt;G159," * VL suppressed Routine MSM "&amp;$F$19&amp;" "&amp;$G$20&amp;" is more than VL Done Routine"&amp;CHAR(10),""),IF(H172&gt;H159," * VL suppressed Routine MSM "&amp;$H$19&amp;" "&amp;$H$20&amp;" is more than VL Done Routine"&amp;CHAR(10),""),IF(I172&gt;I159," * VL suppressed Routine MSM "&amp;$H$19&amp;" "&amp;$I$20&amp;" is more than VL Done Routine"&amp;CHAR(10),""),IF(J172&gt;J159," * VL suppressed Routine MSM "&amp;$J$19&amp;" "&amp;$J$20&amp;" is more than VL Done Routine"&amp;CHAR(10),""),IF(K172&gt;K159," * VL suppressed Routine MSM "&amp;$J$19&amp;" "&amp;$K$20&amp;" is more than VL Done Routine"&amp;CHAR(10),""),IF(L172&gt;L159," * VL suppressed Routine MSM "&amp;$L$19&amp;" "&amp;$L$20&amp;" is more than VL Done Routine"&amp;CHAR(10),""),IF(M172&gt;M159," * VL suppressed Routine MSM "&amp;$L$19&amp;" "&amp;$M$20&amp;" is more than VL Done Routine"&amp;CHAR(10),""),IF(N172&gt;N159," * VL suppressed Routine MSM "&amp;$N$19&amp;" "&amp;$N$20&amp;" is more than VL Done Routine"&amp;CHAR(10),""),IF(O172&gt;O159," * VL suppressed Routine MSM "&amp;$N$19&amp;" "&amp;$O$20&amp;" is more than VL Done Routine"&amp;CHAR(10),""),IF(P172&gt;P159," * VL suppressed Routine MSM "&amp;$P$19&amp;" "&amp;$P$20&amp;" is more than VL Done Routine"&amp;CHAR(10),""),IF(Q172&gt;Q159," * VL suppressed Routine MSM "&amp;$P$19&amp;" "&amp;$Q$20&amp;" is more than VL Done Routine"&amp;CHAR(10),""),IF(R172&gt;R159," * VL suppressed Routine MSM "&amp;$R$19&amp;" "&amp;$R$20&amp;" is more than VL Done Routine"&amp;CHAR(10),""),IF(S172&gt;S159," * VL suppressed Routine MSM "&amp;$R$19&amp;" "&amp;$S$20&amp;" is more than VL Done Routine"&amp;CHAR(10),""),IF(T172&gt;T159," * VL suppressed Routine MSM "&amp;$T$19&amp;" "&amp;$T$20&amp;" is more than VL Done Routine"&amp;CHAR(10),""),IF(U172&gt;U159," * VL suppressed Routine MSM "&amp;$T$19&amp;" "&amp;$U$20&amp;" is more than VL Done Routine"&amp;CHAR(10),""),IF(V172&gt;V159," * VL suppressed Routine MSM "&amp;$V$19&amp;" "&amp;$V$20&amp;" is more than VL Done Routine"&amp;CHAR(10),""),IF(W172&gt;W159," * VL suppressed Routine MSM "&amp;$V$19&amp;" "&amp;$W$20&amp;" is more than VL Done Routine"&amp;CHAR(10),""),IF(X172&gt;X159," * VL suppressed Routine MSM "&amp;$X$19&amp;" "&amp;$X$20&amp;" is more than VL Done Routine"&amp;CHAR(10),""),IF(Y172&gt;Y159," * VL suppressed Routine MSM "&amp;$X$19&amp;" "&amp;$Y$20&amp;" is more than VL Done Routine"&amp;CHAR(10),""),IF(Z172&gt;Z159," * VL suppressed Routine MSM "&amp;$Z$19&amp;" "&amp;$Z$20&amp;" is more than VL Done Routine"&amp;CHAR(10),""),IF(AA172&gt;AA159," * VL suppressed Routine MSM "&amp;$Z$19&amp;" "&amp;$AA$20&amp;" is more than VL Done Routine"&amp;CHAR(10),""),IF(AB172&gt;AB159," * VL suppressed Routine MSM "&amp;$AB$19&amp;" "&amp;$AB$20&amp;" is more than VL Done Routine"&amp;CHAR(10),""))</f>
        <v/>
      </c>
      <c r="AD159" s="542"/>
      <c r="AE159" s="121"/>
      <c r="AF159" s="542"/>
      <c r="AG159" s="108">
        <v>157</v>
      </c>
    </row>
    <row r="160" spans="1:33" s="4" customFormat="1" ht="38.25" customHeight="1" x14ac:dyDescent="0.45">
      <c r="A160" s="208" t="s">
        <v>167</v>
      </c>
      <c r="B160" s="148" t="s">
        <v>210</v>
      </c>
      <c r="C160" s="193" t="s">
        <v>344</v>
      </c>
      <c r="D160" s="36"/>
      <c r="E160" s="27"/>
      <c r="F160" s="36"/>
      <c r="G160" s="27"/>
      <c r="H160" s="36"/>
      <c r="I160" s="27"/>
      <c r="J160" s="36"/>
      <c r="K160" s="27"/>
      <c r="L160" s="25"/>
      <c r="M160" s="25"/>
      <c r="N160" s="25"/>
      <c r="O160" s="25"/>
      <c r="P160" s="25"/>
      <c r="Q160" s="25"/>
      <c r="R160" s="25"/>
      <c r="S160" s="25"/>
      <c r="T160" s="25"/>
      <c r="U160" s="25"/>
      <c r="V160" s="25"/>
      <c r="W160" s="25"/>
      <c r="X160" s="25"/>
      <c r="Y160" s="25"/>
      <c r="Z160" s="25"/>
      <c r="AA160" s="25"/>
      <c r="AB160" s="100">
        <f t="shared" si="76"/>
        <v>0</v>
      </c>
      <c r="AC160" s="194" t="str">
        <f>CONCATENATE(IF(D173&gt;D160," * VL suppressed Routine People In Prison "&amp;$D$19&amp;" "&amp;$D$20&amp;" is more than VL Done Routine People In Prison Routine"&amp;CHAR(10),""),IF(E173&gt;E160," * VL suppressed Routine People In Prison "&amp;$D$19&amp;" "&amp;$E$20&amp;" is more than VL Done Routine People In Prison Routine"&amp;CHAR(10),""),IF(F173&gt;F160," * VL suppressed Routine People In Prison "&amp;$F$19&amp;" "&amp;$F$20&amp;" is more than VL Done Routine People In Prison Routine"&amp;CHAR(10),""),IF(G173&gt;G160," * VL suppressed Routine People In Prison "&amp;$F$19&amp;" "&amp;$G$20&amp;" is more than VL Done Routine People In Prison Routine"&amp;CHAR(10),""),IF(H173&gt;H160," * VL suppressed Routine People In Prison "&amp;$H$19&amp;" "&amp;$H$20&amp;" is more than VL Done Routine People In Prison Routine"&amp;CHAR(10),""),IF(I173&gt;I160," * VL suppressed Routine People In Prison "&amp;$H$19&amp;" "&amp;$I$20&amp;" is more than VL Done Routine People In Prison Routine"&amp;CHAR(10),""),IF(J173&gt;J160," * VL suppressed Routine People In Prison "&amp;$J$19&amp;" "&amp;$J$20&amp;" is more than VL Done Routine People In Prison Routine"&amp;CHAR(10),""),IF(K173&gt;K160," * VL suppressed Routine People In Prison "&amp;$J$19&amp;" "&amp;$K$20&amp;" is more than VL Done Routine People In Prison Routine"&amp;CHAR(10),""),IF(L173&gt;L160," * VL suppressed Routine People In Prison "&amp;$L$19&amp;" "&amp;$L$20&amp;" is more than VL Done Routine People In Prison Routine"&amp;CHAR(10),""),IF(M173&gt;M160," * VL suppressed Routine People In Prison "&amp;$L$19&amp;" "&amp;$M$20&amp;" is more than VL Done Routine People In Prison Routine"&amp;CHAR(10),""),IF(N173&gt;N160," * VL suppressed Routine People In Prison "&amp;$N$19&amp;" "&amp;$N$20&amp;" is more than VL Done Routine People In Prison Routine"&amp;CHAR(10),""),IF(O173&gt;O160," * VL suppressed Routine People In Prison "&amp;$N$19&amp;" "&amp;$O$20&amp;" is more than VL Done Routine People In Prison Routine"&amp;CHAR(10),""),IF(P173&gt;P160," * VL suppressed Routine People In Prison "&amp;$P$19&amp;" "&amp;$P$20&amp;" is more than VL Done Routine People In Prison Routine"&amp;CHAR(10),""),IF(Q173&gt;Q160," * VL suppressed Routine People In Prison "&amp;$P$19&amp;" "&amp;$Q$20&amp;" is more than VL Done Routine People In Prison Routine"&amp;CHAR(10),""),IF(R173&gt;R160," * VL suppressed Routine People In Prison "&amp;$R$19&amp;" "&amp;$R$20&amp;" is more than VL Done Routine People In Prison Routine"&amp;CHAR(10),""),IF(S173&gt;S160," * VL suppressed Routine People In Prison "&amp;$R$19&amp;" "&amp;$S$20&amp;" is more than VL Done Routine People In Prison Routine"&amp;CHAR(10),""),IF(T173&gt;T160," * VL suppressed Routine People In Prison "&amp;$T$19&amp;" "&amp;$T$20&amp;" is more than VL Done Routine People In Prison Routine"&amp;CHAR(10),""),IF(U173&gt;U160," * VL suppressed Routine People In Prison "&amp;$T$19&amp;" "&amp;$U$20&amp;" is more than VL Done Routine People In Prison Routine"&amp;CHAR(10),""),IF(V173&gt;V160," * VL suppressed Routine People In Prison "&amp;$V$19&amp;" "&amp;$V$20&amp;" is more than VL Done Routine People In Prison Routine"&amp;CHAR(10),""),IF(W173&gt;W160," * VL suppressed Routine People In Prison "&amp;$V$19&amp;" "&amp;$W$20&amp;" is more than VL Done Routine People In Prison Routine"&amp;CHAR(10),""),IF(X173&gt;X160," * VL suppressed Routine People In Prison "&amp;$X$19&amp;" "&amp;$X$20&amp;" is more than VL Done Routine People In Prison Routine"&amp;CHAR(10),""),IF(Y173&gt;Y160," * VL suppressed Routine People In Prison "&amp;$X$19&amp;" "&amp;$Y$20&amp;" is more than VL Done Routine People In Prison Routine"&amp;CHAR(10),""),IF(Z173&gt;Z160," * VL suppressed Routine People In Prison "&amp;$Z$19&amp;" "&amp;$Z$20&amp;" is more than VL Done Routine People In Prison Routine"&amp;CHAR(10),""),IF(AA173&gt;AA160," * VL suppressed Routine People In Prison "&amp;$Z$19&amp;" "&amp;$AA$20&amp;" is more than VL Done Routine People In Prison Routine"&amp;CHAR(10),""),IF(AB173&gt;AB160," * VL suppressed Routine People In Prison "&amp;$AB$19&amp;" "&amp;$AB$20&amp;" is more than VL Done Routine People In Prison Routine"&amp;CHAR(10),""))</f>
        <v/>
      </c>
      <c r="AD160" s="542"/>
      <c r="AE160" s="121"/>
      <c r="AF160" s="542"/>
      <c r="AG160" s="108">
        <v>159</v>
      </c>
    </row>
    <row r="161" spans="1:33" s="4" customFormat="1" ht="38.25" customHeight="1" thickBot="1" x14ac:dyDescent="0.5">
      <c r="A161" s="208" t="s">
        <v>76</v>
      </c>
      <c r="B161" s="148" t="s">
        <v>211</v>
      </c>
      <c r="C161" s="193" t="s">
        <v>345</v>
      </c>
      <c r="D161" s="36"/>
      <c r="E161" s="27"/>
      <c r="F161" s="36"/>
      <c r="G161" s="27"/>
      <c r="H161" s="36"/>
      <c r="I161" s="27"/>
      <c r="J161" s="36"/>
      <c r="K161" s="27"/>
      <c r="L161" s="25"/>
      <c r="M161" s="25"/>
      <c r="N161" s="25"/>
      <c r="O161" s="25"/>
      <c r="P161" s="25"/>
      <c r="Q161" s="25"/>
      <c r="R161" s="25"/>
      <c r="S161" s="25"/>
      <c r="T161" s="25"/>
      <c r="U161" s="25"/>
      <c r="V161" s="25"/>
      <c r="W161" s="25"/>
      <c r="X161" s="25"/>
      <c r="Y161" s="25"/>
      <c r="Z161" s="25"/>
      <c r="AA161" s="25"/>
      <c r="AB161" s="101">
        <f t="shared" si="76"/>
        <v>0</v>
      </c>
      <c r="AC161" s="194" t="str">
        <f>CONCATENATE(IF(D174&gt;D161," * VL suppressed Routine PWID "&amp;$D$19&amp;" "&amp;$D$20&amp;" is more than VL Done Routine PWID Routine"&amp;CHAR(10),""),IF(E174&gt;E161," * VL suppressed Routine PWID "&amp;$D$19&amp;" "&amp;$E$20&amp;" is more than VL Done Routine PWID Routine"&amp;CHAR(10),""),IF(F174&gt;F161," * VL suppressed Routine PWID "&amp;$F$19&amp;" "&amp;$F$20&amp;" is more than VL Done Routine PWID Routine"&amp;CHAR(10),""),IF(G174&gt;G161," * VL suppressed Routine PWID "&amp;$F$19&amp;" "&amp;$G$20&amp;" is more than VL Done Routine PWID Routine"&amp;CHAR(10),""),IF(H174&gt;H161," * VL suppressed Routine PWID "&amp;$H$19&amp;" "&amp;$H$20&amp;" is more than VL Done Routine PWID Routine"&amp;CHAR(10),""),IF(I174&gt;I161," * VL suppressed Routine PWID "&amp;$H$19&amp;" "&amp;$I$20&amp;" is more than VL Done Routine PWID Routine"&amp;CHAR(10),""),IF(J174&gt;J161," * VL suppressed Routine PWID "&amp;$J$19&amp;" "&amp;$J$20&amp;" is more than VL Done Routine PWID Routine"&amp;CHAR(10),""),IF(K174&gt;K161," * VL suppressed Routine PWID "&amp;$J$19&amp;" "&amp;$K$20&amp;" is more than VL Done Routine PWID Routine"&amp;CHAR(10),""),IF(L174&gt;L161," * VL suppressed Routine PWID "&amp;$L$19&amp;" "&amp;$L$20&amp;" is more than VL Done Routine PWID Routine"&amp;CHAR(10),""),IF(M174&gt;M161," * VL suppressed Routine PWID "&amp;$L$19&amp;" "&amp;$M$20&amp;" is more than VL Done Routine PWID Routine"&amp;CHAR(10),""),IF(N174&gt;N161," * VL suppressed Routine PWID "&amp;$N$19&amp;" "&amp;$N$20&amp;" is more than VL Done Routine PWID Routine"&amp;CHAR(10),""),IF(O174&gt;O161," * VL suppressed Routine PWID "&amp;$N$19&amp;" "&amp;$O$20&amp;" is more than VL Done Routine PWID Routine"&amp;CHAR(10),""),IF(P174&gt;P161," * VL suppressed Routine PWID "&amp;$P$19&amp;" "&amp;$P$20&amp;" is more than VL Done Routine PWID Routine"&amp;CHAR(10),""),IF(Q174&gt;Q161," * VL suppressed Routine PWID "&amp;$P$19&amp;" "&amp;$Q$20&amp;" is more than VL Done Routine PWID Routine"&amp;CHAR(10),""),IF(R174&gt;R161," * VL suppressed Routine PWID "&amp;$R$19&amp;" "&amp;$R$20&amp;" is more than VL Done Routine PWID Routine"&amp;CHAR(10),""),IF(S174&gt;S161," * VL suppressed Routine PWID "&amp;$R$19&amp;" "&amp;$S$20&amp;" is more than VL Done Routine PWID Routine"&amp;CHAR(10),""),IF(T174&gt;T161," * VL suppressed Routine PWID "&amp;$T$19&amp;" "&amp;$T$20&amp;" is more than VL Done Routine PWID Routine"&amp;CHAR(10),""),IF(U174&gt;U161," * VL suppressed Routine PWID "&amp;$T$19&amp;" "&amp;$U$20&amp;" is more than VL Done Routine PWID Routine"&amp;CHAR(10),""),IF(V174&gt;V161," * VL suppressed Routine PWID "&amp;$V$19&amp;" "&amp;$V$20&amp;" is more than VL Done Routine PWID Routine"&amp;CHAR(10),""),IF(W174&gt;W161," * VL suppressed Routine PWID "&amp;$V$19&amp;" "&amp;$W$20&amp;" is more than VL Done Routine PWID Routine"&amp;CHAR(10),""),IF(X174&gt;X161," * VL suppressed Routine PWID "&amp;$X$19&amp;" "&amp;$X$20&amp;" is more than VL Done Routine PWID Routine"&amp;CHAR(10),""),IF(Y174&gt;Y161," * VL suppressed Routine PWID "&amp;$X$19&amp;" "&amp;$Y$20&amp;" is more than VL Done Routine PWID Routine"&amp;CHAR(10),""),IF(Z174&gt;Z161," * VL suppressed Routine PWID "&amp;$Z$19&amp;" "&amp;$Z$20&amp;" is more than VL Done Routine PWID Routine"&amp;CHAR(10),""),IF(AA174&gt;AA161," * VL suppressed Routine PWID "&amp;$Z$19&amp;" "&amp;$AA$20&amp;" is more than VL Done Routine PWID Routine"&amp;CHAR(10),""),IF(AB174&gt;AB161," * VL suppressed Routine PWID "&amp;$AB$19&amp;" "&amp;$AB$20&amp;" is more than VL Done Routine PWID Routine"&amp;CHAR(10),""))</f>
        <v/>
      </c>
      <c r="AD161" s="542"/>
      <c r="AE161" s="121"/>
      <c r="AF161" s="542"/>
      <c r="AG161" s="108">
        <v>160</v>
      </c>
    </row>
    <row r="162" spans="1:33" s="4" customFormat="1" ht="38.25" customHeight="1" thickBot="1" x14ac:dyDescent="0.5">
      <c r="A162" s="214" t="s">
        <v>435</v>
      </c>
      <c r="B162" s="149" t="s">
        <v>212</v>
      </c>
      <c r="C162" s="193" t="s">
        <v>346</v>
      </c>
      <c r="D162" s="97"/>
      <c r="E162" s="98"/>
      <c r="F162" s="97"/>
      <c r="G162" s="98"/>
      <c r="H162" s="97"/>
      <c r="I162" s="98"/>
      <c r="J162" s="97"/>
      <c r="K162" s="98"/>
      <c r="L162" s="98"/>
      <c r="M162" s="98"/>
      <c r="N162" s="98"/>
      <c r="O162" s="98"/>
      <c r="P162" s="98"/>
      <c r="Q162" s="98"/>
      <c r="R162" s="98"/>
      <c r="S162" s="98"/>
      <c r="T162" s="98"/>
      <c r="U162" s="98"/>
      <c r="V162" s="98"/>
      <c r="W162" s="98"/>
      <c r="X162" s="98"/>
      <c r="Y162" s="98"/>
      <c r="Z162" s="98"/>
      <c r="AA162" s="227"/>
      <c r="AB162" s="228"/>
      <c r="AC162" s="194" t="str">
        <f>CONCATENATE(IF(D175&gt;D162," * VL suppressed Routine TG "&amp;$D$19&amp;" "&amp;$D$20&amp;" is more than VL Done Routine TG Routine"&amp;CHAR(10),""),IF(E175&gt;E162," * VL suppressed Routine TG "&amp;$D$19&amp;" "&amp;$E$20&amp;" is more than VL Done Routine TG Routine"&amp;CHAR(10),""),IF(F175&gt;F162," * VL suppressed Routine TG "&amp;$F$19&amp;" "&amp;$F$20&amp;" is more than VL Done Routine TG Routine"&amp;CHAR(10),""),IF(G175&gt;G162," * VL suppressed Routine TG "&amp;$F$19&amp;" "&amp;$G$20&amp;" is more than VL Done Routine TG Routine"&amp;CHAR(10),""),IF(H175&gt;H162," * VL suppressed Routine TG "&amp;$H$19&amp;" "&amp;$H$20&amp;" is more than VL Done Routine TG Routine"&amp;CHAR(10),""),IF(I175&gt;I162," * VL suppressed Routine TG "&amp;$H$19&amp;" "&amp;$I$20&amp;" is more than VL Done Routine TG Routine"&amp;CHAR(10),""),IF(J175&gt;J162," * VL suppressed Routine TG "&amp;$J$19&amp;" "&amp;$J$20&amp;" is more than VL Done Routine TG Routine"&amp;CHAR(10),""),IF(K175&gt;K162," * VL suppressed Routine TG "&amp;$J$19&amp;" "&amp;$K$20&amp;" is more than VL Done Routine TG Routine"&amp;CHAR(10),""),IF(L175&gt;L162," * VL suppressed Routine TG "&amp;$L$19&amp;" "&amp;$L$20&amp;" is more than VL Done Routine TG Routine"&amp;CHAR(10),""),IF(M175&gt;M162," * VL suppressed Routine TG "&amp;$L$19&amp;" "&amp;$M$20&amp;" is more than VL Done Routine TG Routine"&amp;CHAR(10),""),IF(N175&gt;N162," * VL suppressed Routine TG "&amp;$N$19&amp;" "&amp;$N$20&amp;" is more than VL Done Routine TG Routine"&amp;CHAR(10),""),IF(O175&gt;O162," * VL suppressed Routine TG "&amp;$N$19&amp;" "&amp;$O$20&amp;" is more than VL Done Routine TG Routine"&amp;CHAR(10),""),IF(P175&gt;P162," * VL suppressed Routine TG "&amp;$P$19&amp;" "&amp;$P$20&amp;" is more than VL Done Routine TG Routine"&amp;CHAR(10),""),IF(Q175&gt;Q162," * VL suppressed Routine TG "&amp;$P$19&amp;" "&amp;$Q$20&amp;" is more than VL Done Routine TG Routine"&amp;CHAR(10),""),IF(R175&gt;R162," * VL suppressed Routine TG "&amp;$R$19&amp;" "&amp;$R$20&amp;" is more than VL Done Routine TG Routine"&amp;CHAR(10),""),IF(S175&gt;S162," * VL suppressed Routine TG "&amp;$R$19&amp;" "&amp;$S$20&amp;" is more than VL Done Routine TG Routine"&amp;CHAR(10),""),IF(T175&gt;T162," * VL suppressed Routine TG "&amp;$T$19&amp;" "&amp;$T$20&amp;" is more than VL Done Routine TG Routine"&amp;CHAR(10),""),IF(U175&gt;U162," * VL suppressed Routine TG "&amp;$T$19&amp;" "&amp;$U$20&amp;" is more than VL Done Routine TG Routine"&amp;CHAR(10),""),IF(V175&gt;V162," * VL suppressed Routine TG "&amp;$V$19&amp;" "&amp;$V$20&amp;" is more than VL Done Routine TG Routine"&amp;CHAR(10),""),IF(W175&gt;W162," * VL suppressed Routine TG "&amp;$V$19&amp;" "&amp;$W$20&amp;" is more than VL Done Routine TG Routine"&amp;CHAR(10),""),IF(X175&gt;X162," * VL suppressed Routine TG "&amp;$X$19&amp;" "&amp;$X$20&amp;" is more than VL Done Routine TG Routine"&amp;CHAR(10),""),IF(Y175&gt;Y162," * VL suppressed Routine TG "&amp;$X$19&amp;" "&amp;$Y$20&amp;" is more than VL Done Routine TG Routine"&amp;CHAR(10),""),IF(Z175&gt;Z162," * VL suppressed Routine TG "&amp;$Z$19&amp;" "&amp;$Z$20&amp;" is more than VL Done Routine TG Routine"&amp;CHAR(10),""),IF(AA175&gt;AA162," * VL suppressed Routine TG "&amp;$Z$19&amp;" "&amp;$AA$20&amp;" is more than VL Done Routine TG Routine"&amp;CHAR(10),""),IF(AB175&gt;AB162," * VL suppressed Routine TG "&amp;$AB$19&amp;" "&amp;$AB$20&amp;" is more than VL Done Routine TG Routine"&amp;CHAR(10),""))</f>
        <v/>
      </c>
      <c r="AD162" s="542"/>
      <c r="AE162" s="121"/>
      <c r="AF162" s="542"/>
      <c r="AG162" s="108">
        <v>161</v>
      </c>
    </row>
    <row r="163" spans="1:33" s="6" customFormat="1" ht="38.25" customHeight="1" thickBot="1" x14ac:dyDescent="0.5">
      <c r="A163" s="212" t="s">
        <v>213</v>
      </c>
      <c r="B163" s="245" t="s">
        <v>213</v>
      </c>
      <c r="C163" s="175" t="s">
        <v>347</v>
      </c>
      <c r="D163" s="240">
        <f t="shared" ref="D163:L163" si="77">SUM(D164:D168)</f>
        <v>0</v>
      </c>
      <c r="E163" s="136">
        <f t="shared" si="77"/>
        <v>0</v>
      </c>
      <c r="F163" s="136">
        <f t="shared" si="77"/>
        <v>0</v>
      </c>
      <c r="G163" s="136">
        <f t="shared" si="77"/>
        <v>0</v>
      </c>
      <c r="H163" s="136">
        <f t="shared" si="77"/>
        <v>0</v>
      </c>
      <c r="I163" s="136">
        <f t="shared" si="77"/>
        <v>0</v>
      </c>
      <c r="J163" s="136">
        <f t="shared" si="77"/>
        <v>0</v>
      </c>
      <c r="K163" s="136">
        <f t="shared" si="77"/>
        <v>0</v>
      </c>
      <c r="L163" s="136">
        <f t="shared" si="77"/>
        <v>0</v>
      </c>
      <c r="M163" s="136">
        <f t="shared" ref="M163:AA163" si="78">SUM(M164:M168)</f>
        <v>0</v>
      </c>
      <c r="N163" s="136">
        <f t="shared" si="78"/>
        <v>0</v>
      </c>
      <c r="O163" s="136">
        <f t="shared" si="78"/>
        <v>0</v>
      </c>
      <c r="P163" s="136">
        <f t="shared" si="78"/>
        <v>0</v>
      </c>
      <c r="Q163" s="136">
        <f t="shared" si="78"/>
        <v>0</v>
      </c>
      <c r="R163" s="136">
        <f t="shared" si="78"/>
        <v>0</v>
      </c>
      <c r="S163" s="136">
        <f t="shared" si="78"/>
        <v>0</v>
      </c>
      <c r="T163" s="136">
        <f t="shared" si="78"/>
        <v>0</v>
      </c>
      <c r="U163" s="136">
        <f t="shared" si="78"/>
        <v>0</v>
      </c>
      <c r="V163" s="136">
        <f t="shared" si="78"/>
        <v>0</v>
      </c>
      <c r="W163" s="136">
        <f t="shared" si="78"/>
        <v>0</v>
      </c>
      <c r="X163" s="136">
        <f t="shared" si="78"/>
        <v>0</v>
      </c>
      <c r="Y163" s="136">
        <f t="shared" si="78"/>
        <v>0</v>
      </c>
      <c r="Z163" s="136">
        <f t="shared" si="78"/>
        <v>0</v>
      </c>
      <c r="AA163" s="136">
        <f t="shared" si="78"/>
        <v>0</v>
      </c>
      <c r="AB163" s="136">
        <f>SUM(AB164:AB168)</f>
        <v>0</v>
      </c>
      <c r="AC163" s="194" t="str">
        <f>CONCATENATE(IF(D176&gt;D163," * VL suppressed Targeted"&amp;$D$19&amp;" "&amp;$D$20&amp;" is more than VL Done Targeted"&amp;CHAR(10),""),IF(E176&gt;E163," * VL suppressed Targeted "&amp;$D$19&amp;" "&amp;$E$20&amp;" is more than VL Done Targeted"&amp;CHAR(10),""),IF(F176&gt;F163," * VL suppressed Targeted "&amp;$F$19&amp;" "&amp;$F$20&amp;" is more than VL Done Targeted"&amp;CHAR(10),""),IF(G176&gt;G163," * VL suppressed Targeted "&amp;$F$19&amp;" "&amp;$G$20&amp;" is more than VL Done Targeted"&amp;CHAR(10),""),IF(H176&gt;H163," * VL suppressed Targeted "&amp;$H$19&amp;" "&amp;$H$20&amp;" is more than VL Done Targeted"&amp;CHAR(10),""),IF(I176&gt;I163," * VL suppressed Targeted "&amp;$H$19&amp;" "&amp;$I$20&amp;" is more than VL Done Targeted"&amp;CHAR(10),""),IF(J176&gt;J163," * VL suppressed Targeted "&amp;$J$19&amp;" "&amp;$J$20&amp;" is more than VL Done Targeted"&amp;CHAR(10),""),IF(K176&gt;K163," * VL suppressed Targeted "&amp;$J$19&amp;" "&amp;$K$20&amp;" is more than VL Done Targeted"&amp;CHAR(10),""),IF(L176&gt;L163," * VL suppressed Targeted "&amp;$L$19&amp;" "&amp;$L$20&amp;" is more than VL Done Targeted"&amp;CHAR(10),""),IF(M176&gt;M163," * VL suppressed Targeted "&amp;$L$19&amp;" "&amp;$M$20&amp;" is more than VL Done Targeted"&amp;CHAR(10),""),IF(N176&gt;N163," * VL suppressed Targeted "&amp;$N$19&amp;" "&amp;$N$20&amp;" is more than VL Done Targeted"&amp;CHAR(10),""),IF(O176&gt;O163," * VL suppressed Targeted "&amp;$N$19&amp;" "&amp;$O$20&amp;" is more than VL Done Targeted"&amp;CHAR(10),""),IF(P176&gt;P163," * VL suppressed Targeted "&amp;$P$19&amp;" "&amp;$P$20&amp;" is more than VL Done Targeted"&amp;CHAR(10),""),IF(Q176&gt;Q163," * VL suppressed Targeted "&amp;$P$19&amp;" "&amp;$Q$20&amp;" is more than VL Done Targeted"&amp;CHAR(10),""),IF(R176&gt;R163," * VL suppressed Targeted "&amp;$R$19&amp;" "&amp;$R$20&amp;" is more than VL Done Targeted"&amp;CHAR(10),""),IF(S176&gt;S163," * VL suppressed Targeted "&amp;$R$19&amp;" "&amp;$S$20&amp;" is more than VL Done Targeted"&amp;CHAR(10),""),IF(T176&gt;T163," * VL suppressed Targeted "&amp;$T$19&amp;" "&amp;$T$20&amp;" is more than VL Done Targeted"&amp;CHAR(10),""),IF(U176&gt;U163," * VL suppressed Targeted "&amp;$T$19&amp;" "&amp;$U$20&amp;" is more than VL Done Targeted"&amp;CHAR(10),""),IF(V176&gt;V163," * VL suppressed Targeted "&amp;$V$19&amp;" "&amp;$V$20&amp;" is more than VL Done Targeted"&amp;CHAR(10),""),IF(W176&gt;W163," * VL suppressed Targeted "&amp;$V$19&amp;" "&amp;$W$20&amp;" is more than VL Done Targeted"&amp;CHAR(10),""),IF(X176&gt;X163," * VL suppressed Targeted "&amp;$X$19&amp;" "&amp;$X$20&amp;" is more than VL Done Targeted"&amp;CHAR(10),""),IF(Y176&gt;Y163," * VL suppressed Targeted "&amp;$X$19&amp;" "&amp;$Y$20&amp;" is more than VL Done Targeted"&amp;CHAR(10),""),IF(Z176&gt;Z163," * VL suppressed Targeted "&amp;$Z$19&amp;" "&amp;$Z$20&amp;" is more than VL Done Targeted"&amp;CHAR(10),""),IF(AA176&gt;AA163," * VL suppressed Targeted "&amp;$Z$19&amp;" "&amp;$AA$20&amp;" is more than VL Done Targeted"&amp;CHAR(10),""),IF(AB176&gt;AB163," * VL suppressed Targeted "&amp;$AB$19&amp;" "&amp;$AB$20&amp;" is more than VL Done Targeted"&amp;CHAR(10),""))</f>
        <v/>
      </c>
      <c r="AD163" s="542"/>
      <c r="AE163" s="138"/>
      <c r="AF163" s="542"/>
      <c r="AG163" s="108">
        <v>155</v>
      </c>
    </row>
    <row r="164" spans="1:33" s="4" customFormat="1" ht="38.25" customHeight="1" thickBot="1" x14ac:dyDescent="0.5">
      <c r="A164" s="213" t="s">
        <v>79</v>
      </c>
      <c r="B164" s="150" t="s">
        <v>214</v>
      </c>
      <c r="C164" s="193" t="s">
        <v>348</v>
      </c>
      <c r="D164" s="37"/>
      <c r="E164" s="28"/>
      <c r="F164" s="37"/>
      <c r="G164" s="28"/>
      <c r="H164" s="37"/>
      <c r="I164" s="28"/>
      <c r="J164" s="37"/>
      <c r="K164" s="28"/>
      <c r="L164" s="28"/>
      <c r="M164" s="29"/>
      <c r="N164" s="28"/>
      <c r="O164" s="29"/>
      <c r="P164" s="28"/>
      <c r="Q164" s="29"/>
      <c r="R164" s="28"/>
      <c r="S164" s="29"/>
      <c r="T164" s="28"/>
      <c r="U164" s="29"/>
      <c r="V164" s="28"/>
      <c r="W164" s="29"/>
      <c r="X164" s="28"/>
      <c r="Y164" s="29"/>
      <c r="Z164" s="28"/>
      <c r="AA164" s="29"/>
      <c r="AB164" s="106">
        <f t="shared" ref="AB164:AB167" si="79">SUM(D164:AA164)</f>
        <v>0</v>
      </c>
      <c r="AC164" s="194" t="str">
        <f>CONCATENATE(IF(D177&gt;D164," * VL suppressed Targeted FSW "&amp;$D$19&amp;" "&amp;$D$20&amp;" is more than VL Done Targeted"&amp;CHAR(10),""),IF(E177&gt;E164," * VL suppressed Targeted FSW "&amp;$D$19&amp;" "&amp;$E$20&amp;" is more than VL Done Targeted"&amp;CHAR(10),""),IF(F177&gt;F164," * VL suppressed Targeted FSW "&amp;$F$19&amp;" "&amp;$F$20&amp;" is more than VL Done Targeted"&amp;CHAR(10),""),IF(G177&gt;G164," * VL suppressed Targeted FSW "&amp;$F$19&amp;" "&amp;$G$20&amp;" is more than VL Done Targeted"&amp;CHAR(10),""),IF(H177&gt;H164," * VL suppressed Targeted FSW "&amp;$H$19&amp;" "&amp;$H$20&amp;" is more than VL Done Targeted"&amp;CHAR(10),""),IF(I177&gt;I164," * VL suppressed Targeted FSW "&amp;$H$19&amp;" "&amp;$I$20&amp;" is more than VL Done Targeted"&amp;CHAR(10),""),IF(J177&gt;J164," * VL suppressed Targeted FSW "&amp;$J$19&amp;" "&amp;$J$20&amp;" is more than VL Done Targeted"&amp;CHAR(10),""),IF(K177&gt;K164," * VL suppressed Targeted FSW "&amp;$J$19&amp;" "&amp;$K$20&amp;" is more than VL Done Targeted"&amp;CHAR(10),""),IF(L177&gt;L164," * VL suppressed Targeted FSW "&amp;$L$19&amp;" "&amp;$L$20&amp;" is more than VL Done Targeted"&amp;CHAR(10),""),IF(M177&gt;M164," * VL suppressed Targeted FSW "&amp;$L$19&amp;" "&amp;$M$20&amp;" is more than VL Done Targeted"&amp;CHAR(10),""),IF(N177&gt;N164," * VL suppressed Targeted FSW "&amp;$N$19&amp;" "&amp;$N$20&amp;" is more than VL Done Targeted"&amp;CHAR(10),""),IF(O177&gt;O164," * VL suppressed Targeted FSW "&amp;$N$19&amp;" "&amp;$O$20&amp;" is more than VL Done Targeted"&amp;CHAR(10),""),IF(P177&gt;P164," * VL suppressed Targeted FSW "&amp;$P$19&amp;" "&amp;$P$20&amp;" is more than VL Done Targeted"&amp;CHAR(10),""),IF(Q177&gt;Q164," * VL suppressed Targeted FSW "&amp;$P$19&amp;" "&amp;$Q$20&amp;" is more than VL Done Targeted"&amp;CHAR(10),""),IF(R177&gt;R164," * VL suppressed Targeted FSW "&amp;$R$19&amp;" "&amp;$R$20&amp;" is more than VL Done Targeted"&amp;CHAR(10),""),IF(S177&gt;S164," * VL suppressed Targeted FSW "&amp;$R$19&amp;" "&amp;$S$20&amp;" is more than VL Done Targeted"&amp;CHAR(10),""),IF(T177&gt;T164," * VL suppressed Targeted FSW "&amp;$T$19&amp;" "&amp;$T$20&amp;" is more than VL Done Targeted"&amp;CHAR(10),""),IF(U177&gt;U164," * VL suppressed Targeted FSW "&amp;$T$19&amp;" "&amp;$U$20&amp;" is more than VL Done Targeted"&amp;CHAR(10),""),IF(V177&gt;V164," * VL suppressed Targeted FSW "&amp;$V$19&amp;" "&amp;$V$20&amp;" is more than VL Done Targeted"&amp;CHAR(10),""),IF(W177&gt;W164," * VL suppressed Targeted FSW "&amp;$V$19&amp;" "&amp;$W$20&amp;" is more than VL Done Targeted"&amp;CHAR(10),""),IF(X177&gt;X164," * VL suppressed Targeted FSW "&amp;$X$19&amp;" "&amp;$X$20&amp;" is more than VL Done Targeted"&amp;CHAR(10),""),IF(Y177&gt;Y164," * VL suppressed Targeted FSW "&amp;$X$19&amp;" "&amp;$Y$20&amp;" is more than VL Done Targeted"&amp;CHAR(10),""),IF(Z177&gt;Z164," * VL suppressed Targeted FSW "&amp;$Z$19&amp;" "&amp;$Z$20&amp;" is more than VL Done Targeted"&amp;CHAR(10),""),IF(AA177&gt;AA164," * VL suppressed Targeted FSW "&amp;$Z$19&amp;" "&amp;$AA$20&amp;" is more than VL Done Targeted"&amp;CHAR(10),""),IF(AB177&gt;AB164," * VL suppressed Targeted FSW "&amp;$AB$19&amp;" "&amp;$AB$20&amp;" is more than VL Done Targeted"&amp;CHAR(10),""))</f>
        <v/>
      </c>
      <c r="AD164" s="542"/>
      <c r="AE164" s="121" t="str">
        <f>CONCATENATE(IF(D164&gt;D158," * VL Done Targeted [FSW]"&amp;$D$19&amp;" "&amp;$D$20&amp;" is VL Done Routine"&amp;CHAR(10),""),IF(E164&gt;E158," * VL Done Targeted [FSW] "&amp;$D$19&amp;" "&amp;$E$20&amp;" is VL Done Routine"&amp;CHAR(10),""),IF(F164&gt;F158," * VL Done Targeted [FSW] "&amp;$F$19&amp;" "&amp;$F$20&amp;" is VL Done Routine"&amp;CHAR(10),""),IF(G164&gt;G158," * VL Done Targeted [FSW] "&amp;$F$19&amp;" "&amp;$G$20&amp;" is VL Done Routine"&amp;CHAR(10),""),IF(H164&gt;H158," * VL Done Targeted [FSW] "&amp;$H$19&amp;" "&amp;$H$20&amp;" is VL Done Routine"&amp;CHAR(10),""),IF(I164&gt;I158," * VL Done Targeted [FSW] "&amp;$H$19&amp;" "&amp;$I$20&amp;" is VL Done Routine"&amp;CHAR(10),""),IF(J164&gt;J158," * VL Done Targeted [FSW] "&amp;$J$19&amp;" "&amp;$J$20&amp;" is VL Done Routine"&amp;CHAR(10),""),IF(K164&gt;K158," * VL Done Targeted [FSW] "&amp;$J$19&amp;" "&amp;$K$20&amp;" is VL Done Routine"&amp;CHAR(10),""),IF(L164&gt;L158," * VL Done Targeted [FSW] "&amp;$L$19&amp;" "&amp;$L$20&amp;" is VL Done Routine"&amp;CHAR(10),""),IF(M164&gt;M158," * VL Done Targeted [FSW] "&amp;$L$19&amp;" "&amp;$M$20&amp;" is VL Done Routine"&amp;CHAR(10),""),IF(N164&gt;N158," * VL Done Targeted [FSW] "&amp;$N$19&amp;" "&amp;$N$20&amp;" is VL Done Routine"&amp;CHAR(10),""),IF(O164&gt;O158," * VL Done Targeted [FSW] "&amp;$N$19&amp;" "&amp;$O$20&amp;" is VL Done Routine"&amp;CHAR(10),""),IF(P164&gt;P158," * VL Done Targeted [FSW] "&amp;$P$19&amp;" "&amp;$P$20&amp;" is VL Done Routine"&amp;CHAR(10),""),IF(Q164&gt;Q158," * VL Done Targeted [FSW] "&amp;$P$19&amp;" "&amp;$Q$20&amp;" is VL Done Routine"&amp;CHAR(10),""),IF(R164&gt;R158," * VL Done Targeted [FSW] "&amp;$R$19&amp;" "&amp;$R$20&amp;" is VL Done Routine"&amp;CHAR(10),""),IF(S164&gt;S158," * VL Done Targeted [FSW] "&amp;$R$19&amp;" "&amp;$S$20&amp;" is VL Done Routine"&amp;CHAR(10),""),IF(T164&gt;T158," * VL Done Targeted [FSW] "&amp;$T$19&amp;" "&amp;$T$20&amp;" is VL Done Routine"&amp;CHAR(10),""),IF(U164&gt;U158," * VL Done Targeted [FSW] "&amp;$T$19&amp;" "&amp;$U$20&amp;" is VL Done Routine"&amp;CHAR(10),""),IF(V164&gt;V158," * VL Done Targeted [FSW] "&amp;$V$19&amp;" "&amp;$V$20&amp;" is VL Done Routine"&amp;CHAR(10),""),IF(W164&gt;W158," * VL Done Targeted [FSW] "&amp;$V$19&amp;" "&amp;$W$20&amp;" is VL Done Routine"&amp;CHAR(10),""),IF(X164&gt;X158," * VL Done Targeted [FSW] "&amp;$X$19&amp;" "&amp;$X$20&amp;" is VL Done Routine"&amp;CHAR(10),""),IF(Y164&gt;Y158," * VL Done Targeted [FSW] "&amp;$X$19&amp;" "&amp;$Y$20&amp;" is VL Done Routine"&amp;CHAR(10),""),IF(Z164&gt;Z158," * VL Done Targeted [FSW] "&amp;$Z$19&amp;" "&amp;$Z$20&amp;" is VL Done Routine"&amp;CHAR(10),""),IF(AA164&gt;AA158," * VL Done Targeted [PWID] "&amp;$Z$19&amp;" "&amp;$AA$20&amp;" is VL Done Routine"&amp;CHAR(10),""),IF(AB164&gt;AB158," * VL Done Targeted [FSW] "&amp;$AB$19&amp;" "&amp;$AB$20&amp;" is VL Done Routine"&amp;CHAR(10),""))</f>
        <v/>
      </c>
      <c r="AF164" s="542"/>
      <c r="AG164" s="108">
        <v>156</v>
      </c>
    </row>
    <row r="165" spans="1:33" s="4" customFormat="1" ht="38.25" customHeight="1" x14ac:dyDescent="0.45">
      <c r="A165" s="208" t="s">
        <v>77</v>
      </c>
      <c r="B165" s="148" t="s">
        <v>215</v>
      </c>
      <c r="C165" s="193" t="s">
        <v>349</v>
      </c>
      <c r="D165" s="36"/>
      <c r="E165" s="27"/>
      <c r="F165" s="36"/>
      <c r="G165" s="27"/>
      <c r="H165" s="36"/>
      <c r="I165" s="27"/>
      <c r="J165" s="36"/>
      <c r="K165" s="27"/>
      <c r="L165" s="25"/>
      <c r="M165" s="28"/>
      <c r="N165" s="25"/>
      <c r="O165" s="28"/>
      <c r="P165" s="25"/>
      <c r="Q165" s="28"/>
      <c r="R165" s="25"/>
      <c r="S165" s="28"/>
      <c r="T165" s="25"/>
      <c r="U165" s="28"/>
      <c r="V165" s="25"/>
      <c r="W165" s="28"/>
      <c r="X165" s="25"/>
      <c r="Y165" s="28"/>
      <c r="Z165" s="25"/>
      <c r="AA165" s="28"/>
      <c r="AB165" s="100">
        <f t="shared" si="79"/>
        <v>0</v>
      </c>
      <c r="AC165" s="194" t="str">
        <f>CONCATENATE(IF(D178&gt;D165," * VL suppressed Targeted MSM "&amp;$D$19&amp;" "&amp;$D$20&amp;" is more than VL Done Targeted"&amp;CHAR(10),""),IF(E178&gt;E165," * VL suppressed Targeted MSM "&amp;$D$19&amp;" "&amp;$E$20&amp;" is more than VL Done Targeted"&amp;CHAR(10),""),IF(F178&gt;F165," * VL suppressed Targeted MSM "&amp;$F$19&amp;" "&amp;$F$20&amp;" is more than VL Done Targeted"&amp;CHAR(10),""),IF(G178&gt;G165," * VL suppressed Targeted MSM "&amp;$F$19&amp;" "&amp;$G$20&amp;" is more than VL Done Targeted"&amp;CHAR(10),""),IF(H178&gt;H165," * VL suppressed Targeted MSM "&amp;$H$19&amp;" "&amp;$H$20&amp;" is more than VL Done Targeted"&amp;CHAR(10),""),IF(I178&gt;I165," * VL suppressed Targeted MSM "&amp;$H$19&amp;" "&amp;$I$20&amp;" is more than VL Done Targeted"&amp;CHAR(10),""),IF(J178&gt;J165," * VL suppressed Targeted MSM "&amp;$J$19&amp;" "&amp;$J$20&amp;" is more than VL Done Targeted"&amp;CHAR(10),""),IF(K178&gt;K165," * VL suppressed Targeted MSM "&amp;$J$19&amp;" "&amp;$K$20&amp;" is more than VL Done Targeted"&amp;CHAR(10),""),IF(L178&gt;L165," * VL suppressed Targeted MSM "&amp;$L$19&amp;" "&amp;$L$20&amp;" is more than VL Done Targeted"&amp;CHAR(10),""),IF(M178&gt;M165," * VL suppressed Targeted MSM "&amp;$L$19&amp;" "&amp;$M$20&amp;" is more than VL Done Targeted"&amp;CHAR(10),""),IF(N178&gt;N165," * VL suppressed Targeted MSM "&amp;$N$19&amp;" "&amp;$N$20&amp;" is more than VL Done Targeted"&amp;CHAR(10),""),IF(O178&gt;O165," * VL suppressed Targeted MSM "&amp;$N$19&amp;" "&amp;$O$20&amp;" is more than VL Done Targeted"&amp;CHAR(10),""),IF(P178&gt;P165," * VL suppressed Targeted MSM "&amp;$P$19&amp;" "&amp;$P$20&amp;" is more than VL Done Targeted"&amp;CHAR(10),""),IF(Q178&gt;Q165," * VL suppressed Targeted MSM "&amp;$P$19&amp;" "&amp;$Q$20&amp;" is more than VL Done Targeted"&amp;CHAR(10),""),IF(R178&gt;R165," * VL suppressed Targeted MSM "&amp;$R$19&amp;" "&amp;$R$20&amp;" is more than VL Done Targeted"&amp;CHAR(10),""),IF(S178&gt;S165," * VL suppressed Targeted MSM "&amp;$R$19&amp;" "&amp;$S$20&amp;" is more than VL Done Targeted"&amp;CHAR(10),""),IF(T178&gt;T165," * VL suppressed Targeted MSM "&amp;$T$19&amp;" "&amp;$T$20&amp;" is more than VL Done Targeted"&amp;CHAR(10),""),IF(U178&gt;U165," * VL suppressed Targeted MSM "&amp;$T$19&amp;" "&amp;$U$20&amp;" is more than VL Done Targeted"&amp;CHAR(10),""),IF(V178&gt;V165," * VL suppressed Targeted MSM "&amp;$V$19&amp;" "&amp;$V$20&amp;" is more than VL Done Targeted"&amp;CHAR(10),""),IF(W178&gt;W165," * VL suppressed Targeted MSM "&amp;$V$19&amp;" "&amp;$W$20&amp;" is more than VL Done Targeted"&amp;CHAR(10),""),IF(X178&gt;X165," * VL suppressed Targeted MSM "&amp;$X$19&amp;" "&amp;$X$20&amp;" is more than VL Done Targeted"&amp;CHAR(10),""),IF(Y178&gt;Y165," * VL suppressed Targeted MSM "&amp;$X$19&amp;" "&amp;$Y$20&amp;" is more than VL Done Targeted"&amp;CHAR(10),""),IF(Z178&gt;Z165," * VL suppressed Targeted MSM "&amp;$Z$19&amp;" "&amp;$Z$20&amp;" is more than VL Done Targeted"&amp;CHAR(10),""),IF(AA178&gt;AA165," * VL suppressed Targeted MSM "&amp;$Z$19&amp;" "&amp;$AA$20&amp;" is more than VL Done Targeted"&amp;CHAR(10),""),IF(AB178&gt;AB165," * VL suppressed Targeted MSM "&amp;$AB$19&amp;" "&amp;$AB$20&amp;" is more than VL Done Targeted"&amp;CHAR(10),""))</f>
        <v/>
      </c>
      <c r="AD165" s="542"/>
      <c r="AE165" s="121" t="str">
        <f>CONCATENATE(IF(D165&gt;D159," * VL Done Targeted [MSM]"&amp;$D$19&amp;" "&amp;$D$20&amp;" is more than VL Done Routine"&amp;CHAR(10),""),IF(E165&gt;E159," * VL Done Targeted [MSM] "&amp;$D$19&amp;" "&amp;$E$20&amp;" is more than VL Done Routine"&amp;CHAR(10),""),IF(F165&gt;F159," * VL Done Targeted [MSM] "&amp;$F$19&amp;" "&amp;$F$20&amp;" is more than VL Done Routine"&amp;CHAR(10),""),IF(G165&gt;G159," * VL Done Targeted [MSM] "&amp;$F$19&amp;" "&amp;$G$20&amp;" is more than VL Done Routine"&amp;CHAR(10),""),IF(H165&gt;H159," * VL Done Targeted [MSM] "&amp;$H$19&amp;" "&amp;$H$20&amp;" is more than VL Done Routine"&amp;CHAR(10),""),IF(I165&gt;I159," * VL Done Targeted [MSM] "&amp;$H$19&amp;" "&amp;$I$20&amp;" is more than VL Done Routine"&amp;CHAR(10),""),IF(J165&gt;J159," * VL Done Targeted [MSM] "&amp;$J$19&amp;" "&amp;$J$20&amp;" is more than VL Done Routine"&amp;CHAR(10),""),IF(K165&gt;K159," * VL Done Targeted [MSM] "&amp;$J$19&amp;" "&amp;$K$20&amp;" is more than VL Done Routine"&amp;CHAR(10),""),IF(L165&gt;L159," * VL Done Targeted [MSM] "&amp;$L$19&amp;" "&amp;$L$20&amp;" is more than VL Done Routine"&amp;CHAR(10),""),IF(M165&gt;M159," * VL Done Targeted [MSM] "&amp;$L$19&amp;" "&amp;$M$20&amp;" is more than VL Done Routine"&amp;CHAR(10),""),IF(N165&gt;N159," * VL Done Targeted [MSM] "&amp;$N$19&amp;" "&amp;$N$20&amp;" is more than VL Done Routine"&amp;CHAR(10),""),IF(O165&gt;O159," * VL Done Targeted [MSM] "&amp;$N$19&amp;" "&amp;$O$20&amp;" is more than VL Done Routine"&amp;CHAR(10),""),IF(P165&gt;P159," * VL Done Targeted [MSM] "&amp;$P$19&amp;" "&amp;$P$20&amp;" is more than VL Done Routine"&amp;CHAR(10),""),IF(Q165&gt;Q159," * VL Done Targeted [MSM] "&amp;$P$19&amp;" "&amp;$Q$20&amp;" is more than VL Done Routine"&amp;CHAR(10),""),IF(R165&gt;R159," * VL Done Targeted [MSM] "&amp;$R$19&amp;" "&amp;$R$20&amp;" is more than VL Done Routine"&amp;CHAR(10),""),IF(S165&gt;S159," * VL Done Targeted [MSM] "&amp;$R$19&amp;" "&amp;$S$20&amp;" is more than VL Done Routine"&amp;CHAR(10),""),IF(T165&gt;T159," * VL Done Targeted [MSM] "&amp;$T$19&amp;" "&amp;$T$20&amp;" is more than VL Done Routine"&amp;CHAR(10),""),IF(U165&gt;U159," * VL Done Targeted [MSM] "&amp;$T$19&amp;" "&amp;$U$20&amp;" is more than VL Done Routine"&amp;CHAR(10),""),IF(V165&gt;V159," * VL Done Targeted [MSM] "&amp;$V$19&amp;" "&amp;$V$20&amp;" is more than VL Done Routine"&amp;CHAR(10),""),IF(W165&gt;W159," * VL Done Targeted [MSM] "&amp;$V$19&amp;" "&amp;$W$20&amp;" is more than VL Done Routine"&amp;CHAR(10),""),IF(X165&gt;X159," * VL Done Targeted [MSM] "&amp;$X$19&amp;" "&amp;$X$20&amp;" is more than VL Done Routine"&amp;CHAR(10),""),IF(Y165&gt;Y159," * VL Done Targeted [MSM] "&amp;$X$19&amp;" "&amp;$Y$20&amp;" is more than VL Done Routine"&amp;CHAR(10),""),IF(Z165&gt;Z159," * VL Done Targeted [MSM] "&amp;$Z$19&amp;" "&amp;$Z$20&amp;" is more than VL Done Routine"&amp;CHAR(10),""),IF(AA165&gt;AA159," * VL Done Targeted [MSM] "&amp;$Z$19&amp;" "&amp;$AA$20&amp;" is more than VL Done Routine"&amp;CHAR(10),""),IF(AB165&gt;AB159," * VL Done Targeted [MSM] "&amp;$AB$19&amp;" "&amp;$AB$20&amp;" is more than VL Done Routine"&amp;CHAR(10),""))</f>
        <v/>
      </c>
      <c r="AF165" s="542"/>
      <c r="AG165" s="108">
        <v>157</v>
      </c>
    </row>
    <row r="166" spans="1:33" s="4" customFormat="1" ht="38.25" customHeight="1" x14ac:dyDescent="0.45">
      <c r="A166" s="208" t="s">
        <v>167</v>
      </c>
      <c r="B166" s="148" t="s">
        <v>216</v>
      </c>
      <c r="C166" s="193" t="s">
        <v>350</v>
      </c>
      <c r="D166" s="36"/>
      <c r="E166" s="27"/>
      <c r="F166" s="36"/>
      <c r="G166" s="27"/>
      <c r="H166" s="36"/>
      <c r="I166" s="27"/>
      <c r="J166" s="36"/>
      <c r="K166" s="27"/>
      <c r="L166" s="25"/>
      <c r="M166" s="25"/>
      <c r="N166" s="25"/>
      <c r="O166" s="25"/>
      <c r="P166" s="25"/>
      <c r="Q166" s="25"/>
      <c r="R166" s="25"/>
      <c r="S166" s="25"/>
      <c r="T166" s="25"/>
      <c r="U166" s="25"/>
      <c r="V166" s="25"/>
      <c r="W166" s="25"/>
      <c r="X166" s="25"/>
      <c r="Y166" s="25"/>
      <c r="Z166" s="25"/>
      <c r="AA166" s="25"/>
      <c r="AB166" s="100">
        <f t="shared" si="79"/>
        <v>0</v>
      </c>
      <c r="AC166" s="194" t="str">
        <f>CONCATENATE(IF(D179&gt;D166," * VL suppressed Targeted People In Prison "&amp;$D$19&amp;" "&amp;$D$20&amp;" is more than VL Done Targeted People In Prison"&amp;CHAR(10),""),IF(E179&gt;E166," * VL suppressed Targeted People In Prison "&amp;$D$19&amp;" "&amp;$E$20&amp;" is more than VL Done Targeted People In Prison"&amp;CHAR(10),""),IF(F179&gt;F166," * VL suppressed Targeted People In Prison "&amp;$F$19&amp;" "&amp;$F$20&amp;" is more than VL Done Targeted People In Prison"&amp;CHAR(10),""),IF(G179&gt;G166," * VL suppressed Targeted People In Prison "&amp;$F$19&amp;" "&amp;$G$20&amp;" is more than VL Done Targeted People In Prison"&amp;CHAR(10),""),IF(H179&gt;H166," * VL suppressed Targeted People In Prison "&amp;$H$19&amp;" "&amp;$H$20&amp;" is more than VL Done Targeted People In Prison"&amp;CHAR(10),""),IF(I179&gt;I166," * VL suppressed Targeted People In Prison "&amp;$H$19&amp;" "&amp;$I$20&amp;" is more than VL Done Targeted People In Prison"&amp;CHAR(10),""),IF(J179&gt;J166," * VL suppressed Targeted People In Prison "&amp;$J$19&amp;" "&amp;$J$20&amp;" is more than VL Done Targeted People In Prison"&amp;CHAR(10),""),IF(K179&gt;K166," * VL suppressed Targeted People In Prison "&amp;$J$19&amp;" "&amp;$K$20&amp;" is more than VL Done Targeted People In Prison"&amp;CHAR(10),""),IF(L179&gt;L166," * VL suppressed Targeted People In Prison "&amp;$L$19&amp;" "&amp;$L$20&amp;" is more than VL Done Targeted People In Prison"&amp;CHAR(10),""),IF(M179&gt;M166," * VL suppressed Targeted People In Prison "&amp;$L$19&amp;" "&amp;$M$20&amp;" is more than VL Done Targeted People In Prison"&amp;CHAR(10),""),IF(N179&gt;N166," * VL suppressed Targeted People In Prison "&amp;$N$19&amp;" "&amp;$N$20&amp;" is more than VL Done Targeted People In Prison"&amp;CHAR(10),""),IF(O179&gt;O166," * VL suppressed Targeted People In Prison "&amp;$N$19&amp;" "&amp;$O$20&amp;" is more than VL Done Targeted People In Prison"&amp;CHAR(10),""),IF(P179&gt;P166," * VL suppressed Targeted People In Prison "&amp;$P$19&amp;" "&amp;$P$20&amp;" is more than VL Done Targeted People In Prison"&amp;CHAR(10),""),IF(Q179&gt;Q166," * VL suppressed Targeted People In Prison "&amp;$P$19&amp;" "&amp;$Q$20&amp;" is more than VL Done Targeted People In Prison"&amp;CHAR(10),""),IF(R179&gt;R166," * VL suppressed Targeted People In Prison "&amp;$R$19&amp;" "&amp;$R$20&amp;" is more than VL Done Targeted People In Prison"&amp;CHAR(10),""),IF(S179&gt;S166," * VL suppressed Targeted People In Prison "&amp;$R$19&amp;" "&amp;$S$20&amp;" is more than VL Done Targeted People In Prison"&amp;CHAR(10),""),IF(T179&gt;T166," * VL suppressed Targeted People In Prison "&amp;$T$19&amp;" "&amp;$T$20&amp;" is more than VL Done Targeted People In Prison"&amp;CHAR(10),""),IF(U179&gt;U166," * VL suppressed Targeted People In Prison "&amp;$T$19&amp;" "&amp;$U$20&amp;" is more than VL Done Targeted People In Prison"&amp;CHAR(10),""),IF(V179&gt;V166," * VL suppressed Targeted People In Prison "&amp;$V$19&amp;" "&amp;$V$20&amp;" is more than VL Done Targeted People In Prison"&amp;CHAR(10),""),IF(W179&gt;W166," * VL suppressed Targeted People In Prison "&amp;$V$19&amp;" "&amp;$W$20&amp;" is more than VL Done Targeted People In Prison"&amp;CHAR(10),""),IF(X179&gt;X166," * VL suppressed Targeted People In Prison "&amp;$X$19&amp;" "&amp;$X$20&amp;" is more than VL Done Targeted People In Prison"&amp;CHAR(10),""),IF(Y179&gt;Y166," * VL suppressed Targeted People In Prison "&amp;$X$19&amp;" "&amp;$Y$20&amp;" is more than VL Done Targeted People In Prison"&amp;CHAR(10),""),IF(Z179&gt;Z166," * VL suppressed Targeted People In Prison "&amp;$Z$19&amp;" "&amp;$Z$20&amp;" is more than VL Done Targeted People In Prison"&amp;CHAR(10),""),IF(AA179&gt;AA166," * VL suppressed Targeted People In Prison "&amp;$Z$19&amp;" "&amp;$AA$20&amp;" is more than VL Done Targeted People In Prison"&amp;CHAR(10),""),IF(AB179&gt;AB166," * VL suppressed Targeted People In Prison "&amp;$AB$19&amp;" "&amp;$AB$20&amp;" is more than VL Done Targeted People In Prison"&amp;CHAR(10),""))</f>
        <v/>
      </c>
      <c r="AD166" s="542"/>
      <c r="AE166" s="121" t="str">
        <f>CONCATENATE(IF(D166&gt;D160," * VL Done Targeted [People in Prison]"&amp;$D$19&amp;" "&amp;$D$20&amp;" is more than VL Done Routine"&amp;CHAR(10),""),IF(E166&gt;E160," * VL Done Targeted [People in Prison] "&amp;$D$19&amp;" "&amp;$E$20&amp;" is more than VL Done Routine"&amp;CHAR(10),""),IF(F166&gt;F160," * VL Done Targeted [People in Prison] "&amp;$F$19&amp;" "&amp;$F$20&amp;" is more than VL Done Routine"&amp;CHAR(10),""),IF(G166&gt;G160," * VL Done Targeted [People in Prison] "&amp;$F$19&amp;" "&amp;$G$20&amp;" is more than VL Done Routine"&amp;CHAR(10),""),IF(H166&gt;H160," * VL Done Targeted [People in Prison] "&amp;$H$19&amp;" "&amp;$H$20&amp;" is more than VL Done Routine"&amp;CHAR(10),""),IF(I166&gt;I160," * VL Done Targeted [People in Prison] "&amp;$H$19&amp;" "&amp;$I$20&amp;" is more than VL Done Routine"&amp;CHAR(10),""),IF(J166&gt;J160," * VL Done Targeted [People in Prison] "&amp;$J$19&amp;" "&amp;$J$20&amp;" is more than VL Done Routine"&amp;CHAR(10),""),IF(K166&gt;K160," * VL Done Targeted [People in Prison] "&amp;$J$19&amp;" "&amp;$K$20&amp;" is more than VL Done Routine"&amp;CHAR(10),""),IF(L166&gt;L160," * VL Done Targeted [People in Prison] "&amp;$L$19&amp;" "&amp;$L$20&amp;" is more than VL Done Routine"&amp;CHAR(10),""),IF(M166&gt;M160," * VL Done Targeted [People in Prison] "&amp;$L$19&amp;" "&amp;$M$20&amp;" is more than VL Done Routine"&amp;CHAR(10),""),IF(N166&gt;N160," * VL Done Targeted [People in Prison] "&amp;$N$19&amp;" "&amp;$N$20&amp;" is more than VL Done Routine"&amp;CHAR(10),""),IF(O166&gt;O160," * VL Done Targeted [People in Prison] "&amp;$N$19&amp;" "&amp;$O$20&amp;" is more than VL Done Routine"&amp;CHAR(10),""),IF(P166&gt;P160," * VL Done Targeted [People in Prison] "&amp;$P$19&amp;" "&amp;$P$20&amp;" is more than VL Done Routine"&amp;CHAR(10),""),IF(Q166&gt;Q160," * VL Done Targeted [People in Prison] "&amp;$P$19&amp;" "&amp;$Q$20&amp;" is more than VL Done Routine"&amp;CHAR(10),""),IF(R166&gt;R160," * VL Done Targeted [People in Prison] "&amp;$R$19&amp;" "&amp;$R$20&amp;" is more than VL Done Routine"&amp;CHAR(10),""),IF(S166&gt;S160," * VL Done Targeted [People in Prison] "&amp;$R$19&amp;" "&amp;$S$20&amp;" is more than VL Done Routine"&amp;CHAR(10),""),IF(T166&gt;T160," * VL Done Targeted [People in Prison] "&amp;$T$19&amp;" "&amp;$T$20&amp;" is more than VL Done Routine"&amp;CHAR(10),""),IF(U166&gt;U160," * VL Done Targeted [People in Prison] "&amp;$T$19&amp;" "&amp;$U$20&amp;" is more than VL Done Routine"&amp;CHAR(10),""),IF(V166&gt;V160," * VL Done Targeted [People in Prison] "&amp;$V$19&amp;" "&amp;$V$20&amp;" is more than VL Done Routine"&amp;CHAR(10),""),IF(W166&gt;W160," * VL Done Targeted [People in Prison] "&amp;$V$19&amp;" "&amp;$W$20&amp;" is more than VL Done Routine"&amp;CHAR(10),""),IF(X166&gt;X160," * VL Done Targeted [People in Prison] "&amp;$X$19&amp;" "&amp;$X$20&amp;" is more than VL Done Routine"&amp;CHAR(10),""),IF(Y166&gt;Y160," * VL Done Targeted [People in Prison] "&amp;$X$19&amp;" "&amp;$Y$20&amp;" is more than VL Done Routine"&amp;CHAR(10),""),IF(Z166&gt;Z160," * VL Done Targeted [People in Prison] "&amp;$Z$19&amp;" "&amp;$Z$20&amp;" is more than VL Done Routine"&amp;CHAR(10),""),IF(AA166&gt;AA160," * VL Done Targeted [People in Prison] "&amp;$Z$19&amp;" "&amp;$AA$20&amp;" is more than VL Done Routine"&amp;CHAR(10),""),IF(AB166&gt;AB160," * VL Done Targeted [People in Prison] "&amp;$AB$19&amp;" "&amp;$AB$20&amp;" is more than VL Done Routine"&amp;CHAR(10),""))</f>
        <v/>
      </c>
      <c r="AF166" s="542"/>
      <c r="AG166" s="108">
        <v>159</v>
      </c>
    </row>
    <row r="167" spans="1:33" s="4" customFormat="1" ht="38.25" customHeight="1" thickBot="1" x14ac:dyDescent="0.5">
      <c r="A167" s="208" t="s">
        <v>76</v>
      </c>
      <c r="B167" s="148" t="s">
        <v>217</v>
      </c>
      <c r="C167" s="193" t="s">
        <v>351</v>
      </c>
      <c r="D167" s="36"/>
      <c r="E167" s="27"/>
      <c r="F167" s="36"/>
      <c r="G167" s="27"/>
      <c r="H167" s="36"/>
      <c r="I167" s="27"/>
      <c r="J167" s="36"/>
      <c r="K167" s="27"/>
      <c r="L167" s="25"/>
      <c r="M167" s="25"/>
      <c r="N167" s="25"/>
      <c r="O167" s="25"/>
      <c r="P167" s="25"/>
      <c r="Q167" s="25"/>
      <c r="R167" s="25"/>
      <c r="S167" s="25"/>
      <c r="T167" s="25"/>
      <c r="U167" s="25"/>
      <c r="V167" s="25"/>
      <c r="W167" s="25"/>
      <c r="X167" s="25"/>
      <c r="Y167" s="25"/>
      <c r="Z167" s="25"/>
      <c r="AA167" s="25"/>
      <c r="AB167" s="101">
        <f t="shared" si="79"/>
        <v>0</v>
      </c>
      <c r="AC167" s="194" t="str">
        <f>CONCATENATE(IF(D180&gt;D167," * VL suppressed Targeted PWID "&amp;$D$19&amp;" "&amp;$D$20&amp;" is more than VL Done Targeted Targeted"&amp;CHAR(10),""),IF(E180&gt;E167," * VL suppressed Targeted PWID "&amp;$D$19&amp;" "&amp;$E$20&amp;" is more than VL Done Targeted Targeted"&amp;CHAR(10),""),IF(F180&gt;F167," * VL suppressed Targeted PWID "&amp;$F$19&amp;" "&amp;$F$20&amp;" is more than VL Done Targeted Targeted"&amp;CHAR(10),""),IF(G180&gt;G167," * VL suppressed Targeted PWID "&amp;$F$19&amp;" "&amp;$G$20&amp;" is more than VL Done Targeted Targeted"&amp;CHAR(10),""),IF(H180&gt;H167," * VL suppressed Targeted PWID "&amp;$H$19&amp;" "&amp;$H$20&amp;" is more than VL Done Targeted Targeted"&amp;CHAR(10),""),IF(I180&gt;I167," * VL suppressed Targeted PWID "&amp;$H$19&amp;" "&amp;$I$20&amp;" is more than VL Done Targeted Targeted"&amp;CHAR(10),""),IF(J180&gt;J167," * VL suppressed Targeted PWID "&amp;$J$19&amp;" "&amp;$J$20&amp;" is more than VL Done Targeted Targeted"&amp;CHAR(10),""),IF(K180&gt;K167," * VL suppressed Targeted PWID "&amp;$J$19&amp;" "&amp;$K$20&amp;" is more than VL Done Targeted Targeted"&amp;CHAR(10),""),IF(L180&gt;L167," * VL suppressed Targeted PWID "&amp;$L$19&amp;" "&amp;$L$20&amp;" is more than VL Done Targeted Targeted"&amp;CHAR(10),""),IF(M180&gt;M167," * VL suppressed Targeted PWID "&amp;$L$19&amp;" "&amp;$M$20&amp;" is more than VL Done Targeted Targeted"&amp;CHAR(10),""),IF(N180&gt;N167," * VL suppressed Targeted PWID "&amp;$N$19&amp;" "&amp;$N$20&amp;" is more than VL Done Targeted Targeted"&amp;CHAR(10),""),IF(O180&gt;O167," * VL suppressed Targeted PWID "&amp;$N$19&amp;" "&amp;$O$20&amp;" is more than VL Done Targeted Targeted"&amp;CHAR(10),""),IF(P180&gt;P167," * VL suppressed Targeted PWID "&amp;$P$19&amp;" "&amp;$P$20&amp;" is more than VL Done Targeted Targeted"&amp;CHAR(10),""),IF(Q180&gt;Q167," * VL suppressed Targeted PWID "&amp;$P$19&amp;" "&amp;$Q$20&amp;" is more than VL Done Targeted Targeted"&amp;CHAR(10),""),IF(R180&gt;R167," * VL suppressed Targeted PWID "&amp;$R$19&amp;" "&amp;$R$20&amp;" is more than VL Done Targeted Targeted"&amp;CHAR(10),""),IF(S180&gt;S167," * VL suppressed Targeted PWID "&amp;$R$19&amp;" "&amp;$S$20&amp;" is more than VL Done Targeted Targeted"&amp;CHAR(10),""),IF(T180&gt;T167," * VL suppressed Targeted PWID "&amp;$T$19&amp;" "&amp;$T$20&amp;" is more than VL Done Targeted Targeted"&amp;CHAR(10),""),IF(U180&gt;U167," * VL suppressed Targeted PWID "&amp;$T$19&amp;" "&amp;$U$20&amp;" is more than VL Done Targeted Targeted"&amp;CHAR(10),""),IF(V180&gt;V167," * VL suppressed Targeted PWID "&amp;$V$19&amp;" "&amp;$V$20&amp;" is more than VL Done Targeted Targeted"&amp;CHAR(10),""),IF(W180&gt;W167," * VL suppressed Targeted PWID "&amp;$V$19&amp;" "&amp;$W$20&amp;" is more than VL Done Targeted Targeted"&amp;CHAR(10),""),IF(X180&gt;X167," * VL suppressed Targeted PWID "&amp;$X$19&amp;" "&amp;$X$20&amp;" is more than VL Done Targeted Targeted"&amp;CHAR(10),""),IF(Y180&gt;Y167," * VL suppressed Targeted PWID "&amp;$X$19&amp;" "&amp;$Y$20&amp;" is more than VL Done Targeted Targeted"&amp;CHAR(10),""),IF(Z180&gt;Z167," * VL suppressed Targeted PWID "&amp;$Z$19&amp;" "&amp;$Z$20&amp;" is more than VL Done Targeted Targeted"&amp;CHAR(10),""),IF(AA180&gt;AA167," * VL suppressed Targeted PWID "&amp;$Z$19&amp;" "&amp;$AA$20&amp;" is more than VL Done Targeted Targeted"&amp;CHAR(10),""),IF(AB180&gt;AB167," * VL suppressed Targeted PWID "&amp;$AB$19&amp;" "&amp;$AB$20&amp;" is more than VL Done Targeted Targeted"&amp;CHAR(10),""))</f>
        <v/>
      </c>
      <c r="AD167" s="542"/>
      <c r="AE167" s="121" t="str">
        <f>CONCATENATE(IF(D167&gt;D161," * VL Done Targeted [PWID]"&amp;$D$19&amp;" "&amp;$D$20&amp;" is more than VL Done Routine"&amp;CHAR(10),""),IF(E167&gt;E161," * VL Done Targeted [PWID] "&amp;$D$19&amp;" "&amp;$E$20&amp;" is more than VL Done Routine"&amp;CHAR(10),""),IF(F167&gt;F161," * VL Done Targeted [PWID] "&amp;$F$19&amp;" "&amp;$F$20&amp;" is more than VL Done Routine"&amp;CHAR(10),""),IF(G167&gt;G161," * VL Done Targeted [PWID] "&amp;$F$19&amp;" "&amp;$G$20&amp;" is more than VL Done Routine"&amp;CHAR(10),""),IF(H167&gt;H161," * VL Done Targeted [PWID] "&amp;$H$19&amp;" "&amp;$H$20&amp;" is more than VL Done Routine"&amp;CHAR(10),""),IF(I167&gt;I161," * VL Done Targeted [PWID] "&amp;$H$19&amp;" "&amp;$I$20&amp;" is more than VL Done Routine"&amp;CHAR(10),""),IF(J167&gt;J161," * VL Done Targeted [PWID] "&amp;$J$19&amp;" "&amp;$J$20&amp;" is more than VL Done Routine"&amp;CHAR(10),""),IF(K167&gt;K161," * VL Done Targeted [PWID] "&amp;$J$19&amp;" "&amp;$K$20&amp;" is more than VL Done Routine"&amp;CHAR(10),""),IF(L167&gt;L161," * VL Done Targeted [PWID] "&amp;$L$19&amp;" "&amp;$L$20&amp;" is more than VL Done Routine"&amp;CHAR(10),""),IF(M167&gt;M161," * VL Done Targeted [PWID] "&amp;$L$19&amp;" "&amp;$M$20&amp;" is more than VL Done Routine"&amp;CHAR(10),""),IF(N167&gt;N161," * VL Done Targeted [PWID] "&amp;$N$19&amp;" "&amp;$N$20&amp;" is more than VL Done Routine"&amp;CHAR(10),""),IF(O167&gt;O161," * VL Done Targeted [PWID] "&amp;$N$19&amp;" "&amp;$O$20&amp;" is more than VL Done Routine"&amp;CHAR(10),""),IF(P167&gt;P161," * VL Done Targeted [PWID] "&amp;$P$19&amp;" "&amp;$P$20&amp;" is more than VL Done Routine"&amp;CHAR(10),""),IF(Q167&gt;Q161," * VL Done Targeted [PWID] "&amp;$P$19&amp;" "&amp;$Q$20&amp;" is more than VL Done Routine"&amp;CHAR(10),""),IF(R167&gt;R161," * VL Done Targeted [PWID] "&amp;$R$19&amp;" "&amp;$R$20&amp;" is more than VL Done Routine"&amp;CHAR(10),""),IF(S167&gt;S161," * VL Done Targeted [PWID] "&amp;$R$19&amp;" "&amp;$S$20&amp;" is more than VL Done Routine"&amp;CHAR(10),""),IF(T167&gt;T161," * VL Done Targeted [PWID] "&amp;$T$19&amp;" "&amp;$T$20&amp;" is more than VL Done Routine"&amp;CHAR(10),""),IF(U167&gt;U161," * VL Done Targeted [PWID] "&amp;$T$19&amp;" "&amp;$U$20&amp;" is more than VL Done Routine"&amp;CHAR(10),""),IF(V167&gt;V161," * VL Done Targeted [PWID] "&amp;$V$19&amp;" "&amp;$V$20&amp;" is more than VL Done Routine"&amp;CHAR(10),""),IF(W167&gt;W161," * VL Done Targeted [PWID] "&amp;$V$19&amp;" "&amp;$W$20&amp;" is more than VL Done Routine"&amp;CHAR(10),""),IF(X167&gt;X161," * VL Done Targeted [PWID] "&amp;$X$19&amp;" "&amp;$X$20&amp;" is more than VL Done Routine"&amp;CHAR(10),""),IF(Y167&gt;Y161," * VL Done Targeted [PWID] "&amp;$X$19&amp;" "&amp;$Y$20&amp;" is more than VL Done Routine"&amp;CHAR(10),""),IF(Z167&gt;Z161," * VL Done Targeted [PWID] "&amp;$Z$19&amp;" "&amp;$Z$20&amp;" is more than VL Done Routine"&amp;CHAR(10),""),IF(AA167&gt;AA161," * VL Done Targeted [PWID] "&amp;$Z$19&amp;" "&amp;$AA$20&amp;" is more than VL Done Routine"&amp;CHAR(10),""),IF(AB167&gt;AB161," * VL Done Targeted [PWID] "&amp;$AB$19&amp;" "&amp;$AB$20&amp;" is more than VL Done Routine"&amp;CHAR(10),""))</f>
        <v/>
      </c>
      <c r="AF167" s="542"/>
      <c r="AG167" s="108">
        <v>160</v>
      </c>
    </row>
    <row r="168" spans="1:33" s="4" customFormat="1" ht="38.25" customHeight="1" thickBot="1" x14ac:dyDescent="0.5">
      <c r="A168" s="214" t="s">
        <v>435</v>
      </c>
      <c r="B168" s="149" t="s">
        <v>218</v>
      </c>
      <c r="C168" s="193" t="s">
        <v>352</v>
      </c>
      <c r="D168" s="97"/>
      <c r="E168" s="98"/>
      <c r="F168" s="97"/>
      <c r="G168" s="98"/>
      <c r="H168" s="97"/>
      <c r="I168" s="98"/>
      <c r="J168" s="97"/>
      <c r="K168" s="98"/>
      <c r="L168" s="98"/>
      <c r="M168" s="98"/>
      <c r="N168" s="98"/>
      <c r="O168" s="98"/>
      <c r="P168" s="98"/>
      <c r="Q168" s="98"/>
      <c r="R168" s="98"/>
      <c r="S168" s="98"/>
      <c r="T168" s="98"/>
      <c r="U168" s="98"/>
      <c r="V168" s="98"/>
      <c r="W168" s="98"/>
      <c r="X168" s="98"/>
      <c r="Y168" s="98"/>
      <c r="Z168" s="98"/>
      <c r="AA168" s="227"/>
      <c r="AB168" s="228"/>
      <c r="AC168" s="194" t="str">
        <f>CONCATENATE(IF(D181&gt;D168," * VL suppressed Targeted TG "&amp;$D$19&amp;" "&amp;$D$20&amp;" is more than VL Done Targeted Targeted"&amp;CHAR(10),""),IF(E181&gt;E168," * VL suppressed Targeted TG "&amp;$D$19&amp;" "&amp;$E$20&amp;" is more than VL Done Targeted Targeted"&amp;CHAR(10),""),IF(F181&gt;F168," * VL suppressed Targeted TG "&amp;$F$19&amp;" "&amp;$F$20&amp;" is more than VL Done Targeted Targeted"&amp;CHAR(10),""),IF(G181&gt;G168," * VL suppressed Targeted TG "&amp;$F$19&amp;" "&amp;$G$20&amp;" is more than VL Done Targeted Targeted"&amp;CHAR(10),""),IF(H181&gt;H168," * VL suppressed Targeted TG "&amp;$H$19&amp;" "&amp;$H$20&amp;" is more than VL Done Targeted Targeted"&amp;CHAR(10),""),IF(I181&gt;I168," * VL suppressed Targeted TG "&amp;$H$19&amp;" "&amp;$I$20&amp;" is more than VL Done Targeted Targeted"&amp;CHAR(10),""),IF(J181&gt;J168," * VL suppressed Targeted TG "&amp;$J$19&amp;" "&amp;$J$20&amp;" is more than VL Done Targeted Targeted"&amp;CHAR(10),""),IF(K181&gt;K168," * VL suppressed Targeted TG "&amp;$J$19&amp;" "&amp;$K$20&amp;" is more than VL Done Targeted Targeted"&amp;CHAR(10),""),IF(L181&gt;L168," * VL suppressed Targeted TG "&amp;$L$19&amp;" "&amp;$L$20&amp;" is more than VL Done Targeted Targeted"&amp;CHAR(10),""),IF(M181&gt;M168," * VL suppressed Targeted TG "&amp;$L$19&amp;" "&amp;$M$20&amp;" is more than VL Done Targeted Targeted"&amp;CHAR(10),""),IF(N181&gt;N168," * VL suppressed Targeted TG "&amp;$N$19&amp;" "&amp;$N$20&amp;" is more than VL Done Targeted Targeted"&amp;CHAR(10),""),IF(O181&gt;O168," * VL suppressed Targeted TG "&amp;$N$19&amp;" "&amp;$O$20&amp;" is more than VL Done Targeted Targeted"&amp;CHAR(10),""),IF(P181&gt;P168," * VL suppressed Targeted TG "&amp;$P$19&amp;" "&amp;$P$20&amp;" is more than VL Done Targeted Targeted"&amp;CHAR(10),""),IF(Q181&gt;Q168," * VL suppressed Targeted TG "&amp;$P$19&amp;" "&amp;$Q$20&amp;" is more than VL Done Targeted Targeted"&amp;CHAR(10),""),IF(R181&gt;R168," * VL suppressed Targeted TG "&amp;$R$19&amp;" "&amp;$R$20&amp;" is more than VL Done Targeted Targeted"&amp;CHAR(10),""),IF(S181&gt;S168," * VL suppressed Targeted TG "&amp;$R$19&amp;" "&amp;$S$20&amp;" is more than VL Done Targeted Targeted"&amp;CHAR(10),""),IF(T181&gt;T168," * VL suppressed Targeted TG "&amp;$T$19&amp;" "&amp;$T$20&amp;" is more than VL Done Targeted Targeted"&amp;CHAR(10),""),IF(U181&gt;U168," * VL suppressed Targeted TG "&amp;$T$19&amp;" "&amp;$U$20&amp;" is more than VL Done Targeted Targeted"&amp;CHAR(10),""),IF(V181&gt;V168," * VL suppressed Targeted TG "&amp;$V$19&amp;" "&amp;$V$20&amp;" is more than VL Done Targeted Targeted"&amp;CHAR(10),""),IF(W181&gt;W168," * VL suppressed Targeted TG "&amp;$V$19&amp;" "&amp;$W$20&amp;" is more than VL Done Targeted Targeted"&amp;CHAR(10),""),IF(X181&gt;X168," * VL suppressed Targeted TG "&amp;$X$19&amp;" "&amp;$X$20&amp;" is more than VL Done Targeted Targeted"&amp;CHAR(10),""),IF(Y181&gt;Y168," * VL suppressed Targeted TG "&amp;$X$19&amp;" "&amp;$Y$20&amp;" is more than VL Done Targeted Targeted"&amp;CHAR(10),""),IF(Z181&gt;Z168," * VL suppressed Targeted TG "&amp;$Z$19&amp;" "&amp;$Z$20&amp;" is more than VL Done Targeted Targeted"&amp;CHAR(10),""),IF(AA181&gt;AA168," * VL suppressed Targeted TG "&amp;$Z$19&amp;" "&amp;$AA$20&amp;" is more than VL Done Targeted Targeted"&amp;CHAR(10),""),IF(AB181&gt;AB168," * VL suppressed Targeted TG "&amp;$AB$19&amp;" "&amp;$AB$20&amp;" is more than VL Done Targeted Targeted"&amp;CHAR(10),""))</f>
        <v/>
      </c>
      <c r="AD168" s="542"/>
      <c r="AE168" s="121" t="str">
        <f>CONCATENATE(IF(D168&gt;D162," * VL Done Targeted [Transgender People]"&amp;$D$19&amp;" "&amp;$D$20&amp;" is more than VL Done Routine"&amp;CHAR(10),""),IF(E168&gt;E162," * VL Done Targeted [Transgender People] "&amp;$D$19&amp;" "&amp;$E$20&amp;" is more than VL Done Routine"&amp;CHAR(10),""),IF(F168&gt;F162," * VL Done Targeted [Transgender People] "&amp;$F$19&amp;" "&amp;$F$20&amp;" is more than VL Done Routine"&amp;CHAR(10),""),IF(G168&gt;G162," * VL Done Targeted [Transgender People] "&amp;$F$19&amp;" "&amp;$G$20&amp;" is more than VL Done Routine"&amp;CHAR(10),""),IF(H168&gt;H162," * VL Done Targeted [Transgender People] "&amp;$H$19&amp;" "&amp;$H$20&amp;" is more than VL Done Routine"&amp;CHAR(10),""),IF(I168&gt;I162," * VL Done Targeted [Transgender People] "&amp;$H$19&amp;" "&amp;$I$20&amp;" is more than VL Done Routine"&amp;CHAR(10),""),IF(J168&gt;J162," * VL Done Targeted [Transgender People] "&amp;$J$19&amp;" "&amp;$J$20&amp;" is more than VL Done Routine"&amp;CHAR(10),""),IF(K168&gt;K162," * VL Done Targeted [Transgender People] "&amp;$J$19&amp;" "&amp;$K$20&amp;" is more than VL Done Routine"&amp;CHAR(10),""),IF(L168&gt;L162," * VL Done Targeted [Transgender People] "&amp;$L$19&amp;" "&amp;$L$20&amp;" is more than VL Done Routine"&amp;CHAR(10),""),IF(M168&gt;M162," * VL Done Targeted [Transgender People] "&amp;$L$19&amp;" "&amp;$M$20&amp;" is more than VL Done Routine"&amp;CHAR(10),""),IF(N168&gt;N162," * VL Done Targeted [Transgender People] "&amp;$N$19&amp;" "&amp;$N$20&amp;" is more than VL Done Routine"&amp;CHAR(10),""),IF(O168&gt;O162," * VL Done Targeted [Transgender People] "&amp;$N$19&amp;" "&amp;$O$20&amp;" is more than VL Done Routine"&amp;CHAR(10),""),IF(P168&gt;P162," * VL Done Targeted [Transgender People] "&amp;$P$19&amp;" "&amp;$P$20&amp;" is more than VL Done Routine"&amp;CHAR(10),""),IF(Q168&gt;Q162," * VL Done Targeted [Transgender People] "&amp;$P$19&amp;" "&amp;$Q$20&amp;" is more than VL Done Routine"&amp;CHAR(10),""),IF(R168&gt;R162," * VL Done Targeted [Transgender People] "&amp;$R$19&amp;" "&amp;$R$20&amp;" is more than VL Done Routine"&amp;CHAR(10),""),IF(S168&gt;S162," * VL Done Targeted [Transgender People] "&amp;$R$19&amp;" "&amp;$S$20&amp;" is more than VL Done Routine"&amp;CHAR(10),""),IF(T168&gt;T162," * VL Done Targeted [Transgender People] "&amp;$T$19&amp;" "&amp;$T$20&amp;" is more than VL Done Routine"&amp;CHAR(10),""),IF(U168&gt;U162," * VL Done Targeted [Transgender People] "&amp;$T$19&amp;" "&amp;$U$20&amp;" is more than VL Done Routine"&amp;CHAR(10),""),IF(V168&gt;V162," * VL Done Targeted [Transgender People] "&amp;$V$19&amp;" "&amp;$V$20&amp;" is more than VL Done Routine"&amp;CHAR(10),""),IF(W168&gt;W162," * VL Done Targeted [Transgender People] "&amp;$V$19&amp;" "&amp;$W$20&amp;" is more than VL Done Routine"&amp;CHAR(10),""),IF(X168&gt;X162," * VL Done Targeted [Transgender People] "&amp;$X$19&amp;" "&amp;$X$20&amp;" is more than VL Done Routine"&amp;CHAR(10),""),IF(Y168&gt;Y162," * VL Done Targeted [Transgender People] "&amp;$X$19&amp;" "&amp;$Y$20&amp;" is more than VL Done Routine"&amp;CHAR(10),""),IF(Z168&gt;Z162," * VL Done Targeted [Transgender People] "&amp;$Z$19&amp;" "&amp;$Z$20&amp;" is more than VL Done Routine"&amp;CHAR(10),""),IF(AA168&gt;AA162," * VL Done Targeted [Transgender People] "&amp;$Z$19&amp;" "&amp;$AA$20&amp;" is more than VL Done Routine"&amp;CHAR(10),""),IF(AB168&gt;AB162," * VL Done Targeted [Transgender People] "&amp;$AB$19&amp;" "&amp;$AB$20&amp;" is more than VL Done Routine"&amp;CHAR(10),""))</f>
        <v/>
      </c>
      <c r="AF168" s="542"/>
      <c r="AG168" s="108">
        <v>161</v>
      </c>
    </row>
    <row r="169" spans="1:33" s="4" customFormat="1" ht="38.25" customHeight="1" thickBot="1" x14ac:dyDescent="0.5">
      <c r="A169" s="191" t="s">
        <v>233</v>
      </c>
      <c r="B169" s="191" t="s">
        <v>222</v>
      </c>
      <c r="C169" s="175" t="s">
        <v>353</v>
      </c>
      <c r="D169" s="240">
        <f>SUM(D170,D176)</f>
        <v>0</v>
      </c>
      <c r="E169" s="136">
        <f t="shared" ref="E169" si="80">SUM(E170,E176)</f>
        <v>0</v>
      </c>
      <c r="F169" s="136">
        <f t="shared" ref="F169" si="81">SUM(F170,F176)</f>
        <v>0</v>
      </c>
      <c r="G169" s="136">
        <f t="shared" ref="G169" si="82">SUM(G170,G176)</f>
        <v>0</v>
      </c>
      <c r="H169" s="136">
        <f t="shared" ref="H169" si="83">SUM(H170,H176)</f>
        <v>0</v>
      </c>
      <c r="I169" s="136">
        <f t="shared" ref="I169" si="84">SUM(I170,I176)</f>
        <v>0</v>
      </c>
      <c r="J169" s="136">
        <f t="shared" ref="J169" si="85">SUM(J170,J176)</f>
        <v>0</v>
      </c>
      <c r="K169" s="136">
        <f t="shared" ref="K169" si="86">SUM(K170,K176)</f>
        <v>0</v>
      </c>
      <c r="L169" s="136">
        <f t="shared" ref="L169" si="87">SUM(L170,L176)</f>
        <v>0</v>
      </c>
      <c r="M169" s="136">
        <f t="shared" ref="M169" si="88">SUM(M170,M176)</f>
        <v>0</v>
      </c>
      <c r="N169" s="136">
        <f t="shared" ref="N169" si="89">SUM(N170,N176)</f>
        <v>0</v>
      </c>
      <c r="O169" s="136">
        <f t="shared" ref="O169" si="90">SUM(O170,O176)</f>
        <v>0</v>
      </c>
      <c r="P169" s="136">
        <f t="shared" ref="P169" si="91">SUM(P170,P176)</f>
        <v>0</v>
      </c>
      <c r="Q169" s="136">
        <f t="shared" ref="Q169" si="92">SUM(Q170,Q176)</f>
        <v>0</v>
      </c>
      <c r="R169" s="136">
        <f t="shared" ref="R169" si="93">SUM(R170,R176)</f>
        <v>0</v>
      </c>
      <c r="S169" s="136">
        <f t="shared" ref="S169" si="94">SUM(S170,S176)</f>
        <v>0</v>
      </c>
      <c r="T169" s="136">
        <f t="shared" ref="T169" si="95">SUM(T170,T176)</f>
        <v>0</v>
      </c>
      <c r="U169" s="136">
        <f t="shared" ref="U169" si="96">SUM(U170,U176)</f>
        <v>0</v>
      </c>
      <c r="V169" s="136">
        <f t="shared" ref="V169" si="97">SUM(V170,V176)</f>
        <v>0</v>
      </c>
      <c r="W169" s="136">
        <f t="shared" ref="W169" si="98">SUM(W170,W176)</f>
        <v>0</v>
      </c>
      <c r="X169" s="136">
        <f t="shared" ref="X169" si="99">SUM(X170,X176)</f>
        <v>0</v>
      </c>
      <c r="Y169" s="136">
        <f t="shared" ref="Y169" si="100">SUM(Y170,Y176)</f>
        <v>0</v>
      </c>
      <c r="Z169" s="136">
        <f t="shared" ref="Z169" si="101">SUM(Z170,Z176)</f>
        <v>0</v>
      </c>
      <c r="AA169" s="136">
        <f t="shared" ref="AA169" si="102">SUM(AA170,AA176)</f>
        <v>0</v>
      </c>
      <c r="AB169" s="136">
        <f t="shared" ref="AB169" si="103">SUM(AB170,AB176)</f>
        <v>0</v>
      </c>
      <c r="AC169" s="229"/>
      <c r="AD169" s="542"/>
      <c r="AE169" s="229"/>
      <c r="AF169" s="542"/>
      <c r="AG169" s="108"/>
    </row>
    <row r="170" spans="1:33" s="6" customFormat="1" ht="38.25" customHeight="1" thickBot="1" x14ac:dyDescent="0.5">
      <c r="A170" s="212" t="s">
        <v>220</v>
      </c>
      <c r="B170" s="245" t="s">
        <v>220</v>
      </c>
      <c r="C170" s="175" t="s">
        <v>354</v>
      </c>
      <c r="D170" s="240">
        <f t="shared" ref="D170:L170" si="104">SUM(D171:D175)</f>
        <v>0</v>
      </c>
      <c r="E170" s="136">
        <f t="shared" si="104"/>
        <v>0</v>
      </c>
      <c r="F170" s="136">
        <f t="shared" si="104"/>
        <v>0</v>
      </c>
      <c r="G170" s="136">
        <f t="shared" si="104"/>
        <v>0</v>
      </c>
      <c r="H170" s="136">
        <f t="shared" si="104"/>
        <v>0</v>
      </c>
      <c r="I170" s="136">
        <f t="shared" si="104"/>
        <v>0</v>
      </c>
      <c r="J170" s="136">
        <f t="shared" si="104"/>
        <v>0</v>
      </c>
      <c r="K170" s="136">
        <f t="shared" si="104"/>
        <v>0</v>
      </c>
      <c r="L170" s="136">
        <f t="shared" si="104"/>
        <v>0</v>
      </c>
      <c r="M170" s="136">
        <f t="shared" ref="M170:AB170" si="105">SUM(M171:M175)</f>
        <v>0</v>
      </c>
      <c r="N170" s="136">
        <f t="shared" si="105"/>
        <v>0</v>
      </c>
      <c r="O170" s="136">
        <f t="shared" si="105"/>
        <v>0</v>
      </c>
      <c r="P170" s="136">
        <f t="shared" si="105"/>
        <v>0</v>
      </c>
      <c r="Q170" s="136">
        <f t="shared" si="105"/>
        <v>0</v>
      </c>
      <c r="R170" s="136">
        <f t="shared" si="105"/>
        <v>0</v>
      </c>
      <c r="S170" s="136">
        <f t="shared" si="105"/>
        <v>0</v>
      </c>
      <c r="T170" s="136">
        <f t="shared" si="105"/>
        <v>0</v>
      </c>
      <c r="U170" s="136">
        <f t="shared" si="105"/>
        <v>0</v>
      </c>
      <c r="V170" s="136">
        <f t="shared" si="105"/>
        <v>0</v>
      </c>
      <c r="W170" s="136">
        <f t="shared" si="105"/>
        <v>0</v>
      </c>
      <c r="X170" s="136">
        <f t="shared" si="105"/>
        <v>0</v>
      </c>
      <c r="Y170" s="136">
        <f t="shared" si="105"/>
        <v>0</v>
      </c>
      <c r="Z170" s="136">
        <f t="shared" si="105"/>
        <v>0</v>
      </c>
      <c r="AA170" s="136">
        <f t="shared" si="105"/>
        <v>0</v>
      </c>
      <c r="AB170" s="136">
        <f t="shared" si="105"/>
        <v>0</v>
      </c>
      <c r="AC170" s="195"/>
      <c r="AD170" s="542"/>
      <c r="AE170" s="138"/>
      <c r="AF170" s="542"/>
      <c r="AG170" s="108">
        <v>155</v>
      </c>
    </row>
    <row r="171" spans="1:33" s="4" customFormat="1" ht="38.25" customHeight="1" thickBot="1" x14ac:dyDescent="0.5">
      <c r="A171" s="213" t="s">
        <v>79</v>
      </c>
      <c r="B171" s="150" t="s">
        <v>223</v>
      </c>
      <c r="C171" s="192" t="s">
        <v>355</v>
      </c>
      <c r="D171" s="37"/>
      <c r="E171" s="28"/>
      <c r="F171" s="37"/>
      <c r="G171" s="28"/>
      <c r="H171" s="37"/>
      <c r="I171" s="28"/>
      <c r="J171" s="37"/>
      <c r="K171" s="28"/>
      <c r="L171" s="28"/>
      <c r="M171" s="29"/>
      <c r="N171" s="28"/>
      <c r="O171" s="29"/>
      <c r="P171" s="28"/>
      <c r="Q171" s="29"/>
      <c r="R171" s="28"/>
      <c r="S171" s="29"/>
      <c r="T171" s="28"/>
      <c r="U171" s="29"/>
      <c r="V171" s="28"/>
      <c r="W171" s="29"/>
      <c r="X171" s="28"/>
      <c r="Y171" s="29"/>
      <c r="Z171" s="28"/>
      <c r="AA171" s="29"/>
      <c r="AB171" s="106">
        <f t="shared" ref="AB171:AB174" si="106">SUM(D171:AA171)</f>
        <v>0</v>
      </c>
      <c r="AC171" s="249"/>
      <c r="AD171" s="542"/>
      <c r="AE171" s="121"/>
      <c r="AF171" s="542"/>
      <c r="AG171" s="108">
        <v>156</v>
      </c>
    </row>
    <row r="172" spans="1:33" s="4" customFormat="1" ht="38.25" customHeight="1" x14ac:dyDescent="0.45">
      <c r="A172" s="208" t="s">
        <v>77</v>
      </c>
      <c r="B172" s="148" t="s">
        <v>224</v>
      </c>
      <c r="C172" s="193" t="s">
        <v>356</v>
      </c>
      <c r="D172" s="36"/>
      <c r="E172" s="27"/>
      <c r="F172" s="36"/>
      <c r="G172" s="27"/>
      <c r="H172" s="36"/>
      <c r="I172" s="27"/>
      <c r="J172" s="36"/>
      <c r="K172" s="27"/>
      <c r="L172" s="25"/>
      <c r="M172" s="28"/>
      <c r="N172" s="25"/>
      <c r="O172" s="28"/>
      <c r="P172" s="25"/>
      <c r="Q172" s="28"/>
      <c r="R172" s="25"/>
      <c r="S172" s="28"/>
      <c r="T172" s="25"/>
      <c r="U172" s="28"/>
      <c r="V172" s="25"/>
      <c r="W172" s="28"/>
      <c r="X172" s="25"/>
      <c r="Y172" s="28"/>
      <c r="Z172" s="25"/>
      <c r="AA172" s="28"/>
      <c r="AB172" s="100">
        <f t="shared" si="106"/>
        <v>0</v>
      </c>
      <c r="AC172" s="123"/>
      <c r="AD172" s="542"/>
      <c r="AE172" s="121"/>
      <c r="AF172" s="542"/>
      <c r="AG172" s="108">
        <v>157</v>
      </c>
    </row>
    <row r="173" spans="1:33" s="4" customFormat="1" ht="38.25" customHeight="1" x14ac:dyDescent="0.45">
      <c r="A173" s="208" t="s">
        <v>167</v>
      </c>
      <c r="B173" s="148" t="s">
        <v>225</v>
      </c>
      <c r="C173" s="193" t="s">
        <v>357</v>
      </c>
      <c r="D173" s="36"/>
      <c r="E173" s="27"/>
      <c r="F173" s="36"/>
      <c r="G173" s="27"/>
      <c r="H173" s="36"/>
      <c r="I173" s="27"/>
      <c r="J173" s="36"/>
      <c r="K173" s="27"/>
      <c r="L173" s="25"/>
      <c r="M173" s="25"/>
      <c r="N173" s="25"/>
      <c r="O173" s="25"/>
      <c r="P173" s="25"/>
      <c r="Q173" s="25"/>
      <c r="R173" s="25"/>
      <c r="S173" s="25"/>
      <c r="T173" s="25"/>
      <c r="U173" s="25"/>
      <c r="V173" s="25"/>
      <c r="W173" s="25"/>
      <c r="X173" s="25"/>
      <c r="Y173" s="25"/>
      <c r="Z173" s="25"/>
      <c r="AA173" s="25"/>
      <c r="AB173" s="100">
        <f t="shared" si="106"/>
        <v>0</v>
      </c>
      <c r="AC173" s="123"/>
      <c r="AD173" s="542"/>
      <c r="AE173" s="121"/>
      <c r="AF173" s="542"/>
      <c r="AG173" s="108">
        <v>159</v>
      </c>
    </row>
    <row r="174" spans="1:33" s="4" customFormat="1" ht="38.25" customHeight="1" thickBot="1" x14ac:dyDescent="0.5">
      <c r="A174" s="208" t="s">
        <v>76</v>
      </c>
      <c r="B174" s="148" t="s">
        <v>226</v>
      </c>
      <c r="C174" s="193" t="s">
        <v>358</v>
      </c>
      <c r="D174" s="36"/>
      <c r="E174" s="27"/>
      <c r="F174" s="36"/>
      <c r="G174" s="27"/>
      <c r="H174" s="36"/>
      <c r="I174" s="27"/>
      <c r="J174" s="36"/>
      <c r="K174" s="27"/>
      <c r="L174" s="25"/>
      <c r="M174" s="25"/>
      <c r="N174" s="25"/>
      <c r="O174" s="25"/>
      <c r="P174" s="25"/>
      <c r="Q174" s="25"/>
      <c r="R174" s="25"/>
      <c r="S174" s="25"/>
      <c r="T174" s="25"/>
      <c r="U174" s="25"/>
      <c r="V174" s="25"/>
      <c r="W174" s="25"/>
      <c r="X174" s="25"/>
      <c r="Y174" s="25"/>
      <c r="Z174" s="25"/>
      <c r="AA174" s="25"/>
      <c r="AB174" s="101">
        <f t="shared" si="106"/>
        <v>0</v>
      </c>
      <c r="AC174" s="250"/>
      <c r="AD174" s="542"/>
      <c r="AE174" s="121"/>
      <c r="AF174" s="542"/>
      <c r="AG174" s="108">
        <v>160</v>
      </c>
    </row>
    <row r="175" spans="1:33" s="4" customFormat="1" ht="38.25" customHeight="1" thickBot="1" x14ac:dyDescent="0.5">
      <c r="A175" s="214" t="s">
        <v>435</v>
      </c>
      <c r="B175" s="149" t="s">
        <v>227</v>
      </c>
      <c r="C175" s="198" t="s">
        <v>359</v>
      </c>
      <c r="D175" s="97"/>
      <c r="E175" s="98"/>
      <c r="F175" s="97"/>
      <c r="G175" s="98"/>
      <c r="H175" s="97"/>
      <c r="I175" s="98"/>
      <c r="J175" s="97"/>
      <c r="K175" s="98"/>
      <c r="L175" s="98"/>
      <c r="M175" s="98"/>
      <c r="N175" s="98"/>
      <c r="O175" s="98"/>
      <c r="P175" s="98"/>
      <c r="Q175" s="98"/>
      <c r="R175" s="98"/>
      <c r="S175" s="98"/>
      <c r="T175" s="98"/>
      <c r="U175" s="98"/>
      <c r="V175" s="98"/>
      <c r="W175" s="98"/>
      <c r="X175" s="98"/>
      <c r="Y175" s="98"/>
      <c r="Z175" s="98"/>
      <c r="AA175" s="227"/>
      <c r="AB175" s="228"/>
      <c r="AC175" s="123"/>
      <c r="AD175" s="542"/>
      <c r="AE175" s="121"/>
      <c r="AF175" s="542"/>
      <c r="AG175" s="108">
        <v>161</v>
      </c>
    </row>
    <row r="176" spans="1:33" s="6" customFormat="1" ht="38.25" customHeight="1" thickBot="1" x14ac:dyDescent="0.5">
      <c r="A176" s="212" t="s">
        <v>221</v>
      </c>
      <c r="B176" s="245" t="s">
        <v>221</v>
      </c>
      <c r="C176" s="175" t="s">
        <v>360</v>
      </c>
      <c r="D176" s="240">
        <f t="shared" ref="D176:L176" si="107">SUM(D177:D181)</f>
        <v>0</v>
      </c>
      <c r="E176" s="136">
        <f t="shared" si="107"/>
        <v>0</v>
      </c>
      <c r="F176" s="136">
        <f t="shared" si="107"/>
        <v>0</v>
      </c>
      <c r="G176" s="136">
        <f t="shared" si="107"/>
        <v>0</v>
      </c>
      <c r="H176" s="136">
        <f t="shared" si="107"/>
        <v>0</v>
      </c>
      <c r="I176" s="136">
        <f t="shared" si="107"/>
        <v>0</v>
      </c>
      <c r="J176" s="136">
        <f t="shared" si="107"/>
        <v>0</v>
      </c>
      <c r="K176" s="136">
        <f t="shared" si="107"/>
        <v>0</v>
      </c>
      <c r="L176" s="136">
        <f t="shared" si="107"/>
        <v>0</v>
      </c>
      <c r="M176" s="136">
        <f t="shared" ref="M176:AA176" si="108">SUM(M177:M181)</f>
        <v>0</v>
      </c>
      <c r="N176" s="136">
        <f t="shared" si="108"/>
        <v>0</v>
      </c>
      <c r="O176" s="136">
        <f t="shared" si="108"/>
        <v>0</v>
      </c>
      <c r="P176" s="136">
        <f t="shared" si="108"/>
        <v>0</v>
      </c>
      <c r="Q176" s="136">
        <f t="shared" si="108"/>
        <v>0</v>
      </c>
      <c r="R176" s="136">
        <f t="shared" si="108"/>
        <v>0</v>
      </c>
      <c r="S176" s="136">
        <f t="shared" si="108"/>
        <v>0</v>
      </c>
      <c r="T176" s="136">
        <f t="shared" si="108"/>
        <v>0</v>
      </c>
      <c r="U176" s="136">
        <f t="shared" si="108"/>
        <v>0</v>
      </c>
      <c r="V176" s="136">
        <f t="shared" si="108"/>
        <v>0</v>
      </c>
      <c r="W176" s="136">
        <f t="shared" si="108"/>
        <v>0</v>
      </c>
      <c r="X176" s="136">
        <f t="shared" si="108"/>
        <v>0</v>
      </c>
      <c r="Y176" s="136">
        <f t="shared" si="108"/>
        <v>0</v>
      </c>
      <c r="Z176" s="136">
        <f t="shared" si="108"/>
        <v>0</v>
      </c>
      <c r="AA176" s="136">
        <f t="shared" si="108"/>
        <v>0</v>
      </c>
      <c r="AB176" s="136">
        <f>SUM(AB177:AB181)</f>
        <v>0</v>
      </c>
      <c r="AC176" s="195"/>
      <c r="AD176" s="542"/>
      <c r="AE176" s="138"/>
      <c r="AF176" s="542"/>
      <c r="AG176" s="108">
        <v>155</v>
      </c>
    </row>
    <row r="177" spans="1:33" s="4" customFormat="1" ht="38.25" customHeight="1" thickBot="1" x14ac:dyDescent="0.5">
      <c r="A177" s="213" t="s">
        <v>79</v>
      </c>
      <c r="B177" s="150" t="s">
        <v>228</v>
      </c>
      <c r="C177" s="193" t="s">
        <v>361</v>
      </c>
      <c r="D177" s="37"/>
      <c r="E177" s="28"/>
      <c r="F177" s="37"/>
      <c r="G177" s="28"/>
      <c r="H177" s="37"/>
      <c r="I177" s="28"/>
      <c r="J177" s="37"/>
      <c r="K177" s="28"/>
      <c r="L177" s="28"/>
      <c r="M177" s="29"/>
      <c r="N177" s="28"/>
      <c r="O177" s="29"/>
      <c r="P177" s="28"/>
      <c r="Q177" s="29"/>
      <c r="R177" s="28"/>
      <c r="S177" s="29"/>
      <c r="T177" s="28"/>
      <c r="U177" s="29"/>
      <c r="V177" s="28"/>
      <c r="W177" s="29"/>
      <c r="X177" s="28"/>
      <c r="Y177" s="29"/>
      <c r="Z177" s="28"/>
      <c r="AA177" s="29"/>
      <c r="AB177" s="106">
        <f t="shared" ref="AB177:AB180" si="109">SUM(D177:AA177)</f>
        <v>0</v>
      </c>
      <c r="AC177" s="249"/>
      <c r="AD177" s="542"/>
      <c r="AE177" s="121"/>
      <c r="AF177" s="542"/>
      <c r="AG177" s="108">
        <v>156</v>
      </c>
    </row>
    <row r="178" spans="1:33" s="4" customFormat="1" ht="38.25" customHeight="1" x14ac:dyDescent="0.45">
      <c r="A178" s="208" t="s">
        <v>77</v>
      </c>
      <c r="B178" s="148" t="s">
        <v>229</v>
      </c>
      <c r="C178" s="193" t="s">
        <v>362</v>
      </c>
      <c r="D178" s="36"/>
      <c r="E178" s="27"/>
      <c r="F178" s="36"/>
      <c r="G178" s="27"/>
      <c r="H178" s="36"/>
      <c r="I178" s="27"/>
      <c r="J178" s="36"/>
      <c r="K178" s="27"/>
      <c r="L178" s="25"/>
      <c r="M178" s="28"/>
      <c r="N178" s="25"/>
      <c r="O178" s="28"/>
      <c r="P178" s="25"/>
      <c r="Q178" s="28"/>
      <c r="R178" s="25"/>
      <c r="S178" s="28"/>
      <c r="T178" s="25"/>
      <c r="U178" s="28"/>
      <c r="V178" s="25"/>
      <c r="W178" s="28"/>
      <c r="X178" s="25"/>
      <c r="Y178" s="28"/>
      <c r="Z178" s="25"/>
      <c r="AA178" s="28"/>
      <c r="AB178" s="100">
        <f t="shared" si="109"/>
        <v>0</v>
      </c>
      <c r="AC178" s="123"/>
      <c r="AD178" s="542"/>
      <c r="AE178" s="121"/>
      <c r="AF178" s="542"/>
      <c r="AG178" s="108">
        <v>157</v>
      </c>
    </row>
    <row r="179" spans="1:33" s="4" customFormat="1" ht="38.25" customHeight="1" x14ac:dyDescent="0.45">
      <c r="A179" s="208" t="s">
        <v>167</v>
      </c>
      <c r="B179" s="148" t="s">
        <v>230</v>
      </c>
      <c r="C179" s="193" t="s">
        <v>363</v>
      </c>
      <c r="D179" s="36"/>
      <c r="E179" s="27"/>
      <c r="F179" s="36"/>
      <c r="G179" s="27"/>
      <c r="H179" s="36"/>
      <c r="I179" s="27"/>
      <c r="J179" s="36"/>
      <c r="K179" s="27"/>
      <c r="L179" s="25"/>
      <c r="M179" s="25"/>
      <c r="N179" s="25"/>
      <c r="O179" s="25"/>
      <c r="P179" s="25"/>
      <c r="Q179" s="25"/>
      <c r="R179" s="25"/>
      <c r="S179" s="25"/>
      <c r="T179" s="25"/>
      <c r="U179" s="25"/>
      <c r="V179" s="25"/>
      <c r="W179" s="25"/>
      <c r="X179" s="25"/>
      <c r="Y179" s="25"/>
      <c r="Z179" s="25"/>
      <c r="AA179" s="25"/>
      <c r="AB179" s="100">
        <f t="shared" si="109"/>
        <v>0</v>
      </c>
      <c r="AC179" s="123"/>
      <c r="AD179" s="542"/>
      <c r="AE179" s="121"/>
      <c r="AF179" s="542"/>
      <c r="AG179" s="108">
        <v>159</v>
      </c>
    </row>
    <row r="180" spans="1:33" s="4" customFormat="1" ht="38.25" customHeight="1" thickBot="1" x14ac:dyDescent="0.5">
      <c r="A180" s="208" t="s">
        <v>76</v>
      </c>
      <c r="B180" s="148" t="s">
        <v>231</v>
      </c>
      <c r="C180" s="193" t="s">
        <v>364</v>
      </c>
      <c r="D180" s="36"/>
      <c r="E180" s="27"/>
      <c r="F180" s="36"/>
      <c r="G180" s="27"/>
      <c r="H180" s="36"/>
      <c r="I180" s="27"/>
      <c r="J180" s="36"/>
      <c r="K180" s="27"/>
      <c r="L180" s="25"/>
      <c r="M180" s="25"/>
      <c r="N180" s="25"/>
      <c r="O180" s="25"/>
      <c r="P180" s="25"/>
      <c r="Q180" s="25"/>
      <c r="R180" s="25"/>
      <c r="S180" s="25"/>
      <c r="T180" s="25"/>
      <c r="U180" s="25"/>
      <c r="V180" s="25"/>
      <c r="W180" s="25"/>
      <c r="X180" s="25"/>
      <c r="Y180" s="25"/>
      <c r="Z180" s="25"/>
      <c r="AA180" s="25"/>
      <c r="AB180" s="101">
        <f t="shared" si="109"/>
        <v>0</v>
      </c>
      <c r="AC180" s="250"/>
      <c r="AD180" s="542"/>
      <c r="AE180" s="121"/>
      <c r="AF180" s="542"/>
      <c r="AG180" s="108">
        <v>160</v>
      </c>
    </row>
    <row r="181" spans="1:33" s="4" customFormat="1" ht="38.25" customHeight="1" thickBot="1" x14ac:dyDescent="0.5">
      <c r="A181" s="253" t="s">
        <v>435</v>
      </c>
      <c r="B181" s="151" t="s">
        <v>232</v>
      </c>
      <c r="C181" s="193" t="s">
        <v>365</v>
      </c>
      <c r="D181" s="95"/>
      <c r="E181" s="96"/>
      <c r="F181" s="95"/>
      <c r="G181" s="96"/>
      <c r="H181" s="95"/>
      <c r="I181" s="96"/>
      <c r="J181" s="95"/>
      <c r="K181" s="96"/>
      <c r="L181" s="96"/>
      <c r="M181" s="96"/>
      <c r="N181" s="96"/>
      <c r="O181" s="96"/>
      <c r="P181" s="96"/>
      <c r="Q181" s="96"/>
      <c r="R181" s="96"/>
      <c r="S181" s="96"/>
      <c r="T181" s="96"/>
      <c r="U181" s="96"/>
      <c r="V181" s="96"/>
      <c r="W181" s="96"/>
      <c r="X181" s="96"/>
      <c r="Y181" s="96"/>
      <c r="Z181" s="96"/>
      <c r="AA181" s="199"/>
      <c r="AB181" s="254"/>
      <c r="AC181" s="255"/>
      <c r="AD181" s="542"/>
      <c r="AE181" s="256"/>
      <c r="AF181" s="543"/>
      <c r="AG181" s="108">
        <v>161</v>
      </c>
    </row>
    <row r="182" spans="1:33" s="4" customFormat="1" ht="38.25" customHeight="1" thickBot="1" x14ac:dyDescent="0.5">
      <c r="A182" s="618" t="s">
        <v>243</v>
      </c>
      <c r="B182" s="619"/>
      <c r="C182" s="619"/>
      <c r="D182" s="619"/>
      <c r="E182" s="619"/>
      <c r="F182" s="619"/>
      <c r="G182" s="619"/>
      <c r="H182" s="619"/>
      <c r="I182" s="619"/>
      <c r="J182" s="619"/>
      <c r="K182" s="619"/>
      <c r="L182" s="619"/>
      <c r="M182" s="619"/>
      <c r="N182" s="619"/>
      <c r="O182" s="619"/>
      <c r="P182" s="619"/>
      <c r="Q182" s="619"/>
      <c r="R182" s="619"/>
      <c r="S182" s="619"/>
      <c r="T182" s="619"/>
      <c r="U182" s="619"/>
      <c r="V182" s="619"/>
      <c r="W182" s="619"/>
      <c r="X182" s="619"/>
      <c r="Y182" s="619"/>
      <c r="Z182" s="619"/>
      <c r="AA182" s="619"/>
      <c r="AB182" s="619"/>
      <c r="AC182" s="619"/>
      <c r="AD182" s="619"/>
      <c r="AE182" s="619"/>
      <c r="AF182" s="631"/>
      <c r="AG182" s="252">
        <v>93</v>
      </c>
    </row>
    <row r="183" spans="1:33" s="4" customFormat="1" ht="38.25" customHeight="1" thickBot="1" x14ac:dyDescent="0.5">
      <c r="A183" s="636" t="s">
        <v>244</v>
      </c>
      <c r="B183" s="476"/>
      <c r="C183" s="476"/>
      <c r="D183" s="476"/>
      <c r="E183" s="476"/>
      <c r="F183" s="476"/>
      <c r="G183" s="476"/>
      <c r="H183" s="476"/>
      <c r="I183" s="476"/>
      <c r="J183" s="476"/>
      <c r="K183" s="476"/>
      <c r="L183" s="476"/>
      <c r="M183" s="476"/>
      <c r="N183" s="476"/>
      <c r="O183" s="476"/>
      <c r="P183" s="476"/>
      <c r="Q183" s="476"/>
      <c r="R183" s="476"/>
      <c r="S183" s="476"/>
      <c r="T183" s="476"/>
      <c r="U183" s="476"/>
      <c r="V183" s="476"/>
      <c r="W183" s="476"/>
      <c r="X183" s="476"/>
      <c r="Y183" s="476"/>
      <c r="Z183" s="476"/>
      <c r="AA183" s="476"/>
      <c r="AB183" s="476"/>
      <c r="AC183" s="476"/>
      <c r="AD183" s="476"/>
      <c r="AE183" s="476"/>
      <c r="AF183" s="637"/>
      <c r="AG183" s="108">
        <v>93</v>
      </c>
    </row>
    <row r="184" spans="1:33" s="4" customFormat="1" ht="30.75" hidden="1" customHeight="1" thickBot="1" x14ac:dyDescent="0.5">
      <c r="A184" s="484" t="s">
        <v>17</v>
      </c>
      <c r="B184" s="486" t="s">
        <v>25</v>
      </c>
      <c r="C184" s="488" t="s">
        <v>24</v>
      </c>
      <c r="D184" s="483" t="s">
        <v>0</v>
      </c>
      <c r="E184" s="483"/>
      <c r="F184" s="483" t="s">
        <v>1</v>
      </c>
      <c r="G184" s="483"/>
      <c r="H184" s="483" t="s">
        <v>2</v>
      </c>
      <c r="I184" s="483"/>
      <c r="J184" s="483" t="s">
        <v>3</v>
      </c>
      <c r="K184" s="483"/>
      <c r="L184" s="489" t="s">
        <v>4</v>
      </c>
      <c r="M184" s="490"/>
      <c r="N184" s="489" t="s">
        <v>5</v>
      </c>
      <c r="O184" s="490"/>
      <c r="P184" s="489" t="s">
        <v>6</v>
      </c>
      <c r="Q184" s="490"/>
      <c r="R184" s="489" t="s">
        <v>7</v>
      </c>
      <c r="S184" s="490"/>
      <c r="T184" s="489" t="s">
        <v>8</v>
      </c>
      <c r="U184" s="490"/>
      <c r="V184" s="489" t="s">
        <v>14</v>
      </c>
      <c r="W184" s="490"/>
      <c r="X184" s="489" t="s">
        <v>15</v>
      </c>
      <c r="Y184" s="490"/>
      <c r="Z184" s="489" t="s">
        <v>9</v>
      </c>
      <c r="AA184" s="490"/>
      <c r="AB184" s="628" t="s">
        <v>12</v>
      </c>
      <c r="AC184" s="629" t="s">
        <v>26</v>
      </c>
      <c r="AD184" s="113"/>
      <c r="AE184" s="627" t="s">
        <v>32</v>
      </c>
      <c r="AF184" s="114"/>
      <c r="AG184" s="108">
        <v>94</v>
      </c>
    </row>
    <row r="185" spans="1:33" s="4" customFormat="1" ht="30.75" hidden="1" customHeight="1" thickBot="1" x14ac:dyDescent="0.5">
      <c r="A185" s="485"/>
      <c r="B185" s="487"/>
      <c r="C185" s="488"/>
      <c r="D185" s="12" t="s">
        <v>10</v>
      </c>
      <c r="E185" s="12" t="s">
        <v>11</v>
      </c>
      <c r="F185" s="12" t="s">
        <v>10</v>
      </c>
      <c r="G185" s="12" t="s">
        <v>11</v>
      </c>
      <c r="H185" s="12" t="s">
        <v>10</v>
      </c>
      <c r="I185" s="12" t="s">
        <v>11</v>
      </c>
      <c r="J185" s="12" t="s">
        <v>10</v>
      </c>
      <c r="K185" s="12" t="s">
        <v>11</v>
      </c>
      <c r="L185" s="12" t="s">
        <v>10</v>
      </c>
      <c r="M185" s="12" t="s">
        <v>11</v>
      </c>
      <c r="N185" s="12" t="s">
        <v>10</v>
      </c>
      <c r="O185" s="12" t="s">
        <v>11</v>
      </c>
      <c r="P185" s="12" t="s">
        <v>10</v>
      </c>
      <c r="Q185" s="12" t="s">
        <v>11</v>
      </c>
      <c r="R185" s="12" t="s">
        <v>10</v>
      </c>
      <c r="S185" s="12" t="s">
        <v>11</v>
      </c>
      <c r="T185" s="12" t="s">
        <v>10</v>
      </c>
      <c r="U185" s="12" t="s">
        <v>11</v>
      </c>
      <c r="V185" s="12" t="s">
        <v>10</v>
      </c>
      <c r="W185" s="12" t="s">
        <v>11</v>
      </c>
      <c r="X185" s="12" t="s">
        <v>10</v>
      </c>
      <c r="Y185" s="12" t="s">
        <v>11</v>
      </c>
      <c r="Z185" s="12" t="s">
        <v>10</v>
      </c>
      <c r="AA185" s="12" t="s">
        <v>11</v>
      </c>
      <c r="AB185" s="471"/>
      <c r="AC185" s="625"/>
      <c r="AD185" s="113"/>
      <c r="AE185" s="464"/>
      <c r="AF185" s="114"/>
      <c r="AG185" s="108">
        <v>95</v>
      </c>
    </row>
    <row r="186" spans="1:33" s="4" customFormat="1" ht="38.25" customHeight="1" thickBot="1" x14ac:dyDescent="0.5">
      <c r="A186" s="210" t="s">
        <v>121</v>
      </c>
      <c r="B186" s="245" t="s">
        <v>124</v>
      </c>
      <c r="C186" s="248" t="s">
        <v>366</v>
      </c>
      <c r="D186" s="246">
        <f t="shared" ref="D186:K186" si="110">SUM(D187:D189)</f>
        <v>0</v>
      </c>
      <c r="E186" s="132">
        <f t="shared" si="110"/>
        <v>0</v>
      </c>
      <c r="F186" s="132">
        <f t="shared" si="110"/>
        <v>0</v>
      </c>
      <c r="G186" s="132">
        <f t="shared" si="110"/>
        <v>0</v>
      </c>
      <c r="H186" s="132">
        <f t="shared" si="110"/>
        <v>0</v>
      </c>
      <c r="I186" s="132">
        <f t="shared" si="110"/>
        <v>0</v>
      </c>
      <c r="J186" s="132">
        <f t="shared" si="110"/>
        <v>0</v>
      </c>
      <c r="K186" s="132">
        <f t="shared" si="110"/>
        <v>0</v>
      </c>
      <c r="L186" s="132">
        <f>SUM(L190:L201)</f>
        <v>0</v>
      </c>
      <c r="M186" s="132">
        <f t="shared" ref="M186:AB186" si="111">SUM(M190:M201)</f>
        <v>0</v>
      </c>
      <c r="N186" s="132">
        <f t="shared" si="111"/>
        <v>0</v>
      </c>
      <c r="O186" s="132">
        <f t="shared" si="111"/>
        <v>0</v>
      </c>
      <c r="P186" s="132">
        <f t="shared" si="111"/>
        <v>0</v>
      </c>
      <c r="Q186" s="132">
        <f t="shared" si="111"/>
        <v>0</v>
      </c>
      <c r="R186" s="132">
        <f t="shared" si="111"/>
        <v>0</v>
      </c>
      <c r="S186" s="132">
        <f t="shared" si="111"/>
        <v>0</v>
      </c>
      <c r="T186" s="132">
        <f t="shared" si="111"/>
        <v>0</v>
      </c>
      <c r="U186" s="132">
        <f t="shared" si="111"/>
        <v>0</v>
      </c>
      <c r="V186" s="132">
        <f t="shared" si="111"/>
        <v>0</v>
      </c>
      <c r="W186" s="132">
        <f t="shared" si="111"/>
        <v>0</v>
      </c>
      <c r="X186" s="132">
        <f t="shared" si="111"/>
        <v>0</v>
      </c>
      <c r="Y186" s="132">
        <f t="shared" si="111"/>
        <v>0</v>
      </c>
      <c r="Z186" s="132">
        <f t="shared" si="111"/>
        <v>0</v>
      </c>
      <c r="AA186" s="132">
        <f t="shared" si="111"/>
        <v>0</v>
      </c>
      <c r="AB186" s="132">
        <f t="shared" si="111"/>
        <v>0</v>
      </c>
      <c r="AC186" s="124" t="str">
        <f>CONCATENATE(IF(D186&lt;&gt;(D187+D188+D189)," * sum of ARV Dispensing Quantity  "&amp;$D$19&amp;" "&amp;$D$20&amp;" is not equal to   TX_CURR_VERIFY ALL"&amp;CHAR(10),""),IF(E186&lt;&gt;(E187+E188+E189)," * sum of ARV Dispensing Quantity  "&amp;$D$19&amp;" "&amp;$E$20&amp;" is not equal to   TX_CURR_VERIFY ALL"&amp;CHAR(10),""),IF(F186&lt;&gt;(F187+F188+F189)," * sum of ARV Dispensing Quantity  "&amp;$F$19&amp;" "&amp;$F$20&amp;" is not equal to   TX_CURR_VERIFY ALL"&amp;CHAR(10),""),IF(G186&lt;&gt;(G187+G188+G189)," * sum of ARV Dispensing Quantity  "&amp;$F$19&amp;" "&amp;$G$20&amp;" is not equal to   TX_CURR_VERIFY ALL"&amp;CHAR(10),""),IF(H186&lt;&gt;(H187+H188+H189)," * sum of ARV Dispensing Quantity  "&amp;$H$19&amp;" "&amp;$H$20&amp;" is not equal to   TX_CURR_VERIFY ALL"&amp;CHAR(10),""),IF(I186&lt;&gt;(I187+I188+I189)," * sum of ARV Dispensing Quantity  "&amp;$H$19&amp;" "&amp;$I$20&amp;" is not equal to   TX_CURR_VERIFY ALL"&amp;CHAR(10),""),IF(J186&lt;&gt;(J187+J188+J189)," * sum of ARV Dispensing Quantity  "&amp;$J$19&amp;" "&amp;$J$20&amp;" is not equal to   TX_CURR_VERIFY ALL"&amp;CHAR(10),""),IF(K186&lt;&gt;(K187+K188+K189)," * sum of ARV Dispensing Quantity  "&amp;$J$19&amp;" "&amp;$K$20&amp;" is not equal to   TX_CURR_VERIFY ALL"&amp;CHAR(10),""),IF(L186&lt;&gt;(L187+L188+L189)," * sum of ARV Dispensing Quantity  "&amp;$L$19&amp;" "&amp;$L$20&amp;" is not equal to   TX_CURR_VERIFY ALL"&amp;CHAR(10),""),IF(M186&lt;&gt;(M187+M188+M189)," * sum of ARV Dispensing Quantity  "&amp;$L$19&amp;" "&amp;$M$20&amp;" is not equal to   TX_CURR_VERIFY ALL"&amp;CHAR(10),""),IF(N186&lt;&gt;(N187+N188+N189)," * sum of ARV Dispensing Quantity  "&amp;$N$19&amp;" "&amp;$N$20&amp;" is not equal to   TX_CURR_VERIFY ALL"&amp;CHAR(10),""),IF(O186&lt;&gt;(O187+O188+O189)," * sum of ARV Dispensing Quantity  "&amp;$N$19&amp;" "&amp;$O$20&amp;" is not equal to   TX_CURR_VERIFY ALL"&amp;CHAR(10),""),IF(P186&lt;&gt;(P187+P188+P189)," * sum of ARV Dispensing Quantity  "&amp;$P$19&amp;" "&amp;$P$20&amp;" is not equal to   TX_CURR_VERIFY ALL"&amp;CHAR(10),""),IF(Q186&lt;&gt;(Q187+Q188+Q189)," * sum of ARV Dispensing Quantity  "&amp;$P$19&amp;" "&amp;$Q$20&amp;" is not equal to   TX_CURR_VERIFY ALL"&amp;CHAR(10),""),IF(R186&lt;&gt;(R187+R188+R189)," * sum of ARV Dispensing Quantity  "&amp;$R$19&amp;" "&amp;$R$20&amp;" is not equal to   TX_CURR_VERIFY ALL"&amp;CHAR(10),""),IF(S186&lt;&gt;(S187+S188+S189)," * sum of ARV Dispensing Quantity  "&amp;$R$19&amp;" "&amp;$S$20&amp;" is not equal to   TX_CURR_VERIFY ALL"&amp;CHAR(10),""),IF(T186&lt;&gt;(T187+T188+T189)," * sum of ARV Dispensing Quantity  "&amp;$T$19&amp;" "&amp;$T$20&amp;" is not equal to   TX_CURR_VERIFY ALL"&amp;CHAR(10),""),IF(U186&lt;&gt;(U187+U188+U189)," * sum of ARV Dispensing Quantity  "&amp;$T$19&amp;" "&amp;$U$20&amp;" is not equal to   TX_CURR_VERIFY ALL"&amp;CHAR(10),""),IF(V186&lt;&gt;(V187+V188+V189)," * sum of ARV Dispensing Quantity  "&amp;$V$19&amp;" "&amp;$V$20&amp;" is not equal to   TX_CURR_VERIFY ALL"&amp;CHAR(10),""),IF(W186&lt;&gt;(W187+W188+W189)," * sum of ARV Dispensing Quantity  "&amp;$V$19&amp;" "&amp;$W$20&amp;" is not equal to   TX_CURR_VERIFY ALL"&amp;CHAR(10),""),IF(X186&lt;&gt;(X187+X188+X189)," * sum of ARV Dispensing Quantity  "&amp;$X$19&amp;" "&amp;$X$20&amp;" is not equal to   TX_CURR_VERIFY ALL"&amp;CHAR(10),""),IF(Y186&lt;&gt;(Y187+Y188+Y189)," * sum of ARV Dispensing Quantity  "&amp;$X$19&amp;" "&amp;$Y$20&amp;" is not equal to   TX_CURR_VERIFY ALL"&amp;CHAR(10),""),IF(Z186&lt;&gt;(Z187+Z188+Z189)," * sum of ARV Dispensing Quantity  "&amp;$Z$19&amp;" "&amp;$Z$20&amp;" is not equal to   TX_CURR_VERIFY ALL"&amp;CHAR(10),""),IF(AA186&lt;&gt;(AA187+AA188+AA189)," * sum of ARV Dispensing Quantity  "&amp;$Z$19&amp;" "&amp;$AA$20&amp;" is not equal to   TX_CURR_VERIFY ALL"&amp;CHAR(10),""))</f>
        <v/>
      </c>
      <c r="AD186" s="461" t="str">
        <f>CONCATENATE(AC186,AC187,AC188,AC189,AC190,AC191,AC192,AC193,AC194,AC195,AC196,AC197,AC198,AC199,AC200,AC201)</f>
        <v/>
      </c>
      <c r="AE186" s="121"/>
      <c r="AF186" s="459" t="str">
        <f>CONCATENATE(AE186,AE187,AE188,AE189,AE190,AE191,AE192,AE193,AE194,AE195,AE196,AE197,AE198,AE199,AE200,AE201)</f>
        <v/>
      </c>
      <c r="AG186" s="108">
        <v>96</v>
      </c>
    </row>
    <row r="187" spans="1:33" s="4" customFormat="1" ht="38.25" customHeight="1" thickBot="1" x14ac:dyDescent="0.5">
      <c r="A187" s="537" t="s">
        <v>122</v>
      </c>
      <c r="B187" s="150" t="s">
        <v>125</v>
      </c>
      <c r="C187" s="193" t="s">
        <v>367</v>
      </c>
      <c r="D187" s="36"/>
      <c r="E187" s="27"/>
      <c r="F187" s="36"/>
      <c r="G187" s="27"/>
      <c r="H187" s="36"/>
      <c r="I187" s="27"/>
      <c r="J187" s="36"/>
      <c r="K187" s="27"/>
      <c r="L187" s="26"/>
      <c r="M187" s="26"/>
      <c r="N187" s="26"/>
      <c r="O187" s="26"/>
      <c r="P187" s="26"/>
      <c r="Q187" s="26"/>
      <c r="R187" s="26"/>
      <c r="S187" s="26"/>
      <c r="T187" s="26"/>
      <c r="U187" s="26"/>
      <c r="V187" s="26"/>
      <c r="W187" s="26"/>
      <c r="X187" s="26"/>
      <c r="Y187" s="26"/>
      <c r="Z187" s="26"/>
      <c r="AA187" s="26"/>
      <c r="AB187" s="100">
        <f t="shared" ref="AB187:AB205" si="112">SUM(D187:AA187)</f>
        <v>0</v>
      </c>
      <c r="AC187" s="127"/>
      <c r="AD187" s="461"/>
      <c r="AE187" s="121"/>
      <c r="AF187" s="459"/>
      <c r="AG187" s="108">
        <v>97</v>
      </c>
    </row>
    <row r="188" spans="1:33" s="4" customFormat="1" ht="38.25" customHeight="1" x14ac:dyDescent="0.45">
      <c r="A188" s="538"/>
      <c r="B188" s="148" t="s">
        <v>126</v>
      </c>
      <c r="C188" s="193" t="s">
        <v>368</v>
      </c>
      <c r="D188" s="36"/>
      <c r="E188" s="27"/>
      <c r="F188" s="36"/>
      <c r="G188" s="27"/>
      <c r="H188" s="36"/>
      <c r="I188" s="27"/>
      <c r="J188" s="36"/>
      <c r="K188" s="27"/>
      <c r="L188" s="25"/>
      <c r="M188" s="25"/>
      <c r="N188" s="25"/>
      <c r="O188" s="25"/>
      <c r="P188" s="25"/>
      <c r="Q188" s="25"/>
      <c r="R188" s="25"/>
      <c r="S188" s="25"/>
      <c r="T188" s="25"/>
      <c r="U188" s="25"/>
      <c r="V188" s="25"/>
      <c r="W188" s="25"/>
      <c r="X188" s="25"/>
      <c r="Y188" s="25"/>
      <c r="Z188" s="25"/>
      <c r="AA188" s="25"/>
      <c r="AB188" s="100">
        <f t="shared" si="112"/>
        <v>0</v>
      </c>
      <c r="AC188" s="128"/>
      <c r="AD188" s="461"/>
      <c r="AE188" s="121"/>
      <c r="AF188" s="459"/>
      <c r="AG188" s="108">
        <v>98</v>
      </c>
    </row>
    <row r="189" spans="1:33" s="4" customFormat="1" ht="38.25" customHeight="1" thickBot="1" x14ac:dyDescent="0.5">
      <c r="A189" s="539"/>
      <c r="B189" s="149" t="s">
        <v>127</v>
      </c>
      <c r="C189" s="198" t="s">
        <v>369</v>
      </c>
      <c r="D189" s="97"/>
      <c r="E189" s="98"/>
      <c r="F189" s="97"/>
      <c r="G189" s="98"/>
      <c r="H189" s="97"/>
      <c r="I189" s="98"/>
      <c r="J189" s="97"/>
      <c r="K189" s="98"/>
      <c r="L189" s="32"/>
      <c r="M189" s="32"/>
      <c r="N189" s="32"/>
      <c r="O189" s="32"/>
      <c r="P189" s="32"/>
      <c r="Q189" s="32"/>
      <c r="R189" s="32"/>
      <c r="S189" s="32"/>
      <c r="T189" s="32"/>
      <c r="U189" s="32"/>
      <c r="V189" s="32"/>
      <c r="W189" s="32"/>
      <c r="X189" s="32"/>
      <c r="Y189" s="32"/>
      <c r="Z189" s="32"/>
      <c r="AA189" s="32"/>
      <c r="AB189" s="100">
        <f t="shared" si="112"/>
        <v>0</v>
      </c>
      <c r="AC189" s="129"/>
      <c r="AD189" s="461"/>
      <c r="AE189" s="121"/>
      <c r="AF189" s="459"/>
      <c r="AG189" s="108">
        <v>99</v>
      </c>
    </row>
    <row r="190" spans="1:33" s="4" customFormat="1" ht="38.25" customHeight="1" x14ac:dyDescent="0.45">
      <c r="A190" s="537" t="s">
        <v>128</v>
      </c>
      <c r="B190" s="147" t="s">
        <v>132</v>
      </c>
      <c r="C190" s="192" t="s">
        <v>370</v>
      </c>
      <c r="D190" s="37"/>
      <c r="E190" s="28"/>
      <c r="F190" s="37"/>
      <c r="G190" s="28"/>
      <c r="H190" s="37"/>
      <c r="I190" s="28"/>
      <c r="J190" s="37"/>
      <c r="K190" s="28"/>
      <c r="L190" s="27"/>
      <c r="M190" s="29"/>
      <c r="N190" s="27"/>
      <c r="O190" s="29"/>
      <c r="P190" s="27"/>
      <c r="Q190" s="29"/>
      <c r="R190" s="27"/>
      <c r="S190" s="29"/>
      <c r="T190" s="27"/>
      <c r="U190" s="29"/>
      <c r="V190" s="27"/>
      <c r="W190" s="29"/>
      <c r="X190" s="27"/>
      <c r="Y190" s="29"/>
      <c r="Z190" s="27"/>
      <c r="AA190" s="109"/>
      <c r="AB190" s="100">
        <f t="shared" si="112"/>
        <v>0</v>
      </c>
      <c r="AC190" s="129"/>
      <c r="AD190" s="461"/>
      <c r="AE190" s="121"/>
      <c r="AF190" s="459"/>
      <c r="AG190" s="108">
        <v>100</v>
      </c>
    </row>
    <row r="191" spans="1:33" s="4" customFormat="1" ht="38.25" customHeight="1" x14ac:dyDescent="0.45">
      <c r="A191" s="538"/>
      <c r="B191" s="148" t="s">
        <v>131</v>
      </c>
      <c r="C191" s="193" t="s">
        <v>371</v>
      </c>
      <c r="D191" s="36"/>
      <c r="E191" s="27"/>
      <c r="F191" s="36"/>
      <c r="G191" s="27"/>
      <c r="H191" s="36"/>
      <c r="I191" s="27"/>
      <c r="J191" s="36"/>
      <c r="K191" s="27"/>
      <c r="L191" s="25"/>
      <c r="M191" s="27"/>
      <c r="N191" s="25"/>
      <c r="O191" s="27"/>
      <c r="P191" s="25"/>
      <c r="Q191" s="27"/>
      <c r="R191" s="25"/>
      <c r="S191" s="27"/>
      <c r="T191" s="25"/>
      <c r="U191" s="27"/>
      <c r="V191" s="25"/>
      <c r="W191" s="27"/>
      <c r="X191" s="25"/>
      <c r="Y191" s="27"/>
      <c r="Z191" s="25"/>
      <c r="AA191" s="27"/>
      <c r="AB191" s="100">
        <f t="shared" si="112"/>
        <v>0</v>
      </c>
      <c r="AC191" s="129"/>
      <c r="AD191" s="461"/>
      <c r="AE191" s="121"/>
      <c r="AF191" s="459"/>
      <c r="AG191" s="108">
        <v>101</v>
      </c>
    </row>
    <row r="192" spans="1:33" s="4" customFormat="1" ht="38.25" customHeight="1" thickBot="1" x14ac:dyDescent="0.5">
      <c r="A192" s="538"/>
      <c r="B192" s="148" t="s">
        <v>130</v>
      </c>
      <c r="C192" s="193" t="s">
        <v>372</v>
      </c>
      <c r="D192" s="36"/>
      <c r="E192" s="27"/>
      <c r="F192" s="36"/>
      <c r="G192" s="27"/>
      <c r="H192" s="36"/>
      <c r="I192" s="27"/>
      <c r="J192" s="36"/>
      <c r="K192" s="27"/>
      <c r="L192" s="25"/>
      <c r="M192" s="25"/>
      <c r="N192" s="25"/>
      <c r="O192" s="25"/>
      <c r="P192" s="25"/>
      <c r="Q192" s="25"/>
      <c r="R192" s="25"/>
      <c r="S192" s="25"/>
      <c r="T192" s="25"/>
      <c r="U192" s="25"/>
      <c r="V192" s="25"/>
      <c r="W192" s="25"/>
      <c r="X192" s="25"/>
      <c r="Y192" s="25"/>
      <c r="Z192" s="25"/>
      <c r="AA192" s="111"/>
      <c r="AB192" s="100">
        <f t="shared" si="112"/>
        <v>0</v>
      </c>
      <c r="AC192" s="130"/>
      <c r="AD192" s="461"/>
      <c r="AE192" s="121"/>
      <c r="AF192" s="459"/>
      <c r="AG192" s="108">
        <v>102</v>
      </c>
    </row>
    <row r="193" spans="1:33" s="4" customFormat="1" ht="38.25" customHeight="1" x14ac:dyDescent="0.45">
      <c r="A193" s="538"/>
      <c r="B193" s="148" t="s">
        <v>133</v>
      </c>
      <c r="C193" s="193" t="s">
        <v>373</v>
      </c>
      <c r="D193" s="36"/>
      <c r="E193" s="27"/>
      <c r="F193" s="36"/>
      <c r="G193" s="27"/>
      <c r="H193" s="36"/>
      <c r="I193" s="27"/>
      <c r="J193" s="36"/>
      <c r="K193" s="27"/>
      <c r="L193" s="25"/>
      <c r="M193" s="25"/>
      <c r="N193" s="25"/>
      <c r="O193" s="25"/>
      <c r="P193" s="25"/>
      <c r="Q193" s="25"/>
      <c r="R193" s="25"/>
      <c r="S193" s="25"/>
      <c r="T193" s="25"/>
      <c r="U193" s="25"/>
      <c r="V193" s="25"/>
      <c r="W193" s="25"/>
      <c r="X193" s="25"/>
      <c r="Y193" s="25"/>
      <c r="Z193" s="25"/>
      <c r="AA193" s="111"/>
      <c r="AB193" s="100">
        <f t="shared" si="112"/>
        <v>0</v>
      </c>
      <c r="AC193" s="128"/>
      <c r="AD193" s="461"/>
      <c r="AE193" s="121"/>
      <c r="AF193" s="459"/>
      <c r="AG193" s="108">
        <v>103</v>
      </c>
    </row>
    <row r="194" spans="1:33" s="4" customFormat="1" ht="38.25" customHeight="1" thickBot="1" x14ac:dyDescent="0.5">
      <c r="A194" s="538"/>
      <c r="B194" s="148" t="s">
        <v>135</v>
      </c>
      <c r="C194" s="193" t="s">
        <v>374</v>
      </c>
      <c r="D194" s="36"/>
      <c r="E194" s="27"/>
      <c r="F194" s="36"/>
      <c r="G194" s="27"/>
      <c r="H194" s="36"/>
      <c r="I194" s="27"/>
      <c r="J194" s="36"/>
      <c r="K194" s="27"/>
      <c r="L194" s="25"/>
      <c r="M194" s="25"/>
      <c r="N194" s="25"/>
      <c r="O194" s="25"/>
      <c r="P194" s="25"/>
      <c r="Q194" s="25"/>
      <c r="R194" s="25"/>
      <c r="S194" s="25"/>
      <c r="T194" s="25"/>
      <c r="U194" s="25"/>
      <c r="V194" s="25"/>
      <c r="W194" s="25"/>
      <c r="X194" s="25"/>
      <c r="Y194" s="25"/>
      <c r="Z194" s="25"/>
      <c r="AA194" s="111"/>
      <c r="AB194" s="117">
        <f t="shared" si="112"/>
        <v>0</v>
      </c>
      <c r="AC194" s="129"/>
      <c r="AD194" s="461"/>
      <c r="AE194" s="121"/>
      <c r="AF194" s="459"/>
      <c r="AG194" s="108">
        <v>104</v>
      </c>
    </row>
    <row r="195" spans="1:33" s="4" customFormat="1" ht="38.25" customHeight="1" thickBot="1" x14ac:dyDescent="0.5">
      <c r="A195" s="539"/>
      <c r="B195" s="149" t="s">
        <v>134</v>
      </c>
      <c r="C195" s="198" t="s">
        <v>375</v>
      </c>
      <c r="D195" s="97"/>
      <c r="E195" s="98"/>
      <c r="F195" s="97"/>
      <c r="G195" s="98"/>
      <c r="H195" s="97"/>
      <c r="I195" s="98"/>
      <c r="J195" s="97"/>
      <c r="K195" s="98"/>
      <c r="L195" s="98"/>
      <c r="M195" s="98"/>
      <c r="N195" s="98"/>
      <c r="O195" s="98"/>
      <c r="P195" s="98"/>
      <c r="Q195" s="98"/>
      <c r="R195" s="98"/>
      <c r="S195" s="98"/>
      <c r="T195" s="98"/>
      <c r="U195" s="98"/>
      <c r="V195" s="98"/>
      <c r="W195" s="98"/>
      <c r="X195" s="98"/>
      <c r="Y195" s="98"/>
      <c r="Z195" s="98"/>
      <c r="AA195" s="227"/>
      <c r="AB195" s="228"/>
      <c r="AC195" s="129"/>
      <c r="AD195" s="461"/>
      <c r="AE195" s="121"/>
      <c r="AF195" s="459"/>
      <c r="AG195" s="108">
        <v>105</v>
      </c>
    </row>
    <row r="196" spans="1:33" s="4" customFormat="1" ht="38.25" customHeight="1" x14ac:dyDescent="0.45">
      <c r="A196" s="538" t="s">
        <v>136</v>
      </c>
      <c r="B196" s="150" t="s">
        <v>132</v>
      </c>
      <c r="C196" s="193" t="s">
        <v>376</v>
      </c>
      <c r="D196" s="36"/>
      <c r="E196" s="27"/>
      <c r="F196" s="36"/>
      <c r="G196" s="27"/>
      <c r="H196" s="36"/>
      <c r="I196" s="27"/>
      <c r="J196" s="36"/>
      <c r="K196" s="27"/>
      <c r="L196" s="27"/>
      <c r="M196" s="26"/>
      <c r="N196" s="27"/>
      <c r="O196" s="26"/>
      <c r="P196" s="27"/>
      <c r="Q196" s="26"/>
      <c r="R196" s="27"/>
      <c r="S196" s="26"/>
      <c r="T196" s="27"/>
      <c r="U196" s="26"/>
      <c r="V196" s="27"/>
      <c r="W196" s="26"/>
      <c r="X196" s="27"/>
      <c r="Y196" s="26"/>
      <c r="Z196" s="27"/>
      <c r="AA196" s="105"/>
      <c r="AB196" s="100">
        <f t="shared" si="112"/>
        <v>0</v>
      </c>
      <c r="AC196" s="129"/>
      <c r="AD196" s="461"/>
      <c r="AE196" s="121"/>
      <c r="AF196" s="459"/>
      <c r="AG196" s="108">
        <v>106</v>
      </c>
    </row>
    <row r="197" spans="1:33" s="4" customFormat="1" ht="38.25" customHeight="1" thickBot="1" x14ac:dyDescent="0.5">
      <c r="A197" s="538"/>
      <c r="B197" s="148" t="s">
        <v>131</v>
      </c>
      <c r="C197" s="193" t="s">
        <v>377</v>
      </c>
      <c r="D197" s="36"/>
      <c r="E197" s="27"/>
      <c r="F197" s="36"/>
      <c r="G197" s="27"/>
      <c r="H197" s="36"/>
      <c r="I197" s="27"/>
      <c r="J197" s="36"/>
      <c r="K197" s="27"/>
      <c r="L197" s="25"/>
      <c r="M197" s="27"/>
      <c r="N197" s="25"/>
      <c r="O197" s="27"/>
      <c r="P197" s="25"/>
      <c r="Q197" s="27"/>
      <c r="R197" s="25"/>
      <c r="S197" s="27"/>
      <c r="T197" s="25"/>
      <c r="U197" s="27"/>
      <c r="V197" s="25"/>
      <c r="W197" s="27"/>
      <c r="X197" s="25"/>
      <c r="Y197" s="27"/>
      <c r="Z197" s="25"/>
      <c r="AA197" s="27"/>
      <c r="AB197" s="100">
        <f t="shared" si="112"/>
        <v>0</v>
      </c>
      <c r="AC197" s="130"/>
      <c r="AD197" s="461"/>
      <c r="AE197" s="121"/>
      <c r="AF197" s="459"/>
      <c r="AG197" s="108">
        <v>107</v>
      </c>
    </row>
    <row r="198" spans="1:33" s="4" customFormat="1" ht="38.25" customHeight="1" x14ac:dyDescent="0.45">
      <c r="A198" s="538"/>
      <c r="B198" s="148" t="s">
        <v>130</v>
      </c>
      <c r="C198" s="193" t="s">
        <v>378</v>
      </c>
      <c r="D198" s="36"/>
      <c r="E198" s="27"/>
      <c r="F198" s="36"/>
      <c r="G198" s="27"/>
      <c r="H198" s="36"/>
      <c r="I198" s="27"/>
      <c r="J198" s="36"/>
      <c r="K198" s="27"/>
      <c r="L198" s="25"/>
      <c r="M198" s="25"/>
      <c r="N198" s="25"/>
      <c r="O198" s="25"/>
      <c r="P198" s="25"/>
      <c r="Q198" s="25"/>
      <c r="R198" s="25"/>
      <c r="S198" s="25"/>
      <c r="T198" s="25"/>
      <c r="U198" s="25"/>
      <c r="V198" s="25"/>
      <c r="W198" s="25"/>
      <c r="X198" s="25"/>
      <c r="Y198" s="25"/>
      <c r="Z198" s="25"/>
      <c r="AA198" s="103"/>
      <c r="AB198" s="100">
        <f t="shared" si="112"/>
        <v>0</v>
      </c>
      <c r="AC198" s="124"/>
      <c r="AD198" s="461"/>
      <c r="AE198" s="121"/>
      <c r="AF198" s="459"/>
      <c r="AG198" s="108">
        <v>108</v>
      </c>
    </row>
    <row r="199" spans="1:33" s="4" customFormat="1" ht="38.25" customHeight="1" x14ac:dyDescent="0.45">
      <c r="A199" s="538"/>
      <c r="B199" s="148" t="s">
        <v>133</v>
      </c>
      <c r="C199" s="193" t="s">
        <v>379</v>
      </c>
      <c r="D199" s="36"/>
      <c r="E199" s="27"/>
      <c r="F199" s="36"/>
      <c r="G199" s="27"/>
      <c r="H199" s="36"/>
      <c r="I199" s="27"/>
      <c r="J199" s="36"/>
      <c r="K199" s="27"/>
      <c r="L199" s="25"/>
      <c r="M199" s="25"/>
      <c r="N199" s="25"/>
      <c r="O199" s="25"/>
      <c r="P199" s="25"/>
      <c r="Q199" s="25"/>
      <c r="R199" s="25"/>
      <c r="S199" s="25"/>
      <c r="T199" s="25"/>
      <c r="U199" s="25"/>
      <c r="V199" s="25"/>
      <c r="W199" s="25"/>
      <c r="X199" s="25"/>
      <c r="Y199" s="25"/>
      <c r="Z199" s="25"/>
      <c r="AA199" s="103"/>
      <c r="AB199" s="100">
        <f t="shared" si="112"/>
        <v>0</v>
      </c>
      <c r="AC199" s="123"/>
      <c r="AD199" s="461"/>
      <c r="AE199" s="121"/>
      <c r="AF199" s="459"/>
      <c r="AG199" s="108">
        <v>109</v>
      </c>
    </row>
    <row r="200" spans="1:33" s="4" customFormat="1" ht="38.25" customHeight="1" thickBot="1" x14ac:dyDescent="0.5">
      <c r="A200" s="538"/>
      <c r="B200" s="148" t="s">
        <v>135</v>
      </c>
      <c r="C200" s="193" t="s">
        <v>380</v>
      </c>
      <c r="D200" s="36"/>
      <c r="E200" s="27"/>
      <c r="F200" s="36"/>
      <c r="G200" s="27"/>
      <c r="H200" s="36"/>
      <c r="I200" s="27"/>
      <c r="J200" s="36"/>
      <c r="K200" s="27"/>
      <c r="L200" s="25"/>
      <c r="M200" s="25"/>
      <c r="N200" s="25"/>
      <c r="O200" s="25"/>
      <c r="P200" s="25"/>
      <c r="Q200" s="25"/>
      <c r="R200" s="25"/>
      <c r="S200" s="25"/>
      <c r="T200" s="25"/>
      <c r="U200" s="25"/>
      <c r="V200" s="25"/>
      <c r="W200" s="25"/>
      <c r="X200" s="25"/>
      <c r="Y200" s="25"/>
      <c r="Z200" s="25"/>
      <c r="AA200" s="103"/>
      <c r="AB200" s="117">
        <f t="shared" si="112"/>
        <v>0</v>
      </c>
      <c r="AC200" s="123"/>
      <c r="AD200" s="461"/>
      <c r="AE200" s="121"/>
      <c r="AF200" s="459"/>
      <c r="AG200" s="108">
        <v>110</v>
      </c>
    </row>
    <row r="201" spans="1:33" s="4" customFormat="1" ht="38.25" customHeight="1" thickBot="1" x14ac:dyDescent="0.5">
      <c r="A201" s="540"/>
      <c r="B201" s="148" t="s">
        <v>134</v>
      </c>
      <c r="C201" s="198" t="s">
        <v>381</v>
      </c>
      <c r="D201" s="36"/>
      <c r="E201" s="27"/>
      <c r="F201" s="36"/>
      <c r="G201" s="27"/>
      <c r="H201" s="36"/>
      <c r="I201" s="27"/>
      <c r="J201" s="36"/>
      <c r="K201" s="27"/>
      <c r="L201" s="27"/>
      <c r="M201" s="27"/>
      <c r="N201" s="27"/>
      <c r="O201" s="27"/>
      <c r="P201" s="27"/>
      <c r="Q201" s="27"/>
      <c r="R201" s="27"/>
      <c r="S201" s="27"/>
      <c r="T201" s="27"/>
      <c r="U201" s="27"/>
      <c r="V201" s="27"/>
      <c r="W201" s="27"/>
      <c r="X201" s="27"/>
      <c r="Y201" s="27"/>
      <c r="Z201" s="27"/>
      <c r="AA201" s="232"/>
      <c r="AB201" s="228"/>
      <c r="AC201" s="124"/>
      <c r="AD201" s="462"/>
      <c r="AE201" s="121"/>
      <c r="AF201" s="460"/>
      <c r="AG201" s="108">
        <v>111</v>
      </c>
    </row>
    <row r="202" spans="1:33" s="4" customFormat="1" ht="38.25" customHeight="1" thickBot="1" x14ac:dyDescent="0.5">
      <c r="A202" s="474" t="s">
        <v>245</v>
      </c>
      <c r="B202" s="475"/>
      <c r="C202" s="479"/>
      <c r="D202" s="475"/>
      <c r="E202" s="475"/>
      <c r="F202" s="475"/>
      <c r="G202" s="475"/>
      <c r="H202" s="475"/>
      <c r="I202" s="475"/>
      <c r="J202" s="475"/>
      <c r="K202" s="475"/>
      <c r="L202" s="475"/>
      <c r="M202" s="475"/>
      <c r="N202" s="475"/>
      <c r="O202" s="475"/>
      <c r="P202" s="475"/>
      <c r="Q202" s="475"/>
      <c r="R202" s="475"/>
      <c r="S202" s="475"/>
      <c r="T202" s="475"/>
      <c r="U202" s="475"/>
      <c r="V202" s="475"/>
      <c r="W202" s="475"/>
      <c r="X202" s="475"/>
      <c r="Y202" s="475"/>
      <c r="Z202" s="475"/>
      <c r="AA202" s="475"/>
      <c r="AB202" s="475"/>
      <c r="AC202" s="475"/>
      <c r="AD202" s="475"/>
      <c r="AE202" s="475"/>
      <c r="AF202" s="477"/>
      <c r="AG202" s="108">
        <v>112</v>
      </c>
    </row>
    <row r="203" spans="1:33" s="4" customFormat="1" ht="38.25" customHeight="1" thickBot="1" x14ac:dyDescent="0.5">
      <c r="A203" s="211" t="s">
        <v>137</v>
      </c>
      <c r="B203" s="247" t="s">
        <v>138</v>
      </c>
      <c r="C203" s="248" t="s">
        <v>382</v>
      </c>
      <c r="D203" s="246">
        <f t="shared" ref="D203:K203" si="113">SUM(D204:D215)</f>
        <v>0</v>
      </c>
      <c r="E203" s="132">
        <f t="shared" si="113"/>
        <v>0</v>
      </c>
      <c r="F203" s="132">
        <f t="shared" si="113"/>
        <v>0</v>
      </c>
      <c r="G203" s="132">
        <f t="shared" si="113"/>
        <v>0</v>
      </c>
      <c r="H203" s="132">
        <f t="shared" si="113"/>
        <v>0</v>
      </c>
      <c r="I203" s="132">
        <f t="shared" si="113"/>
        <v>0</v>
      </c>
      <c r="J203" s="132">
        <f t="shared" si="113"/>
        <v>0</v>
      </c>
      <c r="K203" s="132">
        <f t="shared" si="113"/>
        <v>0</v>
      </c>
      <c r="L203" s="132">
        <f>SUM(L204:L215)</f>
        <v>0</v>
      </c>
      <c r="M203" s="132">
        <f t="shared" ref="M203:AB203" si="114">SUM(M204:M215)</f>
        <v>0</v>
      </c>
      <c r="N203" s="132">
        <f t="shared" si="114"/>
        <v>0</v>
      </c>
      <c r="O203" s="132">
        <f t="shared" si="114"/>
        <v>0</v>
      </c>
      <c r="P203" s="132">
        <f t="shared" si="114"/>
        <v>0</v>
      </c>
      <c r="Q203" s="132">
        <f t="shared" si="114"/>
        <v>0</v>
      </c>
      <c r="R203" s="132">
        <f t="shared" si="114"/>
        <v>0</v>
      </c>
      <c r="S203" s="132">
        <f t="shared" si="114"/>
        <v>0</v>
      </c>
      <c r="T203" s="132">
        <f t="shared" si="114"/>
        <v>0</v>
      </c>
      <c r="U203" s="132">
        <f t="shared" si="114"/>
        <v>0</v>
      </c>
      <c r="V203" s="132">
        <f t="shared" si="114"/>
        <v>0</v>
      </c>
      <c r="W203" s="132">
        <f t="shared" si="114"/>
        <v>0</v>
      </c>
      <c r="X203" s="132">
        <f t="shared" si="114"/>
        <v>0</v>
      </c>
      <c r="Y203" s="132">
        <f t="shared" si="114"/>
        <v>0</v>
      </c>
      <c r="Z203" s="132">
        <f t="shared" si="114"/>
        <v>0</v>
      </c>
      <c r="AA203" s="132">
        <f t="shared" si="114"/>
        <v>0</v>
      </c>
      <c r="AB203" s="132">
        <f t="shared" si="114"/>
        <v>0</v>
      </c>
      <c r="AC203" s="128" t="str">
        <f>IF((AB203+AB135)&gt;(AB104+AB106),"Total TX_New + Total TX_New_Verify should not be more than Total Initial Tests and Turned Positive + Repeat Tests and turned Positives by Modality","")</f>
        <v/>
      </c>
      <c r="AD203" s="478" t="str">
        <f>CONCATENATE(AC203,AC204,AC205,AC206,AC207,AC208,AC209,AC210,AC211,AC212,AC213,AC214,AC215)</f>
        <v/>
      </c>
      <c r="AE203" s="121"/>
      <c r="AF203" s="458" t="str">
        <f>CONCATENATE(AE203,AE204,AE205,AE206,AE207,AE208,AE209,AE210,AE211,AE212,AE213,AE214,AE215)</f>
        <v/>
      </c>
      <c r="AG203" s="108">
        <v>113</v>
      </c>
    </row>
    <row r="204" spans="1:33" s="4" customFormat="1" ht="38.25" customHeight="1" thickBot="1" x14ac:dyDescent="0.5">
      <c r="A204" s="537" t="s">
        <v>128</v>
      </c>
      <c r="B204" s="147" t="s">
        <v>144</v>
      </c>
      <c r="C204" s="192" t="s">
        <v>383</v>
      </c>
      <c r="D204" s="37"/>
      <c r="E204" s="28"/>
      <c r="F204" s="37"/>
      <c r="G204" s="28"/>
      <c r="H204" s="37"/>
      <c r="I204" s="28"/>
      <c r="J204" s="37"/>
      <c r="K204" s="28"/>
      <c r="L204" s="28"/>
      <c r="M204" s="29"/>
      <c r="N204" s="28"/>
      <c r="O204" s="29"/>
      <c r="P204" s="28"/>
      <c r="Q204" s="29"/>
      <c r="R204" s="28"/>
      <c r="S204" s="29"/>
      <c r="T204" s="28"/>
      <c r="U204" s="29"/>
      <c r="V204" s="28"/>
      <c r="W204" s="29"/>
      <c r="X204" s="28"/>
      <c r="Y204" s="29"/>
      <c r="Z204" s="28"/>
      <c r="AA204" s="109"/>
      <c r="AB204" s="100">
        <f t="shared" si="112"/>
        <v>0</v>
      </c>
      <c r="AC204" s="129"/>
      <c r="AD204" s="461"/>
      <c r="AE204" s="121"/>
      <c r="AF204" s="459"/>
      <c r="AG204" s="108">
        <v>114</v>
      </c>
    </row>
    <row r="205" spans="1:33" s="4" customFormat="1" ht="38.25" customHeight="1" x14ac:dyDescent="0.45">
      <c r="A205" s="538"/>
      <c r="B205" s="148" t="s">
        <v>139</v>
      </c>
      <c r="C205" s="193" t="s">
        <v>384</v>
      </c>
      <c r="D205" s="36"/>
      <c r="E205" s="27"/>
      <c r="F205" s="36"/>
      <c r="G205" s="27"/>
      <c r="H205" s="36"/>
      <c r="I205" s="27"/>
      <c r="J205" s="36"/>
      <c r="K205" s="27"/>
      <c r="L205" s="25"/>
      <c r="M205" s="28"/>
      <c r="N205" s="25"/>
      <c r="O205" s="28"/>
      <c r="P205" s="25"/>
      <c r="Q205" s="28"/>
      <c r="R205" s="25"/>
      <c r="S205" s="28"/>
      <c r="T205" s="25"/>
      <c r="U205" s="28"/>
      <c r="V205" s="25"/>
      <c r="W205" s="28"/>
      <c r="X205" s="25"/>
      <c r="Y205" s="28"/>
      <c r="Z205" s="25"/>
      <c r="AA205" s="28"/>
      <c r="AB205" s="100">
        <f t="shared" si="112"/>
        <v>0</v>
      </c>
      <c r="AC205" s="129"/>
      <c r="AD205" s="461"/>
      <c r="AE205" s="121"/>
      <c r="AF205" s="459"/>
      <c r="AG205" s="108">
        <v>115</v>
      </c>
    </row>
    <row r="206" spans="1:33" s="4" customFormat="1" ht="38.25" customHeight="1" x14ac:dyDescent="0.45">
      <c r="A206" s="538"/>
      <c r="B206" s="148" t="s">
        <v>140</v>
      </c>
      <c r="C206" s="193" t="s">
        <v>385</v>
      </c>
      <c r="D206" s="36"/>
      <c r="E206" s="27"/>
      <c r="F206" s="36"/>
      <c r="G206" s="27"/>
      <c r="H206" s="36"/>
      <c r="I206" s="27"/>
      <c r="J206" s="36"/>
      <c r="K206" s="27"/>
      <c r="L206" s="25"/>
      <c r="M206" s="25"/>
      <c r="N206" s="25"/>
      <c r="O206" s="25"/>
      <c r="P206" s="25"/>
      <c r="Q206" s="25"/>
      <c r="R206" s="25"/>
      <c r="S206" s="25"/>
      <c r="T206" s="25"/>
      <c r="U206" s="25"/>
      <c r="V206" s="25"/>
      <c r="W206" s="25"/>
      <c r="X206" s="25"/>
      <c r="Y206" s="25"/>
      <c r="Z206" s="25"/>
      <c r="AA206" s="111"/>
      <c r="AB206" s="100">
        <f t="shared" ref="AB206:AB212" si="115">SUM(D206:AA206)</f>
        <v>0</v>
      </c>
      <c r="AC206" s="129"/>
      <c r="AD206" s="461"/>
      <c r="AE206" s="121"/>
      <c r="AF206" s="459"/>
      <c r="AG206" s="108">
        <v>116</v>
      </c>
    </row>
    <row r="207" spans="1:33" s="4" customFormat="1" ht="38.25" customHeight="1" thickBot="1" x14ac:dyDescent="0.5">
      <c r="A207" s="538"/>
      <c r="B207" s="148" t="s">
        <v>141</v>
      </c>
      <c r="C207" s="193" t="s">
        <v>386</v>
      </c>
      <c r="D207" s="36"/>
      <c r="E207" s="27"/>
      <c r="F207" s="36"/>
      <c r="G207" s="27"/>
      <c r="H207" s="36"/>
      <c r="I207" s="27"/>
      <c r="J207" s="36"/>
      <c r="K207" s="27"/>
      <c r="L207" s="25"/>
      <c r="M207" s="25"/>
      <c r="N207" s="25"/>
      <c r="O207" s="25"/>
      <c r="P207" s="25"/>
      <c r="Q207" s="25"/>
      <c r="R207" s="25"/>
      <c r="S207" s="25"/>
      <c r="T207" s="25"/>
      <c r="U207" s="25"/>
      <c r="V207" s="25"/>
      <c r="W207" s="25"/>
      <c r="X207" s="25"/>
      <c r="Y207" s="25"/>
      <c r="Z207" s="25"/>
      <c r="AA207" s="111"/>
      <c r="AB207" s="101">
        <f t="shared" si="115"/>
        <v>0</v>
      </c>
      <c r="AC207" s="130"/>
      <c r="AD207" s="461"/>
      <c r="AE207" s="121"/>
      <c r="AF207" s="459"/>
      <c r="AG207" s="108">
        <v>117</v>
      </c>
    </row>
    <row r="208" spans="1:33" s="4" customFormat="1" ht="38.25" customHeight="1" thickBot="1" x14ac:dyDescent="0.5">
      <c r="A208" s="538"/>
      <c r="B208" s="148" t="s">
        <v>142</v>
      </c>
      <c r="C208" s="193" t="s">
        <v>387</v>
      </c>
      <c r="D208" s="36"/>
      <c r="E208" s="27"/>
      <c r="F208" s="36"/>
      <c r="G208" s="27"/>
      <c r="H208" s="36"/>
      <c r="I208" s="27"/>
      <c r="J208" s="36"/>
      <c r="K208" s="27"/>
      <c r="L208" s="25"/>
      <c r="M208" s="25"/>
      <c r="N208" s="25"/>
      <c r="O208" s="25"/>
      <c r="P208" s="25"/>
      <c r="Q208" s="25"/>
      <c r="R208" s="25"/>
      <c r="S208" s="25"/>
      <c r="T208" s="25"/>
      <c r="U208" s="25"/>
      <c r="V208" s="25"/>
      <c r="W208" s="25"/>
      <c r="X208" s="25"/>
      <c r="Y208" s="25"/>
      <c r="Z208" s="25"/>
      <c r="AA208" s="111"/>
      <c r="AB208" s="117">
        <f t="shared" si="115"/>
        <v>0</v>
      </c>
      <c r="AC208" s="128"/>
      <c r="AD208" s="461"/>
      <c r="AE208" s="121"/>
      <c r="AF208" s="459"/>
      <c r="AG208" s="108">
        <v>118</v>
      </c>
    </row>
    <row r="209" spans="1:33" s="4" customFormat="1" ht="38.25" customHeight="1" thickBot="1" x14ac:dyDescent="0.5">
      <c r="A209" s="539"/>
      <c r="B209" s="149" t="s">
        <v>143</v>
      </c>
      <c r="C209" s="198" t="s">
        <v>388</v>
      </c>
      <c r="D209" s="97"/>
      <c r="E209" s="98"/>
      <c r="F209" s="97"/>
      <c r="G209" s="98"/>
      <c r="H209" s="97"/>
      <c r="I209" s="98"/>
      <c r="J209" s="97"/>
      <c r="K209" s="98"/>
      <c r="L209" s="98"/>
      <c r="M209" s="98"/>
      <c r="N209" s="98"/>
      <c r="O209" s="98"/>
      <c r="P209" s="98"/>
      <c r="Q209" s="98"/>
      <c r="R209" s="98"/>
      <c r="S209" s="98"/>
      <c r="T209" s="98"/>
      <c r="U209" s="98"/>
      <c r="V209" s="98"/>
      <c r="W209" s="98"/>
      <c r="X209" s="98"/>
      <c r="Y209" s="98"/>
      <c r="Z209" s="98"/>
      <c r="AA209" s="227"/>
      <c r="AB209" s="228"/>
      <c r="AC209" s="129"/>
      <c r="AD209" s="461"/>
      <c r="AE209" s="121"/>
      <c r="AF209" s="459"/>
      <c r="AG209" s="108">
        <v>119</v>
      </c>
    </row>
    <row r="210" spans="1:33" s="4" customFormat="1" ht="38.25" customHeight="1" x14ac:dyDescent="0.45">
      <c r="A210" s="537" t="s">
        <v>136</v>
      </c>
      <c r="B210" s="147" t="s">
        <v>144</v>
      </c>
      <c r="C210" s="193" t="s">
        <v>389</v>
      </c>
      <c r="D210" s="36"/>
      <c r="E210" s="27"/>
      <c r="F210" s="36"/>
      <c r="G210" s="27"/>
      <c r="H210" s="36"/>
      <c r="I210" s="27"/>
      <c r="J210" s="36"/>
      <c r="K210" s="27"/>
      <c r="L210" s="27"/>
      <c r="M210" s="26"/>
      <c r="N210" s="27"/>
      <c r="O210" s="26"/>
      <c r="P210" s="27"/>
      <c r="Q210" s="26"/>
      <c r="R210" s="27"/>
      <c r="S210" s="26"/>
      <c r="T210" s="27"/>
      <c r="U210" s="26"/>
      <c r="V210" s="27"/>
      <c r="W210" s="26"/>
      <c r="X210" s="27"/>
      <c r="Y210" s="26"/>
      <c r="Z210" s="27"/>
      <c r="AA210" s="105"/>
      <c r="AB210" s="100">
        <f t="shared" si="115"/>
        <v>0</v>
      </c>
      <c r="AC210" s="129"/>
      <c r="AD210" s="461"/>
      <c r="AE210" s="121"/>
      <c r="AF210" s="459"/>
      <c r="AG210" s="108">
        <v>120</v>
      </c>
    </row>
    <row r="211" spans="1:33" s="4" customFormat="1" ht="38.25" customHeight="1" x14ac:dyDescent="0.45">
      <c r="A211" s="538"/>
      <c r="B211" s="148" t="s">
        <v>139</v>
      </c>
      <c r="C211" s="193" t="s">
        <v>390</v>
      </c>
      <c r="D211" s="36"/>
      <c r="E211" s="27"/>
      <c r="F211" s="36"/>
      <c r="G211" s="27"/>
      <c r="H211" s="36"/>
      <c r="I211" s="27"/>
      <c r="J211" s="36"/>
      <c r="K211" s="27"/>
      <c r="L211" s="25"/>
      <c r="M211" s="27"/>
      <c r="N211" s="25"/>
      <c r="O211" s="27"/>
      <c r="P211" s="25"/>
      <c r="Q211" s="27"/>
      <c r="R211" s="25"/>
      <c r="S211" s="27"/>
      <c r="T211" s="25"/>
      <c r="U211" s="27"/>
      <c r="V211" s="25"/>
      <c r="W211" s="27"/>
      <c r="X211" s="25"/>
      <c r="Y211" s="27"/>
      <c r="Z211" s="25"/>
      <c r="AA211" s="27"/>
      <c r="AB211" s="100">
        <f t="shared" si="115"/>
        <v>0</v>
      </c>
      <c r="AC211" s="129"/>
      <c r="AD211" s="461"/>
      <c r="AE211" s="121"/>
      <c r="AF211" s="459"/>
      <c r="AG211" s="108">
        <v>121</v>
      </c>
    </row>
    <row r="212" spans="1:33" s="4" customFormat="1" ht="38.25" customHeight="1" thickBot="1" x14ac:dyDescent="0.5">
      <c r="A212" s="538"/>
      <c r="B212" s="148" t="s">
        <v>140</v>
      </c>
      <c r="C212" s="193" t="s">
        <v>391</v>
      </c>
      <c r="D212" s="36"/>
      <c r="E212" s="27"/>
      <c r="F212" s="36"/>
      <c r="G212" s="27"/>
      <c r="H212" s="36"/>
      <c r="I212" s="27"/>
      <c r="J212" s="36"/>
      <c r="K212" s="27"/>
      <c r="L212" s="25"/>
      <c r="M212" s="25"/>
      <c r="N212" s="25"/>
      <c r="O212" s="25"/>
      <c r="P212" s="25"/>
      <c r="Q212" s="25"/>
      <c r="R212" s="25"/>
      <c r="S212" s="25"/>
      <c r="T212" s="25"/>
      <c r="U212" s="25"/>
      <c r="V212" s="25"/>
      <c r="W212" s="25"/>
      <c r="X212" s="25"/>
      <c r="Y212" s="25"/>
      <c r="Z212" s="25"/>
      <c r="AA212" s="103"/>
      <c r="AB212" s="101">
        <f t="shared" si="115"/>
        <v>0</v>
      </c>
      <c r="AC212" s="130"/>
      <c r="AD212" s="461"/>
      <c r="AE212" s="121"/>
      <c r="AF212" s="459"/>
      <c r="AG212" s="108">
        <v>122</v>
      </c>
    </row>
    <row r="213" spans="1:33" s="4" customFormat="1" ht="38.25" customHeight="1" x14ac:dyDescent="0.45">
      <c r="A213" s="538"/>
      <c r="B213" s="148" t="s">
        <v>141</v>
      </c>
      <c r="C213" s="193" t="s">
        <v>392</v>
      </c>
      <c r="D213" s="36"/>
      <c r="E213" s="27"/>
      <c r="F213" s="36"/>
      <c r="G213" s="27"/>
      <c r="H213" s="36"/>
      <c r="I213" s="27"/>
      <c r="J213" s="36"/>
      <c r="K213" s="27"/>
      <c r="L213" s="25"/>
      <c r="M213" s="25"/>
      <c r="N213" s="25"/>
      <c r="O213" s="25"/>
      <c r="P213" s="25"/>
      <c r="Q213" s="25"/>
      <c r="R213" s="25"/>
      <c r="S213" s="25"/>
      <c r="T213" s="25"/>
      <c r="U213" s="25"/>
      <c r="V213" s="25"/>
      <c r="W213" s="25"/>
      <c r="X213" s="25"/>
      <c r="Y213" s="25"/>
      <c r="Z213" s="25"/>
      <c r="AA213" s="103"/>
      <c r="AB213" s="100">
        <f t="shared" ref="AB213:AB221" si="116">SUM(D213:AA213)</f>
        <v>0</v>
      </c>
      <c r="AC213" s="124"/>
      <c r="AD213" s="461"/>
      <c r="AE213" s="121"/>
      <c r="AF213" s="459"/>
      <c r="AG213" s="108">
        <v>123</v>
      </c>
    </row>
    <row r="214" spans="1:33" s="4" customFormat="1" ht="38.25" customHeight="1" thickBot="1" x14ac:dyDescent="0.5">
      <c r="A214" s="538"/>
      <c r="B214" s="148" t="s">
        <v>142</v>
      </c>
      <c r="C214" s="193" t="s">
        <v>393</v>
      </c>
      <c r="D214" s="36"/>
      <c r="E214" s="27"/>
      <c r="F214" s="36"/>
      <c r="G214" s="27"/>
      <c r="H214" s="36"/>
      <c r="I214" s="27"/>
      <c r="J214" s="36"/>
      <c r="K214" s="27"/>
      <c r="L214" s="25"/>
      <c r="M214" s="25"/>
      <c r="N214" s="25"/>
      <c r="O214" s="25"/>
      <c r="P214" s="25"/>
      <c r="Q214" s="25"/>
      <c r="R214" s="25"/>
      <c r="S214" s="25"/>
      <c r="T214" s="25"/>
      <c r="U214" s="25"/>
      <c r="V214" s="25"/>
      <c r="W214" s="25"/>
      <c r="X214" s="25"/>
      <c r="Y214" s="25"/>
      <c r="Z214" s="25"/>
      <c r="AA214" s="103"/>
      <c r="AB214" s="117">
        <f t="shared" si="116"/>
        <v>0</v>
      </c>
      <c r="AC214" s="123"/>
      <c r="AD214" s="461"/>
      <c r="AE214" s="121"/>
      <c r="AF214" s="459"/>
      <c r="AG214" s="108">
        <v>124</v>
      </c>
    </row>
    <row r="215" spans="1:33" s="4" customFormat="1" ht="38.25" customHeight="1" thickBot="1" x14ac:dyDescent="0.5">
      <c r="A215" s="539"/>
      <c r="B215" s="149" t="s">
        <v>143</v>
      </c>
      <c r="C215" s="198" t="s">
        <v>394</v>
      </c>
      <c r="D215" s="97"/>
      <c r="E215" s="98"/>
      <c r="F215" s="97"/>
      <c r="G215" s="98"/>
      <c r="H215" s="97"/>
      <c r="I215" s="98"/>
      <c r="J215" s="97"/>
      <c r="K215" s="98"/>
      <c r="L215" s="98"/>
      <c r="M215" s="98"/>
      <c r="N215" s="98"/>
      <c r="O215" s="98"/>
      <c r="P215" s="98"/>
      <c r="Q215" s="98"/>
      <c r="R215" s="98"/>
      <c r="S215" s="98"/>
      <c r="T215" s="98"/>
      <c r="U215" s="98"/>
      <c r="V215" s="98"/>
      <c r="W215" s="98"/>
      <c r="X215" s="98"/>
      <c r="Y215" s="98"/>
      <c r="Z215" s="98"/>
      <c r="AA215" s="227"/>
      <c r="AB215" s="228"/>
      <c r="AC215" s="123"/>
      <c r="AD215" s="462"/>
      <c r="AE215" s="121"/>
      <c r="AF215" s="460"/>
      <c r="AG215" s="108">
        <v>125</v>
      </c>
    </row>
    <row r="216" spans="1:33" s="4" customFormat="1" ht="38.25" customHeight="1" thickBot="1" x14ac:dyDescent="0.5">
      <c r="A216" s="474" t="s">
        <v>246</v>
      </c>
      <c r="B216" s="475"/>
      <c r="C216" s="476"/>
      <c r="D216" s="475"/>
      <c r="E216" s="475"/>
      <c r="F216" s="475"/>
      <c r="G216" s="475"/>
      <c r="H216" s="475"/>
      <c r="I216" s="475"/>
      <c r="J216" s="475"/>
      <c r="K216" s="475"/>
      <c r="L216" s="475"/>
      <c r="M216" s="475"/>
      <c r="N216" s="475"/>
      <c r="O216" s="475"/>
      <c r="P216" s="475"/>
      <c r="Q216" s="475"/>
      <c r="R216" s="475"/>
      <c r="S216" s="475"/>
      <c r="T216" s="475"/>
      <c r="U216" s="475"/>
      <c r="V216" s="475"/>
      <c r="W216" s="475"/>
      <c r="X216" s="475"/>
      <c r="Y216" s="475"/>
      <c r="Z216" s="475"/>
      <c r="AA216" s="475"/>
      <c r="AB216" s="475"/>
      <c r="AC216" s="475"/>
      <c r="AD216" s="475"/>
      <c r="AE216" s="475"/>
      <c r="AF216" s="477"/>
      <c r="AG216" s="108">
        <v>126</v>
      </c>
    </row>
    <row r="217" spans="1:33" s="4" customFormat="1" ht="38.25" customHeight="1" thickBot="1" x14ac:dyDescent="0.5">
      <c r="A217" s="155" t="s">
        <v>145</v>
      </c>
      <c r="B217" s="146" t="s">
        <v>147</v>
      </c>
      <c r="C217" s="178" t="s">
        <v>395</v>
      </c>
      <c r="D217" s="136">
        <f t="shared" ref="D217:K217" si="117">SUM(D218:D229)</f>
        <v>0</v>
      </c>
      <c r="E217" s="132">
        <f t="shared" si="117"/>
        <v>0</v>
      </c>
      <c r="F217" s="132">
        <f t="shared" si="117"/>
        <v>0</v>
      </c>
      <c r="G217" s="132">
        <f t="shared" si="117"/>
        <v>0</v>
      </c>
      <c r="H217" s="132">
        <f t="shared" si="117"/>
        <v>0</v>
      </c>
      <c r="I217" s="132">
        <f t="shared" si="117"/>
        <v>0</v>
      </c>
      <c r="J217" s="132">
        <f t="shared" si="117"/>
        <v>0</v>
      </c>
      <c r="K217" s="132">
        <f t="shared" si="117"/>
        <v>0</v>
      </c>
      <c r="L217" s="132">
        <f>SUM(L218:L229)</f>
        <v>0</v>
      </c>
      <c r="M217" s="132">
        <f t="shared" ref="M217:AB217" si="118">SUM(M218:M229)</f>
        <v>0</v>
      </c>
      <c r="N217" s="132">
        <f t="shared" si="118"/>
        <v>0</v>
      </c>
      <c r="O217" s="132">
        <f t="shared" si="118"/>
        <v>0</v>
      </c>
      <c r="P217" s="132">
        <f t="shared" si="118"/>
        <v>0</v>
      </c>
      <c r="Q217" s="132">
        <f t="shared" si="118"/>
        <v>0</v>
      </c>
      <c r="R217" s="132">
        <f t="shared" si="118"/>
        <v>0</v>
      </c>
      <c r="S217" s="132">
        <f t="shared" si="118"/>
        <v>0</v>
      </c>
      <c r="T217" s="132">
        <f t="shared" si="118"/>
        <v>0</v>
      </c>
      <c r="U217" s="132">
        <f t="shared" si="118"/>
        <v>0</v>
      </c>
      <c r="V217" s="132">
        <f t="shared" si="118"/>
        <v>0</v>
      </c>
      <c r="W217" s="132">
        <f t="shared" si="118"/>
        <v>0</v>
      </c>
      <c r="X217" s="132">
        <f t="shared" si="118"/>
        <v>0</v>
      </c>
      <c r="Y217" s="132">
        <f t="shared" si="118"/>
        <v>0</v>
      </c>
      <c r="Z217" s="132">
        <f t="shared" si="118"/>
        <v>0</v>
      </c>
      <c r="AA217" s="132">
        <f t="shared" si="118"/>
        <v>0</v>
      </c>
      <c r="AB217" s="132">
        <f t="shared" si="118"/>
        <v>0</v>
      </c>
      <c r="AC217" s="124"/>
      <c r="AD217" s="478" t="str">
        <f>CONCATENATE(AC217,AC218,AC219,AC220,AC221,AC222,AC223,AC224,AC225,AC226,AC227,AC228,AC229)</f>
        <v/>
      </c>
      <c r="AE217" s="121"/>
      <c r="AF217" s="458" t="str">
        <f>CONCATENATE(AE217,AE218,AE219,AE220,AE221,AE222,AE223,AE224,AE225,AE226,AE227,AE228,AE229)</f>
        <v/>
      </c>
      <c r="AG217" s="108">
        <v>127</v>
      </c>
    </row>
    <row r="218" spans="1:33" s="4" customFormat="1" ht="38.25" customHeight="1" thickBot="1" x14ac:dyDescent="0.5">
      <c r="A218" s="538" t="s">
        <v>128</v>
      </c>
      <c r="B218" s="150" t="s">
        <v>148</v>
      </c>
      <c r="C218" s="192" t="s">
        <v>396</v>
      </c>
      <c r="D218" s="36"/>
      <c r="E218" s="27"/>
      <c r="F218" s="36"/>
      <c r="G218" s="27"/>
      <c r="H218" s="36"/>
      <c r="I218" s="27"/>
      <c r="J218" s="36"/>
      <c r="K218" s="27"/>
      <c r="L218" s="27"/>
      <c r="M218" s="25"/>
      <c r="N218" s="27"/>
      <c r="O218" s="25"/>
      <c r="P218" s="27"/>
      <c r="Q218" s="25"/>
      <c r="R218" s="27"/>
      <c r="S218" s="25"/>
      <c r="T218" s="27"/>
      <c r="U218" s="25"/>
      <c r="V218" s="27"/>
      <c r="W218" s="25"/>
      <c r="X218" s="27"/>
      <c r="Y218" s="25"/>
      <c r="Z218" s="27"/>
      <c r="AA218" s="103"/>
      <c r="AB218" s="131">
        <f t="shared" si="116"/>
        <v>0</v>
      </c>
      <c r="AC218" s="127"/>
      <c r="AD218" s="461"/>
      <c r="AE218" s="121"/>
      <c r="AF218" s="459"/>
      <c r="AG218" s="108">
        <v>128</v>
      </c>
    </row>
    <row r="219" spans="1:33" s="4" customFormat="1" ht="38.25" customHeight="1" x14ac:dyDescent="0.45">
      <c r="A219" s="538"/>
      <c r="B219" s="148" t="s">
        <v>149</v>
      </c>
      <c r="C219" s="193" t="s">
        <v>397</v>
      </c>
      <c r="D219" s="36"/>
      <c r="E219" s="27"/>
      <c r="F219" s="36"/>
      <c r="G219" s="27"/>
      <c r="H219" s="36"/>
      <c r="I219" s="27"/>
      <c r="J219" s="36"/>
      <c r="K219" s="27"/>
      <c r="L219" s="25"/>
      <c r="M219" s="27"/>
      <c r="N219" s="25"/>
      <c r="O219" s="27"/>
      <c r="P219" s="25"/>
      <c r="Q219" s="27"/>
      <c r="R219" s="25"/>
      <c r="S219" s="27"/>
      <c r="T219" s="25"/>
      <c r="U219" s="27"/>
      <c r="V219" s="25"/>
      <c r="W219" s="27"/>
      <c r="X219" s="25"/>
      <c r="Y219" s="27"/>
      <c r="Z219" s="25"/>
      <c r="AA219" s="27"/>
      <c r="AB219" s="99">
        <f t="shared" si="116"/>
        <v>0</v>
      </c>
      <c r="AC219" s="128"/>
      <c r="AD219" s="461"/>
      <c r="AE219" s="121"/>
      <c r="AF219" s="459"/>
      <c r="AG219" s="108">
        <v>129</v>
      </c>
    </row>
    <row r="220" spans="1:33" s="4" customFormat="1" ht="38.25" customHeight="1" x14ac:dyDescent="0.45">
      <c r="A220" s="538"/>
      <c r="B220" s="148" t="s">
        <v>150</v>
      </c>
      <c r="C220" s="193" t="s">
        <v>398</v>
      </c>
      <c r="D220" s="36"/>
      <c r="E220" s="27"/>
      <c r="F220" s="36"/>
      <c r="G220" s="27"/>
      <c r="H220" s="36"/>
      <c r="I220" s="27"/>
      <c r="J220" s="36"/>
      <c r="K220" s="27"/>
      <c r="L220" s="25"/>
      <c r="M220" s="25"/>
      <c r="N220" s="25"/>
      <c r="O220" s="25"/>
      <c r="P220" s="25"/>
      <c r="Q220" s="25"/>
      <c r="R220" s="25"/>
      <c r="S220" s="25"/>
      <c r="T220" s="25"/>
      <c r="U220" s="25"/>
      <c r="V220" s="25"/>
      <c r="W220" s="25"/>
      <c r="X220" s="25"/>
      <c r="Y220" s="25"/>
      <c r="Z220" s="25"/>
      <c r="AA220" s="103"/>
      <c r="AB220" s="100">
        <f t="shared" si="116"/>
        <v>0</v>
      </c>
      <c r="AC220" s="129"/>
      <c r="AD220" s="461"/>
      <c r="AE220" s="121"/>
      <c r="AF220" s="459"/>
      <c r="AG220" s="108">
        <v>130</v>
      </c>
    </row>
    <row r="221" spans="1:33" s="4" customFormat="1" ht="38.25" customHeight="1" x14ac:dyDescent="0.45">
      <c r="A221" s="538"/>
      <c r="B221" s="148" t="s">
        <v>151</v>
      </c>
      <c r="C221" s="193" t="s">
        <v>399</v>
      </c>
      <c r="D221" s="36"/>
      <c r="E221" s="27"/>
      <c r="F221" s="36"/>
      <c r="G221" s="27"/>
      <c r="H221" s="36"/>
      <c r="I221" s="27"/>
      <c r="J221" s="36"/>
      <c r="K221" s="27"/>
      <c r="L221" s="25"/>
      <c r="M221" s="25"/>
      <c r="N221" s="25"/>
      <c r="O221" s="25"/>
      <c r="P221" s="25"/>
      <c r="Q221" s="25"/>
      <c r="R221" s="25"/>
      <c r="S221" s="25"/>
      <c r="T221" s="25"/>
      <c r="U221" s="25"/>
      <c r="V221" s="25"/>
      <c r="W221" s="25"/>
      <c r="X221" s="25"/>
      <c r="Y221" s="25"/>
      <c r="Z221" s="25"/>
      <c r="AA221" s="103"/>
      <c r="AB221" s="100">
        <f t="shared" si="116"/>
        <v>0</v>
      </c>
      <c r="AC221" s="129"/>
      <c r="AD221" s="461"/>
      <c r="AE221" s="121"/>
      <c r="AF221" s="459"/>
      <c r="AG221" s="108">
        <v>131</v>
      </c>
    </row>
    <row r="222" spans="1:33" s="4" customFormat="1" ht="38.25" customHeight="1" thickBot="1" x14ac:dyDescent="0.5">
      <c r="A222" s="538"/>
      <c r="B222" s="148" t="s">
        <v>152</v>
      </c>
      <c r="C222" s="193" t="s">
        <v>400</v>
      </c>
      <c r="D222" s="36"/>
      <c r="E222" s="27"/>
      <c r="F222" s="36"/>
      <c r="G222" s="27"/>
      <c r="H222" s="36"/>
      <c r="I222" s="27"/>
      <c r="J222" s="36"/>
      <c r="K222" s="27"/>
      <c r="L222" s="25"/>
      <c r="M222" s="25"/>
      <c r="N222" s="25"/>
      <c r="O222" s="25"/>
      <c r="P222" s="25"/>
      <c r="Q222" s="25"/>
      <c r="R222" s="25"/>
      <c r="S222" s="25"/>
      <c r="T222" s="25"/>
      <c r="U222" s="25"/>
      <c r="V222" s="25"/>
      <c r="W222" s="25"/>
      <c r="X222" s="25"/>
      <c r="Y222" s="25"/>
      <c r="Z222" s="25"/>
      <c r="AA222" s="103"/>
      <c r="AB222" s="117">
        <f t="shared" ref="AB222:AB228" si="119">SUM(D222:AA222)</f>
        <v>0</v>
      </c>
      <c r="AC222" s="129"/>
      <c r="AD222" s="461"/>
      <c r="AE222" s="121"/>
      <c r="AF222" s="459"/>
      <c r="AG222" s="108">
        <v>132</v>
      </c>
    </row>
    <row r="223" spans="1:33" s="4" customFormat="1" ht="38.25" customHeight="1" thickBot="1" x14ac:dyDescent="0.5">
      <c r="A223" s="539"/>
      <c r="B223" s="149" t="s">
        <v>153</v>
      </c>
      <c r="C223" s="198" t="s">
        <v>401</v>
      </c>
      <c r="D223" s="97"/>
      <c r="E223" s="98"/>
      <c r="F223" s="97"/>
      <c r="G223" s="98"/>
      <c r="H223" s="97"/>
      <c r="I223" s="98"/>
      <c r="J223" s="97"/>
      <c r="K223" s="98"/>
      <c r="L223" s="98"/>
      <c r="M223" s="98"/>
      <c r="N223" s="98"/>
      <c r="O223" s="98"/>
      <c r="P223" s="98"/>
      <c r="Q223" s="98"/>
      <c r="R223" s="98"/>
      <c r="S223" s="98"/>
      <c r="T223" s="98"/>
      <c r="U223" s="98"/>
      <c r="V223" s="98"/>
      <c r="W223" s="98"/>
      <c r="X223" s="98"/>
      <c r="Y223" s="98"/>
      <c r="Z223" s="98"/>
      <c r="AA223" s="227"/>
      <c r="AB223" s="228"/>
      <c r="AC223" s="130"/>
      <c r="AD223" s="461"/>
      <c r="AE223" s="121"/>
      <c r="AF223" s="459"/>
      <c r="AG223" s="108">
        <v>133</v>
      </c>
    </row>
    <row r="224" spans="1:33" s="4" customFormat="1" ht="38.25" customHeight="1" thickBot="1" x14ac:dyDescent="0.5">
      <c r="A224" s="537" t="s">
        <v>129</v>
      </c>
      <c r="B224" s="147" t="s">
        <v>148</v>
      </c>
      <c r="C224" s="193" t="s">
        <v>402</v>
      </c>
      <c r="D224" s="37"/>
      <c r="E224" s="28"/>
      <c r="F224" s="37"/>
      <c r="G224" s="28"/>
      <c r="H224" s="37"/>
      <c r="I224" s="28"/>
      <c r="J224" s="37"/>
      <c r="K224" s="28"/>
      <c r="L224" s="28"/>
      <c r="M224" s="29"/>
      <c r="N224" s="28"/>
      <c r="O224" s="29"/>
      <c r="P224" s="28"/>
      <c r="Q224" s="29"/>
      <c r="R224" s="28"/>
      <c r="S224" s="29"/>
      <c r="T224" s="28"/>
      <c r="U224" s="29"/>
      <c r="V224" s="28"/>
      <c r="W224" s="29"/>
      <c r="X224" s="28"/>
      <c r="Y224" s="29"/>
      <c r="Z224" s="28"/>
      <c r="AA224" s="102"/>
      <c r="AB224" s="100">
        <f t="shared" si="119"/>
        <v>0</v>
      </c>
      <c r="AC224" s="128"/>
      <c r="AD224" s="461"/>
      <c r="AE224" s="121"/>
      <c r="AF224" s="459"/>
      <c r="AG224" s="108">
        <v>134</v>
      </c>
    </row>
    <row r="225" spans="1:33" s="4" customFormat="1" ht="38.25" customHeight="1" x14ac:dyDescent="0.45">
      <c r="A225" s="538"/>
      <c r="B225" s="148" t="s">
        <v>149</v>
      </c>
      <c r="C225" s="193" t="s">
        <v>403</v>
      </c>
      <c r="D225" s="36"/>
      <c r="E225" s="27"/>
      <c r="F225" s="36"/>
      <c r="G225" s="27"/>
      <c r="H225" s="36"/>
      <c r="I225" s="27"/>
      <c r="J225" s="36"/>
      <c r="K225" s="27"/>
      <c r="L225" s="25"/>
      <c r="M225" s="28"/>
      <c r="N225" s="25"/>
      <c r="O225" s="28"/>
      <c r="P225" s="25"/>
      <c r="Q225" s="28"/>
      <c r="R225" s="25"/>
      <c r="S225" s="28"/>
      <c r="T225" s="25"/>
      <c r="U225" s="28"/>
      <c r="V225" s="25"/>
      <c r="W225" s="28"/>
      <c r="X225" s="25"/>
      <c r="Y225" s="28"/>
      <c r="Z225" s="25"/>
      <c r="AA225" s="28"/>
      <c r="AB225" s="100">
        <f t="shared" ref="AB225:AB227" si="120">SUM(D225:AA225)</f>
        <v>0</v>
      </c>
      <c r="AC225" s="129"/>
      <c r="AD225" s="461"/>
      <c r="AE225" s="121"/>
      <c r="AF225" s="459"/>
      <c r="AG225" s="108">
        <v>135</v>
      </c>
    </row>
    <row r="226" spans="1:33" s="4" customFormat="1" ht="38.25" customHeight="1" x14ac:dyDescent="0.45">
      <c r="A226" s="538"/>
      <c r="B226" s="148" t="s">
        <v>150</v>
      </c>
      <c r="C226" s="193" t="s">
        <v>404</v>
      </c>
      <c r="D226" s="36"/>
      <c r="E226" s="27"/>
      <c r="F226" s="36"/>
      <c r="G226" s="27"/>
      <c r="H226" s="36"/>
      <c r="I226" s="27"/>
      <c r="J226" s="36"/>
      <c r="K226" s="27"/>
      <c r="L226" s="25"/>
      <c r="M226" s="25"/>
      <c r="N226" s="25"/>
      <c r="O226" s="25"/>
      <c r="P226" s="25"/>
      <c r="Q226" s="25"/>
      <c r="R226" s="25"/>
      <c r="S226" s="25"/>
      <c r="T226" s="25"/>
      <c r="U226" s="25"/>
      <c r="V226" s="25"/>
      <c r="W226" s="25"/>
      <c r="X226" s="25"/>
      <c r="Y226" s="25"/>
      <c r="Z226" s="25"/>
      <c r="AA226" s="103"/>
      <c r="AB226" s="100">
        <f t="shared" si="120"/>
        <v>0</v>
      </c>
      <c r="AC226" s="129"/>
      <c r="AD226" s="461"/>
      <c r="AE226" s="121"/>
      <c r="AF226" s="459"/>
      <c r="AG226" s="108">
        <v>136</v>
      </c>
    </row>
    <row r="227" spans="1:33" s="4" customFormat="1" ht="38.25" customHeight="1" x14ac:dyDescent="0.45">
      <c r="A227" s="538"/>
      <c r="B227" s="148" t="s">
        <v>151</v>
      </c>
      <c r="C227" s="193" t="s">
        <v>405</v>
      </c>
      <c r="D227" s="36"/>
      <c r="E227" s="27"/>
      <c r="F227" s="36"/>
      <c r="G227" s="27"/>
      <c r="H227" s="36"/>
      <c r="I227" s="27"/>
      <c r="J227" s="36"/>
      <c r="K227" s="27"/>
      <c r="L227" s="25"/>
      <c r="M227" s="25"/>
      <c r="N227" s="25"/>
      <c r="O227" s="25"/>
      <c r="P227" s="25"/>
      <c r="Q227" s="25"/>
      <c r="R227" s="25"/>
      <c r="S227" s="25"/>
      <c r="T227" s="25"/>
      <c r="U227" s="25"/>
      <c r="V227" s="25"/>
      <c r="W227" s="25"/>
      <c r="X227" s="25"/>
      <c r="Y227" s="25"/>
      <c r="Z227" s="25"/>
      <c r="AA227" s="103"/>
      <c r="AB227" s="100">
        <f t="shared" si="120"/>
        <v>0</v>
      </c>
      <c r="AC227" s="129"/>
      <c r="AD227" s="461"/>
      <c r="AE227" s="121"/>
      <c r="AF227" s="459"/>
      <c r="AG227" s="108">
        <v>137</v>
      </c>
    </row>
    <row r="228" spans="1:33" s="4" customFormat="1" ht="38.25" customHeight="1" thickBot="1" x14ac:dyDescent="0.5">
      <c r="A228" s="538"/>
      <c r="B228" s="148" t="s">
        <v>152</v>
      </c>
      <c r="C228" s="193" t="s">
        <v>406</v>
      </c>
      <c r="D228" s="36"/>
      <c r="E228" s="27"/>
      <c r="F228" s="36"/>
      <c r="G228" s="27"/>
      <c r="H228" s="36"/>
      <c r="I228" s="27"/>
      <c r="J228" s="36"/>
      <c r="K228" s="27"/>
      <c r="L228" s="25"/>
      <c r="M228" s="25"/>
      <c r="N228" s="25"/>
      <c r="O228" s="25"/>
      <c r="P228" s="25"/>
      <c r="Q228" s="25"/>
      <c r="R228" s="25"/>
      <c r="S228" s="25"/>
      <c r="T228" s="25"/>
      <c r="U228" s="25"/>
      <c r="V228" s="25"/>
      <c r="W228" s="25"/>
      <c r="X228" s="25"/>
      <c r="Y228" s="25"/>
      <c r="Z228" s="25"/>
      <c r="AA228" s="103"/>
      <c r="AB228" s="117">
        <f t="shared" si="119"/>
        <v>0</v>
      </c>
      <c r="AC228" s="129"/>
      <c r="AD228" s="461"/>
      <c r="AE228" s="121"/>
      <c r="AF228" s="459"/>
      <c r="AG228" s="108">
        <v>138</v>
      </c>
    </row>
    <row r="229" spans="1:33" s="4" customFormat="1" ht="38.25" customHeight="1" thickBot="1" x14ac:dyDescent="0.5">
      <c r="A229" s="538"/>
      <c r="B229" s="151" t="s">
        <v>153</v>
      </c>
      <c r="C229" s="198" t="s">
        <v>407</v>
      </c>
      <c r="D229" s="95"/>
      <c r="E229" s="96"/>
      <c r="F229" s="95"/>
      <c r="G229" s="96"/>
      <c r="H229" s="95"/>
      <c r="I229" s="96"/>
      <c r="J229" s="95"/>
      <c r="K229" s="96"/>
      <c r="L229" s="96"/>
      <c r="M229" s="96"/>
      <c r="N229" s="96"/>
      <c r="O229" s="96"/>
      <c r="P229" s="96"/>
      <c r="Q229" s="96"/>
      <c r="R229" s="96"/>
      <c r="S229" s="96"/>
      <c r="T229" s="96"/>
      <c r="U229" s="96"/>
      <c r="V229" s="96"/>
      <c r="W229" s="96"/>
      <c r="X229" s="96"/>
      <c r="Y229" s="96"/>
      <c r="Z229" s="96"/>
      <c r="AA229" s="199"/>
      <c r="AB229" s="228"/>
      <c r="AC229" s="133"/>
      <c r="AD229" s="462"/>
      <c r="AE229" s="121"/>
      <c r="AF229" s="460"/>
      <c r="AG229" s="108">
        <v>139</v>
      </c>
    </row>
    <row r="230" spans="1:33" s="4" customFormat="1" ht="38.25" customHeight="1" thickBot="1" x14ac:dyDescent="0.5">
      <c r="A230" s="474" t="s">
        <v>247</v>
      </c>
      <c r="B230" s="475"/>
      <c r="C230" s="479"/>
      <c r="D230" s="475"/>
      <c r="E230" s="475"/>
      <c r="F230" s="475"/>
      <c r="G230" s="475"/>
      <c r="H230" s="475"/>
      <c r="I230" s="475"/>
      <c r="J230" s="475"/>
      <c r="K230" s="475"/>
      <c r="L230" s="475"/>
      <c r="M230" s="475"/>
      <c r="N230" s="475"/>
      <c r="O230" s="475"/>
      <c r="P230" s="475"/>
      <c r="Q230" s="475"/>
      <c r="R230" s="475"/>
      <c r="S230" s="475"/>
      <c r="T230" s="475"/>
      <c r="U230" s="475"/>
      <c r="V230" s="475"/>
      <c r="W230" s="475"/>
      <c r="X230" s="475"/>
      <c r="Y230" s="475"/>
      <c r="Z230" s="475"/>
      <c r="AA230" s="475"/>
      <c r="AB230" s="475"/>
      <c r="AC230" s="475"/>
      <c r="AD230" s="475"/>
      <c r="AE230" s="475"/>
      <c r="AF230" s="477"/>
      <c r="AG230" s="108">
        <v>140</v>
      </c>
    </row>
    <row r="231" spans="1:33" s="4" customFormat="1" ht="38.25" customHeight="1" thickBot="1" x14ac:dyDescent="0.5">
      <c r="A231" s="212" t="s">
        <v>145</v>
      </c>
      <c r="B231" s="245" t="s">
        <v>154</v>
      </c>
      <c r="C231" s="248" t="s">
        <v>408</v>
      </c>
      <c r="D231" s="246">
        <f t="shared" ref="D231" si="121">SUM(D232:D243)</f>
        <v>0</v>
      </c>
      <c r="E231" s="132">
        <f t="shared" ref="E231" si="122">SUM(E232:E243)</f>
        <v>0</v>
      </c>
      <c r="F231" s="132">
        <f t="shared" ref="F231" si="123">SUM(F232:F243)</f>
        <v>0</v>
      </c>
      <c r="G231" s="132">
        <f t="shared" ref="G231" si="124">SUM(G232:G243)</f>
        <v>0</v>
      </c>
      <c r="H231" s="132">
        <f t="shared" ref="H231" si="125">SUM(H232:H243)</f>
        <v>0</v>
      </c>
      <c r="I231" s="132">
        <f t="shared" ref="I231" si="126">SUM(I232:I243)</f>
        <v>0</v>
      </c>
      <c r="J231" s="132">
        <f t="shared" ref="J231" si="127">SUM(J232:J243)</f>
        <v>0</v>
      </c>
      <c r="K231" s="132">
        <f t="shared" ref="K231" si="128">SUM(K232:K243)</f>
        <v>0</v>
      </c>
      <c r="L231" s="132">
        <f t="shared" ref="L231" si="129">SUM(L232:L243)</f>
        <v>0</v>
      </c>
      <c r="M231" s="132">
        <f t="shared" ref="M231" si="130">SUM(M232:M243)</f>
        <v>0</v>
      </c>
      <c r="N231" s="132">
        <f t="shared" ref="N231" si="131">SUM(N232:N243)</f>
        <v>0</v>
      </c>
      <c r="O231" s="132">
        <f t="shared" ref="O231" si="132">SUM(O232:O243)</f>
        <v>0</v>
      </c>
      <c r="P231" s="132">
        <f t="shared" ref="P231" si="133">SUM(P232:P243)</f>
        <v>0</v>
      </c>
      <c r="Q231" s="132">
        <f t="shared" ref="Q231" si="134">SUM(Q232:Q243)</f>
        <v>0</v>
      </c>
      <c r="R231" s="132">
        <f t="shared" ref="R231" si="135">SUM(R232:R243)</f>
        <v>0</v>
      </c>
      <c r="S231" s="132">
        <f t="shared" ref="S231" si="136">SUM(S232:S243)</f>
        <v>0</v>
      </c>
      <c r="T231" s="132">
        <f t="shared" ref="T231" si="137">SUM(T232:T243)</f>
        <v>0</v>
      </c>
      <c r="U231" s="132">
        <f t="shared" ref="U231" si="138">SUM(U232:U243)</f>
        <v>0</v>
      </c>
      <c r="V231" s="132">
        <f t="shared" ref="V231" si="139">SUM(V232:V243)</f>
        <v>0</v>
      </c>
      <c r="W231" s="132">
        <f t="shared" ref="W231" si="140">SUM(W232:W243)</f>
        <v>0</v>
      </c>
      <c r="X231" s="132">
        <f t="shared" ref="X231" si="141">SUM(X232:X243)</f>
        <v>0</v>
      </c>
      <c r="Y231" s="132">
        <f t="shared" ref="Y231" si="142">SUM(Y232:Y243)</f>
        <v>0</v>
      </c>
      <c r="Z231" s="132">
        <f t="shared" ref="Z231" si="143">SUM(Z232:Z243)</f>
        <v>0</v>
      </c>
      <c r="AA231" s="132">
        <f t="shared" ref="AA231:AB231" si="144">SUM(AA232:AA243)</f>
        <v>0</v>
      </c>
      <c r="AB231" s="132">
        <f t="shared" si="144"/>
        <v>0</v>
      </c>
      <c r="AC231" s="135"/>
      <c r="AD231" s="478" t="str">
        <f>CONCATENATE(AC231,AC232,AC233,AC234,AC235,AC236,AC237,AC238,AC239,AC240,AC241,AC242,AC243)</f>
        <v/>
      </c>
      <c r="AE231" s="121"/>
      <c r="AF231" s="458" t="str">
        <f>CONCATENATE(AE231,AE232,AE233,AE234,AE235,AE236,AE237,AE238,AE239,AE240,AE241,AE242,AE243)</f>
        <v/>
      </c>
      <c r="AG231" s="108">
        <v>141</v>
      </c>
    </row>
    <row r="232" spans="1:33" s="4" customFormat="1" ht="38.25" customHeight="1" thickBot="1" x14ac:dyDescent="0.5">
      <c r="A232" s="537" t="s">
        <v>128</v>
      </c>
      <c r="B232" s="147" t="s">
        <v>155</v>
      </c>
      <c r="C232" s="193" t="s">
        <v>409</v>
      </c>
      <c r="D232" s="37"/>
      <c r="E232" s="28"/>
      <c r="F232" s="37"/>
      <c r="G232" s="28"/>
      <c r="H232" s="37"/>
      <c r="I232" s="28"/>
      <c r="J232" s="37"/>
      <c r="K232" s="28"/>
      <c r="L232" s="28"/>
      <c r="M232" s="29"/>
      <c r="N232" s="28"/>
      <c r="O232" s="29"/>
      <c r="P232" s="28"/>
      <c r="Q232" s="29"/>
      <c r="R232" s="28"/>
      <c r="S232" s="29"/>
      <c r="T232" s="28"/>
      <c r="U232" s="29"/>
      <c r="V232" s="28"/>
      <c r="W232" s="29"/>
      <c r="X232" s="28"/>
      <c r="Y232" s="29"/>
      <c r="Z232" s="28"/>
      <c r="AA232" s="109"/>
      <c r="AB232" s="100">
        <f t="shared" ref="AB232:AB242" si="145">SUM(D232:AA232)</f>
        <v>0</v>
      </c>
      <c r="AC232" s="134"/>
      <c r="AD232" s="461"/>
      <c r="AE232" s="121"/>
      <c r="AF232" s="459"/>
      <c r="AG232" s="108">
        <v>142</v>
      </c>
    </row>
    <row r="233" spans="1:33" s="4" customFormat="1" ht="38.25" customHeight="1" x14ac:dyDescent="0.45">
      <c r="A233" s="538"/>
      <c r="B233" s="148" t="s">
        <v>156</v>
      </c>
      <c r="C233" s="193" t="s">
        <v>410</v>
      </c>
      <c r="D233" s="36"/>
      <c r="E233" s="27"/>
      <c r="F233" s="36"/>
      <c r="G233" s="27"/>
      <c r="H233" s="36"/>
      <c r="I233" s="27"/>
      <c r="J233" s="36"/>
      <c r="K233" s="27"/>
      <c r="L233" s="26"/>
      <c r="M233" s="28"/>
      <c r="N233" s="26"/>
      <c r="O233" s="28"/>
      <c r="P233" s="26"/>
      <c r="Q233" s="28"/>
      <c r="R233" s="26"/>
      <c r="S233" s="28"/>
      <c r="T233" s="26"/>
      <c r="U233" s="28"/>
      <c r="V233" s="26"/>
      <c r="W233" s="28"/>
      <c r="X233" s="26"/>
      <c r="Y233" s="28"/>
      <c r="Z233" s="26"/>
      <c r="AA233" s="28"/>
      <c r="AB233" s="100">
        <f t="shared" si="145"/>
        <v>0</v>
      </c>
      <c r="AC233" s="124"/>
      <c r="AD233" s="461"/>
      <c r="AE233" s="121"/>
      <c r="AF233" s="459"/>
      <c r="AG233" s="108">
        <v>143</v>
      </c>
    </row>
    <row r="234" spans="1:33" s="4" customFormat="1" ht="38.25" customHeight="1" x14ac:dyDescent="0.45">
      <c r="A234" s="538"/>
      <c r="B234" s="148" t="s">
        <v>157</v>
      </c>
      <c r="C234" s="193" t="s">
        <v>411</v>
      </c>
      <c r="D234" s="36"/>
      <c r="E234" s="27"/>
      <c r="F234" s="36"/>
      <c r="G234" s="27"/>
      <c r="H234" s="36"/>
      <c r="I234" s="27"/>
      <c r="J234" s="36"/>
      <c r="K234" s="27"/>
      <c r="L234" s="25"/>
      <c r="M234" s="25"/>
      <c r="N234" s="25"/>
      <c r="O234" s="25"/>
      <c r="P234" s="25"/>
      <c r="Q234" s="25"/>
      <c r="R234" s="25"/>
      <c r="S234" s="25"/>
      <c r="T234" s="25"/>
      <c r="U234" s="25"/>
      <c r="V234" s="25"/>
      <c r="W234" s="25"/>
      <c r="X234" s="25"/>
      <c r="Y234" s="25"/>
      <c r="Z234" s="25"/>
      <c r="AA234" s="111"/>
      <c r="AB234" s="100">
        <f t="shared" si="145"/>
        <v>0</v>
      </c>
      <c r="AC234" s="123"/>
      <c r="AD234" s="461"/>
      <c r="AE234" s="121"/>
      <c r="AF234" s="459"/>
      <c r="AG234" s="108">
        <v>144</v>
      </c>
    </row>
    <row r="235" spans="1:33" s="4" customFormat="1" ht="38.25" customHeight="1" thickBot="1" x14ac:dyDescent="0.5">
      <c r="A235" s="538"/>
      <c r="B235" s="148" t="s">
        <v>158</v>
      </c>
      <c r="C235" s="193" t="s">
        <v>412</v>
      </c>
      <c r="D235" s="36"/>
      <c r="E235" s="27"/>
      <c r="F235" s="36"/>
      <c r="G235" s="27"/>
      <c r="H235" s="36"/>
      <c r="I235" s="27"/>
      <c r="J235" s="36"/>
      <c r="K235" s="27"/>
      <c r="L235" s="25"/>
      <c r="M235" s="25"/>
      <c r="N235" s="25"/>
      <c r="O235" s="25"/>
      <c r="P235" s="25"/>
      <c r="Q235" s="25"/>
      <c r="R235" s="25"/>
      <c r="S235" s="25"/>
      <c r="T235" s="25"/>
      <c r="U235" s="25"/>
      <c r="V235" s="25"/>
      <c r="W235" s="25"/>
      <c r="X235" s="25"/>
      <c r="Y235" s="25"/>
      <c r="Z235" s="25"/>
      <c r="AA235" s="111"/>
      <c r="AB235" s="100">
        <f t="shared" si="145"/>
        <v>0</v>
      </c>
      <c r="AC235" s="123"/>
      <c r="AD235" s="461"/>
      <c r="AE235" s="121"/>
      <c r="AF235" s="459"/>
      <c r="AG235" s="108">
        <v>145</v>
      </c>
    </row>
    <row r="236" spans="1:33" s="4" customFormat="1" ht="38.25" customHeight="1" thickBot="1" x14ac:dyDescent="0.5">
      <c r="A236" s="538"/>
      <c r="B236" s="148" t="s">
        <v>159</v>
      </c>
      <c r="C236" s="193" t="s">
        <v>413</v>
      </c>
      <c r="D236" s="36"/>
      <c r="E236" s="27"/>
      <c r="F236" s="36"/>
      <c r="G236" s="27"/>
      <c r="H236" s="36"/>
      <c r="I236" s="27"/>
      <c r="J236" s="36"/>
      <c r="K236" s="27"/>
      <c r="L236" s="25"/>
      <c r="M236" s="25"/>
      <c r="N236" s="25"/>
      <c r="O236" s="25"/>
      <c r="P236" s="25"/>
      <c r="Q236" s="25"/>
      <c r="R236" s="25"/>
      <c r="S236" s="25"/>
      <c r="T236" s="25"/>
      <c r="U236" s="25"/>
      <c r="V236" s="25"/>
      <c r="W236" s="25"/>
      <c r="X236" s="25"/>
      <c r="Y236" s="25"/>
      <c r="Z236" s="25"/>
      <c r="AA236" s="111"/>
      <c r="AB236" s="117">
        <f t="shared" si="145"/>
        <v>0</v>
      </c>
      <c r="AC236" s="128"/>
      <c r="AD236" s="461"/>
      <c r="AE236" s="121"/>
      <c r="AF236" s="459"/>
      <c r="AG236" s="108">
        <v>146</v>
      </c>
    </row>
    <row r="237" spans="1:33" s="4" customFormat="1" ht="38.25" customHeight="1" thickBot="1" x14ac:dyDescent="0.5">
      <c r="A237" s="539"/>
      <c r="B237" s="149" t="s">
        <v>160</v>
      </c>
      <c r="C237" s="193" t="s">
        <v>414</v>
      </c>
      <c r="D237" s="97"/>
      <c r="E237" s="98"/>
      <c r="F237" s="97"/>
      <c r="G237" s="98"/>
      <c r="H237" s="97"/>
      <c r="I237" s="98"/>
      <c r="J237" s="97"/>
      <c r="K237" s="98"/>
      <c r="L237" s="98"/>
      <c r="M237" s="98"/>
      <c r="N237" s="98"/>
      <c r="O237" s="98"/>
      <c r="P237" s="98"/>
      <c r="Q237" s="98"/>
      <c r="R237" s="98"/>
      <c r="S237" s="98"/>
      <c r="T237" s="98"/>
      <c r="U237" s="98"/>
      <c r="V237" s="98"/>
      <c r="W237" s="98"/>
      <c r="X237" s="98"/>
      <c r="Y237" s="98"/>
      <c r="Z237" s="98"/>
      <c r="AA237" s="227"/>
      <c r="AB237" s="228"/>
      <c r="AC237" s="129"/>
      <c r="AD237" s="461"/>
      <c r="AE237" s="121"/>
      <c r="AF237" s="459"/>
      <c r="AG237" s="108">
        <v>147</v>
      </c>
    </row>
    <row r="238" spans="1:33" s="4" customFormat="1" ht="38.25" customHeight="1" thickBot="1" x14ac:dyDescent="0.5">
      <c r="A238" s="547" t="s">
        <v>129</v>
      </c>
      <c r="B238" s="150" t="s">
        <v>155</v>
      </c>
      <c r="C238" s="192" t="s">
        <v>415</v>
      </c>
      <c r="D238" s="36"/>
      <c r="E238" s="27"/>
      <c r="F238" s="36"/>
      <c r="G238" s="27"/>
      <c r="H238" s="36"/>
      <c r="I238" s="27"/>
      <c r="J238" s="36"/>
      <c r="K238" s="27"/>
      <c r="L238" s="28"/>
      <c r="M238" s="26"/>
      <c r="N238" s="28"/>
      <c r="O238" s="26"/>
      <c r="P238" s="28"/>
      <c r="Q238" s="26"/>
      <c r="R238" s="28"/>
      <c r="S238" s="26"/>
      <c r="T238" s="28"/>
      <c r="U238" s="26"/>
      <c r="V238" s="28"/>
      <c r="W238" s="26"/>
      <c r="X238" s="28"/>
      <c r="Y238" s="26"/>
      <c r="Z238" s="28"/>
      <c r="AA238" s="105"/>
      <c r="AB238" s="106">
        <f t="shared" si="145"/>
        <v>0</v>
      </c>
      <c r="AC238" s="124"/>
      <c r="AD238" s="461"/>
      <c r="AE238" s="121"/>
      <c r="AF238" s="459"/>
      <c r="AG238" s="108">
        <v>148</v>
      </c>
    </row>
    <row r="239" spans="1:33" s="4" customFormat="1" ht="38.25" customHeight="1" x14ac:dyDescent="0.45">
      <c r="A239" s="547"/>
      <c r="B239" s="148" t="s">
        <v>156</v>
      </c>
      <c r="C239" s="193" t="s">
        <v>416</v>
      </c>
      <c r="D239" s="36"/>
      <c r="E239" s="27"/>
      <c r="F239" s="36"/>
      <c r="G239" s="27"/>
      <c r="H239" s="36"/>
      <c r="I239" s="27"/>
      <c r="J239" s="36"/>
      <c r="K239" s="27"/>
      <c r="L239" s="25"/>
      <c r="M239" s="28"/>
      <c r="N239" s="25"/>
      <c r="O239" s="28"/>
      <c r="P239" s="25"/>
      <c r="Q239" s="28"/>
      <c r="R239" s="25"/>
      <c r="S239" s="28"/>
      <c r="T239" s="25"/>
      <c r="U239" s="28"/>
      <c r="V239" s="25"/>
      <c r="W239" s="28"/>
      <c r="X239" s="25"/>
      <c r="Y239" s="28"/>
      <c r="Z239" s="25"/>
      <c r="AA239" s="28"/>
      <c r="AB239" s="100">
        <f t="shared" si="145"/>
        <v>0</v>
      </c>
      <c r="AC239" s="123"/>
      <c r="AD239" s="461"/>
      <c r="AE239" s="121"/>
      <c r="AF239" s="459"/>
      <c r="AG239" s="108">
        <v>149</v>
      </c>
    </row>
    <row r="240" spans="1:33" s="4" customFormat="1" ht="38.25" customHeight="1" thickBot="1" x14ac:dyDescent="0.5">
      <c r="A240" s="547"/>
      <c r="B240" s="148" t="s">
        <v>157</v>
      </c>
      <c r="C240" s="193" t="s">
        <v>417</v>
      </c>
      <c r="D240" s="36"/>
      <c r="E240" s="27"/>
      <c r="F240" s="36"/>
      <c r="G240" s="27"/>
      <c r="H240" s="36"/>
      <c r="I240" s="27"/>
      <c r="J240" s="36"/>
      <c r="K240" s="27"/>
      <c r="L240" s="25"/>
      <c r="M240" s="25"/>
      <c r="N240" s="25"/>
      <c r="O240" s="25"/>
      <c r="P240" s="25"/>
      <c r="Q240" s="25"/>
      <c r="R240" s="25"/>
      <c r="S240" s="25"/>
      <c r="T240" s="25"/>
      <c r="U240" s="25"/>
      <c r="V240" s="25"/>
      <c r="W240" s="25"/>
      <c r="X240" s="25"/>
      <c r="Y240" s="25"/>
      <c r="Z240" s="25"/>
      <c r="AA240" s="103"/>
      <c r="AB240" s="100">
        <f t="shared" si="145"/>
        <v>0</v>
      </c>
      <c r="AC240" s="123"/>
      <c r="AD240" s="461"/>
      <c r="AE240" s="121"/>
      <c r="AF240" s="459"/>
      <c r="AG240" s="108">
        <v>150</v>
      </c>
    </row>
    <row r="241" spans="1:33" s="4" customFormat="1" ht="38.25" customHeight="1" x14ac:dyDescent="0.45">
      <c r="A241" s="547"/>
      <c r="B241" s="148" t="s">
        <v>158</v>
      </c>
      <c r="C241" s="193" t="s">
        <v>418</v>
      </c>
      <c r="D241" s="36"/>
      <c r="E241" s="27"/>
      <c r="F241" s="36"/>
      <c r="G241" s="27"/>
      <c r="H241" s="36"/>
      <c r="I241" s="27"/>
      <c r="J241" s="36"/>
      <c r="K241" s="27"/>
      <c r="L241" s="25"/>
      <c r="M241" s="25"/>
      <c r="N241" s="25"/>
      <c r="O241" s="25"/>
      <c r="P241" s="25"/>
      <c r="Q241" s="25"/>
      <c r="R241" s="25"/>
      <c r="S241" s="25"/>
      <c r="T241" s="25"/>
      <c r="U241" s="25"/>
      <c r="V241" s="25"/>
      <c r="W241" s="25"/>
      <c r="X241" s="25"/>
      <c r="Y241" s="25"/>
      <c r="Z241" s="25"/>
      <c r="AA241" s="103"/>
      <c r="AB241" s="100">
        <f t="shared" si="145"/>
        <v>0</v>
      </c>
      <c r="AC241" s="128"/>
      <c r="AD241" s="461"/>
      <c r="AE241" s="121"/>
      <c r="AF241" s="459"/>
      <c r="AG241" s="108">
        <v>151</v>
      </c>
    </row>
    <row r="242" spans="1:33" s="4" customFormat="1" ht="38.25" customHeight="1" thickBot="1" x14ac:dyDescent="0.5">
      <c r="A242" s="547"/>
      <c r="B242" s="148" t="s">
        <v>159</v>
      </c>
      <c r="C242" s="193" t="s">
        <v>419</v>
      </c>
      <c r="D242" s="36"/>
      <c r="E242" s="27"/>
      <c r="F242" s="36"/>
      <c r="G242" s="27"/>
      <c r="H242" s="36"/>
      <c r="I242" s="27"/>
      <c r="J242" s="36"/>
      <c r="K242" s="27"/>
      <c r="L242" s="25"/>
      <c r="M242" s="25"/>
      <c r="N242" s="25"/>
      <c r="O242" s="25"/>
      <c r="P242" s="25"/>
      <c r="Q242" s="25"/>
      <c r="R242" s="25"/>
      <c r="S242" s="25"/>
      <c r="T242" s="25"/>
      <c r="U242" s="25"/>
      <c r="V242" s="25"/>
      <c r="W242" s="25"/>
      <c r="X242" s="25"/>
      <c r="Y242" s="25"/>
      <c r="Z242" s="25"/>
      <c r="AA242" s="103"/>
      <c r="AB242" s="117">
        <f t="shared" si="145"/>
        <v>0</v>
      </c>
      <c r="AC242" s="129"/>
      <c r="AD242" s="461"/>
      <c r="AE242" s="121"/>
      <c r="AF242" s="459"/>
      <c r="AG242" s="108">
        <v>152</v>
      </c>
    </row>
    <row r="243" spans="1:33" s="4" customFormat="1" ht="38.25" customHeight="1" thickBot="1" x14ac:dyDescent="0.5">
      <c r="A243" s="547"/>
      <c r="B243" s="151" t="s">
        <v>160</v>
      </c>
      <c r="C243" s="198" t="s">
        <v>420</v>
      </c>
      <c r="D243" s="95"/>
      <c r="E243" s="96"/>
      <c r="F243" s="95"/>
      <c r="G243" s="96"/>
      <c r="H243" s="95"/>
      <c r="I243" s="96"/>
      <c r="J243" s="95"/>
      <c r="K243" s="96"/>
      <c r="L243" s="96"/>
      <c r="M243" s="96"/>
      <c r="N243" s="96"/>
      <c r="O243" s="96"/>
      <c r="P243" s="96"/>
      <c r="Q243" s="96"/>
      <c r="R243" s="96"/>
      <c r="S243" s="96"/>
      <c r="T243" s="96"/>
      <c r="U243" s="96"/>
      <c r="V243" s="96"/>
      <c r="W243" s="96"/>
      <c r="X243" s="96"/>
      <c r="Y243" s="96"/>
      <c r="Z243" s="96"/>
      <c r="AA243" s="199"/>
      <c r="AB243" s="228"/>
      <c r="AC243" s="129"/>
      <c r="AD243" s="462"/>
      <c r="AE243" s="121"/>
      <c r="AF243" s="460"/>
      <c r="AG243" s="108">
        <v>153</v>
      </c>
    </row>
    <row r="244" spans="1:33" s="4" customFormat="1" ht="38.25" customHeight="1" thickBot="1" x14ac:dyDescent="0.5">
      <c r="A244" s="474" t="s">
        <v>248</v>
      </c>
      <c r="B244" s="475"/>
      <c r="C244" s="476"/>
      <c r="D244" s="475"/>
      <c r="E244" s="475"/>
      <c r="F244" s="475"/>
      <c r="G244" s="475"/>
      <c r="H244" s="475"/>
      <c r="I244" s="475"/>
      <c r="J244" s="475"/>
      <c r="K244" s="475"/>
      <c r="L244" s="475"/>
      <c r="M244" s="475"/>
      <c r="N244" s="475"/>
      <c r="O244" s="475"/>
      <c r="P244" s="475"/>
      <c r="Q244" s="475"/>
      <c r="R244" s="475"/>
      <c r="S244" s="475"/>
      <c r="T244" s="475"/>
      <c r="U244" s="475"/>
      <c r="V244" s="475"/>
      <c r="W244" s="475"/>
      <c r="X244" s="475"/>
      <c r="Y244" s="475"/>
      <c r="Z244" s="475"/>
      <c r="AA244" s="475"/>
      <c r="AB244" s="476"/>
      <c r="AC244" s="475"/>
      <c r="AD244" s="475"/>
      <c r="AE244" s="475"/>
      <c r="AF244" s="477"/>
      <c r="AG244" s="108">
        <v>154</v>
      </c>
    </row>
    <row r="245" spans="1:33" s="6" customFormat="1" ht="38.25" customHeight="1" thickBot="1" x14ac:dyDescent="0.5">
      <c r="A245" s="212" t="s">
        <v>146</v>
      </c>
      <c r="B245" s="146" t="s">
        <v>146</v>
      </c>
      <c r="C245" s="198" t="s">
        <v>421</v>
      </c>
      <c r="D245" s="136">
        <f t="shared" ref="D245" si="146">SUM(D246:D251)</f>
        <v>0</v>
      </c>
      <c r="E245" s="136">
        <f t="shared" ref="E245" si="147">SUM(E246:E251)</f>
        <v>0</v>
      </c>
      <c r="F245" s="136">
        <f t="shared" ref="F245" si="148">SUM(F246:F251)</f>
        <v>0</v>
      </c>
      <c r="G245" s="136">
        <f t="shared" ref="G245" si="149">SUM(G246:G251)</f>
        <v>0</v>
      </c>
      <c r="H245" s="136">
        <f t="shared" ref="H245" si="150">SUM(H246:H251)</f>
        <v>0</v>
      </c>
      <c r="I245" s="136">
        <f t="shared" ref="I245" si="151">SUM(I246:I251)</f>
        <v>0</v>
      </c>
      <c r="J245" s="136">
        <f t="shared" ref="J245" si="152">SUM(J246:J251)</f>
        <v>0</v>
      </c>
      <c r="K245" s="136">
        <f t="shared" ref="K245" si="153">SUM(K246:K251)</f>
        <v>0</v>
      </c>
      <c r="L245" s="136">
        <f t="shared" ref="L245" si="154">SUM(L246:L251)</f>
        <v>0</v>
      </c>
      <c r="M245" s="136">
        <f t="shared" ref="M245:AB245" si="155">SUM(M246:M251)</f>
        <v>0</v>
      </c>
      <c r="N245" s="136">
        <f t="shared" si="155"/>
        <v>0</v>
      </c>
      <c r="O245" s="136">
        <f t="shared" si="155"/>
        <v>0</v>
      </c>
      <c r="P245" s="136">
        <f t="shared" si="155"/>
        <v>0</v>
      </c>
      <c r="Q245" s="136">
        <f t="shared" si="155"/>
        <v>0</v>
      </c>
      <c r="R245" s="136">
        <f t="shared" si="155"/>
        <v>0</v>
      </c>
      <c r="S245" s="136">
        <f t="shared" si="155"/>
        <v>0</v>
      </c>
      <c r="T245" s="136">
        <f t="shared" si="155"/>
        <v>0</v>
      </c>
      <c r="U245" s="136">
        <f t="shared" si="155"/>
        <v>0</v>
      </c>
      <c r="V245" s="136">
        <f t="shared" si="155"/>
        <v>0</v>
      </c>
      <c r="W245" s="136">
        <f t="shared" si="155"/>
        <v>0</v>
      </c>
      <c r="X245" s="136">
        <f t="shared" si="155"/>
        <v>0</v>
      </c>
      <c r="Y245" s="136">
        <f t="shared" si="155"/>
        <v>0</v>
      </c>
      <c r="Z245" s="136">
        <f t="shared" si="155"/>
        <v>0</v>
      </c>
      <c r="AA245" s="136">
        <f t="shared" si="155"/>
        <v>0</v>
      </c>
      <c r="AB245" s="136">
        <f t="shared" si="155"/>
        <v>0</v>
      </c>
      <c r="AC245" s="137"/>
      <c r="AD245" s="541" t="str">
        <f>CONCATENATE(AC245,AC246,AC247,AC248,AC249,AC250,AC251)</f>
        <v/>
      </c>
      <c r="AE245" s="138"/>
      <c r="AF245" s="544" t="str">
        <f>CONCATENATE(AE245,AE246,AE247,AE248,AE249,AE250,AE251)</f>
        <v/>
      </c>
      <c r="AG245" s="108">
        <v>155</v>
      </c>
    </row>
    <row r="246" spans="1:33" s="4" customFormat="1" ht="38.25" customHeight="1" thickBot="1" x14ac:dyDescent="0.5">
      <c r="A246" s="213" t="s">
        <v>79</v>
      </c>
      <c r="B246" s="150" t="s">
        <v>161</v>
      </c>
      <c r="C246" s="192" t="s">
        <v>422</v>
      </c>
      <c r="D246" s="38"/>
      <c r="E246" s="28"/>
      <c r="F246" s="37"/>
      <c r="G246" s="28"/>
      <c r="H246" s="37"/>
      <c r="I246" s="28"/>
      <c r="J246" s="37"/>
      <c r="K246" s="28"/>
      <c r="L246" s="28"/>
      <c r="M246" s="29"/>
      <c r="N246" s="28"/>
      <c r="O246" s="29"/>
      <c r="P246" s="28"/>
      <c r="Q246" s="29"/>
      <c r="R246" s="28"/>
      <c r="S246" s="29"/>
      <c r="T246" s="28"/>
      <c r="U246" s="29"/>
      <c r="V246" s="28"/>
      <c r="W246" s="29"/>
      <c r="X246" s="28"/>
      <c r="Y246" s="29"/>
      <c r="Z246" s="28"/>
      <c r="AA246" s="109"/>
      <c r="AB246" s="106">
        <f t="shared" ref="AB246:AB247" si="156">SUM(D246:AA246)</f>
        <v>0</v>
      </c>
      <c r="AC246" s="128"/>
      <c r="AD246" s="542"/>
      <c r="AE246" s="121"/>
      <c r="AF246" s="545"/>
      <c r="AG246" s="108">
        <v>156</v>
      </c>
    </row>
    <row r="247" spans="1:33" s="4" customFormat="1" ht="38.25" customHeight="1" x14ac:dyDescent="0.45">
      <c r="A247" s="208" t="s">
        <v>77</v>
      </c>
      <c r="B247" s="148" t="s">
        <v>162</v>
      </c>
      <c r="C247" s="193" t="s">
        <v>423</v>
      </c>
      <c r="D247" s="110"/>
      <c r="E247" s="27"/>
      <c r="F247" s="36"/>
      <c r="G247" s="27"/>
      <c r="H247" s="36"/>
      <c r="I247" s="27"/>
      <c r="J247" s="36"/>
      <c r="K247" s="27"/>
      <c r="L247" s="25"/>
      <c r="M247" s="28"/>
      <c r="N247" s="25"/>
      <c r="O247" s="28"/>
      <c r="P247" s="25"/>
      <c r="Q247" s="28"/>
      <c r="R247" s="25"/>
      <c r="S247" s="28"/>
      <c r="T247" s="25"/>
      <c r="U247" s="28"/>
      <c r="V247" s="25"/>
      <c r="W247" s="28"/>
      <c r="X247" s="25"/>
      <c r="Y247" s="28"/>
      <c r="Z247" s="25"/>
      <c r="AA247" s="28"/>
      <c r="AB247" s="100">
        <f t="shared" si="156"/>
        <v>0</v>
      </c>
      <c r="AC247" s="129"/>
      <c r="AD247" s="542"/>
      <c r="AE247" s="121"/>
      <c r="AF247" s="545"/>
      <c r="AG247" s="108">
        <v>157</v>
      </c>
    </row>
    <row r="248" spans="1:33" s="4" customFormat="1" ht="38.25" customHeight="1" x14ac:dyDescent="0.45">
      <c r="A248" s="208" t="s">
        <v>123</v>
      </c>
      <c r="B248" s="148" t="s">
        <v>163</v>
      </c>
      <c r="C248" s="193" t="s">
        <v>424</v>
      </c>
      <c r="D248" s="110"/>
      <c r="E248" s="27"/>
      <c r="F248" s="36"/>
      <c r="G248" s="27"/>
      <c r="H248" s="36"/>
      <c r="I248" s="27"/>
      <c r="J248" s="36"/>
      <c r="K248" s="27"/>
      <c r="L248" s="25"/>
      <c r="M248" s="25"/>
      <c r="N248" s="25"/>
      <c r="O248" s="25"/>
      <c r="P248" s="25"/>
      <c r="Q248" s="25"/>
      <c r="R248" s="25"/>
      <c r="S248" s="25"/>
      <c r="T248" s="25"/>
      <c r="U248" s="25"/>
      <c r="V248" s="25"/>
      <c r="W248" s="25"/>
      <c r="X248" s="25"/>
      <c r="Y248" s="25"/>
      <c r="Z248" s="25"/>
      <c r="AA248" s="111"/>
      <c r="AB248" s="100">
        <f t="shared" ref="AB248:AB250" si="157">SUM(D248:AA248)</f>
        <v>0</v>
      </c>
      <c r="AC248" s="129"/>
      <c r="AD248" s="542"/>
      <c r="AE248" s="121"/>
      <c r="AF248" s="545"/>
      <c r="AG248" s="108">
        <v>158</v>
      </c>
    </row>
    <row r="249" spans="1:33" s="4" customFormat="1" ht="38.25" customHeight="1" x14ac:dyDescent="0.45">
      <c r="A249" s="208" t="s">
        <v>167</v>
      </c>
      <c r="B249" s="148" t="s">
        <v>164</v>
      </c>
      <c r="C249" s="193" t="s">
        <v>425</v>
      </c>
      <c r="D249" s="110"/>
      <c r="E249" s="27"/>
      <c r="F249" s="36"/>
      <c r="G249" s="27"/>
      <c r="H249" s="36"/>
      <c r="I249" s="27"/>
      <c r="J249" s="36"/>
      <c r="K249" s="27"/>
      <c r="L249" s="25"/>
      <c r="M249" s="25"/>
      <c r="N249" s="25"/>
      <c r="O249" s="25"/>
      <c r="P249" s="25"/>
      <c r="Q249" s="25"/>
      <c r="R249" s="25"/>
      <c r="S249" s="25"/>
      <c r="T249" s="25"/>
      <c r="U249" s="25"/>
      <c r="V249" s="25"/>
      <c r="W249" s="25"/>
      <c r="X249" s="25"/>
      <c r="Y249" s="25"/>
      <c r="Z249" s="25"/>
      <c r="AA249" s="111"/>
      <c r="AB249" s="100">
        <f t="shared" si="157"/>
        <v>0</v>
      </c>
      <c r="AC249" s="129"/>
      <c r="AD249" s="542"/>
      <c r="AE249" s="121"/>
      <c r="AF249" s="545"/>
      <c r="AG249" s="108">
        <v>159</v>
      </c>
    </row>
    <row r="250" spans="1:33" s="4" customFormat="1" ht="38.25" customHeight="1" thickBot="1" x14ac:dyDescent="0.5">
      <c r="A250" s="208" t="s">
        <v>76</v>
      </c>
      <c r="B250" s="148" t="s">
        <v>165</v>
      </c>
      <c r="C250" s="193" t="s">
        <v>426</v>
      </c>
      <c r="D250" s="110"/>
      <c r="E250" s="27"/>
      <c r="F250" s="36"/>
      <c r="G250" s="27"/>
      <c r="H250" s="36"/>
      <c r="I250" s="27"/>
      <c r="J250" s="36"/>
      <c r="K250" s="27"/>
      <c r="L250" s="25"/>
      <c r="M250" s="25"/>
      <c r="N250" s="25"/>
      <c r="O250" s="25"/>
      <c r="P250" s="25"/>
      <c r="Q250" s="25"/>
      <c r="R250" s="25"/>
      <c r="S250" s="25"/>
      <c r="T250" s="25"/>
      <c r="U250" s="25"/>
      <c r="V250" s="25"/>
      <c r="W250" s="25"/>
      <c r="X250" s="25"/>
      <c r="Y250" s="25"/>
      <c r="Z250" s="25"/>
      <c r="AA250" s="111"/>
      <c r="AB250" s="101">
        <f t="shared" si="157"/>
        <v>0</v>
      </c>
      <c r="AC250" s="130"/>
      <c r="AD250" s="542"/>
      <c r="AE250" s="121"/>
      <c r="AF250" s="545"/>
      <c r="AG250" s="108">
        <v>160</v>
      </c>
    </row>
    <row r="251" spans="1:33" s="4" customFormat="1" ht="38.25" customHeight="1" thickBot="1" x14ac:dyDescent="0.5">
      <c r="A251" s="214" t="s">
        <v>435</v>
      </c>
      <c r="B251" s="149" t="s">
        <v>166</v>
      </c>
      <c r="C251" s="198" t="s">
        <v>427</v>
      </c>
      <c r="D251" s="112"/>
      <c r="E251" s="98"/>
      <c r="F251" s="97"/>
      <c r="G251" s="98"/>
      <c r="H251" s="97"/>
      <c r="I251" s="98"/>
      <c r="J251" s="97"/>
      <c r="K251" s="98"/>
      <c r="L251" s="98"/>
      <c r="M251" s="98"/>
      <c r="N251" s="98"/>
      <c r="O251" s="98"/>
      <c r="P251" s="98"/>
      <c r="Q251" s="98"/>
      <c r="R251" s="98"/>
      <c r="S251" s="98"/>
      <c r="T251" s="98"/>
      <c r="U251" s="98"/>
      <c r="V251" s="98"/>
      <c r="W251" s="98"/>
      <c r="X251" s="98"/>
      <c r="Y251" s="98"/>
      <c r="Z251" s="98"/>
      <c r="AA251" s="227"/>
      <c r="AB251" s="228"/>
      <c r="AC251" s="129"/>
      <c r="AD251" s="543"/>
      <c r="AE251" s="121"/>
      <c r="AF251" s="546"/>
      <c r="AG251" s="108">
        <v>161</v>
      </c>
    </row>
    <row r="252" spans="1:33" ht="45.75" customHeight="1" thickBot="1" x14ac:dyDescent="1.5">
      <c r="A252" s="215" t="s">
        <v>40</v>
      </c>
      <c r="B252" s="152"/>
      <c r="F252" s="2"/>
      <c r="G252" s="2"/>
      <c r="I252" s="2"/>
      <c r="J252" s="2"/>
      <c r="M252" s="2"/>
      <c r="N252" s="2"/>
      <c r="O252" s="2"/>
      <c r="Q252" s="2"/>
      <c r="X252" s="2"/>
    </row>
    <row r="254" spans="1:33" ht="35.25" thickBot="1" x14ac:dyDescent="1.5">
      <c r="A254" s="204"/>
      <c r="B254" s="154"/>
      <c r="E254" s="2"/>
      <c r="F254" s="2"/>
      <c r="G254" s="2"/>
      <c r="H254" s="2"/>
      <c r="I254" s="2"/>
      <c r="J254" s="2"/>
      <c r="K254" s="2"/>
      <c r="L254" s="2"/>
      <c r="M254" s="2"/>
    </row>
    <row r="255" spans="1:33" s="45" customFormat="1" ht="41.25" customHeight="1" thickBot="1" x14ac:dyDescent="0.5">
      <c r="A255" s="524" t="s">
        <v>66</v>
      </c>
      <c r="B255" s="525"/>
      <c r="C255" s="525"/>
      <c r="D255" s="525"/>
      <c r="E255" s="525"/>
      <c r="F255" s="525"/>
      <c r="G255" s="525"/>
      <c r="H255" s="525"/>
      <c r="I255" s="525"/>
      <c r="J255" s="525"/>
      <c r="K255" s="525"/>
      <c r="L255" s="525"/>
      <c r="M255" s="526" t="s">
        <v>63</v>
      </c>
      <c r="N255" s="525"/>
      <c r="O255" s="525"/>
      <c r="P255" s="525"/>
      <c r="Q255" s="525"/>
      <c r="R255" s="525"/>
      <c r="S255" s="525"/>
      <c r="T255" s="525"/>
      <c r="U255" s="525"/>
      <c r="V255" s="525"/>
      <c r="W255" s="525"/>
      <c r="X255" s="525"/>
      <c r="Y255" s="525"/>
      <c r="Z255" s="525"/>
      <c r="AA255" s="525"/>
      <c r="AB255" s="525"/>
      <c r="AC255" s="525"/>
      <c r="AD255" s="525"/>
      <c r="AE255" s="525"/>
      <c r="AF255" s="527"/>
      <c r="AG255" s="93"/>
    </row>
    <row r="256" spans="1:33" ht="30.75" customHeight="1" x14ac:dyDescent="0.95">
      <c r="A256" s="515" t="str">
        <f>CONCATENATE(AD110,AD24,AD61,AD67,AD119,AD186,AD203,AD217,AD231,AD245,AD157,AD149,AD142,AD135,AD45,AD52)</f>
        <v/>
      </c>
      <c r="B256" s="516"/>
      <c r="C256" s="516"/>
      <c r="D256" s="516"/>
      <c r="E256" s="516"/>
      <c r="F256" s="516"/>
      <c r="G256" s="516"/>
      <c r="H256" s="516"/>
      <c r="I256" s="516"/>
      <c r="J256" s="516"/>
      <c r="K256" s="516"/>
      <c r="L256" s="517"/>
      <c r="M256" s="528" t="str">
        <f>IF(LEN(A256)&lt;=0,"","Please ensure you solve the errors appearing on the left . However, In the cases where the errors are valid and can be explained ( We expect this to be very rare cases), Please delete this message and type the  justification for the error here)")</f>
        <v/>
      </c>
      <c r="N256" s="529"/>
      <c r="O256" s="529"/>
      <c r="P256" s="529"/>
      <c r="Q256" s="529"/>
      <c r="R256" s="529"/>
      <c r="S256" s="529"/>
      <c r="T256" s="529"/>
      <c r="U256" s="529"/>
      <c r="V256" s="529"/>
      <c r="W256" s="529"/>
      <c r="X256" s="529"/>
      <c r="Y256" s="529"/>
      <c r="Z256" s="529"/>
      <c r="AA256" s="529"/>
      <c r="AB256" s="529"/>
      <c r="AC256" s="529"/>
      <c r="AD256" s="529"/>
      <c r="AE256" s="529"/>
      <c r="AF256" s="530"/>
    </row>
    <row r="257" spans="1:32" ht="25.5" customHeight="1" x14ac:dyDescent="0.95">
      <c r="A257" s="518"/>
      <c r="B257" s="519"/>
      <c r="C257" s="519"/>
      <c r="D257" s="519"/>
      <c r="E257" s="519"/>
      <c r="F257" s="519"/>
      <c r="G257" s="519"/>
      <c r="H257" s="519"/>
      <c r="I257" s="519"/>
      <c r="J257" s="519"/>
      <c r="K257" s="519"/>
      <c r="L257" s="520"/>
      <c r="M257" s="531"/>
      <c r="N257" s="532"/>
      <c r="O257" s="532"/>
      <c r="P257" s="532"/>
      <c r="Q257" s="532"/>
      <c r="R257" s="532"/>
      <c r="S257" s="532"/>
      <c r="T257" s="532"/>
      <c r="U257" s="532"/>
      <c r="V257" s="532"/>
      <c r="W257" s="532"/>
      <c r="X257" s="532"/>
      <c r="Y257" s="532"/>
      <c r="Z257" s="532"/>
      <c r="AA257" s="532"/>
      <c r="AB257" s="532"/>
      <c r="AC257" s="532"/>
      <c r="AD257" s="532"/>
      <c r="AE257" s="532"/>
      <c r="AF257" s="533"/>
    </row>
    <row r="258" spans="1:32" ht="30.75" customHeight="1" x14ac:dyDescent="0.95">
      <c r="A258" s="518"/>
      <c r="B258" s="519"/>
      <c r="C258" s="519"/>
      <c r="D258" s="519"/>
      <c r="E258" s="519"/>
      <c r="F258" s="519"/>
      <c r="G258" s="519"/>
      <c r="H258" s="519"/>
      <c r="I258" s="519"/>
      <c r="J258" s="519"/>
      <c r="K258" s="519"/>
      <c r="L258" s="520"/>
      <c r="M258" s="531"/>
      <c r="N258" s="532"/>
      <c r="O258" s="532"/>
      <c r="P258" s="532"/>
      <c r="Q258" s="532"/>
      <c r="R258" s="532"/>
      <c r="S258" s="532"/>
      <c r="T258" s="532"/>
      <c r="U258" s="532"/>
      <c r="V258" s="532"/>
      <c r="W258" s="532"/>
      <c r="X258" s="532"/>
      <c r="Y258" s="532"/>
      <c r="Z258" s="532"/>
      <c r="AA258" s="532"/>
      <c r="AB258" s="532"/>
      <c r="AC258" s="532"/>
      <c r="AD258" s="532"/>
      <c r="AE258" s="532"/>
      <c r="AF258" s="533"/>
    </row>
    <row r="259" spans="1:32" ht="25.5" customHeight="1" x14ac:dyDescent="0.95">
      <c r="A259" s="518"/>
      <c r="B259" s="519"/>
      <c r="C259" s="519"/>
      <c r="D259" s="519"/>
      <c r="E259" s="519"/>
      <c r="F259" s="519"/>
      <c r="G259" s="519"/>
      <c r="H259" s="519"/>
      <c r="I259" s="519"/>
      <c r="J259" s="519"/>
      <c r="K259" s="519"/>
      <c r="L259" s="520"/>
      <c r="M259" s="531"/>
      <c r="N259" s="532"/>
      <c r="O259" s="532"/>
      <c r="P259" s="532"/>
      <c r="Q259" s="532"/>
      <c r="R259" s="532"/>
      <c r="S259" s="532"/>
      <c r="T259" s="532"/>
      <c r="U259" s="532"/>
      <c r="V259" s="532"/>
      <c r="W259" s="532"/>
      <c r="X259" s="532"/>
      <c r="Y259" s="532"/>
      <c r="Z259" s="532"/>
      <c r="AA259" s="532"/>
      <c r="AB259" s="532"/>
      <c r="AC259" s="532"/>
      <c r="AD259" s="532"/>
      <c r="AE259" s="532"/>
      <c r="AF259" s="533"/>
    </row>
    <row r="260" spans="1:32" ht="25.5" customHeight="1" x14ac:dyDescent="0.95">
      <c r="A260" s="518"/>
      <c r="B260" s="519"/>
      <c r="C260" s="519"/>
      <c r="D260" s="519"/>
      <c r="E260" s="519"/>
      <c r="F260" s="519"/>
      <c r="G260" s="519"/>
      <c r="H260" s="519"/>
      <c r="I260" s="519"/>
      <c r="J260" s="519"/>
      <c r="K260" s="519"/>
      <c r="L260" s="520"/>
      <c r="M260" s="531"/>
      <c r="N260" s="532"/>
      <c r="O260" s="532"/>
      <c r="P260" s="532"/>
      <c r="Q260" s="532"/>
      <c r="R260" s="532"/>
      <c r="S260" s="532"/>
      <c r="T260" s="532"/>
      <c r="U260" s="532"/>
      <c r="V260" s="532"/>
      <c r="W260" s="532"/>
      <c r="X260" s="532"/>
      <c r="Y260" s="532"/>
      <c r="Z260" s="532"/>
      <c r="AA260" s="532"/>
      <c r="AB260" s="532"/>
      <c r="AC260" s="532"/>
      <c r="AD260" s="532"/>
      <c r="AE260" s="532"/>
      <c r="AF260" s="533"/>
    </row>
    <row r="261" spans="1:32" ht="25.5" customHeight="1" x14ac:dyDescent="0.95">
      <c r="A261" s="518"/>
      <c r="B261" s="519"/>
      <c r="C261" s="519"/>
      <c r="D261" s="519"/>
      <c r="E261" s="519"/>
      <c r="F261" s="519"/>
      <c r="G261" s="519"/>
      <c r="H261" s="519"/>
      <c r="I261" s="519"/>
      <c r="J261" s="519"/>
      <c r="K261" s="519"/>
      <c r="L261" s="520"/>
      <c r="M261" s="531"/>
      <c r="N261" s="532"/>
      <c r="O261" s="532"/>
      <c r="P261" s="532"/>
      <c r="Q261" s="532"/>
      <c r="R261" s="532"/>
      <c r="S261" s="532"/>
      <c r="T261" s="532"/>
      <c r="U261" s="532"/>
      <c r="V261" s="532"/>
      <c r="W261" s="532"/>
      <c r="X261" s="532"/>
      <c r="Y261" s="532"/>
      <c r="Z261" s="532"/>
      <c r="AA261" s="532"/>
      <c r="AB261" s="532"/>
      <c r="AC261" s="532"/>
      <c r="AD261" s="532"/>
      <c r="AE261" s="532"/>
      <c r="AF261" s="533"/>
    </row>
    <row r="262" spans="1:32" ht="25.5" customHeight="1" x14ac:dyDescent="0.95">
      <c r="A262" s="518"/>
      <c r="B262" s="519"/>
      <c r="C262" s="519"/>
      <c r="D262" s="519"/>
      <c r="E262" s="519"/>
      <c r="F262" s="519"/>
      <c r="G262" s="519"/>
      <c r="H262" s="519"/>
      <c r="I262" s="519"/>
      <c r="J262" s="519"/>
      <c r="K262" s="519"/>
      <c r="L262" s="520"/>
      <c r="M262" s="531"/>
      <c r="N262" s="532"/>
      <c r="O262" s="532"/>
      <c r="P262" s="532"/>
      <c r="Q262" s="532"/>
      <c r="R262" s="532"/>
      <c r="S262" s="532"/>
      <c r="T262" s="532"/>
      <c r="U262" s="532"/>
      <c r="V262" s="532"/>
      <c r="W262" s="532"/>
      <c r="X262" s="532"/>
      <c r="Y262" s="532"/>
      <c r="Z262" s="532"/>
      <c r="AA262" s="532"/>
      <c r="AB262" s="532"/>
      <c r="AC262" s="532"/>
      <c r="AD262" s="532"/>
      <c r="AE262" s="532"/>
      <c r="AF262" s="533"/>
    </row>
    <row r="263" spans="1:32" ht="25.5" customHeight="1" x14ac:dyDescent="0.95">
      <c r="A263" s="518"/>
      <c r="B263" s="519"/>
      <c r="C263" s="519"/>
      <c r="D263" s="519"/>
      <c r="E263" s="519"/>
      <c r="F263" s="519"/>
      <c r="G263" s="519"/>
      <c r="H263" s="519"/>
      <c r="I263" s="519"/>
      <c r="J263" s="519"/>
      <c r="K263" s="519"/>
      <c r="L263" s="520"/>
      <c r="M263" s="531"/>
      <c r="N263" s="532"/>
      <c r="O263" s="532"/>
      <c r="P263" s="532"/>
      <c r="Q263" s="532"/>
      <c r="R263" s="532"/>
      <c r="S263" s="532"/>
      <c r="T263" s="532"/>
      <c r="U263" s="532"/>
      <c r="V263" s="532"/>
      <c r="W263" s="532"/>
      <c r="X263" s="532"/>
      <c r="Y263" s="532"/>
      <c r="Z263" s="532"/>
      <c r="AA263" s="532"/>
      <c r="AB263" s="532"/>
      <c r="AC263" s="532"/>
      <c r="AD263" s="532"/>
      <c r="AE263" s="532"/>
      <c r="AF263" s="533"/>
    </row>
    <row r="264" spans="1:32" ht="25.5" customHeight="1" x14ac:dyDescent="0.95">
      <c r="A264" s="518"/>
      <c r="B264" s="519"/>
      <c r="C264" s="519"/>
      <c r="D264" s="519"/>
      <c r="E264" s="519"/>
      <c r="F264" s="519"/>
      <c r="G264" s="519"/>
      <c r="H264" s="519"/>
      <c r="I264" s="519"/>
      <c r="J264" s="519"/>
      <c r="K264" s="519"/>
      <c r="L264" s="520"/>
      <c r="M264" s="531"/>
      <c r="N264" s="532"/>
      <c r="O264" s="532"/>
      <c r="P264" s="532"/>
      <c r="Q264" s="532"/>
      <c r="R264" s="532"/>
      <c r="S264" s="532"/>
      <c r="T264" s="532"/>
      <c r="U264" s="532"/>
      <c r="V264" s="532"/>
      <c r="W264" s="532"/>
      <c r="X264" s="532"/>
      <c r="Y264" s="532"/>
      <c r="Z264" s="532"/>
      <c r="AA264" s="532"/>
      <c r="AB264" s="532"/>
      <c r="AC264" s="532"/>
      <c r="AD264" s="532"/>
      <c r="AE264" s="532"/>
      <c r="AF264" s="533"/>
    </row>
    <row r="265" spans="1:32" ht="25.5" customHeight="1" x14ac:dyDescent="0.95">
      <c r="A265" s="518"/>
      <c r="B265" s="519"/>
      <c r="C265" s="519"/>
      <c r="D265" s="519"/>
      <c r="E265" s="519"/>
      <c r="F265" s="519"/>
      <c r="G265" s="519"/>
      <c r="H265" s="519"/>
      <c r="I265" s="519"/>
      <c r="J265" s="519"/>
      <c r="K265" s="519"/>
      <c r="L265" s="520"/>
      <c r="M265" s="531"/>
      <c r="N265" s="532"/>
      <c r="O265" s="532"/>
      <c r="P265" s="532"/>
      <c r="Q265" s="532"/>
      <c r="R265" s="532"/>
      <c r="S265" s="532"/>
      <c r="T265" s="532"/>
      <c r="U265" s="532"/>
      <c r="V265" s="532"/>
      <c r="W265" s="532"/>
      <c r="X265" s="532"/>
      <c r="Y265" s="532"/>
      <c r="Z265" s="532"/>
      <c r="AA265" s="532"/>
      <c r="AB265" s="532"/>
      <c r="AC265" s="532"/>
      <c r="AD265" s="532"/>
      <c r="AE265" s="532"/>
      <c r="AF265" s="533"/>
    </row>
    <row r="266" spans="1:32" ht="25.5" customHeight="1" x14ac:dyDescent="0.95">
      <c r="A266" s="518"/>
      <c r="B266" s="519"/>
      <c r="C266" s="519"/>
      <c r="D266" s="519"/>
      <c r="E266" s="519"/>
      <c r="F266" s="519"/>
      <c r="G266" s="519"/>
      <c r="H266" s="519"/>
      <c r="I266" s="519"/>
      <c r="J266" s="519"/>
      <c r="K266" s="519"/>
      <c r="L266" s="520"/>
      <c r="M266" s="531"/>
      <c r="N266" s="532"/>
      <c r="O266" s="532"/>
      <c r="P266" s="532"/>
      <c r="Q266" s="532"/>
      <c r="R266" s="532"/>
      <c r="S266" s="532"/>
      <c r="T266" s="532"/>
      <c r="U266" s="532"/>
      <c r="V266" s="532"/>
      <c r="W266" s="532"/>
      <c r="X266" s="532"/>
      <c r="Y266" s="532"/>
      <c r="Z266" s="532"/>
      <c r="AA266" s="532"/>
      <c r="AB266" s="532"/>
      <c r="AC266" s="532"/>
      <c r="AD266" s="532"/>
      <c r="AE266" s="532"/>
      <c r="AF266" s="533"/>
    </row>
    <row r="267" spans="1:32" ht="25.5" customHeight="1" x14ac:dyDescent="0.95">
      <c r="A267" s="518"/>
      <c r="B267" s="519"/>
      <c r="C267" s="519"/>
      <c r="D267" s="519"/>
      <c r="E267" s="519"/>
      <c r="F267" s="519"/>
      <c r="G267" s="519"/>
      <c r="H267" s="519"/>
      <c r="I267" s="519"/>
      <c r="J267" s="519"/>
      <c r="K267" s="519"/>
      <c r="L267" s="520"/>
      <c r="M267" s="531"/>
      <c r="N267" s="532"/>
      <c r="O267" s="532"/>
      <c r="P267" s="532"/>
      <c r="Q267" s="532"/>
      <c r="R267" s="532"/>
      <c r="S267" s="532"/>
      <c r="T267" s="532"/>
      <c r="U267" s="532"/>
      <c r="V267" s="532"/>
      <c r="W267" s="532"/>
      <c r="X267" s="532"/>
      <c r="Y267" s="532"/>
      <c r="Z267" s="532"/>
      <c r="AA267" s="532"/>
      <c r="AB267" s="532"/>
      <c r="AC267" s="532"/>
      <c r="AD267" s="532"/>
      <c r="AE267" s="532"/>
      <c r="AF267" s="533"/>
    </row>
    <row r="268" spans="1:32" ht="25.5" customHeight="1" x14ac:dyDescent="0.95">
      <c r="A268" s="518"/>
      <c r="B268" s="519"/>
      <c r="C268" s="519"/>
      <c r="D268" s="519"/>
      <c r="E268" s="519"/>
      <c r="F268" s="519"/>
      <c r="G268" s="519"/>
      <c r="H268" s="519"/>
      <c r="I268" s="519"/>
      <c r="J268" s="519"/>
      <c r="K268" s="519"/>
      <c r="L268" s="520"/>
      <c r="M268" s="531"/>
      <c r="N268" s="532"/>
      <c r="O268" s="532"/>
      <c r="P268" s="532"/>
      <c r="Q268" s="532"/>
      <c r="R268" s="532"/>
      <c r="S268" s="532"/>
      <c r="T268" s="532"/>
      <c r="U268" s="532"/>
      <c r="V268" s="532"/>
      <c r="W268" s="532"/>
      <c r="X268" s="532"/>
      <c r="Y268" s="532"/>
      <c r="Z268" s="532"/>
      <c r="AA268" s="532"/>
      <c r="AB268" s="532"/>
      <c r="AC268" s="532"/>
      <c r="AD268" s="532"/>
      <c r="AE268" s="532"/>
      <c r="AF268" s="533"/>
    </row>
    <row r="269" spans="1:32" ht="25.5" customHeight="1" x14ac:dyDescent="0.95">
      <c r="A269" s="518"/>
      <c r="B269" s="519"/>
      <c r="C269" s="519"/>
      <c r="D269" s="519"/>
      <c r="E269" s="519"/>
      <c r="F269" s="519"/>
      <c r="G269" s="519"/>
      <c r="H269" s="519"/>
      <c r="I269" s="519"/>
      <c r="J269" s="519"/>
      <c r="K269" s="519"/>
      <c r="L269" s="520"/>
      <c r="M269" s="531"/>
      <c r="N269" s="532"/>
      <c r="O269" s="532"/>
      <c r="P269" s="532"/>
      <c r="Q269" s="532"/>
      <c r="R269" s="532"/>
      <c r="S269" s="532"/>
      <c r="T269" s="532"/>
      <c r="U269" s="532"/>
      <c r="V269" s="532"/>
      <c r="W269" s="532"/>
      <c r="X269" s="532"/>
      <c r="Y269" s="532"/>
      <c r="Z269" s="532"/>
      <c r="AA269" s="532"/>
      <c r="AB269" s="532"/>
      <c r="AC269" s="532"/>
      <c r="AD269" s="532"/>
      <c r="AE269" s="532"/>
      <c r="AF269" s="533"/>
    </row>
    <row r="270" spans="1:32" ht="25.5" customHeight="1" x14ac:dyDescent="0.95">
      <c r="A270" s="518"/>
      <c r="B270" s="519"/>
      <c r="C270" s="519"/>
      <c r="D270" s="519"/>
      <c r="E270" s="519"/>
      <c r="F270" s="519"/>
      <c r="G270" s="519"/>
      <c r="H270" s="519"/>
      <c r="I270" s="519"/>
      <c r="J270" s="519"/>
      <c r="K270" s="519"/>
      <c r="L270" s="520"/>
      <c r="M270" s="531"/>
      <c r="N270" s="532"/>
      <c r="O270" s="532"/>
      <c r="P270" s="532"/>
      <c r="Q270" s="532"/>
      <c r="R270" s="532"/>
      <c r="S270" s="532"/>
      <c r="T270" s="532"/>
      <c r="U270" s="532"/>
      <c r="V270" s="532"/>
      <c r="W270" s="532"/>
      <c r="X270" s="532"/>
      <c r="Y270" s="532"/>
      <c r="Z270" s="532"/>
      <c r="AA270" s="532"/>
      <c r="AB270" s="532"/>
      <c r="AC270" s="532"/>
      <c r="AD270" s="532"/>
      <c r="AE270" s="532"/>
      <c r="AF270" s="533"/>
    </row>
    <row r="271" spans="1:32" ht="25.5" customHeight="1" x14ac:dyDescent="0.95">
      <c r="A271" s="518"/>
      <c r="B271" s="519"/>
      <c r="C271" s="519"/>
      <c r="D271" s="519"/>
      <c r="E271" s="519"/>
      <c r="F271" s="519"/>
      <c r="G271" s="519"/>
      <c r="H271" s="519"/>
      <c r="I271" s="519"/>
      <c r="J271" s="519"/>
      <c r="K271" s="519"/>
      <c r="L271" s="520"/>
      <c r="M271" s="531"/>
      <c r="N271" s="532"/>
      <c r="O271" s="532"/>
      <c r="P271" s="532"/>
      <c r="Q271" s="532"/>
      <c r="R271" s="532"/>
      <c r="S271" s="532"/>
      <c r="T271" s="532"/>
      <c r="U271" s="532"/>
      <c r="V271" s="532"/>
      <c r="W271" s="532"/>
      <c r="X271" s="532"/>
      <c r="Y271" s="532"/>
      <c r="Z271" s="532"/>
      <c r="AA271" s="532"/>
      <c r="AB271" s="532"/>
      <c r="AC271" s="532"/>
      <c r="AD271" s="532"/>
      <c r="AE271" s="532"/>
      <c r="AF271" s="533"/>
    </row>
    <row r="272" spans="1:32" ht="25.5" customHeight="1" x14ac:dyDescent="0.95">
      <c r="A272" s="518"/>
      <c r="B272" s="519"/>
      <c r="C272" s="519"/>
      <c r="D272" s="519"/>
      <c r="E272" s="519"/>
      <c r="F272" s="519"/>
      <c r="G272" s="519"/>
      <c r="H272" s="519"/>
      <c r="I272" s="519"/>
      <c r="J272" s="519"/>
      <c r="K272" s="519"/>
      <c r="L272" s="520"/>
      <c r="M272" s="531"/>
      <c r="N272" s="532"/>
      <c r="O272" s="532"/>
      <c r="P272" s="532"/>
      <c r="Q272" s="532"/>
      <c r="R272" s="532"/>
      <c r="S272" s="532"/>
      <c r="T272" s="532"/>
      <c r="U272" s="532"/>
      <c r="V272" s="532"/>
      <c r="W272" s="532"/>
      <c r="X272" s="532"/>
      <c r="Y272" s="532"/>
      <c r="Z272" s="532"/>
      <c r="AA272" s="532"/>
      <c r="AB272" s="532"/>
      <c r="AC272" s="532"/>
      <c r="AD272" s="532"/>
      <c r="AE272" s="532"/>
      <c r="AF272" s="533"/>
    </row>
    <row r="273" spans="1:33" ht="25.5" customHeight="1" x14ac:dyDescent="0.95">
      <c r="A273" s="518"/>
      <c r="B273" s="519"/>
      <c r="C273" s="519"/>
      <c r="D273" s="519"/>
      <c r="E273" s="519"/>
      <c r="F273" s="519"/>
      <c r="G273" s="519"/>
      <c r="H273" s="519"/>
      <c r="I273" s="519"/>
      <c r="J273" s="519"/>
      <c r="K273" s="519"/>
      <c r="L273" s="520"/>
      <c r="M273" s="531"/>
      <c r="N273" s="532"/>
      <c r="O273" s="532"/>
      <c r="P273" s="532"/>
      <c r="Q273" s="532"/>
      <c r="R273" s="532"/>
      <c r="S273" s="532"/>
      <c r="T273" s="532"/>
      <c r="U273" s="532"/>
      <c r="V273" s="532"/>
      <c r="W273" s="532"/>
      <c r="X273" s="532"/>
      <c r="Y273" s="532"/>
      <c r="Z273" s="532"/>
      <c r="AA273" s="532"/>
      <c r="AB273" s="532"/>
      <c r="AC273" s="532"/>
      <c r="AD273" s="532"/>
      <c r="AE273" s="532"/>
      <c r="AF273" s="533"/>
    </row>
    <row r="274" spans="1:33" ht="25.5" customHeight="1" x14ac:dyDescent="0.95">
      <c r="A274" s="518"/>
      <c r="B274" s="519"/>
      <c r="C274" s="519"/>
      <c r="D274" s="519"/>
      <c r="E274" s="519"/>
      <c r="F274" s="519"/>
      <c r="G274" s="519"/>
      <c r="H274" s="519"/>
      <c r="I274" s="519"/>
      <c r="J274" s="519"/>
      <c r="K274" s="519"/>
      <c r="L274" s="520"/>
      <c r="M274" s="531"/>
      <c r="N274" s="532"/>
      <c r="O274" s="532"/>
      <c r="P274" s="532"/>
      <c r="Q274" s="532"/>
      <c r="R274" s="532"/>
      <c r="S274" s="532"/>
      <c r="T274" s="532"/>
      <c r="U274" s="532"/>
      <c r="V274" s="532"/>
      <c r="W274" s="532"/>
      <c r="X274" s="532"/>
      <c r="Y274" s="532"/>
      <c r="Z274" s="532"/>
      <c r="AA274" s="532"/>
      <c r="AB274" s="532"/>
      <c r="AC274" s="532"/>
      <c r="AD274" s="532"/>
      <c r="AE274" s="532"/>
      <c r="AF274" s="533"/>
    </row>
    <row r="275" spans="1:33" ht="25.5" customHeight="1" x14ac:dyDescent="0.95">
      <c r="A275" s="518"/>
      <c r="B275" s="519"/>
      <c r="C275" s="519"/>
      <c r="D275" s="519"/>
      <c r="E275" s="519"/>
      <c r="F275" s="519"/>
      <c r="G275" s="519"/>
      <c r="H275" s="519"/>
      <c r="I275" s="519"/>
      <c r="J275" s="519"/>
      <c r="K275" s="519"/>
      <c r="L275" s="520"/>
      <c r="M275" s="531"/>
      <c r="N275" s="532"/>
      <c r="O275" s="532"/>
      <c r="P275" s="532"/>
      <c r="Q275" s="532"/>
      <c r="R275" s="532"/>
      <c r="S275" s="532"/>
      <c r="T275" s="532"/>
      <c r="U275" s="532"/>
      <c r="V275" s="532"/>
      <c r="W275" s="532"/>
      <c r="X275" s="532"/>
      <c r="Y275" s="532"/>
      <c r="Z275" s="532"/>
      <c r="AA275" s="532"/>
      <c r="AB275" s="532"/>
      <c r="AC275" s="532"/>
      <c r="AD275" s="532"/>
      <c r="AE275" s="532"/>
      <c r="AF275" s="533"/>
    </row>
    <row r="276" spans="1:33" ht="26.25" customHeight="1" thickBot="1" x14ac:dyDescent="1">
      <c r="A276" s="521"/>
      <c r="B276" s="522"/>
      <c r="C276" s="522"/>
      <c r="D276" s="522"/>
      <c r="E276" s="522"/>
      <c r="F276" s="522"/>
      <c r="G276" s="522"/>
      <c r="H276" s="522"/>
      <c r="I276" s="522"/>
      <c r="J276" s="522"/>
      <c r="K276" s="522"/>
      <c r="L276" s="523"/>
      <c r="M276" s="534"/>
      <c r="N276" s="535"/>
      <c r="O276" s="535"/>
      <c r="P276" s="535"/>
      <c r="Q276" s="535"/>
      <c r="R276" s="535"/>
      <c r="S276" s="535"/>
      <c r="T276" s="535"/>
      <c r="U276" s="535"/>
      <c r="V276" s="535"/>
      <c r="W276" s="535"/>
      <c r="X276" s="535"/>
      <c r="Y276" s="535"/>
      <c r="Z276" s="535"/>
      <c r="AA276" s="535"/>
      <c r="AB276" s="535"/>
      <c r="AC276" s="535"/>
      <c r="AD276" s="535"/>
      <c r="AE276" s="535"/>
      <c r="AF276" s="536"/>
    </row>
    <row r="277" spans="1:33" s="44" customFormat="1" ht="41.25" customHeight="1" thickBot="1" x14ac:dyDescent="1.55">
      <c r="A277" s="510" t="s">
        <v>62</v>
      </c>
      <c r="B277" s="511"/>
      <c r="C277" s="511"/>
      <c r="D277" s="511"/>
      <c r="E277" s="511"/>
      <c r="F277" s="511"/>
      <c r="G277" s="511"/>
      <c r="H277" s="511"/>
      <c r="I277" s="511"/>
      <c r="J277" s="511"/>
      <c r="K277" s="511"/>
      <c r="L277" s="512"/>
      <c r="M277" s="513" t="s">
        <v>64</v>
      </c>
      <c r="N277" s="513"/>
      <c r="O277" s="513"/>
      <c r="P277" s="513"/>
      <c r="Q277" s="513"/>
      <c r="R277" s="513"/>
      <c r="S277" s="513"/>
      <c r="T277" s="513"/>
      <c r="U277" s="513"/>
      <c r="V277" s="513"/>
      <c r="W277" s="513"/>
      <c r="X277" s="513"/>
      <c r="Y277" s="513"/>
      <c r="Z277" s="513"/>
      <c r="AA277" s="513"/>
      <c r="AB277" s="513"/>
      <c r="AC277" s="513"/>
      <c r="AD277" s="513"/>
      <c r="AE277" s="513"/>
      <c r="AF277" s="514"/>
      <c r="AG277" s="94"/>
    </row>
    <row r="278" spans="1:33" ht="30.75" customHeight="1" x14ac:dyDescent="0.95">
      <c r="A278" s="492" t="str">
        <f>CONCATENATE(AF110,AF24,AF61,AF67,AF119,AF186,AF203,AF217,AF231,AF245,AF157,AF149,AF142,AF135,AF52,AF45)</f>
        <v/>
      </c>
      <c r="B278" s="493"/>
      <c r="C278" s="493"/>
      <c r="D278" s="493"/>
      <c r="E278" s="493"/>
      <c r="F278" s="493"/>
      <c r="G278" s="493"/>
      <c r="H278" s="493"/>
      <c r="I278" s="493"/>
      <c r="J278" s="493"/>
      <c r="K278" s="493"/>
      <c r="L278" s="494"/>
      <c r="M278" s="501"/>
      <c r="N278" s="502"/>
      <c r="O278" s="502"/>
      <c r="P278" s="502"/>
      <c r="Q278" s="502"/>
      <c r="R278" s="502"/>
      <c r="S278" s="502"/>
      <c r="T278" s="502"/>
      <c r="U278" s="502"/>
      <c r="V278" s="502"/>
      <c r="W278" s="502"/>
      <c r="X278" s="502"/>
      <c r="Y278" s="502"/>
      <c r="Z278" s="502"/>
      <c r="AA278" s="502"/>
      <c r="AB278" s="502"/>
      <c r="AC278" s="502"/>
      <c r="AD278" s="502"/>
      <c r="AE278" s="502"/>
      <c r="AF278" s="503"/>
    </row>
    <row r="279" spans="1:33" ht="30.75" customHeight="1" x14ac:dyDescent="0.95">
      <c r="A279" s="495"/>
      <c r="B279" s="496"/>
      <c r="C279" s="496"/>
      <c r="D279" s="496"/>
      <c r="E279" s="496"/>
      <c r="F279" s="496"/>
      <c r="G279" s="496"/>
      <c r="H279" s="496"/>
      <c r="I279" s="496"/>
      <c r="J279" s="496"/>
      <c r="K279" s="496"/>
      <c r="L279" s="497"/>
      <c r="M279" s="504"/>
      <c r="N279" s="505"/>
      <c r="O279" s="505"/>
      <c r="P279" s="505"/>
      <c r="Q279" s="505"/>
      <c r="R279" s="505"/>
      <c r="S279" s="505"/>
      <c r="T279" s="505"/>
      <c r="U279" s="505"/>
      <c r="V279" s="505"/>
      <c r="W279" s="505"/>
      <c r="X279" s="505"/>
      <c r="Y279" s="505"/>
      <c r="Z279" s="505"/>
      <c r="AA279" s="505"/>
      <c r="AB279" s="505"/>
      <c r="AC279" s="505"/>
      <c r="AD279" s="505"/>
      <c r="AE279" s="505"/>
      <c r="AF279" s="506"/>
    </row>
    <row r="280" spans="1:33" ht="30.75" customHeight="1" x14ac:dyDescent="0.95">
      <c r="A280" s="495"/>
      <c r="B280" s="496"/>
      <c r="C280" s="496"/>
      <c r="D280" s="496"/>
      <c r="E280" s="496"/>
      <c r="F280" s="496"/>
      <c r="G280" s="496"/>
      <c r="H280" s="496"/>
      <c r="I280" s="496"/>
      <c r="J280" s="496"/>
      <c r="K280" s="496"/>
      <c r="L280" s="497"/>
      <c r="M280" s="504"/>
      <c r="N280" s="505"/>
      <c r="O280" s="505"/>
      <c r="P280" s="505"/>
      <c r="Q280" s="505"/>
      <c r="R280" s="505"/>
      <c r="S280" s="505"/>
      <c r="T280" s="505"/>
      <c r="U280" s="505"/>
      <c r="V280" s="505"/>
      <c r="W280" s="505"/>
      <c r="X280" s="505"/>
      <c r="Y280" s="505"/>
      <c r="Z280" s="505"/>
      <c r="AA280" s="505"/>
      <c r="AB280" s="505"/>
      <c r="AC280" s="505"/>
      <c r="AD280" s="505"/>
      <c r="AE280" s="505"/>
      <c r="AF280" s="506"/>
    </row>
    <row r="281" spans="1:33" ht="30.75" customHeight="1" x14ac:dyDescent="0.95">
      <c r="A281" s="495"/>
      <c r="B281" s="496"/>
      <c r="C281" s="496"/>
      <c r="D281" s="496"/>
      <c r="E281" s="496"/>
      <c r="F281" s="496"/>
      <c r="G281" s="496"/>
      <c r="H281" s="496"/>
      <c r="I281" s="496"/>
      <c r="J281" s="496"/>
      <c r="K281" s="496"/>
      <c r="L281" s="497"/>
      <c r="M281" s="504"/>
      <c r="N281" s="505"/>
      <c r="O281" s="505"/>
      <c r="P281" s="505"/>
      <c r="Q281" s="505"/>
      <c r="R281" s="505"/>
      <c r="S281" s="505"/>
      <c r="T281" s="505"/>
      <c r="U281" s="505"/>
      <c r="V281" s="505"/>
      <c r="W281" s="505"/>
      <c r="X281" s="505"/>
      <c r="Y281" s="505"/>
      <c r="Z281" s="505"/>
      <c r="AA281" s="505"/>
      <c r="AB281" s="505"/>
      <c r="AC281" s="505"/>
      <c r="AD281" s="505"/>
      <c r="AE281" s="505"/>
      <c r="AF281" s="506"/>
    </row>
    <row r="282" spans="1:33" ht="30.75" customHeight="1" x14ac:dyDescent="0.95">
      <c r="A282" s="495"/>
      <c r="B282" s="496"/>
      <c r="C282" s="496"/>
      <c r="D282" s="496"/>
      <c r="E282" s="496"/>
      <c r="F282" s="496"/>
      <c r="G282" s="496"/>
      <c r="H282" s="496"/>
      <c r="I282" s="496"/>
      <c r="J282" s="496"/>
      <c r="K282" s="496"/>
      <c r="L282" s="497"/>
      <c r="M282" s="504"/>
      <c r="N282" s="505"/>
      <c r="O282" s="505"/>
      <c r="P282" s="505"/>
      <c r="Q282" s="505"/>
      <c r="R282" s="505"/>
      <c r="S282" s="505"/>
      <c r="T282" s="505"/>
      <c r="U282" s="505"/>
      <c r="V282" s="505"/>
      <c r="W282" s="505"/>
      <c r="X282" s="505"/>
      <c r="Y282" s="505"/>
      <c r="Z282" s="505"/>
      <c r="AA282" s="505"/>
      <c r="AB282" s="505"/>
      <c r="AC282" s="505"/>
      <c r="AD282" s="505"/>
      <c r="AE282" s="505"/>
      <c r="AF282" s="506"/>
    </row>
    <row r="283" spans="1:33" ht="30.75" customHeight="1" x14ac:dyDescent="0.95">
      <c r="A283" s="495"/>
      <c r="B283" s="496"/>
      <c r="C283" s="496"/>
      <c r="D283" s="496"/>
      <c r="E283" s="496"/>
      <c r="F283" s="496"/>
      <c r="G283" s="496"/>
      <c r="H283" s="496"/>
      <c r="I283" s="496"/>
      <c r="J283" s="496"/>
      <c r="K283" s="496"/>
      <c r="L283" s="497"/>
      <c r="M283" s="504"/>
      <c r="N283" s="505"/>
      <c r="O283" s="505"/>
      <c r="P283" s="505"/>
      <c r="Q283" s="505"/>
      <c r="R283" s="505"/>
      <c r="S283" s="505"/>
      <c r="T283" s="505"/>
      <c r="U283" s="505"/>
      <c r="V283" s="505"/>
      <c r="W283" s="505"/>
      <c r="X283" s="505"/>
      <c r="Y283" s="505"/>
      <c r="Z283" s="505"/>
      <c r="AA283" s="505"/>
      <c r="AB283" s="505"/>
      <c r="AC283" s="505"/>
      <c r="AD283" s="505"/>
      <c r="AE283" s="505"/>
      <c r="AF283" s="506"/>
    </row>
    <row r="284" spans="1:33" ht="30.75" customHeight="1" x14ac:dyDescent="0.95">
      <c r="A284" s="495"/>
      <c r="B284" s="496"/>
      <c r="C284" s="496"/>
      <c r="D284" s="496"/>
      <c r="E284" s="496"/>
      <c r="F284" s="496"/>
      <c r="G284" s="496"/>
      <c r="H284" s="496"/>
      <c r="I284" s="496"/>
      <c r="J284" s="496"/>
      <c r="K284" s="496"/>
      <c r="L284" s="497"/>
      <c r="M284" s="504"/>
      <c r="N284" s="505"/>
      <c r="O284" s="505"/>
      <c r="P284" s="505"/>
      <c r="Q284" s="505"/>
      <c r="R284" s="505"/>
      <c r="S284" s="505"/>
      <c r="T284" s="505"/>
      <c r="U284" s="505"/>
      <c r="V284" s="505"/>
      <c r="W284" s="505"/>
      <c r="X284" s="505"/>
      <c r="Y284" s="505"/>
      <c r="Z284" s="505"/>
      <c r="AA284" s="505"/>
      <c r="AB284" s="505"/>
      <c r="AC284" s="505"/>
      <c r="AD284" s="505"/>
      <c r="AE284" s="505"/>
      <c r="AF284" s="506"/>
    </row>
    <row r="285" spans="1:33" ht="30.75" customHeight="1" x14ac:dyDescent="0.95">
      <c r="A285" s="495"/>
      <c r="B285" s="496"/>
      <c r="C285" s="496"/>
      <c r="D285" s="496"/>
      <c r="E285" s="496"/>
      <c r="F285" s="496"/>
      <c r="G285" s="496"/>
      <c r="H285" s="496"/>
      <c r="I285" s="496"/>
      <c r="J285" s="496"/>
      <c r="K285" s="496"/>
      <c r="L285" s="497"/>
      <c r="M285" s="504"/>
      <c r="N285" s="505"/>
      <c r="O285" s="505"/>
      <c r="P285" s="505"/>
      <c r="Q285" s="505"/>
      <c r="R285" s="505"/>
      <c r="S285" s="505"/>
      <c r="T285" s="505"/>
      <c r="U285" s="505"/>
      <c r="V285" s="505"/>
      <c r="W285" s="505"/>
      <c r="X285" s="505"/>
      <c r="Y285" s="505"/>
      <c r="Z285" s="505"/>
      <c r="AA285" s="505"/>
      <c r="AB285" s="505"/>
      <c r="AC285" s="505"/>
      <c r="AD285" s="505"/>
      <c r="AE285" s="505"/>
      <c r="AF285" s="506"/>
    </row>
    <row r="286" spans="1:33" ht="30.75" customHeight="1" x14ac:dyDescent="0.95">
      <c r="A286" s="495"/>
      <c r="B286" s="496"/>
      <c r="C286" s="496"/>
      <c r="D286" s="496"/>
      <c r="E286" s="496"/>
      <c r="F286" s="496"/>
      <c r="G286" s="496"/>
      <c r="H286" s="496"/>
      <c r="I286" s="496"/>
      <c r="J286" s="496"/>
      <c r="K286" s="496"/>
      <c r="L286" s="497"/>
      <c r="M286" s="504"/>
      <c r="N286" s="505"/>
      <c r="O286" s="505"/>
      <c r="P286" s="505"/>
      <c r="Q286" s="505"/>
      <c r="R286" s="505"/>
      <c r="S286" s="505"/>
      <c r="T286" s="505"/>
      <c r="U286" s="505"/>
      <c r="V286" s="505"/>
      <c r="W286" s="505"/>
      <c r="X286" s="505"/>
      <c r="Y286" s="505"/>
      <c r="Z286" s="505"/>
      <c r="AA286" s="505"/>
      <c r="AB286" s="505"/>
      <c r="AC286" s="505"/>
      <c r="AD286" s="505"/>
      <c r="AE286" s="505"/>
      <c r="AF286" s="506"/>
    </row>
    <row r="287" spans="1:33" ht="30.75" customHeight="1" x14ac:dyDescent="0.95">
      <c r="A287" s="495"/>
      <c r="B287" s="496"/>
      <c r="C287" s="496"/>
      <c r="D287" s="496"/>
      <c r="E287" s="496"/>
      <c r="F287" s="496"/>
      <c r="G287" s="496"/>
      <c r="H287" s="496"/>
      <c r="I287" s="496"/>
      <c r="J287" s="496"/>
      <c r="K287" s="496"/>
      <c r="L287" s="497"/>
      <c r="M287" s="504"/>
      <c r="N287" s="505"/>
      <c r="O287" s="505"/>
      <c r="P287" s="505"/>
      <c r="Q287" s="505"/>
      <c r="R287" s="505"/>
      <c r="S287" s="505"/>
      <c r="T287" s="505"/>
      <c r="U287" s="505"/>
      <c r="V287" s="505"/>
      <c r="W287" s="505"/>
      <c r="X287" s="505"/>
      <c r="Y287" s="505"/>
      <c r="Z287" s="505"/>
      <c r="AA287" s="505"/>
      <c r="AB287" s="505"/>
      <c r="AC287" s="505"/>
      <c r="AD287" s="505"/>
      <c r="AE287" s="505"/>
      <c r="AF287" s="506"/>
    </row>
    <row r="288" spans="1:33" ht="30.75" customHeight="1" x14ac:dyDescent="0.95">
      <c r="A288" s="495"/>
      <c r="B288" s="496"/>
      <c r="C288" s="496"/>
      <c r="D288" s="496"/>
      <c r="E288" s="496"/>
      <c r="F288" s="496"/>
      <c r="G288" s="496"/>
      <c r="H288" s="496"/>
      <c r="I288" s="496"/>
      <c r="J288" s="496"/>
      <c r="K288" s="496"/>
      <c r="L288" s="497"/>
      <c r="M288" s="504"/>
      <c r="N288" s="505"/>
      <c r="O288" s="505"/>
      <c r="P288" s="505"/>
      <c r="Q288" s="505"/>
      <c r="R288" s="505"/>
      <c r="S288" s="505"/>
      <c r="T288" s="505"/>
      <c r="U288" s="505"/>
      <c r="V288" s="505"/>
      <c r="W288" s="505"/>
      <c r="X288" s="505"/>
      <c r="Y288" s="505"/>
      <c r="Z288" s="505"/>
      <c r="AA288" s="505"/>
      <c r="AB288" s="505"/>
      <c r="AC288" s="505"/>
      <c r="AD288" s="505"/>
      <c r="AE288" s="505"/>
      <c r="AF288" s="506"/>
    </row>
    <row r="289" spans="1:32" ht="30.75" customHeight="1" x14ac:dyDescent="0.95">
      <c r="A289" s="495"/>
      <c r="B289" s="496"/>
      <c r="C289" s="496"/>
      <c r="D289" s="496"/>
      <c r="E289" s="496"/>
      <c r="F289" s="496"/>
      <c r="G289" s="496"/>
      <c r="H289" s="496"/>
      <c r="I289" s="496"/>
      <c r="J289" s="496"/>
      <c r="K289" s="496"/>
      <c r="L289" s="497"/>
      <c r="M289" s="504"/>
      <c r="N289" s="505"/>
      <c r="O289" s="505"/>
      <c r="P289" s="505"/>
      <c r="Q289" s="505"/>
      <c r="R289" s="505"/>
      <c r="S289" s="505"/>
      <c r="T289" s="505"/>
      <c r="U289" s="505"/>
      <c r="V289" s="505"/>
      <c r="W289" s="505"/>
      <c r="X289" s="505"/>
      <c r="Y289" s="505"/>
      <c r="Z289" s="505"/>
      <c r="AA289" s="505"/>
      <c r="AB289" s="505"/>
      <c r="AC289" s="505"/>
      <c r="AD289" s="505"/>
      <c r="AE289" s="505"/>
      <c r="AF289" s="506"/>
    </row>
    <row r="290" spans="1:32" ht="30.75" customHeight="1" x14ac:dyDescent="0.95">
      <c r="A290" s="495"/>
      <c r="B290" s="496"/>
      <c r="C290" s="496"/>
      <c r="D290" s="496"/>
      <c r="E290" s="496"/>
      <c r="F290" s="496"/>
      <c r="G290" s="496"/>
      <c r="H290" s="496"/>
      <c r="I290" s="496"/>
      <c r="J290" s="496"/>
      <c r="K290" s="496"/>
      <c r="L290" s="497"/>
      <c r="M290" s="504"/>
      <c r="N290" s="505"/>
      <c r="O290" s="505"/>
      <c r="P290" s="505"/>
      <c r="Q290" s="505"/>
      <c r="R290" s="505"/>
      <c r="S290" s="505"/>
      <c r="T290" s="505"/>
      <c r="U290" s="505"/>
      <c r="V290" s="505"/>
      <c r="W290" s="505"/>
      <c r="X290" s="505"/>
      <c r="Y290" s="505"/>
      <c r="Z290" s="505"/>
      <c r="AA290" s="505"/>
      <c r="AB290" s="505"/>
      <c r="AC290" s="505"/>
      <c r="AD290" s="505"/>
      <c r="AE290" s="505"/>
      <c r="AF290" s="506"/>
    </row>
    <row r="291" spans="1:32" ht="30.75" customHeight="1" x14ac:dyDescent="0.95">
      <c r="A291" s="495"/>
      <c r="B291" s="496"/>
      <c r="C291" s="496"/>
      <c r="D291" s="496"/>
      <c r="E291" s="496"/>
      <c r="F291" s="496"/>
      <c r="G291" s="496"/>
      <c r="H291" s="496"/>
      <c r="I291" s="496"/>
      <c r="J291" s="496"/>
      <c r="K291" s="496"/>
      <c r="L291" s="497"/>
      <c r="M291" s="504"/>
      <c r="N291" s="505"/>
      <c r="O291" s="505"/>
      <c r="P291" s="505"/>
      <c r="Q291" s="505"/>
      <c r="R291" s="505"/>
      <c r="S291" s="505"/>
      <c r="T291" s="505"/>
      <c r="U291" s="505"/>
      <c r="V291" s="505"/>
      <c r="W291" s="505"/>
      <c r="X291" s="505"/>
      <c r="Y291" s="505"/>
      <c r="Z291" s="505"/>
      <c r="AA291" s="505"/>
      <c r="AB291" s="505"/>
      <c r="AC291" s="505"/>
      <c r="AD291" s="505"/>
      <c r="AE291" s="505"/>
      <c r="AF291" s="506"/>
    </row>
    <row r="292" spans="1:32" ht="30.75" customHeight="1" x14ac:dyDescent="0.95">
      <c r="A292" s="495"/>
      <c r="B292" s="496"/>
      <c r="C292" s="496"/>
      <c r="D292" s="496"/>
      <c r="E292" s="496"/>
      <c r="F292" s="496"/>
      <c r="G292" s="496"/>
      <c r="H292" s="496"/>
      <c r="I292" s="496"/>
      <c r="J292" s="496"/>
      <c r="K292" s="496"/>
      <c r="L292" s="497"/>
      <c r="M292" s="504"/>
      <c r="N292" s="505"/>
      <c r="O292" s="505"/>
      <c r="P292" s="505"/>
      <c r="Q292" s="505"/>
      <c r="R292" s="505"/>
      <c r="S292" s="505"/>
      <c r="T292" s="505"/>
      <c r="U292" s="505"/>
      <c r="V292" s="505"/>
      <c r="W292" s="505"/>
      <c r="X292" s="505"/>
      <c r="Y292" s="505"/>
      <c r="Z292" s="505"/>
      <c r="AA292" s="505"/>
      <c r="AB292" s="505"/>
      <c r="AC292" s="505"/>
      <c r="AD292" s="505"/>
      <c r="AE292" s="505"/>
      <c r="AF292" s="506"/>
    </row>
    <row r="293" spans="1:32" ht="30.75" customHeight="1" x14ac:dyDescent="0.95">
      <c r="A293" s="495"/>
      <c r="B293" s="496"/>
      <c r="C293" s="496"/>
      <c r="D293" s="496"/>
      <c r="E293" s="496"/>
      <c r="F293" s="496"/>
      <c r="G293" s="496"/>
      <c r="H293" s="496"/>
      <c r="I293" s="496"/>
      <c r="J293" s="496"/>
      <c r="K293" s="496"/>
      <c r="L293" s="497"/>
      <c r="M293" s="504"/>
      <c r="N293" s="505"/>
      <c r="O293" s="505"/>
      <c r="P293" s="505"/>
      <c r="Q293" s="505"/>
      <c r="R293" s="505"/>
      <c r="S293" s="505"/>
      <c r="T293" s="505"/>
      <c r="U293" s="505"/>
      <c r="V293" s="505"/>
      <c r="W293" s="505"/>
      <c r="X293" s="505"/>
      <c r="Y293" s="505"/>
      <c r="Z293" s="505"/>
      <c r="AA293" s="505"/>
      <c r="AB293" s="505"/>
      <c r="AC293" s="505"/>
      <c r="AD293" s="505"/>
      <c r="AE293" s="505"/>
      <c r="AF293" s="506"/>
    </row>
    <row r="294" spans="1:32" ht="30.75" customHeight="1" x14ac:dyDescent="0.95">
      <c r="A294" s="495"/>
      <c r="B294" s="496"/>
      <c r="C294" s="496"/>
      <c r="D294" s="496"/>
      <c r="E294" s="496"/>
      <c r="F294" s="496"/>
      <c r="G294" s="496"/>
      <c r="H294" s="496"/>
      <c r="I294" s="496"/>
      <c r="J294" s="496"/>
      <c r="K294" s="496"/>
      <c r="L294" s="497"/>
      <c r="M294" s="504"/>
      <c r="N294" s="505"/>
      <c r="O294" s="505"/>
      <c r="P294" s="505"/>
      <c r="Q294" s="505"/>
      <c r="R294" s="505"/>
      <c r="S294" s="505"/>
      <c r="T294" s="505"/>
      <c r="U294" s="505"/>
      <c r="V294" s="505"/>
      <c r="W294" s="505"/>
      <c r="X294" s="505"/>
      <c r="Y294" s="505"/>
      <c r="Z294" s="505"/>
      <c r="AA294" s="505"/>
      <c r="AB294" s="505"/>
      <c r="AC294" s="505"/>
      <c r="AD294" s="505"/>
      <c r="AE294" s="505"/>
      <c r="AF294" s="506"/>
    </row>
    <row r="295" spans="1:32" ht="30.75" customHeight="1" x14ac:dyDescent="0.95">
      <c r="A295" s="495"/>
      <c r="B295" s="496"/>
      <c r="C295" s="496"/>
      <c r="D295" s="496"/>
      <c r="E295" s="496"/>
      <c r="F295" s="496"/>
      <c r="G295" s="496"/>
      <c r="H295" s="496"/>
      <c r="I295" s="496"/>
      <c r="J295" s="496"/>
      <c r="K295" s="496"/>
      <c r="L295" s="497"/>
      <c r="M295" s="504"/>
      <c r="N295" s="505"/>
      <c r="O295" s="505"/>
      <c r="P295" s="505"/>
      <c r="Q295" s="505"/>
      <c r="R295" s="505"/>
      <c r="S295" s="505"/>
      <c r="T295" s="505"/>
      <c r="U295" s="505"/>
      <c r="V295" s="505"/>
      <c r="W295" s="505"/>
      <c r="X295" s="505"/>
      <c r="Y295" s="505"/>
      <c r="Z295" s="505"/>
      <c r="AA295" s="505"/>
      <c r="AB295" s="505"/>
      <c r="AC295" s="505"/>
      <c r="AD295" s="505"/>
      <c r="AE295" s="505"/>
      <c r="AF295" s="506"/>
    </row>
    <row r="296" spans="1:32" ht="30.75" customHeight="1" x14ac:dyDescent="0.95">
      <c r="A296" s="495"/>
      <c r="B296" s="496"/>
      <c r="C296" s="496"/>
      <c r="D296" s="496"/>
      <c r="E296" s="496"/>
      <c r="F296" s="496"/>
      <c r="G296" s="496"/>
      <c r="H296" s="496"/>
      <c r="I296" s="496"/>
      <c r="J296" s="496"/>
      <c r="K296" s="496"/>
      <c r="L296" s="497"/>
      <c r="M296" s="504"/>
      <c r="N296" s="505"/>
      <c r="O296" s="505"/>
      <c r="P296" s="505"/>
      <c r="Q296" s="505"/>
      <c r="R296" s="505"/>
      <c r="S296" s="505"/>
      <c r="T296" s="505"/>
      <c r="U296" s="505"/>
      <c r="V296" s="505"/>
      <c r="W296" s="505"/>
      <c r="X296" s="505"/>
      <c r="Y296" s="505"/>
      <c r="Z296" s="505"/>
      <c r="AA296" s="505"/>
      <c r="AB296" s="505"/>
      <c r="AC296" s="505"/>
      <c r="AD296" s="505"/>
      <c r="AE296" s="505"/>
      <c r="AF296" s="506"/>
    </row>
    <row r="297" spans="1:32" ht="30.75" customHeight="1" x14ac:dyDescent="0.95">
      <c r="A297" s="495"/>
      <c r="B297" s="496"/>
      <c r="C297" s="496"/>
      <c r="D297" s="496"/>
      <c r="E297" s="496"/>
      <c r="F297" s="496"/>
      <c r="G297" s="496"/>
      <c r="H297" s="496"/>
      <c r="I297" s="496"/>
      <c r="J297" s="496"/>
      <c r="K297" s="496"/>
      <c r="L297" s="497"/>
      <c r="M297" s="504"/>
      <c r="N297" s="505"/>
      <c r="O297" s="505"/>
      <c r="P297" s="505"/>
      <c r="Q297" s="505"/>
      <c r="R297" s="505"/>
      <c r="S297" s="505"/>
      <c r="T297" s="505"/>
      <c r="U297" s="505"/>
      <c r="V297" s="505"/>
      <c r="W297" s="505"/>
      <c r="X297" s="505"/>
      <c r="Y297" s="505"/>
      <c r="Z297" s="505"/>
      <c r="AA297" s="505"/>
      <c r="AB297" s="505"/>
      <c r="AC297" s="505"/>
      <c r="AD297" s="505"/>
      <c r="AE297" s="505"/>
      <c r="AF297" s="506"/>
    </row>
    <row r="298" spans="1:32" ht="30.75" customHeight="1" x14ac:dyDescent="0.95">
      <c r="A298" s="495"/>
      <c r="B298" s="496"/>
      <c r="C298" s="496"/>
      <c r="D298" s="496"/>
      <c r="E298" s="496"/>
      <c r="F298" s="496"/>
      <c r="G298" s="496"/>
      <c r="H298" s="496"/>
      <c r="I298" s="496"/>
      <c r="J298" s="496"/>
      <c r="K298" s="496"/>
      <c r="L298" s="497"/>
      <c r="M298" s="504"/>
      <c r="N298" s="505"/>
      <c r="O298" s="505"/>
      <c r="P298" s="505"/>
      <c r="Q298" s="505"/>
      <c r="R298" s="505"/>
      <c r="S298" s="505"/>
      <c r="T298" s="505"/>
      <c r="U298" s="505"/>
      <c r="V298" s="505"/>
      <c r="W298" s="505"/>
      <c r="X298" s="505"/>
      <c r="Y298" s="505"/>
      <c r="Z298" s="505"/>
      <c r="AA298" s="505"/>
      <c r="AB298" s="505"/>
      <c r="AC298" s="505"/>
      <c r="AD298" s="505"/>
      <c r="AE298" s="505"/>
      <c r="AF298" s="506"/>
    </row>
    <row r="299" spans="1:32" ht="30.75" customHeight="1" x14ac:dyDescent="0.95">
      <c r="A299" s="495"/>
      <c r="B299" s="496"/>
      <c r="C299" s="496"/>
      <c r="D299" s="496"/>
      <c r="E299" s="496"/>
      <c r="F299" s="496"/>
      <c r="G299" s="496"/>
      <c r="H299" s="496"/>
      <c r="I299" s="496"/>
      <c r="J299" s="496"/>
      <c r="K299" s="496"/>
      <c r="L299" s="497"/>
      <c r="M299" s="504"/>
      <c r="N299" s="505"/>
      <c r="O299" s="505"/>
      <c r="P299" s="505"/>
      <c r="Q299" s="505"/>
      <c r="R299" s="505"/>
      <c r="S299" s="505"/>
      <c r="T299" s="505"/>
      <c r="U299" s="505"/>
      <c r="V299" s="505"/>
      <c r="W299" s="505"/>
      <c r="X299" s="505"/>
      <c r="Y299" s="505"/>
      <c r="Z299" s="505"/>
      <c r="AA299" s="505"/>
      <c r="AB299" s="505"/>
      <c r="AC299" s="505"/>
      <c r="AD299" s="505"/>
      <c r="AE299" s="505"/>
      <c r="AF299" s="506"/>
    </row>
    <row r="300" spans="1:32" ht="30.75" customHeight="1" x14ac:dyDescent="0.95">
      <c r="A300" s="495"/>
      <c r="B300" s="496"/>
      <c r="C300" s="496"/>
      <c r="D300" s="496"/>
      <c r="E300" s="496"/>
      <c r="F300" s="496"/>
      <c r="G300" s="496"/>
      <c r="H300" s="496"/>
      <c r="I300" s="496"/>
      <c r="J300" s="496"/>
      <c r="K300" s="496"/>
      <c r="L300" s="497"/>
      <c r="M300" s="504"/>
      <c r="N300" s="505"/>
      <c r="O300" s="505"/>
      <c r="P300" s="505"/>
      <c r="Q300" s="505"/>
      <c r="R300" s="505"/>
      <c r="S300" s="505"/>
      <c r="T300" s="505"/>
      <c r="U300" s="505"/>
      <c r="V300" s="505"/>
      <c r="W300" s="505"/>
      <c r="X300" s="505"/>
      <c r="Y300" s="505"/>
      <c r="Z300" s="505"/>
      <c r="AA300" s="505"/>
      <c r="AB300" s="505"/>
      <c r="AC300" s="505"/>
      <c r="AD300" s="505"/>
      <c r="AE300" s="505"/>
      <c r="AF300" s="506"/>
    </row>
    <row r="301" spans="1:32" ht="30.75" customHeight="1" x14ac:dyDescent="0.95">
      <c r="A301" s="495"/>
      <c r="B301" s="496"/>
      <c r="C301" s="496"/>
      <c r="D301" s="496"/>
      <c r="E301" s="496"/>
      <c r="F301" s="496"/>
      <c r="G301" s="496"/>
      <c r="H301" s="496"/>
      <c r="I301" s="496"/>
      <c r="J301" s="496"/>
      <c r="K301" s="496"/>
      <c r="L301" s="497"/>
      <c r="M301" s="504"/>
      <c r="N301" s="505"/>
      <c r="O301" s="505"/>
      <c r="P301" s="505"/>
      <c r="Q301" s="505"/>
      <c r="R301" s="505"/>
      <c r="S301" s="505"/>
      <c r="T301" s="505"/>
      <c r="U301" s="505"/>
      <c r="V301" s="505"/>
      <c r="W301" s="505"/>
      <c r="X301" s="505"/>
      <c r="Y301" s="505"/>
      <c r="Z301" s="505"/>
      <c r="AA301" s="505"/>
      <c r="AB301" s="505"/>
      <c r="AC301" s="505"/>
      <c r="AD301" s="505"/>
      <c r="AE301" s="505"/>
      <c r="AF301" s="506"/>
    </row>
    <row r="302" spans="1:32" ht="30.75" customHeight="1" x14ac:dyDescent="0.95">
      <c r="A302" s="495"/>
      <c r="B302" s="496"/>
      <c r="C302" s="496"/>
      <c r="D302" s="496"/>
      <c r="E302" s="496"/>
      <c r="F302" s="496"/>
      <c r="G302" s="496"/>
      <c r="H302" s="496"/>
      <c r="I302" s="496"/>
      <c r="J302" s="496"/>
      <c r="K302" s="496"/>
      <c r="L302" s="497"/>
      <c r="M302" s="504"/>
      <c r="N302" s="505"/>
      <c r="O302" s="505"/>
      <c r="P302" s="505"/>
      <c r="Q302" s="505"/>
      <c r="R302" s="505"/>
      <c r="S302" s="505"/>
      <c r="T302" s="505"/>
      <c r="U302" s="505"/>
      <c r="V302" s="505"/>
      <c r="W302" s="505"/>
      <c r="X302" s="505"/>
      <c r="Y302" s="505"/>
      <c r="Z302" s="505"/>
      <c r="AA302" s="505"/>
      <c r="AB302" s="505"/>
      <c r="AC302" s="505"/>
      <c r="AD302" s="505"/>
      <c r="AE302" s="505"/>
      <c r="AF302" s="506"/>
    </row>
    <row r="303" spans="1:32" ht="30.75" customHeight="1" x14ac:dyDescent="0.95">
      <c r="A303" s="495"/>
      <c r="B303" s="496"/>
      <c r="C303" s="496"/>
      <c r="D303" s="496"/>
      <c r="E303" s="496"/>
      <c r="F303" s="496"/>
      <c r="G303" s="496"/>
      <c r="H303" s="496"/>
      <c r="I303" s="496"/>
      <c r="J303" s="496"/>
      <c r="K303" s="496"/>
      <c r="L303" s="497"/>
      <c r="M303" s="504"/>
      <c r="N303" s="505"/>
      <c r="O303" s="505"/>
      <c r="P303" s="505"/>
      <c r="Q303" s="505"/>
      <c r="R303" s="505"/>
      <c r="S303" s="505"/>
      <c r="T303" s="505"/>
      <c r="U303" s="505"/>
      <c r="V303" s="505"/>
      <c r="W303" s="505"/>
      <c r="X303" s="505"/>
      <c r="Y303" s="505"/>
      <c r="Z303" s="505"/>
      <c r="AA303" s="505"/>
      <c r="AB303" s="505"/>
      <c r="AC303" s="505"/>
      <c r="AD303" s="505"/>
      <c r="AE303" s="505"/>
      <c r="AF303" s="506"/>
    </row>
    <row r="304" spans="1:32" ht="30.75" customHeight="1" x14ac:dyDescent="0.95">
      <c r="A304" s="495"/>
      <c r="B304" s="496"/>
      <c r="C304" s="496"/>
      <c r="D304" s="496"/>
      <c r="E304" s="496"/>
      <c r="F304" s="496"/>
      <c r="G304" s="496"/>
      <c r="H304" s="496"/>
      <c r="I304" s="496"/>
      <c r="J304" s="496"/>
      <c r="K304" s="496"/>
      <c r="L304" s="497"/>
      <c r="M304" s="504"/>
      <c r="N304" s="505"/>
      <c r="O304" s="505"/>
      <c r="P304" s="505"/>
      <c r="Q304" s="505"/>
      <c r="R304" s="505"/>
      <c r="S304" s="505"/>
      <c r="T304" s="505"/>
      <c r="U304" s="505"/>
      <c r="V304" s="505"/>
      <c r="W304" s="505"/>
      <c r="X304" s="505"/>
      <c r="Y304" s="505"/>
      <c r="Z304" s="505"/>
      <c r="AA304" s="505"/>
      <c r="AB304" s="505"/>
      <c r="AC304" s="505"/>
      <c r="AD304" s="505"/>
      <c r="AE304" s="505"/>
      <c r="AF304" s="506"/>
    </row>
    <row r="305" spans="1:32" ht="30.75" customHeight="1" x14ac:dyDescent="0.95">
      <c r="A305" s="495"/>
      <c r="B305" s="496"/>
      <c r="C305" s="496"/>
      <c r="D305" s="496"/>
      <c r="E305" s="496"/>
      <c r="F305" s="496"/>
      <c r="G305" s="496"/>
      <c r="H305" s="496"/>
      <c r="I305" s="496"/>
      <c r="J305" s="496"/>
      <c r="K305" s="496"/>
      <c r="L305" s="497"/>
      <c r="M305" s="504"/>
      <c r="N305" s="505"/>
      <c r="O305" s="505"/>
      <c r="P305" s="505"/>
      <c r="Q305" s="505"/>
      <c r="R305" s="505"/>
      <c r="S305" s="505"/>
      <c r="T305" s="505"/>
      <c r="U305" s="505"/>
      <c r="V305" s="505"/>
      <c r="W305" s="505"/>
      <c r="X305" s="505"/>
      <c r="Y305" s="505"/>
      <c r="Z305" s="505"/>
      <c r="AA305" s="505"/>
      <c r="AB305" s="505"/>
      <c r="AC305" s="505"/>
      <c r="AD305" s="505"/>
      <c r="AE305" s="505"/>
      <c r="AF305" s="506"/>
    </row>
    <row r="306" spans="1:32" ht="30.75" customHeight="1" x14ac:dyDescent="0.95">
      <c r="A306" s="495"/>
      <c r="B306" s="496"/>
      <c r="C306" s="496"/>
      <c r="D306" s="496"/>
      <c r="E306" s="496"/>
      <c r="F306" s="496"/>
      <c r="G306" s="496"/>
      <c r="H306" s="496"/>
      <c r="I306" s="496"/>
      <c r="J306" s="496"/>
      <c r="K306" s="496"/>
      <c r="L306" s="497"/>
      <c r="M306" s="504"/>
      <c r="N306" s="505"/>
      <c r="O306" s="505"/>
      <c r="P306" s="505"/>
      <c r="Q306" s="505"/>
      <c r="R306" s="505"/>
      <c r="S306" s="505"/>
      <c r="T306" s="505"/>
      <c r="U306" s="505"/>
      <c r="V306" s="505"/>
      <c r="W306" s="505"/>
      <c r="X306" s="505"/>
      <c r="Y306" s="505"/>
      <c r="Z306" s="505"/>
      <c r="AA306" s="505"/>
      <c r="AB306" s="505"/>
      <c r="AC306" s="505"/>
      <c r="AD306" s="505"/>
      <c r="AE306" s="505"/>
      <c r="AF306" s="506"/>
    </row>
    <row r="307" spans="1:32" ht="30.75" customHeight="1" thickBot="1" x14ac:dyDescent="1">
      <c r="A307" s="498"/>
      <c r="B307" s="499"/>
      <c r="C307" s="499"/>
      <c r="D307" s="499"/>
      <c r="E307" s="499"/>
      <c r="F307" s="499"/>
      <c r="G307" s="499"/>
      <c r="H307" s="499"/>
      <c r="I307" s="499"/>
      <c r="J307" s="499"/>
      <c r="K307" s="499"/>
      <c r="L307" s="500"/>
      <c r="M307" s="507"/>
      <c r="N307" s="508"/>
      <c r="O307" s="508"/>
      <c r="P307" s="508"/>
      <c r="Q307" s="508"/>
      <c r="R307" s="508"/>
      <c r="S307" s="508"/>
      <c r="T307" s="508"/>
      <c r="U307" s="508"/>
      <c r="V307" s="508"/>
      <c r="W307" s="508"/>
      <c r="X307" s="508"/>
      <c r="Y307" s="508"/>
      <c r="Z307" s="508"/>
      <c r="AA307" s="508"/>
      <c r="AB307" s="508"/>
      <c r="AC307" s="508"/>
      <c r="AD307" s="508"/>
      <c r="AE307" s="508"/>
      <c r="AF307" s="509"/>
    </row>
  </sheetData>
  <sheetProtection algorithmName="SHA-512" hashValue="8jXxAviXkUxf+kArzvNMmi0r2Wp9W5QULqAfQL0VRVM19S9w1OIGAoNh2iBiIkQGW53X/fRRLwse8v89+vppeg==" saltValue="S3MPTbcQdG2Fuzi8SoXfgA==" spinCount="100000" sheet="1" selectLockedCells="1"/>
  <mergeCells count="241">
    <mergeCell ref="AE59:AE60"/>
    <mergeCell ref="AD59:AD60"/>
    <mergeCell ref="AD61:AD63"/>
    <mergeCell ref="AB184:AB185"/>
    <mergeCell ref="A103:A106"/>
    <mergeCell ref="AC184:AC185"/>
    <mergeCell ref="B184:B185"/>
    <mergeCell ref="C184:C185"/>
    <mergeCell ref="D184:E184"/>
    <mergeCell ref="F184:G184"/>
    <mergeCell ref="H184:I184"/>
    <mergeCell ref="J184:K184"/>
    <mergeCell ref="L184:M184"/>
    <mergeCell ref="N184:O184"/>
    <mergeCell ref="P184:Q184"/>
    <mergeCell ref="D108:E108"/>
    <mergeCell ref="F108:G108"/>
    <mergeCell ref="H108:I108"/>
    <mergeCell ref="J108:K108"/>
    <mergeCell ref="A182:AF182"/>
    <mergeCell ref="AD110:AD115"/>
    <mergeCell ref="AF149:AF154"/>
    <mergeCell ref="A155:AF155"/>
    <mergeCell ref="A119:A120"/>
    <mergeCell ref="A131:A133"/>
    <mergeCell ref="A183:AF183"/>
    <mergeCell ref="A184:A185"/>
    <mergeCell ref="R184:S184"/>
    <mergeCell ref="T184:U184"/>
    <mergeCell ref="V184:W184"/>
    <mergeCell ref="X184:Y184"/>
    <mergeCell ref="Z184:AA184"/>
    <mergeCell ref="AD157:AD181"/>
    <mergeCell ref="AF157:AF181"/>
    <mergeCell ref="N59:O59"/>
    <mergeCell ref="A59:A60"/>
    <mergeCell ref="D59:E59"/>
    <mergeCell ref="F59:G59"/>
    <mergeCell ref="L59:M59"/>
    <mergeCell ref="J59:K59"/>
    <mergeCell ref="AE184:AE185"/>
    <mergeCell ref="P117:Q117"/>
    <mergeCell ref="R117:S117"/>
    <mergeCell ref="T117:U117"/>
    <mergeCell ref="V117:W117"/>
    <mergeCell ref="X117:Y117"/>
    <mergeCell ref="Z117:AA117"/>
    <mergeCell ref="AB117:AB118"/>
    <mergeCell ref="AC117:AC118"/>
    <mergeCell ref="AE117:AE118"/>
    <mergeCell ref="A134:AF134"/>
    <mergeCell ref="AD149:AD154"/>
    <mergeCell ref="C65:C66"/>
    <mergeCell ref="D65:E65"/>
    <mergeCell ref="F65:G65"/>
    <mergeCell ref="H65:I65"/>
    <mergeCell ref="A67:A70"/>
    <mergeCell ref="A83:A86"/>
    <mergeCell ref="A71:A74"/>
    <mergeCell ref="A75:A78"/>
    <mergeCell ref="AC108:AC109"/>
    <mergeCell ref="X108:Y108"/>
    <mergeCell ref="V108:W108"/>
    <mergeCell ref="T108:U108"/>
    <mergeCell ref="R108:S108"/>
    <mergeCell ref="A107:AF107"/>
    <mergeCell ref="N117:O117"/>
    <mergeCell ref="A91:A94"/>
    <mergeCell ref="A95:A98"/>
    <mergeCell ref="A79:A82"/>
    <mergeCell ref="A99:A102"/>
    <mergeCell ref="A65:A66"/>
    <mergeCell ref="R65:S65"/>
    <mergeCell ref="P65:Q65"/>
    <mergeCell ref="N65:O65"/>
    <mergeCell ref="AF24:AF43"/>
    <mergeCell ref="A21:AF21"/>
    <mergeCell ref="AD24:AD43"/>
    <mergeCell ref="AD135:AD140"/>
    <mergeCell ref="AF135:AF140"/>
    <mergeCell ref="AD142:AD147"/>
    <mergeCell ref="AF142:AF147"/>
    <mergeCell ref="A141:AF141"/>
    <mergeCell ref="A148:AF148"/>
    <mergeCell ref="A44:AF44"/>
    <mergeCell ref="AD45:AD50"/>
    <mergeCell ref="AF45:AF50"/>
    <mergeCell ref="AD52:AD57"/>
    <mergeCell ref="AF52:AF57"/>
    <mergeCell ref="A51:AF51"/>
    <mergeCell ref="A64:AF64"/>
    <mergeCell ref="X59:Y59"/>
    <mergeCell ref="T59:U59"/>
    <mergeCell ref="R59:S59"/>
    <mergeCell ref="C59:C60"/>
    <mergeCell ref="B59:B60"/>
    <mergeCell ref="A58:AF58"/>
    <mergeCell ref="AF61:AF63"/>
    <mergeCell ref="AF59:AF60"/>
    <mergeCell ref="AE19:AE20"/>
    <mergeCell ref="D1:E1"/>
    <mergeCell ref="F1:G1"/>
    <mergeCell ref="AB59:AB60"/>
    <mergeCell ref="AC59:AC60"/>
    <mergeCell ref="P59:Q59"/>
    <mergeCell ref="AF8:AF18"/>
    <mergeCell ref="A87:A90"/>
    <mergeCell ref="A8:A10"/>
    <mergeCell ref="F19:G19"/>
    <mergeCell ref="N19:O19"/>
    <mergeCell ref="AD19:AD20"/>
    <mergeCell ref="A24:A28"/>
    <mergeCell ref="L65:M65"/>
    <mergeCell ref="J65:K65"/>
    <mergeCell ref="A29:A31"/>
    <mergeCell ref="A32:A34"/>
    <mergeCell ref="A35:A37"/>
    <mergeCell ref="A38:A40"/>
    <mergeCell ref="A41:A43"/>
    <mergeCell ref="A61:A63"/>
    <mergeCell ref="AD8:AD18"/>
    <mergeCell ref="Z59:AA59"/>
    <mergeCell ref="V59:W59"/>
    <mergeCell ref="P108:Q108"/>
    <mergeCell ref="Z108:AA108"/>
    <mergeCell ref="AB108:AB109"/>
    <mergeCell ref="B1:C1"/>
    <mergeCell ref="AF19:AF20"/>
    <mergeCell ref="A22:AF22"/>
    <mergeCell ref="F5:G5"/>
    <mergeCell ref="H5:I5"/>
    <mergeCell ref="J5:K5"/>
    <mergeCell ref="L5:M5"/>
    <mergeCell ref="N5:O5"/>
    <mergeCell ref="P5:Q5"/>
    <mergeCell ref="AC1:AF1"/>
    <mergeCell ref="X19:Y19"/>
    <mergeCell ref="Z19:AA19"/>
    <mergeCell ref="A2:AC2"/>
    <mergeCell ref="H19:I19"/>
    <mergeCell ref="V19:W19"/>
    <mergeCell ref="AC19:AC20"/>
    <mergeCell ref="AB19:AB20"/>
    <mergeCell ref="T19:U19"/>
    <mergeCell ref="C19:C20"/>
    <mergeCell ref="B19:B20"/>
    <mergeCell ref="A19:A20"/>
    <mergeCell ref="H1:J1"/>
    <mergeCell ref="A7:AF7"/>
    <mergeCell ref="A5:A6"/>
    <mergeCell ref="B5:B6"/>
    <mergeCell ref="C5:C6"/>
    <mergeCell ref="D5:E5"/>
    <mergeCell ref="D4:V4"/>
    <mergeCell ref="K1:Q1"/>
    <mergeCell ref="R1:S1"/>
    <mergeCell ref="T1:V1"/>
    <mergeCell ref="W1:X1"/>
    <mergeCell ref="AA1:AB1"/>
    <mergeCell ref="W4:AF4"/>
    <mergeCell ref="A4:C4"/>
    <mergeCell ref="R5:S5"/>
    <mergeCell ref="T5:U5"/>
    <mergeCell ref="V5:W5"/>
    <mergeCell ref="X5:Y5"/>
    <mergeCell ref="Z5:AA5"/>
    <mergeCell ref="AB5:AB6"/>
    <mergeCell ref="AC5:AC6"/>
    <mergeCell ref="AE5:AE6"/>
    <mergeCell ref="A278:L307"/>
    <mergeCell ref="M278:AF307"/>
    <mergeCell ref="A277:L277"/>
    <mergeCell ref="M277:AF277"/>
    <mergeCell ref="A256:L276"/>
    <mergeCell ref="A255:L255"/>
    <mergeCell ref="M255:AF255"/>
    <mergeCell ref="M256:AF276"/>
    <mergeCell ref="A190:A195"/>
    <mergeCell ref="A196:A201"/>
    <mergeCell ref="AD245:AD251"/>
    <mergeCell ref="AD231:AD243"/>
    <mergeCell ref="AF231:AF243"/>
    <mergeCell ref="AF245:AF251"/>
    <mergeCell ref="A230:AF230"/>
    <mergeCell ref="A232:A237"/>
    <mergeCell ref="A238:A243"/>
    <mergeCell ref="A244:AF244"/>
    <mergeCell ref="AD186:AD201"/>
    <mergeCell ref="A187:A189"/>
    <mergeCell ref="A204:A209"/>
    <mergeCell ref="A210:A215"/>
    <mergeCell ref="A218:A223"/>
    <mergeCell ref="A224:A229"/>
    <mergeCell ref="A202:AF202"/>
    <mergeCell ref="A216:AF216"/>
    <mergeCell ref="AD217:AD229"/>
    <mergeCell ref="AF217:AF229"/>
    <mergeCell ref="AD203:AD215"/>
    <mergeCell ref="AF203:AF215"/>
    <mergeCell ref="AF186:AF201"/>
    <mergeCell ref="L19:M19"/>
    <mergeCell ref="J19:K19"/>
    <mergeCell ref="D19:E19"/>
    <mergeCell ref="R19:S19"/>
    <mergeCell ref="P19:Q19"/>
    <mergeCell ref="T65:U65"/>
    <mergeCell ref="H59:I59"/>
    <mergeCell ref="A110:A115"/>
    <mergeCell ref="A117:A118"/>
    <mergeCell ref="B117:B118"/>
    <mergeCell ref="C117:C118"/>
    <mergeCell ref="D117:E117"/>
    <mergeCell ref="F117:G117"/>
    <mergeCell ref="H117:I117"/>
    <mergeCell ref="J117:K117"/>
    <mergeCell ref="L117:M117"/>
    <mergeCell ref="B65:B66"/>
    <mergeCell ref="A15:A17"/>
    <mergeCell ref="A11:A13"/>
    <mergeCell ref="AF110:AF115"/>
    <mergeCell ref="AF119:AF133"/>
    <mergeCell ref="AD119:AD133"/>
    <mergeCell ref="AE108:AE109"/>
    <mergeCell ref="V65:W65"/>
    <mergeCell ref="X65:Y65"/>
    <mergeCell ref="Z65:AA65"/>
    <mergeCell ref="AD108:AD109"/>
    <mergeCell ref="AF65:AF66"/>
    <mergeCell ref="AE65:AE66"/>
    <mergeCell ref="AD65:AD66"/>
    <mergeCell ref="AB65:AB66"/>
    <mergeCell ref="AC65:AC66"/>
    <mergeCell ref="A116:AF116"/>
    <mergeCell ref="AF67:AF106"/>
    <mergeCell ref="AD67:AD106"/>
    <mergeCell ref="C108:C109"/>
    <mergeCell ref="A108:A109"/>
    <mergeCell ref="B108:B109"/>
    <mergeCell ref="AF108:AF109"/>
    <mergeCell ref="L108:M108"/>
    <mergeCell ref="N108:O108"/>
  </mergeCells>
  <phoneticPr fontId="2" type="noConversion"/>
  <conditionalFormatting sqref="AC24">
    <cfRule type="notContainsBlanks" dxfId="620" priority="2479">
      <formula>LEN(TRIM(AC24))&gt;0</formula>
    </cfRule>
  </conditionalFormatting>
  <conditionalFormatting sqref="AC28:AC29">
    <cfRule type="notContainsBlanks" dxfId="619" priority="2480">
      <formula>LEN(TRIM(AC28))&gt;0</formula>
    </cfRule>
  </conditionalFormatting>
  <conditionalFormatting sqref="AC33:AC34">
    <cfRule type="notContainsBlanks" dxfId="618" priority="2483">
      <formula>LEN(TRIM(AC33))&gt;0</formula>
    </cfRule>
  </conditionalFormatting>
  <conditionalFormatting sqref="AC35:AC36">
    <cfRule type="notContainsBlanks" dxfId="617" priority="2481">
      <formula>LEN(TRIM(AC35))&gt;0</formula>
    </cfRule>
  </conditionalFormatting>
  <conditionalFormatting sqref="AC37:AC38">
    <cfRule type="notContainsBlanks" dxfId="616" priority="2474">
      <formula>LEN(TRIM(AC37))&gt;0</formula>
    </cfRule>
  </conditionalFormatting>
  <conditionalFormatting sqref="AC39:AC40">
    <cfRule type="notContainsBlanks" dxfId="615" priority="2473">
      <formula>LEN(TRIM(AC39))&gt;0</formula>
    </cfRule>
  </conditionalFormatting>
  <conditionalFormatting sqref="AC41:AC42">
    <cfRule type="notContainsBlanks" dxfId="614" priority="2472">
      <formula>LEN(TRIM(AC41))&gt;0</formula>
    </cfRule>
  </conditionalFormatting>
  <conditionalFormatting sqref="AC43">
    <cfRule type="notContainsBlanks" dxfId="613" priority="2470">
      <formula>LEN(TRIM(AC43))&gt;0</formula>
    </cfRule>
  </conditionalFormatting>
  <conditionalFormatting sqref="AC71:AC72 AC85:AC86 AC79:AC80 AC75:AC76">
    <cfRule type="notContainsBlanks" dxfId="612" priority="2484">
      <formula>LEN(TRIM(AC71))&gt;0</formula>
    </cfRule>
  </conditionalFormatting>
  <conditionalFormatting sqref="AC89">
    <cfRule type="notContainsBlanks" dxfId="611" priority="2463">
      <formula>LEN(TRIM(AC89))&gt;0</formula>
    </cfRule>
  </conditionalFormatting>
  <conditionalFormatting sqref="AC26">
    <cfRule type="notContainsBlanks" dxfId="610" priority="2462">
      <formula>LEN(TRIM(AC26))&gt;0</formula>
    </cfRule>
  </conditionalFormatting>
  <conditionalFormatting sqref="AC90">
    <cfRule type="notContainsBlanks" dxfId="609" priority="2461">
      <formula>LEN(TRIM(AC90))&gt;0</formula>
    </cfRule>
  </conditionalFormatting>
  <conditionalFormatting sqref="AC91">
    <cfRule type="notContainsBlanks" dxfId="608" priority="2460">
      <formula>LEN(TRIM(AC91))&gt;0</formula>
    </cfRule>
  </conditionalFormatting>
  <conditionalFormatting sqref="AC92">
    <cfRule type="notContainsBlanks" dxfId="607" priority="2459">
      <formula>LEN(TRIM(AC92))&gt;0</formula>
    </cfRule>
  </conditionalFormatting>
  <conditionalFormatting sqref="AC111">
    <cfRule type="notContainsBlanks" dxfId="606" priority="2458">
      <formula>LEN(TRIM(AC111))&gt;0</formula>
    </cfRule>
  </conditionalFormatting>
  <conditionalFormatting sqref="AE35">
    <cfRule type="notContainsBlanks" dxfId="605" priority="2423">
      <formula>LEN(TRIM(AE35))&gt;0</formula>
    </cfRule>
  </conditionalFormatting>
  <conditionalFormatting sqref="AE61:AF61 AE110:AF110 AE67:AF67 AE24:AF24 AE62:AE63 AE25:AE43 AE111:AE115 AE119:AE133 AE201 AE203:AE215 AE68 AE85:AE86 AE79:AE80 AE71:AE72 AE75:AE76 AE89:AE92 AE95:AE96 AE48:AE49 AE152:AE153">
    <cfRule type="notContainsBlanks" dxfId="604" priority="2420">
      <formula>LEN(TRIM(AE24))&gt;0</formula>
    </cfRule>
  </conditionalFormatting>
  <conditionalFormatting sqref="AE37">
    <cfRule type="notContainsBlanks" dxfId="603" priority="2419">
      <formula>LEN(TRIM(AE37))&gt;0</formula>
    </cfRule>
  </conditionalFormatting>
  <conditionalFormatting sqref="AE39">
    <cfRule type="notContainsBlanks" dxfId="602" priority="2418">
      <formula>LEN(TRIM(AE39))&gt;0</formula>
    </cfRule>
  </conditionalFormatting>
  <conditionalFormatting sqref="AE41">
    <cfRule type="notContainsBlanks" dxfId="601" priority="2417">
      <formula>LEN(TRIM(AE41))&gt;0</formula>
    </cfRule>
  </conditionalFormatting>
  <conditionalFormatting sqref="AE43">
    <cfRule type="notContainsBlanks" dxfId="600" priority="2415">
      <formula>LEN(TRIM(AE43))&gt;0</formula>
    </cfRule>
  </conditionalFormatting>
  <conditionalFormatting sqref="AD61:AD63 AD67 AD24 AD110 AD119 AD203">
    <cfRule type="notContainsBlanks" dxfId="599" priority="2649">
      <formula>LEN(TRIM(AD24))&gt;0</formula>
    </cfRule>
  </conditionalFormatting>
  <conditionalFormatting sqref="AB61:AB63 AB30:AB31 AB67:AB68 AB110:AB115 AB124:AB127 AB206:AB208 AB129:AB133 AB210:AB214 AB121:AB122 AB75:AB76 AB85:AB86 AB79:AB80 AB89:AB92 AB95:AB96 AB48:AB49 AB152:AB153">
    <cfRule type="cellIs" dxfId="598" priority="2404" operator="equal">
      <formula>0</formula>
    </cfRule>
  </conditionalFormatting>
  <conditionalFormatting sqref="A1">
    <cfRule type="cellIs" dxfId="597" priority="2402" operator="equal">
      <formula>0</formula>
    </cfRule>
  </conditionalFormatting>
  <conditionalFormatting sqref="AB29">
    <cfRule type="cellIs" dxfId="596" priority="2394" operator="equal">
      <formula>0</formula>
    </cfRule>
  </conditionalFormatting>
  <conditionalFormatting sqref="AC10 AC13 AC17:AC18">
    <cfRule type="notContainsBlanks" dxfId="595" priority="2182">
      <formula>LEN(TRIM(AC10))&gt;0</formula>
    </cfRule>
  </conditionalFormatting>
  <conditionalFormatting sqref="AE8:AF8 AE9:AE18">
    <cfRule type="notContainsBlanks" dxfId="594" priority="2181">
      <formula>LEN(TRIM(AE8))&gt;0</formula>
    </cfRule>
  </conditionalFormatting>
  <conditionalFormatting sqref="AD8">
    <cfRule type="notContainsBlanks" dxfId="593" priority="2650">
      <formula>LEN(TRIM(AD8))&gt;0</formula>
    </cfRule>
  </conditionalFormatting>
  <conditionalFormatting sqref="AC8">
    <cfRule type="notContainsBlanks" dxfId="592" priority="1894">
      <formula>LEN(TRIM(AC8))&gt;0</formula>
    </cfRule>
  </conditionalFormatting>
  <conditionalFormatting sqref="AC9">
    <cfRule type="notContainsBlanks" dxfId="591" priority="1893">
      <formula>LEN(TRIM(AC9))&gt;0</formula>
    </cfRule>
  </conditionalFormatting>
  <conditionalFormatting sqref="AC68">
    <cfRule type="notContainsBlanks" dxfId="590" priority="1889">
      <formula>LEN(TRIM(AC68))&gt;0</formula>
    </cfRule>
  </conditionalFormatting>
  <conditionalFormatting sqref="D18:AB18">
    <cfRule type="cellIs" dxfId="589" priority="1405" operator="equal">
      <formula>0</formula>
    </cfRule>
  </conditionalFormatting>
  <conditionalFormatting sqref="AC11">
    <cfRule type="notContainsBlanks" dxfId="588" priority="1404">
      <formula>LEN(TRIM(AC11))&gt;0</formula>
    </cfRule>
  </conditionalFormatting>
  <conditionalFormatting sqref="AC12">
    <cfRule type="notContainsBlanks" dxfId="587" priority="1403">
      <formula>LEN(TRIM(AC12))&gt;0</formula>
    </cfRule>
  </conditionalFormatting>
  <conditionalFormatting sqref="AC16">
    <cfRule type="notContainsBlanks" dxfId="586" priority="1401">
      <formula>LEN(TRIM(AC16))&gt;0</formula>
    </cfRule>
  </conditionalFormatting>
  <conditionalFormatting sqref="AC15">
    <cfRule type="notContainsBlanks" dxfId="585" priority="1400">
      <formula>LEN(TRIM(AC15))&gt;0</formula>
    </cfRule>
  </conditionalFormatting>
  <conditionalFormatting sqref="D14:AA14">
    <cfRule type="cellIs" dxfId="584" priority="1384" operator="equal">
      <formula>0</formula>
    </cfRule>
  </conditionalFormatting>
  <conditionalFormatting sqref="AC14">
    <cfRule type="notContainsBlanks" dxfId="583" priority="1383">
      <formula>LEN(TRIM(AC14))&gt;0</formula>
    </cfRule>
  </conditionalFormatting>
  <conditionalFormatting sqref="AB12:AB13">
    <cfRule type="cellIs" dxfId="582" priority="1180" operator="equal">
      <formula>0</formula>
    </cfRule>
  </conditionalFormatting>
  <conditionalFormatting sqref="AB14">
    <cfRule type="cellIs" dxfId="581" priority="1179" operator="equal">
      <formula>0</formula>
    </cfRule>
  </conditionalFormatting>
  <conditionalFormatting sqref="AB15:AB17">
    <cfRule type="cellIs" dxfId="580" priority="1178" operator="equal">
      <formula>0</formula>
    </cfRule>
  </conditionalFormatting>
  <conditionalFormatting sqref="AB11">
    <cfRule type="cellIs" dxfId="579" priority="1101" operator="equal">
      <formula>0</formula>
    </cfRule>
  </conditionalFormatting>
  <conditionalFormatting sqref="AB11">
    <cfRule type="cellIs" dxfId="578" priority="1099" operator="equal">
      <formula>0</formula>
    </cfRule>
  </conditionalFormatting>
  <conditionalFormatting sqref="AB10">
    <cfRule type="cellIs" dxfId="577" priority="1014" operator="equal">
      <formula>0</formula>
    </cfRule>
  </conditionalFormatting>
  <conditionalFormatting sqref="AB8:AB9">
    <cfRule type="cellIs" dxfId="576" priority="1013" operator="equal">
      <formula>0</formula>
    </cfRule>
  </conditionalFormatting>
  <conditionalFormatting sqref="D14:AA14">
    <cfRule type="expression" dxfId="575" priority="2654">
      <formula>#REF!&gt;D14</formula>
    </cfRule>
  </conditionalFormatting>
  <conditionalFormatting sqref="AB24:AB25">
    <cfRule type="cellIs" dxfId="574" priority="708" operator="equal">
      <formula>0</formula>
    </cfRule>
  </conditionalFormatting>
  <conditionalFormatting sqref="AB33:AB34">
    <cfRule type="cellIs" dxfId="573" priority="706" operator="equal">
      <formula>0</formula>
    </cfRule>
  </conditionalFormatting>
  <conditionalFormatting sqref="AB32">
    <cfRule type="cellIs" dxfId="572" priority="705" operator="equal">
      <formula>0</formula>
    </cfRule>
  </conditionalFormatting>
  <conditionalFormatting sqref="AB39:AB40">
    <cfRule type="cellIs" dxfId="571" priority="702" operator="equal">
      <formula>0</formula>
    </cfRule>
  </conditionalFormatting>
  <conditionalFormatting sqref="AB38">
    <cfRule type="cellIs" dxfId="570" priority="701" operator="equal">
      <formula>0</formula>
    </cfRule>
  </conditionalFormatting>
  <conditionalFormatting sqref="AB42:AB43">
    <cfRule type="cellIs" dxfId="569" priority="700" operator="equal">
      <formula>0</formula>
    </cfRule>
  </conditionalFormatting>
  <conditionalFormatting sqref="AB41">
    <cfRule type="cellIs" dxfId="568" priority="699" operator="equal">
      <formula>0</formula>
    </cfRule>
  </conditionalFormatting>
  <conditionalFormatting sqref="D119:AB119">
    <cfRule type="cellIs" dxfId="567" priority="698" operator="equal">
      <formula>0</formula>
    </cfRule>
  </conditionalFormatting>
  <conditionalFormatting sqref="D120:AB120">
    <cfRule type="cellIs" dxfId="566" priority="697" operator="equal">
      <formula>0</formula>
    </cfRule>
  </conditionalFormatting>
  <conditionalFormatting sqref="AE186:AE200">
    <cfRule type="notContainsBlanks" dxfId="565" priority="695">
      <formula>LEN(TRIM(AE186))&gt;0</formula>
    </cfRule>
  </conditionalFormatting>
  <conditionalFormatting sqref="AD186">
    <cfRule type="notContainsBlanks" dxfId="564" priority="696">
      <formula>LEN(TRIM(AD186))&gt;0</formula>
    </cfRule>
  </conditionalFormatting>
  <conditionalFormatting sqref="AB187:AB194 AB204:AB205 AB196:AB200">
    <cfRule type="cellIs" dxfId="563" priority="694" operator="equal">
      <formula>0</formula>
    </cfRule>
  </conditionalFormatting>
  <conditionalFormatting sqref="AE217:AE224 AE228:AE229 AE231:AE235">
    <cfRule type="notContainsBlanks" dxfId="562" priority="685">
      <formula>LEN(TRIM(AE217))&gt;0</formula>
    </cfRule>
  </conditionalFormatting>
  <conditionalFormatting sqref="AD217 AD231">
    <cfRule type="notContainsBlanks" dxfId="561" priority="686">
      <formula>LEN(TRIM(AD217))&gt;0</formula>
    </cfRule>
  </conditionalFormatting>
  <conditionalFormatting sqref="AB228 AB218:AB222 AB224">
    <cfRule type="cellIs" dxfId="560" priority="684" operator="equal">
      <formula>0</formula>
    </cfRule>
  </conditionalFormatting>
  <conditionalFormatting sqref="D217:AB217">
    <cfRule type="cellIs" dxfId="559" priority="683" operator="equal">
      <formula>0</formula>
    </cfRule>
  </conditionalFormatting>
  <conditionalFormatting sqref="AE236:AE237 AE248:AE250">
    <cfRule type="notContainsBlanks" dxfId="558" priority="680">
      <formula>LEN(TRIM(AE236))&gt;0</formula>
    </cfRule>
  </conditionalFormatting>
  <conditionalFormatting sqref="AB248:AB250">
    <cfRule type="cellIs" dxfId="557" priority="679" operator="equal">
      <formula>0</formula>
    </cfRule>
  </conditionalFormatting>
  <conditionalFormatting sqref="AE251">
    <cfRule type="notContainsBlanks" dxfId="556" priority="677">
      <formula>LEN(TRIM(AE251))&gt;0</formula>
    </cfRule>
  </conditionalFormatting>
  <conditionalFormatting sqref="AE225:AE227">
    <cfRule type="notContainsBlanks" dxfId="555" priority="674">
      <formula>LEN(TRIM(AE225))&gt;0</formula>
    </cfRule>
  </conditionalFormatting>
  <conditionalFormatting sqref="AB225:AB227">
    <cfRule type="cellIs" dxfId="554" priority="673" operator="equal">
      <formula>0</formula>
    </cfRule>
  </conditionalFormatting>
  <conditionalFormatting sqref="AE238:AE240">
    <cfRule type="notContainsBlanks" dxfId="553" priority="665">
      <formula>LEN(TRIM(AE238))&gt;0</formula>
    </cfRule>
  </conditionalFormatting>
  <conditionalFormatting sqref="AB232:AB236 AB238:AB242">
    <cfRule type="cellIs" dxfId="552" priority="664" operator="equal">
      <formula>0</formula>
    </cfRule>
  </conditionalFormatting>
  <conditionalFormatting sqref="AE246:AE247">
    <cfRule type="notContainsBlanks" dxfId="551" priority="662">
      <formula>LEN(TRIM(AE246))&gt;0</formula>
    </cfRule>
  </conditionalFormatting>
  <conditionalFormatting sqref="AB246:AB247">
    <cfRule type="cellIs" dxfId="550" priority="661" operator="equal">
      <formula>0</formula>
    </cfRule>
  </conditionalFormatting>
  <conditionalFormatting sqref="AE243 AE245">
    <cfRule type="notContainsBlanks" dxfId="549" priority="659">
      <formula>LEN(TRIM(AE243))&gt;0</formula>
    </cfRule>
  </conditionalFormatting>
  <conditionalFormatting sqref="AD245">
    <cfRule type="notContainsBlanks" dxfId="548" priority="660">
      <formula>LEN(TRIM(AD245))&gt;0</formula>
    </cfRule>
  </conditionalFormatting>
  <conditionalFormatting sqref="AE241:AE242">
    <cfRule type="notContainsBlanks" dxfId="547" priority="656">
      <formula>LEN(TRIM(AE241))&gt;0</formula>
    </cfRule>
  </conditionalFormatting>
  <conditionalFormatting sqref="D203:AB203">
    <cfRule type="cellIs" dxfId="546" priority="648" operator="equal">
      <formula>0</formula>
    </cfRule>
  </conditionalFormatting>
  <conditionalFormatting sqref="D231:AB231">
    <cfRule type="cellIs" dxfId="545" priority="647" operator="equal">
      <formula>0</formula>
    </cfRule>
  </conditionalFormatting>
  <conditionalFormatting sqref="D245:AB245">
    <cfRule type="cellIs" dxfId="544" priority="646" operator="equal">
      <formula>0</formula>
    </cfRule>
  </conditionalFormatting>
  <conditionalFormatting sqref="L68:AA68 L96:AA96">
    <cfRule type="expression" dxfId="543" priority="645">
      <formula>L68&gt;L67</formula>
    </cfRule>
  </conditionalFormatting>
  <conditionalFormatting sqref="L67:AA67">
    <cfRule type="expression" dxfId="542" priority="644">
      <formula>L68&gt;L67</formula>
    </cfRule>
  </conditionalFormatting>
  <conditionalFormatting sqref="M76 O76 Q76 S76 U76 W76 Y76 AA76">
    <cfRule type="expression" dxfId="541" priority="641">
      <formula>M76&gt;M75</formula>
    </cfRule>
  </conditionalFormatting>
  <conditionalFormatting sqref="M75 O75 Q75 S75 U75 W75 Y75 AA75">
    <cfRule type="expression" dxfId="540" priority="640">
      <formula>M76&gt;M75</formula>
    </cfRule>
  </conditionalFormatting>
  <conditionalFormatting sqref="L86 N86 P86 R86 T86 V86 X86 Z86">
    <cfRule type="expression" dxfId="539" priority="637">
      <formula>L86&gt;L85</formula>
    </cfRule>
  </conditionalFormatting>
  <conditionalFormatting sqref="L85 N85 P85 R85 T85 V85 X85 Z85">
    <cfRule type="expression" dxfId="538" priority="636">
      <formula>L86&gt;L85</formula>
    </cfRule>
  </conditionalFormatting>
  <conditionalFormatting sqref="L90:AA90">
    <cfRule type="expression" dxfId="537" priority="635">
      <formula>L90&gt;L89</formula>
    </cfRule>
  </conditionalFormatting>
  <conditionalFormatting sqref="L89:AA89">
    <cfRule type="expression" dxfId="536" priority="634">
      <formula>L90&gt;L89</formula>
    </cfRule>
  </conditionalFormatting>
  <conditionalFormatting sqref="L92:AA92">
    <cfRule type="expression" dxfId="535" priority="633">
      <formula>L92&gt;L91</formula>
    </cfRule>
  </conditionalFormatting>
  <conditionalFormatting sqref="L91:AA91">
    <cfRule type="expression" dxfId="534" priority="632">
      <formula>L92&gt;L91</formula>
    </cfRule>
  </conditionalFormatting>
  <conditionalFormatting sqref="L95:AA95">
    <cfRule type="expression" dxfId="533" priority="630">
      <formula>L96&gt;L95</formula>
    </cfRule>
  </conditionalFormatting>
  <conditionalFormatting sqref="L111:AA111">
    <cfRule type="expression" dxfId="532" priority="629">
      <formula>L111&gt;L110</formula>
    </cfRule>
  </conditionalFormatting>
  <conditionalFormatting sqref="L110:AA110">
    <cfRule type="expression" dxfId="531" priority="628">
      <formula>L111&gt;L110</formula>
    </cfRule>
  </conditionalFormatting>
  <conditionalFormatting sqref="L115:AA115">
    <cfRule type="expression" dxfId="530" priority="627">
      <formula>L115&gt;L114</formula>
    </cfRule>
  </conditionalFormatting>
  <conditionalFormatting sqref="L114:AA114">
    <cfRule type="expression" dxfId="529" priority="626">
      <formula>L115&gt;L114</formula>
    </cfRule>
  </conditionalFormatting>
  <conditionalFormatting sqref="L113:AA113">
    <cfRule type="expression" dxfId="528" priority="625">
      <formula>(L113+L114)&gt;L112</formula>
    </cfRule>
  </conditionalFormatting>
  <conditionalFormatting sqref="L114:AA114">
    <cfRule type="expression" dxfId="527" priority="624">
      <formula>(L113+L114)&gt;L112</formula>
    </cfRule>
  </conditionalFormatting>
  <conditionalFormatting sqref="L112:AA112">
    <cfRule type="expression" dxfId="526" priority="623">
      <formula>(L113+L114)&gt;L112</formula>
    </cfRule>
  </conditionalFormatting>
  <conditionalFormatting sqref="D186:AB186">
    <cfRule type="cellIs" dxfId="525" priority="622" operator="equal">
      <formula>0</formula>
    </cfRule>
  </conditionalFormatting>
  <conditionalFormatting sqref="L187:AA187">
    <cfRule type="expression" dxfId="524" priority="621">
      <formula>(L187+L188+L189)&lt;&gt;L186</formula>
    </cfRule>
  </conditionalFormatting>
  <conditionalFormatting sqref="L188:AA188">
    <cfRule type="expression" dxfId="523" priority="620">
      <formula>(L187+L188+L189)&lt;&gt;L186</formula>
    </cfRule>
  </conditionalFormatting>
  <conditionalFormatting sqref="L189:AA189">
    <cfRule type="expression" dxfId="522" priority="619">
      <formula>(L187+L188+L189)&lt;&gt;L186</formula>
    </cfRule>
  </conditionalFormatting>
  <conditionalFormatting sqref="L186:AB186">
    <cfRule type="expression" dxfId="521" priority="618">
      <formula>(L187+L188+L189)&lt;&gt;L186</formula>
    </cfRule>
  </conditionalFormatting>
  <conditionalFormatting sqref="AB201">
    <cfRule type="expression" dxfId="520" priority="613">
      <formula>AB201&gt;AB200</formula>
    </cfRule>
  </conditionalFormatting>
  <conditionalFormatting sqref="AB128">
    <cfRule type="expression" dxfId="519" priority="615">
      <formula>AB128&gt;AB127</formula>
    </cfRule>
  </conditionalFormatting>
  <conditionalFormatting sqref="AB195">
    <cfRule type="expression" dxfId="518" priority="614">
      <formula>AB195&gt;AB194</formula>
    </cfRule>
  </conditionalFormatting>
  <conditionalFormatting sqref="AB209">
    <cfRule type="expression" dxfId="517" priority="612">
      <formula>AB209&gt;AB208</formula>
    </cfRule>
  </conditionalFormatting>
  <conditionalFormatting sqref="AB215">
    <cfRule type="expression" dxfId="516" priority="611">
      <formula>AB215&gt;AB214</formula>
    </cfRule>
  </conditionalFormatting>
  <conditionalFormatting sqref="AB223">
    <cfRule type="expression" dxfId="515" priority="610">
      <formula>AB223&gt;AB222</formula>
    </cfRule>
  </conditionalFormatting>
  <conditionalFormatting sqref="AB229">
    <cfRule type="expression" dxfId="514" priority="609">
      <formula>AB229&gt;AB228</formula>
    </cfRule>
  </conditionalFormatting>
  <conditionalFormatting sqref="AB237">
    <cfRule type="expression" dxfId="513" priority="608">
      <formula>AB237&gt;AB236</formula>
    </cfRule>
  </conditionalFormatting>
  <conditionalFormatting sqref="AB243">
    <cfRule type="expression" dxfId="512" priority="607">
      <formula>AB243&gt;AB242</formula>
    </cfRule>
  </conditionalFormatting>
  <conditionalFormatting sqref="AB251">
    <cfRule type="expression" dxfId="511" priority="606">
      <formula>AB251&gt;AB250</formula>
    </cfRule>
  </conditionalFormatting>
  <conditionalFormatting sqref="L63:AA63">
    <cfRule type="expression" dxfId="510" priority="605">
      <formula>L63&gt;(L62+L61)</formula>
    </cfRule>
  </conditionalFormatting>
  <conditionalFormatting sqref="L62:AA62">
    <cfRule type="expression" dxfId="509" priority="604">
      <formula>L63&gt;(L62+L61)</formula>
    </cfRule>
  </conditionalFormatting>
  <conditionalFormatting sqref="L61:AA61">
    <cfRule type="expression" dxfId="508" priority="603">
      <formula>L63&gt;(L62+L61)</formula>
    </cfRule>
  </conditionalFormatting>
  <conditionalFormatting sqref="L79:AA79">
    <cfRule type="expression" dxfId="507" priority="2655">
      <formula>L80&gt;L79</formula>
    </cfRule>
  </conditionalFormatting>
  <conditionalFormatting sqref="L80:AA80">
    <cfRule type="expression" dxfId="506" priority="2658">
      <formula>L80&gt;L79</formula>
    </cfRule>
  </conditionalFormatting>
  <conditionalFormatting sqref="AC81:AC82">
    <cfRule type="notContainsBlanks" dxfId="505" priority="600">
      <formula>LEN(TRIM(AC81))&gt;0</formula>
    </cfRule>
  </conditionalFormatting>
  <conditionalFormatting sqref="AE81:AE82">
    <cfRule type="notContainsBlanks" dxfId="504" priority="599">
      <formula>LEN(TRIM(AE81))&gt;0</formula>
    </cfRule>
  </conditionalFormatting>
  <conditionalFormatting sqref="AB81:AB82">
    <cfRule type="cellIs" dxfId="503" priority="598" operator="equal">
      <formula>0</formula>
    </cfRule>
  </conditionalFormatting>
  <conditionalFormatting sqref="L81:AA81">
    <cfRule type="expression" dxfId="502" priority="601">
      <formula>L82&gt;L81</formula>
    </cfRule>
  </conditionalFormatting>
  <conditionalFormatting sqref="L82:AA82">
    <cfRule type="expression" dxfId="501" priority="602">
      <formula>L82&gt;L81</formula>
    </cfRule>
  </conditionalFormatting>
  <conditionalFormatting sqref="AC77:AC78">
    <cfRule type="notContainsBlanks" dxfId="500" priority="597">
      <formula>LEN(TRIM(AC77))&gt;0</formula>
    </cfRule>
  </conditionalFormatting>
  <conditionalFormatting sqref="AE77:AE78">
    <cfRule type="notContainsBlanks" dxfId="499" priority="596">
      <formula>LEN(TRIM(AE77))&gt;0</formula>
    </cfRule>
  </conditionalFormatting>
  <conditionalFormatting sqref="AB77:AB78">
    <cfRule type="cellIs" dxfId="498" priority="595" operator="equal">
      <formula>0</formula>
    </cfRule>
  </conditionalFormatting>
  <conditionalFormatting sqref="M78 O78 Q78 S78 U78 W78 Y78 AA78">
    <cfRule type="expression" dxfId="497" priority="594">
      <formula>M78&gt;M77</formula>
    </cfRule>
  </conditionalFormatting>
  <conditionalFormatting sqref="M77 O77 Q77 S77 U77 W77 Y77 AA77">
    <cfRule type="expression" dxfId="496" priority="593">
      <formula>M78&gt;M77</formula>
    </cfRule>
  </conditionalFormatting>
  <conditionalFormatting sqref="AC69">
    <cfRule type="notContainsBlanks" dxfId="495" priority="591">
      <formula>LEN(TRIM(AC69))&gt;0</formula>
    </cfRule>
  </conditionalFormatting>
  <conditionalFormatting sqref="AE69:AE70">
    <cfRule type="notContainsBlanks" dxfId="494" priority="590">
      <formula>LEN(TRIM(AE69))&gt;0</formula>
    </cfRule>
  </conditionalFormatting>
  <conditionalFormatting sqref="AB69:AB70">
    <cfRule type="cellIs" dxfId="493" priority="589" operator="equal">
      <formula>0</formula>
    </cfRule>
  </conditionalFormatting>
  <conditionalFormatting sqref="AC70">
    <cfRule type="notContainsBlanks" dxfId="492" priority="588">
      <formula>LEN(TRIM(AC70))&gt;0</formula>
    </cfRule>
  </conditionalFormatting>
  <conditionalFormatting sqref="L70:AA70">
    <cfRule type="expression" dxfId="491" priority="587">
      <formula>L70&gt;L69</formula>
    </cfRule>
  </conditionalFormatting>
  <conditionalFormatting sqref="L69:AA69">
    <cfRule type="expression" dxfId="490" priority="586">
      <formula>L70&gt;L69</formula>
    </cfRule>
  </conditionalFormatting>
  <conditionalFormatting sqref="AC73:AC74">
    <cfRule type="notContainsBlanks" dxfId="489" priority="585">
      <formula>LEN(TRIM(AC73))&gt;0</formula>
    </cfRule>
  </conditionalFormatting>
  <conditionalFormatting sqref="AE73:AE74">
    <cfRule type="notContainsBlanks" dxfId="488" priority="584">
      <formula>LEN(TRIM(AE73))&gt;0</formula>
    </cfRule>
  </conditionalFormatting>
  <conditionalFormatting sqref="L88:AA88">
    <cfRule type="expression" dxfId="487" priority="572">
      <formula>L88&gt;L87</formula>
    </cfRule>
  </conditionalFormatting>
  <conditionalFormatting sqref="AC83:AC84">
    <cfRule type="notContainsBlanks" dxfId="486" priority="581">
      <formula>LEN(TRIM(AC83))&gt;0</formula>
    </cfRule>
  </conditionalFormatting>
  <conditionalFormatting sqref="AE83:AE84">
    <cfRule type="notContainsBlanks" dxfId="485" priority="580">
      <formula>LEN(TRIM(AE83))&gt;0</formula>
    </cfRule>
  </conditionalFormatting>
  <conditionalFormatting sqref="AB83:AB84">
    <cfRule type="cellIs" dxfId="484" priority="579" operator="equal">
      <formula>0</formula>
    </cfRule>
  </conditionalFormatting>
  <conditionalFormatting sqref="L84 N84 P84 R84 T84 V84 X84 Z84">
    <cfRule type="expression" dxfId="483" priority="578">
      <formula>L84&gt;L83</formula>
    </cfRule>
  </conditionalFormatting>
  <conditionalFormatting sqref="L83 N83 P83 R83 T83 V83 X83 Z83">
    <cfRule type="expression" dxfId="482" priority="577">
      <formula>L84&gt;L83</formula>
    </cfRule>
  </conditionalFormatting>
  <conditionalFormatting sqref="AC87">
    <cfRule type="notContainsBlanks" dxfId="481" priority="576">
      <formula>LEN(TRIM(AC87))&gt;0</formula>
    </cfRule>
  </conditionalFormatting>
  <conditionalFormatting sqref="AC88">
    <cfRule type="notContainsBlanks" dxfId="480" priority="575">
      <formula>LEN(TRIM(AC88))&gt;0</formula>
    </cfRule>
  </conditionalFormatting>
  <conditionalFormatting sqref="AE87:AE88">
    <cfRule type="notContainsBlanks" dxfId="479" priority="574">
      <formula>LEN(TRIM(AE87))&gt;0</formula>
    </cfRule>
  </conditionalFormatting>
  <conditionalFormatting sqref="AB87:AB88">
    <cfRule type="cellIs" dxfId="478" priority="573" operator="equal">
      <formula>0</formula>
    </cfRule>
  </conditionalFormatting>
  <conditionalFormatting sqref="L87:AA87">
    <cfRule type="expression" dxfId="477" priority="571">
      <formula>L88&gt;L87</formula>
    </cfRule>
  </conditionalFormatting>
  <conditionalFormatting sqref="AC93">
    <cfRule type="notContainsBlanks" dxfId="476" priority="570">
      <formula>LEN(TRIM(AC93))&gt;0</formula>
    </cfRule>
  </conditionalFormatting>
  <conditionalFormatting sqref="AC94">
    <cfRule type="notContainsBlanks" dxfId="475" priority="569">
      <formula>LEN(TRIM(AC94))&gt;0</formula>
    </cfRule>
  </conditionalFormatting>
  <conditionalFormatting sqref="AE93:AE94">
    <cfRule type="notContainsBlanks" dxfId="474" priority="568">
      <formula>LEN(TRIM(AE93))&gt;0</formula>
    </cfRule>
  </conditionalFormatting>
  <conditionalFormatting sqref="AB93:AB94">
    <cfRule type="cellIs" dxfId="473" priority="567" operator="equal">
      <formula>0</formula>
    </cfRule>
  </conditionalFormatting>
  <conditionalFormatting sqref="L94:AA94">
    <cfRule type="expression" dxfId="472" priority="566">
      <formula>L94&gt;L93</formula>
    </cfRule>
  </conditionalFormatting>
  <conditionalFormatting sqref="L93:AA93">
    <cfRule type="expression" dxfId="471" priority="565">
      <formula>L94&gt;L93</formula>
    </cfRule>
  </conditionalFormatting>
  <conditionalFormatting sqref="AE97:AE98">
    <cfRule type="notContainsBlanks" dxfId="470" priority="564">
      <formula>LEN(TRIM(AE97))&gt;0</formula>
    </cfRule>
  </conditionalFormatting>
  <conditionalFormatting sqref="AB97:AB98">
    <cfRule type="cellIs" dxfId="469" priority="563" operator="equal">
      <formula>0</formula>
    </cfRule>
  </conditionalFormatting>
  <conditionalFormatting sqref="L98:AA98">
    <cfRule type="expression" dxfId="468" priority="562">
      <formula>L98&gt;L97</formula>
    </cfRule>
  </conditionalFormatting>
  <conditionalFormatting sqref="L97:AA97">
    <cfRule type="expression" dxfId="467" priority="561">
      <formula>L98&gt;L97</formula>
    </cfRule>
  </conditionalFormatting>
  <conditionalFormatting sqref="AE99:AE100">
    <cfRule type="notContainsBlanks" dxfId="466" priority="560">
      <formula>LEN(TRIM(AE99))&gt;0</formula>
    </cfRule>
  </conditionalFormatting>
  <conditionalFormatting sqref="AE101:AE102">
    <cfRule type="notContainsBlanks" dxfId="465" priority="556">
      <formula>LEN(TRIM(AE101))&gt;0</formula>
    </cfRule>
  </conditionalFormatting>
  <conditionalFormatting sqref="AB72">
    <cfRule type="expression" dxfId="464" priority="552">
      <formula>AB72&gt;AB71</formula>
    </cfRule>
  </conditionalFormatting>
  <conditionalFormatting sqref="AB71">
    <cfRule type="expression" dxfId="463" priority="280">
      <formula>(AB71+AB73)&gt;AB36</formula>
    </cfRule>
    <cfRule type="expression" dxfId="462" priority="551">
      <formula>AB72&gt;AB71</formula>
    </cfRule>
  </conditionalFormatting>
  <conditionalFormatting sqref="AB74">
    <cfRule type="expression" dxfId="461" priority="550">
      <formula>AB74&gt;AB73</formula>
    </cfRule>
  </conditionalFormatting>
  <conditionalFormatting sqref="AB73">
    <cfRule type="expression" dxfId="460" priority="279">
      <formula>(AB71+AB73)&gt;AB36</formula>
    </cfRule>
    <cfRule type="expression" dxfId="459" priority="549">
      <formula>AB74&gt;AB73</formula>
    </cfRule>
  </conditionalFormatting>
  <conditionalFormatting sqref="AE50">
    <cfRule type="notContainsBlanks" dxfId="458" priority="546">
      <formula>LEN(TRIM(AE50))&gt;0</formula>
    </cfRule>
  </conditionalFormatting>
  <conditionalFormatting sqref="AE46:AE47">
    <cfRule type="notContainsBlanks" dxfId="457" priority="545">
      <formula>LEN(TRIM(AE46))&gt;0</formula>
    </cfRule>
  </conditionalFormatting>
  <conditionalFormatting sqref="AB46:AB47">
    <cfRule type="cellIs" dxfId="456" priority="544" operator="equal">
      <formula>0</formula>
    </cfRule>
  </conditionalFormatting>
  <conditionalFormatting sqref="AE45">
    <cfRule type="notContainsBlanks" dxfId="455" priority="542">
      <formula>LEN(TRIM(AE45))&gt;0</formula>
    </cfRule>
  </conditionalFormatting>
  <conditionalFormatting sqref="AD45">
    <cfRule type="notContainsBlanks" dxfId="454" priority="543">
      <formula>LEN(TRIM(AD45))&gt;0</formula>
    </cfRule>
  </conditionalFormatting>
  <conditionalFormatting sqref="D45:AB45">
    <cfRule type="cellIs" dxfId="453" priority="541" operator="equal">
      <formula>0</formula>
    </cfRule>
  </conditionalFormatting>
  <conditionalFormatting sqref="AB50">
    <cfRule type="expression" dxfId="452" priority="290">
      <formula>AB50&gt;AB57</formula>
    </cfRule>
    <cfRule type="expression" dxfId="451" priority="351">
      <formula>AB57&gt;AB26</formula>
    </cfRule>
    <cfRule type="expression" dxfId="450" priority="540">
      <formula>AB50&gt;AB49</formula>
    </cfRule>
  </conditionalFormatting>
  <conditionalFormatting sqref="AE55:AE56">
    <cfRule type="notContainsBlanks" dxfId="449" priority="539">
      <formula>LEN(TRIM(AE55))&gt;0</formula>
    </cfRule>
  </conditionalFormatting>
  <conditionalFormatting sqref="AB55:AB56">
    <cfRule type="cellIs" dxfId="448" priority="538" operator="equal">
      <formula>0</formula>
    </cfRule>
  </conditionalFormatting>
  <conditionalFormatting sqref="AE57">
    <cfRule type="notContainsBlanks" dxfId="447" priority="537">
      <formula>LEN(TRIM(AE57))&gt;0</formula>
    </cfRule>
  </conditionalFormatting>
  <conditionalFormatting sqref="AE53:AE54">
    <cfRule type="notContainsBlanks" dxfId="446" priority="536">
      <formula>LEN(TRIM(AE53))&gt;0</formula>
    </cfRule>
  </conditionalFormatting>
  <conditionalFormatting sqref="AB53:AB54">
    <cfRule type="cellIs" dxfId="445" priority="535" operator="equal">
      <formula>0</formula>
    </cfRule>
  </conditionalFormatting>
  <conditionalFormatting sqref="AE52">
    <cfRule type="notContainsBlanks" dxfId="444" priority="533">
      <formula>LEN(TRIM(AE52))&gt;0</formula>
    </cfRule>
  </conditionalFormatting>
  <conditionalFormatting sqref="AD52">
    <cfRule type="notContainsBlanks" dxfId="443" priority="534">
      <formula>LEN(TRIM(AD52))&gt;0</formula>
    </cfRule>
  </conditionalFormatting>
  <conditionalFormatting sqref="D52:AB52">
    <cfRule type="cellIs" dxfId="442" priority="532" operator="equal">
      <formula>0</formula>
    </cfRule>
  </conditionalFormatting>
  <conditionalFormatting sqref="AB57">
    <cfRule type="expression" dxfId="441" priority="289">
      <formula>AB50&gt;AB57</formula>
    </cfRule>
    <cfRule type="expression" dxfId="440" priority="531">
      <formula>AB57&gt;AB56</formula>
    </cfRule>
  </conditionalFormatting>
  <conditionalFormatting sqref="AE138:AE139">
    <cfRule type="notContainsBlanks" dxfId="439" priority="530">
      <formula>LEN(TRIM(AE138))&gt;0</formula>
    </cfRule>
  </conditionalFormatting>
  <conditionalFormatting sqref="AB138:AB139">
    <cfRule type="cellIs" dxfId="438" priority="529" operator="equal">
      <formula>0</formula>
    </cfRule>
  </conditionalFormatting>
  <conditionalFormatting sqref="AE140">
    <cfRule type="notContainsBlanks" dxfId="437" priority="528">
      <formula>LEN(TRIM(AE140))&gt;0</formula>
    </cfRule>
  </conditionalFormatting>
  <conditionalFormatting sqref="AE136:AE137">
    <cfRule type="notContainsBlanks" dxfId="436" priority="527">
      <formula>LEN(TRIM(AE136))&gt;0</formula>
    </cfRule>
  </conditionalFormatting>
  <conditionalFormatting sqref="AB136:AB137">
    <cfRule type="cellIs" dxfId="435" priority="526" operator="equal">
      <formula>0</formula>
    </cfRule>
  </conditionalFormatting>
  <conditionalFormatting sqref="AE135">
    <cfRule type="notContainsBlanks" dxfId="434" priority="524">
      <formula>LEN(TRIM(AE135))&gt;0</formula>
    </cfRule>
  </conditionalFormatting>
  <conditionalFormatting sqref="AD135">
    <cfRule type="notContainsBlanks" dxfId="433" priority="525">
      <formula>LEN(TRIM(AD135))&gt;0</formula>
    </cfRule>
  </conditionalFormatting>
  <conditionalFormatting sqref="D135:AB135">
    <cfRule type="cellIs" dxfId="432" priority="523" operator="equal">
      <formula>0</formula>
    </cfRule>
  </conditionalFormatting>
  <conditionalFormatting sqref="AB140">
    <cfRule type="expression" dxfId="431" priority="522">
      <formula>AB140&gt;AB139</formula>
    </cfRule>
  </conditionalFormatting>
  <conditionalFormatting sqref="AE145:AE146">
    <cfRule type="notContainsBlanks" dxfId="430" priority="521">
      <formula>LEN(TRIM(AE145))&gt;0</formula>
    </cfRule>
  </conditionalFormatting>
  <conditionalFormatting sqref="AB145:AB146">
    <cfRule type="cellIs" dxfId="429" priority="520" operator="equal">
      <formula>0</formula>
    </cfRule>
  </conditionalFormatting>
  <conditionalFormatting sqref="AE147">
    <cfRule type="notContainsBlanks" dxfId="428" priority="519">
      <formula>LEN(TRIM(AE147))&gt;0</formula>
    </cfRule>
  </conditionalFormatting>
  <conditionalFormatting sqref="AE143:AE144">
    <cfRule type="notContainsBlanks" dxfId="427" priority="518">
      <formula>LEN(TRIM(AE143))&gt;0</formula>
    </cfRule>
  </conditionalFormatting>
  <conditionalFormatting sqref="AB143:AB144">
    <cfRule type="cellIs" dxfId="426" priority="517" operator="equal">
      <formula>0</formula>
    </cfRule>
  </conditionalFormatting>
  <conditionalFormatting sqref="AE142">
    <cfRule type="notContainsBlanks" dxfId="425" priority="515">
      <formula>LEN(TRIM(AE142))&gt;0</formula>
    </cfRule>
  </conditionalFormatting>
  <conditionalFormatting sqref="AD142">
    <cfRule type="notContainsBlanks" dxfId="424" priority="516">
      <formula>LEN(TRIM(AD142))&gt;0</formula>
    </cfRule>
  </conditionalFormatting>
  <conditionalFormatting sqref="D142:AB142">
    <cfRule type="cellIs" dxfId="423" priority="514" operator="equal">
      <formula>0</formula>
    </cfRule>
  </conditionalFormatting>
  <conditionalFormatting sqref="AB147">
    <cfRule type="expression" dxfId="422" priority="208">
      <formula>AB147&lt;(AB162+AB168)</formula>
    </cfRule>
    <cfRule type="expression" dxfId="421" priority="513">
      <formula>AB147&gt;AB146</formula>
    </cfRule>
  </conditionalFormatting>
  <conditionalFormatting sqref="AE154">
    <cfRule type="notContainsBlanks" dxfId="420" priority="510">
      <formula>LEN(TRIM(AE154))&gt;0</formula>
    </cfRule>
  </conditionalFormatting>
  <conditionalFormatting sqref="AE150:AE151">
    <cfRule type="notContainsBlanks" dxfId="419" priority="509">
      <formula>LEN(TRIM(AE150))&gt;0</formula>
    </cfRule>
  </conditionalFormatting>
  <conditionalFormatting sqref="AB150:AB151">
    <cfRule type="cellIs" dxfId="418" priority="508" operator="equal">
      <formula>0</formula>
    </cfRule>
  </conditionalFormatting>
  <conditionalFormatting sqref="AE149">
    <cfRule type="notContainsBlanks" dxfId="417" priority="506">
      <formula>LEN(TRIM(AE149))&gt;0</formula>
    </cfRule>
  </conditionalFormatting>
  <conditionalFormatting sqref="AD149">
    <cfRule type="notContainsBlanks" dxfId="416" priority="507">
      <formula>LEN(TRIM(AD149))&gt;0</formula>
    </cfRule>
  </conditionalFormatting>
  <conditionalFormatting sqref="D149:AB149">
    <cfRule type="cellIs" dxfId="415" priority="505" operator="equal">
      <formula>0</formula>
    </cfRule>
  </conditionalFormatting>
  <conditionalFormatting sqref="AB154">
    <cfRule type="expression" dxfId="414" priority="504">
      <formula>AB154&gt;AB153</formula>
    </cfRule>
  </conditionalFormatting>
  <conditionalFormatting sqref="AE160:AE161">
    <cfRule type="notContainsBlanks" dxfId="413" priority="503">
      <formula>LEN(TRIM(AE160))&gt;0</formula>
    </cfRule>
  </conditionalFormatting>
  <conditionalFormatting sqref="AB160:AB161">
    <cfRule type="cellIs" dxfId="412" priority="502" operator="equal">
      <formula>0</formula>
    </cfRule>
  </conditionalFormatting>
  <conditionalFormatting sqref="AE162">
    <cfRule type="notContainsBlanks" dxfId="411" priority="501">
      <formula>LEN(TRIM(AE162))&gt;0</formula>
    </cfRule>
  </conditionalFormatting>
  <conditionalFormatting sqref="AE158:AE159">
    <cfRule type="notContainsBlanks" dxfId="410" priority="500">
      <formula>LEN(TRIM(AE158))&gt;0</formula>
    </cfRule>
  </conditionalFormatting>
  <conditionalFormatting sqref="AB158:AB159">
    <cfRule type="cellIs" dxfId="409" priority="499" operator="equal">
      <formula>0</formula>
    </cfRule>
  </conditionalFormatting>
  <conditionalFormatting sqref="AE157">
    <cfRule type="notContainsBlanks" dxfId="408" priority="497">
      <formula>LEN(TRIM(AE157))&gt;0</formula>
    </cfRule>
  </conditionalFormatting>
  <conditionalFormatting sqref="AD157">
    <cfRule type="notContainsBlanks" dxfId="407" priority="498">
      <formula>LEN(TRIM(AD157))&gt;0</formula>
    </cfRule>
  </conditionalFormatting>
  <conditionalFormatting sqref="D157:AB157">
    <cfRule type="cellIs" dxfId="406" priority="496" operator="equal">
      <formula>0</formula>
    </cfRule>
  </conditionalFormatting>
  <conditionalFormatting sqref="AB162">
    <cfRule type="expression" dxfId="405" priority="207">
      <formula>AB147&lt;(AB162+AB168)</formula>
    </cfRule>
    <cfRule type="expression" dxfId="404" priority="414">
      <formula>AB175&gt;AB162</formula>
    </cfRule>
    <cfRule type="expression" dxfId="403" priority="495">
      <formula>AB162&gt;AB161</formula>
    </cfRule>
  </conditionalFormatting>
  <conditionalFormatting sqref="AE166:AE167">
    <cfRule type="notContainsBlanks" dxfId="402" priority="494">
      <formula>LEN(TRIM(AE166))&gt;0</formula>
    </cfRule>
  </conditionalFormatting>
  <conditionalFormatting sqref="AB166:AB167">
    <cfRule type="cellIs" dxfId="401" priority="493" operator="equal">
      <formula>0</formula>
    </cfRule>
  </conditionalFormatting>
  <conditionalFormatting sqref="AE168">
    <cfRule type="notContainsBlanks" dxfId="400" priority="492">
      <formula>LEN(TRIM(AE168))&gt;0</formula>
    </cfRule>
  </conditionalFormatting>
  <conditionalFormatting sqref="AE164:AE165">
    <cfRule type="notContainsBlanks" dxfId="399" priority="491">
      <formula>LEN(TRIM(AE164))&gt;0</formula>
    </cfRule>
  </conditionalFormatting>
  <conditionalFormatting sqref="AB164:AB165">
    <cfRule type="cellIs" dxfId="398" priority="490" operator="equal">
      <formula>0</formula>
    </cfRule>
  </conditionalFormatting>
  <conditionalFormatting sqref="AE163">
    <cfRule type="notContainsBlanks" dxfId="397" priority="488">
      <formula>LEN(TRIM(AE163))&gt;0</formula>
    </cfRule>
  </conditionalFormatting>
  <conditionalFormatting sqref="D163:AB163">
    <cfRule type="cellIs" dxfId="396" priority="487" operator="equal">
      <formula>0</formula>
    </cfRule>
  </conditionalFormatting>
  <conditionalFormatting sqref="AB168">
    <cfRule type="expression" dxfId="395" priority="452">
      <formula>AB181&gt;AB168</formula>
    </cfRule>
    <cfRule type="expression" dxfId="394" priority="486">
      <formula>AB168&gt;AB167</formula>
    </cfRule>
  </conditionalFormatting>
  <conditionalFormatting sqref="D156:AB156">
    <cfRule type="cellIs" dxfId="393" priority="485" operator="equal">
      <formula>0</formula>
    </cfRule>
  </conditionalFormatting>
  <conditionalFormatting sqref="AE173:AE174">
    <cfRule type="notContainsBlanks" dxfId="392" priority="484">
      <formula>LEN(TRIM(AE173))&gt;0</formula>
    </cfRule>
  </conditionalFormatting>
  <conditionalFormatting sqref="AB173:AB174">
    <cfRule type="cellIs" dxfId="391" priority="483" operator="equal">
      <formula>0</formula>
    </cfRule>
  </conditionalFormatting>
  <conditionalFormatting sqref="AE175">
    <cfRule type="notContainsBlanks" dxfId="390" priority="482">
      <formula>LEN(TRIM(AE175))&gt;0</formula>
    </cfRule>
  </conditionalFormatting>
  <conditionalFormatting sqref="AE171:AE172">
    <cfRule type="notContainsBlanks" dxfId="389" priority="481">
      <formula>LEN(TRIM(AE171))&gt;0</formula>
    </cfRule>
  </conditionalFormatting>
  <conditionalFormatting sqref="AB171:AB172">
    <cfRule type="cellIs" dxfId="388" priority="480" operator="equal">
      <formula>0</formula>
    </cfRule>
  </conditionalFormatting>
  <conditionalFormatting sqref="AE170">
    <cfRule type="notContainsBlanks" dxfId="387" priority="478">
      <formula>LEN(TRIM(AE170))&gt;0</formula>
    </cfRule>
  </conditionalFormatting>
  <conditionalFormatting sqref="D170:AB170">
    <cfRule type="cellIs" dxfId="386" priority="477" operator="equal">
      <formula>0</formula>
    </cfRule>
  </conditionalFormatting>
  <conditionalFormatting sqref="AE179:AE180">
    <cfRule type="notContainsBlanks" dxfId="385" priority="475">
      <formula>LEN(TRIM(AE179))&gt;0</formula>
    </cfRule>
  </conditionalFormatting>
  <conditionalFormatting sqref="AB179:AB180">
    <cfRule type="cellIs" dxfId="384" priority="474" operator="equal">
      <formula>0</formula>
    </cfRule>
  </conditionalFormatting>
  <conditionalFormatting sqref="AE181">
    <cfRule type="notContainsBlanks" dxfId="383" priority="473">
      <formula>LEN(TRIM(AE181))&gt;0</formula>
    </cfRule>
  </conditionalFormatting>
  <conditionalFormatting sqref="AE177:AE178">
    <cfRule type="notContainsBlanks" dxfId="382" priority="472">
      <formula>LEN(TRIM(AE177))&gt;0</formula>
    </cfRule>
  </conditionalFormatting>
  <conditionalFormatting sqref="AB177:AB178">
    <cfRule type="cellIs" dxfId="381" priority="471" operator="equal">
      <formula>0</formula>
    </cfRule>
  </conditionalFormatting>
  <conditionalFormatting sqref="AE176">
    <cfRule type="notContainsBlanks" dxfId="380" priority="469">
      <formula>LEN(TRIM(AE176))&gt;0</formula>
    </cfRule>
  </conditionalFormatting>
  <conditionalFormatting sqref="D176:AB176">
    <cfRule type="cellIs" dxfId="379" priority="468" operator="equal">
      <formula>0</formula>
    </cfRule>
  </conditionalFormatting>
  <conditionalFormatting sqref="AB181">
    <cfRule type="expression" dxfId="378" priority="453">
      <formula>AB181&gt;AB168</formula>
    </cfRule>
    <cfRule type="expression" dxfId="377" priority="467">
      <formula>AB181&gt;AB180</formula>
    </cfRule>
  </conditionalFormatting>
  <conditionalFormatting sqref="D169:AB169">
    <cfRule type="cellIs" dxfId="376" priority="466" operator="equal">
      <formula>0</formula>
    </cfRule>
  </conditionalFormatting>
  <conditionalFormatting sqref="AF157">
    <cfRule type="notContainsBlanks" dxfId="375" priority="2659">
      <formula>LEN(TRIM(AF157))&gt;0</formula>
    </cfRule>
  </conditionalFormatting>
  <conditionalFormatting sqref="AE103:AE104">
    <cfRule type="notContainsBlanks" dxfId="374" priority="464">
      <formula>LEN(TRIM(AE103))&gt;0</formula>
    </cfRule>
  </conditionalFormatting>
  <conditionalFormatting sqref="AE105:AE106">
    <cfRule type="notContainsBlanks" dxfId="373" priority="460">
      <formula>LEN(TRIM(AE105))&gt;0</formula>
    </cfRule>
  </conditionalFormatting>
  <conditionalFormatting sqref="D103:AB106">
    <cfRule type="cellIs" dxfId="372" priority="456" operator="equal">
      <formula>0</formula>
    </cfRule>
  </conditionalFormatting>
  <conditionalFormatting sqref="L180:AA180">
    <cfRule type="expression" dxfId="371" priority="455">
      <formula>L180&gt;L167</formula>
    </cfRule>
  </conditionalFormatting>
  <conditionalFormatting sqref="L167:AA167">
    <cfRule type="expression" dxfId="370" priority="454">
      <formula>L180&gt;L167</formula>
    </cfRule>
  </conditionalFormatting>
  <conditionalFormatting sqref="L179:AA179">
    <cfRule type="expression" dxfId="369" priority="451">
      <formula>L179&gt;L166</formula>
    </cfRule>
  </conditionalFormatting>
  <conditionalFormatting sqref="L166:AA166">
    <cfRule type="expression" dxfId="368" priority="450">
      <formula>L179&gt;L166</formula>
    </cfRule>
  </conditionalFormatting>
  <conditionalFormatting sqref="L178">
    <cfRule type="expression" dxfId="367" priority="449">
      <formula>L178&gt;L165</formula>
    </cfRule>
  </conditionalFormatting>
  <conditionalFormatting sqref="L165">
    <cfRule type="expression" dxfId="366" priority="200">
      <formula>(L165+L159)&gt;L144</formula>
    </cfRule>
    <cfRule type="expression" dxfId="365" priority="448">
      <formula>L178&gt;L165</formula>
    </cfRule>
  </conditionalFormatting>
  <conditionalFormatting sqref="N178">
    <cfRule type="expression" dxfId="364" priority="447">
      <formula>N178&gt;N165</formula>
    </cfRule>
  </conditionalFormatting>
  <conditionalFormatting sqref="P178">
    <cfRule type="expression" dxfId="363" priority="446">
      <formula>P178&gt;P165</formula>
    </cfRule>
  </conditionalFormatting>
  <conditionalFormatting sqref="R178">
    <cfRule type="expression" dxfId="362" priority="445">
      <formula>R178&gt;R165</formula>
    </cfRule>
  </conditionalFormatting>
  <conditionalFormatting sqref="T178">
    <cfRule type="expression" dxfId="361" priority="444">
      <formula>T178&gt;T165</formula>
    </cfRule>
  </conditionalFormatting>
  <conditionalFormatting sqref="V178">
    <cfRule type="expression" dxfId="360" priority="443">
      <formula>V178&gt;V165</formula>
    </cfRule>
  </conditionalFormatting>
  <conditionalFormatting sqref="X178">
    <cfRule type="expression" dxfId="359" priority="442">
      <formula>X178&gt;X165</formula>
    </cfRule>
  </conditionalFormatting>
  <conditionalFormatting sqref="Z178">
    <cfRule type="expression" dxfId="358" priority="441">
      <formula>Z178&gt;Z165</formula>
    </cfRule>
  </conditionalFormatting>
  <conditionalFormatting sqref="M177">
    <cfRule type="expression" dxfId="357" priority="433">
      <formula>M177&gt;M164</formula>
    </cfRule>
  </conditionalFormatting>
  <conditionalFormatting sqref="M164">
    <cfRule type="expression" dxfId="356" priority="124">
      <formula>M164&gt;M158</formula>
    </cfRule>
    <cfRule type="expression" dxfId="355" priority="162">
      <formula>(M164+M158)&gt;M143</formula>
    </cfRule>
    <cfRule type="expression" dxfId="354" priority="432">
      <formula>M177&gt;M164</formula>
    </cfRule>
  </conditionalFormatting>
  <conditionalFormatting sqref="O177">
    <cfRule type="expression" dxfId="353" priority="431">
      <formula>O177&gt;O164</formula>
    </cfRule>
  </conditionalFormatting>
  <conditionalFormatting sqref="Q177">
    <cfRule type="expression" dxfId="352" priority="430">
      <formula>Q177&gt;Q164</formula>
    </cfRule>
  </conditionalFormatting>
  <conditionalFormatting sqref="S177">
    <cfRule type="expression" dxfId="351" priority="429">
      <formula>S177&gt;S164</formula>
    </cfRule>
  </conditionalFormatting>
  <conditionalFormatting sqref="U177">
    <cfRule type="expression" dxfId="350" priority="428">
      <formula>U177&gt;U164</formula>
    </cfRule>
  </conditionalFormatting>
  <conditionalFormatting sqref="W177">
    <cfRule type="expression" dxfId="349" priority="427">
      <formula>W177&gt;W164</formula>
    </cfRule>
  </conditionalFormatting>
  <conditionalFormatting sqref="Y177">
    <cfRule type="expression" dxfId="348" priority="426">
      <formula>Y177&gt;Y164</formula>
    </cfRule>
  </conditionalFormatting>
  <conditionalFormatting sqref="AA177">
    <cfRule type="expression" dxfId="347" priority="425">
      <formula>AA177&gt;AA164</formula>
    </cfRule>
  </conditionalFormatting>
  <conditionalFormatting sqref="L176:AA176">
    <cfRule type="expression" dxfId="346" priority="417">
      <formula>L176&gt;L163</formula>
    </cfRule>
  </conditionalFormatting>
  <conditionalFormatting sqref="L163:AA163">
    <cfRule type="expression" dxfId="345" priority="416">
      <formula>L176&gt;L163</formula>
    </cfRule>
  </conditionalFormatting>
  <conditionalFormatting sqref="AB175">
    <cfRule type="expression" dxfId="344" priority="209">
      <formula>(AB162+AB168)&gt;AB147</formula>
    </cfRule>
    <cfRule type="expression" dxfId="343" priority="415">
      <formula>AB175&gt;AB162</formula>
    </cfRule>
  </conditionalFormatting>
  <conditionalFormatting sqref="L174:AA174">
    <cfRule type="expression" dxfId="342" priority="413">
      <formula>L174&gt;L161</formula>
    </cfRule>
  </conditionalFormatting>
  <conditionalFormatting sqref="L161:AA161">
    <cfRule type="expression" dxfId="341" priority="412">
      <formula>L174&gt;L161</formula>
    </cfRule>
  </conditionalFormatting>
  <conditionalFormatting sqref="L173:AA173">
    <cfRule type="expression" dxfId="340" priority="411">
      <formula>L173&gt;L160</formula>
    </cfRule>
  </conditionalFormatting>
  <conditionalFormatting sqref="L160:AA160">
    <cfRule type="expression" dxfId="339" priority="410">
      <formula>L173&gt;L160</formula>
    </cfRule>
  </conditionalFormatting>
  <conditionalFormatting sqref="L172">
    <cfRule type="expression" dxfId="338" priority="409">
      <formula>L172&gt;L159</formula>
    </cfRule>
  </conditionalFormatting>
  <conditionalFormatting sqref="L159">
    <cfRule type="expression" dxfId="337" priority="199">
      <formula>(L165+L159)&gt;L144</formula>
    </cfRule>
    <cfRule type="expression" dxfId="336" priority="408">
      <formula>L172&gt;L159</formula>
    </cfRule>
  </conditionalFormatting>
  <conditionalFormatting sqref="N172">
    <cfRule type="expression" dxfId="335" priority="407">
      <formula>N172&gt;N159</formula>
    </cfRule>
  </conditionalFormatting>
  <conditionalFormatting sqref="P172">
    <cfRule type="expression" dxfId="334" priority="406">
      <formula>P172&gt;P159</formula>
    </cfRule>
  </conditionalFormatting>
  <conditionalFormatting sqref="R172">
    <cfRule type="expression" dxfId="333" priority="405">
      <formula>R172&gt;R159</formula>
    </cfRule>
  </conditionalFormatting>
  <conditionalFormatting sqref="T172">
    <cfRule type="expression" dxfId="332" priority="404">
      <formula>T172&gt;T159</formula>
    </cfRule>
  </conditionalFormatting>
  <conditionalFormatting sqref="V172">
    <cfRule type="expression" dxfId="331" priority="403">
      <formula>V172&gt;V159</formula>
    </cfRule>
  </conditionalFormatting>
  <conditionalFormatting sqref="X172">
    <cfRule type="expression" dxfId="330" priority="402">
      <formula>X172&gt;X159</formula>
    </cfRule>
  </conditionalFormatting>
  <conditionalFormatting sqref="Z172">
    <cfRule type="expression" dxfId="329" priority="401">
      <formula>Z172&gt;Z159</formula>
    </cfRule>
  </conditionalFormatting>
  <conditionalFormatting sqref="M171">
    <cfRule type="expression" dxfId="328" priority="393">
      <formula>M171&gt;M158</formula>
    </cfRule>
  </conditionalFormatting>
  <conditionalFormatting sqref="M158">
    <cfRule type="expression" dxfId="327" priority="123">
      <formula>M164&gt;M158</formula>
    </cfRule>
    <cfRule type="expression" dxfId="326" priority="161">
      <formula>(M164+M158)&gt;M143</formula>
    </cfRule>
    <cfRule type="expression" dxfId="325" priority="392">
      <formula>M171&gt;M158</formula>
    </cfRule>
  </conditionalFormatting>
  <conditionalFormatting sqref="O171">
    <cfRule type="expression" dxfId="324" priority="391">
      <formula>O171&gt;O158</formula>
    </cfRule>
  </conditionalFormatting>
  <conditionalFormatting sqref="Q171">
    <cfRule type="expression" dxfId="323" priority="390">
      <formula>Q171&gt;Q158</formula>
    </cfRule>
  </conditionalFormatting>
  <conditionalFormatting sqref="S171">
    <cfRule type="expression" dxfId="322" priority="389">
      <formula>S171&gt;S158</formula>
    </cfRule>
  </conditionalFormatting>
  <conditionalFormatting sqref="U171">
    <cfRule type="expression" dxfId="321" priority="388">
      <formula>U171&gt;U158</formula>
    </cfRule>
  </conditionalFormatting>
  <conditionalFormatting sqref="W171">
    <cfRule type="expression" dxfId="320" priority="387">
      <formula>W171&gt;W158</formula>
    </cfRule>
  </conditionalFormatting>
  <conditionalFormatting sqref="Y171">
    <cfRule type="expression" dxfId="319" priority="386">
      <formula>Y171&gt;Y158</formula>
    </cfRule>
  </conditionalFormatting>
  <conditionalFormatting sqref="AA171">
    <cfRule type="expression" dxfId="318" priority="385">
      <formula>AA171&gt;AA158</formula>
    </cfRule>
  </conditionalFormatting>
  <conditionalFormatting sqref="L170:AB170">
    <cfRule type="expression" dxfId="317" priority="377">
      <formula>L170&gt;L157</formula>
    </cfRule>
  </conditionalFormatting>
  <conditionalFormatting sqref="L157:AB157">
    <cfRule type="expression" dxfId="316" priority="376">
      <formula>L170&gt;L157</formula>
    </cfRule>
  </conditionalFormatting>
  <conditionalFormatting sqref="M46">
    <cfRule type="expression" dxfId="315" priority="324">
      <formula>M46&gt;M53</formula>
    </cfRule>
    <cfRule type="expression" dxfId="314" priority="373">
      <formula>M46&gt;M27</formula>
    </cfRule>
  </conditionalFormatting>
  <conditionalFormatting sqref="O46">
    <cfRule type="expression" dxfId="313" priority="371">
      <formula>O46&gt;O27</formula>
    </cfRule>
  </conditionalFormatting>
  <conditionalFormatting sqref="Q46">
    <cfRule type="expression" dxfId="312" priority="370">
      <formula>Q46&gt;Q27</formula>
    </cfRule>
  </conditionalFormatting>
  <conditionalFormatting sqref="S46">
    <cfRule type="expression" dxfId="311" priority="369">
      <formula>S46&gt;S27</formula>
    </cfRule>
  </conditionalFormatting>
  <conditionalFormatting sqref="U46">
    <cfRule type="expression" dxfId="310" priority="368">
      <formula>U46&gt;U27</formula>
    </cfRule>
  </conditionalFormatting>
  <conditionalFormatting sqref="W46">
    <cfRule type="expression" dxfId="309" priority="367">
      <formula>W46&gt;W27</formula>
    </cfRule>
  </conditionalFormatting>
  <conditionalFormatting sqref="Y46">
    <cfRule type="expression" dxfId="308" priority="366">
      <formula>Y46&gt;Y27</formula>
    </cfRule>
  </conditionalFormatting>
  <conditionalFormatting sqref="AA46">
    <cfRule type="expression" dxfId="307" priority="365">
      <formula>AA46&gt;AA27</formula>
    </cfRule>
  </conditionalFormatting>
  <conditionalFormatting sqref="L47">
    <cfRule type="expression" dxfId="306" priority="315">
      <formula>L54&lt;L47</formula>
    </cfRule>
    <cfRule type="expression" dxfId="305" priority="364">
      <formula>L47&gt;L25</formula>
    </cfRule>
  </conditionalFormatting>
  <conditionalFormatting sqref="L48:AA48">
    <cfRule type="expression" dxfId="304" priority="355">
      <formula>L48&gt;L28</formula>
    </cfRule>
  </conditionalFormatting>
  <conditionalFormatting sqref="L49:AA49">
    <cfRule type="expression" dxfId="303" priority="353">
      <formula>L49&gt;L24</formula>
    </cfRule>
  </conditionalFormatting>
  <conditionalFormatting sqref="L43:AA43">
    <cfRule type="expression" dxfId="302" priority="347">
      <formula>L43&gt;0</formula>
    </cfRule>
  </conditionalFormatting>
  <conditionalFormatting sqref="M40">
    <cfRule type="expression" dxfId="301" priority="48">
      <formula>(M38+M39+M40)&gt;M27</formula>
    </cfRule>
    <cfRule type="expression" dxfId="300" priority="346">
      <formula>M40&gt;0</formula>
    </cfRule>
  </conditionalFormatting>
  <conditionalFormatting sqref="L34">
    <cfRule type="expression" dxfId="299" priority="98">
      <formula>(L32+L33+L34)&gt;L25</formula>
    </cfRule>
    <cfRule type="expression" dxfId="298" priority="338">
      <formula>L34&gt;0</formula>
    </cfRule>
  </conditionalFormatting>
  <conditionalFormatting sqref="L31:AA31">
    <cfRule type="expression" dxfId="297" priority="330">
      <formula>L31&gt;0</formula>
    </cfRule>
  </conditionalFormatting>
  <conditionalFormatting sqref="D23:AB23">
    <cfRule type="cellIs" dxfId="296" priority="329" operator="equal">
      <formula>0</formula>
    </cfRule>
  </conditionalFormatting>
  <conditionalFormatting sqref="AF45">
    <cfRule type="notContainsBlanks" dxfId="295" priority="328">
      <formula>LEN(TRIM(AF45))&gt;0</formula>
    </cfRule>
  </conditionalFormatting>
  <conditionalFormatting sqref="L45:AB45">
    <cfRule type="expression" dxfId="294" priority="327">
      <formula>L45&lt;L23</formula>
    </cfRule>
  </conditionalFormatting>
  <conditionalFormatting sqref="L23:AB23">
    <cfRule type="expression" dxfId="293" priority="326">
      <formula>L45&lt;L23</formula>
    </cfRule>
  </conditionalFormatting>
  <conditionalFormatting sqref="M53">
    <cfRule type="expression" dxfId="292" priority="325">
      <formula>M46&gt;M53</formula>
    </cfRule>
  </conditionalFormatting>
  <conditionalFormatting sqref="O53">
    <cfRule type="expression" dxfId="291" priority="323">
      <formula>O46&gt;O53</formula>
    </cfRule>
  </conditionalFormatting>
  <conditionalFormatting sqref="Q53">
    <cfRule type="expression" dxfId="290" priority="322">
      <formula>Q46&gt;Q53</formula>
    </cfRule>
  </conditionalFormatting>
  <conditionalFormatting sqref="S53">
    <cfRule type="expression" dxfId="289" priority="321">
      <formula>S46&gt;S53</formula>
    </cfRule>
  </conditionalFormatting>
  <conditionalFormatting sqref="U53">
    <cfRule type="expression" dxfId="288" priority="320">
      <formula>U46&gt;U53</formula>
    </cfRule>
  </conditionalFormatting>
  <conditionalFormatting sqref="W53">
    <cfRule type="expression" dxfId="287" priority="319">
      <formula>W46&gt;W53</formula>
    </cfRule>
  </conditionalFormatting>
  <conditionalFormatting sqref="Y53">
    <cfRule type="expression" dxfId="286" priority="318">
      <formula>Y46&gt;Y53</formula>
    </cfRule>
  </conditionalFormatting>
  <conditionalFormatting sqref="AA53">
    <cfRule type="expression" dxfId="285" priority="317">
      <formula>AA46&gt;AA53</formula>
    </cfRule>
  </conditionalFormatting>
  <conditionalFormatting sqref="L54">
    <cfRule type="expression" dxfId="284" priority="316">
      <formula>L54&lt;L47</formula>
    </cfRule>
  </conditionalFormatting>
  <conditionalFormatting sqref="N47">
    <cfRule type="expression" dxfId="283" priority="313">
      <formula>N54&lt;N47</formula>
    </cfRule>
    <cfRule type="expression" dxfId="282" priority="314">
      <formula>N47&gt;N25</formula>
    </cfRule>
  </conditionalFormatting>
  <conditionalFormatting sqref="P47">
    <cfRule type="expression" dxfId="281" priority="311">
      <formula>P54&lt;P47</formula>
    </cfRule>
    <cfRule type="expression" dxfId="280" priority="312">
      <formula>P47&gt;P25</formula>
    </cfRule>
  </conditionalFormatting>
  <conditionalFormatting sqref="R47">
    <cfRule type="expression" dxfId="279" priority="309">
      <formula>R54&lt;R47</formula>
    </cfRule>
    <cfRule type="expression" dxfId="278" priority="310">
      <formula>R47&gt;R25</formula>
    </cfRule>
  </conditionalFormatting>
  <conditionalFormatting sqref="T47">
    <cfRule type="expression" dxfId="277" priority="307">
      <formula>T54&lt;T47</formula>
    </cfRule>
    <cfRule type="expression" dxfId="276" priority="308">
      <formula>T47&gt;T25</formula>
    </cfRule>
  </conditionalFormatting>
  <conditionalFormatting sqref="V47">
    <cfRule type="expression" dxfId="275" priority="305">
      <formula>V54&lt;V47</formula>
    </cfRule>
    <cfRule type="expression" dxfId="274" priority="306">
      <formula>V47&gt;V25</formula>
    </cfRule>
  </conditionalFormatting>
  <conditionalFormatting sqref="X47">
    <cfRule type="expression" dxfId="273" priority="303">
      <formula>X54&lt;X47</formula>
    </cfRule>
    <cfRule type="expression" dxfId="272" priority="304">
      <formula>X47&gt;X25</formula>
    </cfRule>
  </conditionalFormatting>
  <conditionalFormatting sqref="Z47">
    <cfRule type="expression" dxfId="271" priority="301">
      <formula>Z54&lt;Z47</formula>
    </cfRule>
    <cfRule type="expression" dxfId="270" priority="302">
      <formula>Z47&gt;Z25</formula>
    </cfRule>
  </conditionalFormatting>
  <conditionalFormatting sqref="N54">
    <cfRule type="expression" dxfId="269" priority="300">
      <formula>N54&lt;N47</formula>
    </cfRule>
  </conditionalFormatting>
  <conditionalFormatting sqref="P54">
    <cfRule type="expression" dxfId="268" priority="299">
      <formula>P54&lt;P47</formula>
    </cfRule>
  </conditionalFormatting>
  <conditionalFormatting sqref="R54">
    <cfRule type="expression" dxfId="267" priority="298">
      <formula>R54&lt;R47</formula>
    </cfRule>
  </conditionalFormatting>
  <conditionalFormatting sqref="T54">
    <cfRule type="expression" dxfId="266" priority="297">
      <formula>T54&lt;T47</formula>
    </cfRule>
  </conditionalFormatting>
  <conditionalFormatting sqref="V54">
    <cfRule type="expression" dxfId="265" priority="296">
      <formula>V54&lt;V47</formula>
    </cfRule>
  </conditionalFormatting>
  <conditionalFormatting sqref="X54">
    <cfRule type="expression" dxfId="264" priority="295">
      <formula>X54&lt;X47</formula>
    </cfRule>
  </conditionalFormatting>
  <conditionalFormatting sqref="Z54">
    <cfRule type="expression" dxfId="263" priority="294">
      <formula>Z54&lt;Z47</formula>
    </cfRule>
  </conditionalFormatting>
  <conditionalFormatting sqref="L55:AA55">
    <cfRule type="expression" dxfId="262" priority="293">
      <formula>L55&lt;L48</formula>
    </cfRule>
  </conditionalFormatting>
  <conditionalFormatting sqref="L48:AA48">
    <cfRule type="expression" dxfId="261" priority="292">
      <formula>L55&lt;L48</formula>
    </cfRule>
  </conditionalFormatting>
  <conditionalFormatting sqref="L56:AA56">
    <cfRule type="expression" dxfId="260" priority="291">
      <formula>L49&gt;L56</formula>
    </cfRule>
  </conditionalFormatting>
  <conditionalFormatting sqref="L62:AA62">
    <cfRule type="expression" dxfId="259" priority="288">
      <formula>(L62+L61)&gt;L23</formula>
    </cfRule>
  </conditionalFormatting>
  <conditionalFormatting sqref="L61:AA61">
    <cfRule type="expression" dxfId="258" priority="287">
      <formula>(L62+L61)&gt;L23</formula>
    </cfRule>
  </conditionalFormatting>
  <conditionalFormatting sqref="L23:AB23">
    <cfRule type="expression" dxfId="257" priority="286">
      <formula>(L62+L61)&gt;$L$23</formula>
    </cfRule>
  </conditionalFormatting>
  <conditionalFormatting sqref="AB62">
    <cfRule type="expression" dxfId="256" priority="285">
      <formula>(AB62+AB61)&gt;AB23</formula>
    </cfRule>
  </conditionalFormatting>
  <conditionalFormatting sqref="AB61">
    <cfRule type="expression" dxfId="255" priority="284">
      <formula>(AB62+AB61)&gt;AB23</formula>
    </cfRule>
  </conditionalFormatting>
  <conditionalFormatting sqref="L69:AA69">
    <cfRule type="expression" dxfId="254" priority="283">
      <formula>(L69+L67)&gt;L30</formula>
    </cfRule>
  </conditionalFormatting>
  <conditionalFormatting sqref="L67:AA67">
    <cfRule type="expression" dxfId="253" priority="282">
      <formula>(L69+L67)&gt;L30</formula>
    </cfRule>
  </conditionalFormatting>
  <conditionalFormatting sqref="L30:AA30">
    <cfRule type="expression" dxfId="252" priority="281">
      <formula>(L69+L67)&gt;L30</formula>
    </cfRule>
  </conditionalFormatting>
  <conditionalFormatting sqref="AB36">
    <cfRule type="expression" dxfId="251" priority="53">
      <formula>(AB35+AB36+AB37)&gt;AB26</formula>
    </cfRule>
    <cfRule type="expression" dxfId="250" priority="278">
      <formula>(AB71+AB73)&gt;AB36</formula>
    </cfRule>
  </conditionalFormatting>
  <conditionalFormatting sqref="M75">
    <cfRule type="expression" dxfId="249" priority="277">
      <formula>(M75+M77)&gt;M39</formula>
    </cfRule>
  </conditionalFormatting>
  <conditionalFormatting sqref="M77">
    <cfRule type="expression" dxfId="248" priority="276">
      <formula>(M75+M77)&gt;M39</formula>
    </cfRule>
  </conditionalFormatting>
  <conditionalFormatting sqref="M39">
    <cfRule type="expression" dxfId="247" priority="49">
      <formula>(M38+M39+M40)&gt;M27</formula>
    </cfRule>
    <cfRule type="expression" dxfId="246" priority="275">
      <formula>(M75+M77)&gt;M39</formula>
    </cfRule>
  </conditionalFormatting>
  <conditionalFormatting sqref="O75">
    <cfRule type="expression" dxfId="245" priority="267">
      <formula>(O75+O77)&gt;O39</formula>
    </cfRule>
  </conditionalFormatting>
  <conditionalFormatting sqref="Q75">
    <cfRule type="expression" dxfId="244" priority="266">
      <formula>(Q75+Q77)&gt;Q39</formula>
    </cfRule>
  </conditionalFormatting>
  <conditionalFormatting sqref="S75">
    <cfRule type="expression" dxfId="243" priority="265">
      <formula>(S75+S77)&gt;S39</formula>
    </cfRule>
  </conditionalFormatting>
  <conditionalFormatting sqref="U75">
    <cfRule type="expression" dxfId="242" priority="264">
      <formula>(U75+U77)&gt;U39</formula>
    </cfRule>
  </conditionalFormatting>
  <conditionalFormatting sqref="W75">
    <cfRule type="expression" dxfId="241" priority="263">
      <formula>(W75+W77)&gt;W39</formula>
    </cfRule>
  </conditionalFormatting>
  <conditionalFormatting sqref="Y75">
    <cfRule type="expression" dxfId="240" priority="262">
      <formula>(Y75+Y77)&gt;Y39</formula>
    </cfRule>
  </conditionalFormatting>
  <conditionalFormatting sqref="O77">
    <cfRule type="expression" dxfId="239" priority="261">
      <formula>(O75+O77)&gt;O39</formula>
    </cfRule>
  </conditionalFormatting>
  <conditionalFormatting sqref="Q77">
    <cfRule type="expression" dxfId="238" priority="260">
      <formula>(Q75+Q77)&gt;Q39</formula>
    </cfRule>
  </conditionalFormatting>
  <conditionalFormatting sqref="S77">
    <cfRule type="expression" dxfId="237" priority="259">
      <formula>(S75+S77)&gt;S39</formula>
    </cfRule>
  </conditionalFormatting>
  <conditionalFormatting sqref="U77">
    <cfRule type="expression" dxfId="236" priority="258">
      <formula>(U75+U77)&gt;U39</formula>
    </cfRule>
  </conditionalFormatting>
  <conditionalFormatting sqref="W77">
    <cfRule type="expression" dxfId="235" priority="257">
      <formula>(W75+W77)&gt;W39</formula>
    </cfRule>
  </conditionalFormatting>
  <conditionalFormatting sqref="Y77">
    <cfRule type="expression" dxfId="234" priority="256">
      <formula>(Y75+Y77)&gt;Y39</formula>
    </cfRule>
  </conditionalFormatting>
  <conditionalFormatting sqref="AA77">
    <cfRule type="expression" dxfId="233" priority="255">
      <formula>(AA75+AA77)&gt;AA39</formula>
    </cfRule>
  </conditionalFormatting>
  <conditionalFormatting sqref="AA75">
    <cfRule type="expression" dxfId="232" priority="254">
      <formula>(AA75+AA77)&gt;AA39</formula>
    </cfRule>
  </conditionalFormatting>
  <conditionalFormatting sqref="L79:AA79">
    <cfRule type="expression" dxfId="231" priority="253">
      <formula>(L79+L81)&gt;L42</formula>
    </cfRule>
  </conditionalFormatting>
  <conditionalFormatting sqref="L81:AA81">
    <cfRule type="expression" dxfId="230" priority="252">
      <formula>(L79+L81)&gt;L42</formula>
    </cfRule>
  </conditionalFormatting>
  <conditionalFormatting sqref="L42:AA42">
    <cfRule type="expression" dxfId="229" priority="251">
      <formula>(L79+L81)&gt;L42</formula>
    </cfRule>
  </conditionalFormatting>
  <conditionalFormatting sqref="L83">
    <cfRule type="expression" dxfId="228" priority="250">
      <formula>(L83+L85)&gt;L33</formula>
    </cfRule>
  </conditionalFormatting>
  <conditionalFormatting sqref="L85">
    <cfRule type="expression" dxfId="227" priority="249">
      <formula>(L83+L85)&gt;L33</formula>
    </cfRule>
  </conditionalFormatting>
  <conditionalFormatting sqref="L33">
    <cfRule type="expression" dxfId="226" priority="99">
      <formula>(L32+L33+L34)&gt;L25</formula>
    </cfRule>
    <cfRule type="expression" dxfId="225" priority="248">
      <formula>(L83+L85)&gt;L33</formula>
    </cfRule>
  </conditionalFormatting>
  <conditionalFormatting sqref="N83">
    <cfRule type="expression" dxfId="224" priority="240">
      <formula>(N83+N85)&gt;N33</formula>
    </cfRule>
  </conditionalFormatting>
  <conditionalFormatting sqref="P83">
    <cfRule type="expression" dxfId="223" priority="239">
      <formula>(P83+P85)&gt;P33</formula>
    </cfRule>
  </conditionalFormatting>
  <conditionalFormatting sqref="R83">
    <cfRule type="expression" dxfId="222" priority="238">
      <formula>(R83+R85)&gt;R33</formula>
    </cfRule>
  </conditionalFormatting>
  <conditionalFormatting sqref="T83">
    <cfRule type="expression" dxfId="221" priority="237">
      <formula>(T83+T85)&gt;T33</formula>
    </cfRule>
  </conditionalFormatting>
  <conditionalFormatting sqref="V83">
    <cfRule type="expression" dxfId="220" priority="236">
      <formula>(V83+V85)&gt;V33</formula>
    </cfRule>
  </conditionalFormatting>
  <conditionalFormatting sqref="X83">
    <cfRule type="expression" dxfId="219" priority="235">
      <formula>(X83+X85)&gt;X33</formula>
    </cfRule>
  </conditionalFormatting>
  <conditionalFormatting sqref="Z83">
    <cfRule type="expression" dxfId="218" priority="234">
      <formula>(Z83+Z85)&gt;Z33</formula>
    </cfRule>
  </conditionalFormatting>
  <conditionalFormatting sqref="N85">
    <cfRule type="expression" dxfId="217" priority="233">
      <formula>(N83+N85)&gt;N33</formula>
    </cfRule>
  </conditionalFormatting>
  <conditionalFormatting sqref="P85">
    <cfRule type="expression" dxfId="216" priority="232">
      <formula>(P83+P85)&gt;P33</formula>
    </cfRule>
  </conditionalFormatting>
  <conditionalFormatting sqref="R85">
    <cfRule type="expression" dxfId="215" priority="231">
      <formula>(R83+R85)&gt;R33</formula>
    </cfRule>
  </conditionalFormatting>
  <conditionalFormatting sqref="T85">
    <cfRule type="expression" dxfId="214" priority="230">
      <formula>(T83+T85)&gt;T33</formula>
    </cfRule>
  </conditionalFormatting>
  <conditionalFormatting sqref="V85">
    <cfRule type="expression" dxfId="213" priority="229">
      <formula>(V83+V85)&gt;V33</formula>
    </cfRule>
  </conditionalFormatting>
  <conditionalFormatting sqref="X85">
    <cfRule type="expression" dxfId="212" priority="228">
      <formula>(X83+X85)&gt;X33</formula>
    </cfRule>
  </conditionalFormatting>
  <conditionalFormatting sqref="Z85">
    <cfRule type="expression" dxfId="211" priority="227">
      <formula>(Z83+Z85)&gt;Z33</formula>
    </cfRule>
  </conditionalFormatting>
  <conditionalFormatting sqref="D99:AB102">
    <cfRule type="cellIs" dxfId="210" priority="226" operator="equal">
      <formula>0</formula>
    </cfRule>
  </conditionalFormatting>
  <conditionalFormatting sqref="D103:AB103">
    <cfRule type="expression" dxfId="209" priority="225">
      <formula>D103&lt;&gt;D99</formula>
    </cfRule>
  </conditionalFormatting>
  <conditionalFormatting sqref="D99:AB99">
    <cfRule type="expression" dxfId="208" priority="224">
      <formula>D103&lt;&gt;D99</formula>
    </cfRule>
  </conditionalFormatting>
  <conditionalFormatting sqref="D100:AB100">
    <cfRule type="expression" dxfId="207" priority="223">
      <formula>D100&lt;&gt;D104</formula>
    </cfRule>
  </conditionalFormatting>
  <conditionalFormatting sqref="D101:AB101">
    <cfRule type="expression" dxfId="206" priority="222">
      <formula>D101&lt;&gt;D105</formula>
    </cfRule>
  </conditionalFormatting>
  <conditionalFormatting sqref="D102:AB102">
    <cfRule type="expression" dxfId="205" priority="220">
      <formula>D102&lt;&gt;D106</formula>
    </cfRule>
  </conditionalFormatting>
  <conditionalFormatting sqref="D106:AB106">
    <cfRule type="expression" dxfId="204" priority="219">
      <formula>D102&lt;&gt;D106</formula>
    </cfRule>
  </conditionalFormatting>
  <conditionalFormatting sqref="D105:AB105">
    <cfRule type="expression" dxfId="203" priority="218">
      <formula>D101&lt;&gt;D105</formula>
    </cfRule>
  </conditionalFormatting>
  <conditionalFormatting sqref="D104:AB104">
    <cfRule type="expression" dxfId="202" priority="217">
      <formula>D100&lt;&gt;D104</formula>
    </cfRule>
  </conditionalFormatting>
  <conditionalFormatting sqref="L131:AA131">
    <cfRule type="expression" dxfId="201" priority="216">
      <formula>(L131+L132+L133)&lt;&gt;L120</formula>
    </cfRule>
  </conditionalFormatting>
  <conditionalFormatting sqref="L132:AA132">
    <cfRule type="expression" dxfId="200" priority="215">
      <formula>(L131+L132+L133)&lt;&gt;L120</formula>
    </cfRule>
  </conditionalFormatting>
  <conditionalFormatting sqref="L133:AA133">
    <cfRule type="expression" dxfId="199" priority="214">
      <formula>(L131+L132+L133)&lt;&gt;L120</formula>
    </cfRule>
  </conditionalFormatting>
  <conditionalFormatting sqref="L120:AA120">
    <cfRule type="expression" dxfId="198" priority="213">
      <formula>(L131+L132+L133)&lt;&gt;L120</formula>
    </cfRule>
  </conditionalFormatting>
  <conditionalFormatting sqref="D104:AB104">
    <cfRule type="expression" dxfId="197" priority="212">
      <formula>(D104+D106)&lt;D135</formula>
    </cfRule>
  </conditionalFormatting>
  <conditionalFormatting sqref="D106:AB106">
    <cfRule type="expression" dxfId="196" priority="211">
      <formula>(D104+D106)&lt;D135</formula>
    </cfRule>
  </conditionalFormatting>
  <conditionalFormatting sqref="D135:AA135">
    <cfRule type="expression" dxfId="195" priority="210">
      <formula>(D104+D106)&lt;D135</formula>
    </cfRule>
  </conditionalFormatting>
  <conditionalFormatting sqref="L167:AA167">
    <cfRule type="expression" dxfId="194" priority="206">
      <formula>(L167+L161)&gt;L146</formula>
    </cfRule>
  </conditionalFormatting>
  <conditionalFormatting sqref="L161:AA161">
    <cfRule type="expression" dxfId="193" priority="205">
      <formula>(L167+L161)&gt;L146</formula>
    </cfRule>
  </conditionalFormatting>
  <conditionalFormatting sqref="L146:AA146">
    <cfRule type="expression" dxfId="192" priority="204">
      <formula>(L167+L161)&gt;L146</formula>
    </cfRule>
  </conditionalFormatting>
  <conditionalFormatting sqref="L166:AA166">
    <cfRule type="expression" dxfId="191" priority="203">
      <formula>(L166+L160)&gt;L145</formula>
    </cfRule>
  </conditionalFormatting>
  <conditionalFormatting sqref="L160:AA160">
    <cfRule type="expression" dxfId="190" priority="202">
      <formula>(L166+L160)&gt;L145</formula>
    </cfRule>
  </conditionalFormatting>
  <conditionalFormatting sqref="L145:AA145">
    <cfRule type="expression" dxfId="189" priority="201">
      <formula>(L166+L160)&gt;L145</formula>
    </cfRule>
  </conditionalFormatting>
  <conditionalFormatting sqref="L144">
    <cfRule type="expression" dxfId="188" priority="198">
      <formula>(L165+L159)&gt;L144</formula>
    </cfRule>
  </conditionalFormatting>
  <conditionalFormatting sqref="N144">
    <cfRule type="expression" dxfId="187" priority="197">
      <formula>(N165+N159)&gt;N144</formula>
    </cfRule>
  </conditionalFormatting>
  <conditionalFormatting sqref="P144">
    <cfRule type="expression" dxfId="186" priority="196">
      <formula>(P165+P159)&gt;P144</formula>
    </cfRule>
  </conditionalFormatting>
  <conditionalFormatting sqref="R144">
    <cfRule type="expression" dxfId="185" priority="195">
      <formula>(R165+R159)&gt;R144</formula>
    </cfRule>
  </conditionalFormatting>
  <conditionalFormatting sqref="T144">
    <cfRule type="expression" dxfId="184" priority="194">
      <formula>(T165+T159)&gt;T144</formula>
    </cfRule>
  </conditionalFormatting>
  <conditionalFormatting sqref="V144">
    <cfRule type="expression" dxfId="183" priority="193">
      <formula>(V165+V159)&gt;V144</formula>
    </cfRule>
  </conditionalFormatting>
  <conditionalFormatting sqref="X144">
    <cfRule type="expression" dxfId="182" priority="192">
      <formula>(X165+X159)&gt;X144</formula>
    </cfRule>
  </conditionalFormatting>
  <conditionalFormatting sqref="Z144">
    <cfRule type="expression" dxfId="181" priority="191">
      <formula>(Z165+Z159)&gt;Z144</formula>
    </cfRule>
  </conditionalFormatting>
  <conditionalFormatting sqref="N159">
    <cfRule type="expression" dxfId="180" priority="189">
      <formula>(N165+N159)&gt;N144</formula>
    </cfRule>
    <cfRule type="expression" dxfId="179" priority="190">
      <formula>N172&gt;N159</formula>
    </cfRule>
  </conditionalFormatting>
  <conditionalFormatting sqref="P159">
    <cfRule type="expression" dxfId="178" priority="187">
      <formula>(P165+P159)&gt;P144</formula>
    </cfRule>
    <cfRule type="expression" dxfId="177" priority="188">
      <formula>P172&gt;P159</formula>
    </cfRule>
  </conditionalFormatting>
  <conditionalFormatting sqref="R159">
    <cfRule type="expression" dxfId="176" priority="185">
      <formula>(R165+R159)&gt;R144</formula>
    </cfRule>
    <cfRule type="expression" dxfId="175" priority="186">
      <formula>R172&gt;R159</formula>
    </cfRule>
  </conditionalFormatting>
  <conditionalFormatting sqref="T159">
    <cfRule type="expression" dxfId="174" priority="183">
      <formula>(T165+T159)&gt;T144</formula>
    </cfRule>
    <cfRule type="expression" dxfId="173" priority="184">
      <formula>T172&gt;T159</formula>
    </cfRule>
  </conditionalFormatting>
  <conditionalFormatting sqref="V159">
    <cfRule type="expression" dxfId="172" priority="181">
      <formula>(V165+V159)&gt;V144</formula>
    </cfRule>
    <cfRule type="expression" dxfId="171" priority="182">
      <formula>V172&gt;V159</formula>
    </cfRule>
  </conditionalFormatting>
  <conditionalFormatting sqref="X159">
    <cfRule type="expression" dxfId="170" priority="179">
      <formula>(X165+X159)&gt;X144</formula>
    </cfRule>
    <cfRule type="expression" dxfId="169" priority="180">
      <formula>X172&gt;X159</formula>
    </cfRule>
  </conditionalFormatting>
  <conditionalFormatting sqref="Z159">
    <cfRule type="expression" dxfId="168" priority="177">
      <formula>(Z165+Z159)&gt;Z144</formula>
    </cfRule>
    <cfRule type="expression" dxfId="167" priority="178">
      <formula>Z172&gt;Z159</formula>
    </cfRule>
  </conditionalFormatting>
  <conditionalFormatting sqref="N165">
    <cfRule type="expression" dxfId="166" priority="175">
      <formula>(N165+N159)&gt;N144</formula>
    </cfRule>
    <cfRule type="expression" dxfId="165" priority="176">
      <formula>N178&gt;N165</formula>
    </cfRule>
  </conditionalFormatting>
  <conditionalFormatting sqref="P165">
    <cfRule type="expression" dxfId="164" priority="173">
      <formula>(P165+P159)&gt;P144</formula>
    </cfRule>
    <cfRule type="expression" dxfId="163" priority="174">
      <formula>P178&gt;P165</formula>
    </cfRule>
  </conditionalFormatting>
  <conditionalFormatting sqref="R165">
    <cfRule type="expression" dxfId="162" priority="171">
      <formula>(R165+R159)&gt;R144</formula>
    </cfRule>
    <cfRule type="expression" dxfId="161" priority="172">
      <formula>R178&gt;R165</formula>
    </cfRule>
  </conditionalFormatting>
  <conditionalFormatting sqref="T165">
    <cfRule type="expression" dxfId="160" priority="169">
      <formula>(T165+T159)&gt;T144</formula>
    </cfRule>
    <cfRule type="expression" dxfId="159" priority="170">
      <formula>T178&gt;T165</formula>
    </cfRule>
  </conditionalFormatting>
  <conditionalFormatting sqref="V165">
    <cfRule type="expression" dxfId="158" priority="167">
      <formula>(V165+V159)&gt;V144</formula>
    </cfRule>
    <cfRule type="expression" dxfId="157" priority="168">
      <formula>V178&gt;V165</formula>
    </cfRule>
  </conditionalFormatting>
  <conditionalFormatting sqref="X165">
    <cfRule type="expression" dxfId="156" priority="165">
      <formula>(X165+X159)&gt;X144</formula>
    </cfRule>
    <cfRule type="expression" dxfId="155" priority="166">
      <formula>X178&gt;X165</formula>
    </cfRule>
  </conditionalFormatting>
  <conditionalFormatting sqref="Z165">
    <cfRule type="expression" dxfId="154" priority="163">
      <formula>(Z165+Z159)&gt;Z144</formula>
    </cfRule>
    <cfRule type="expression" dxfId="153" priority="164">
      <formula>Z178&gt;Z165</formula>
    </cfRule>
  </conditionalFormatting>
  <conditionalFormatting sqref="M143">
    <cfRule type="expression" dxfId="152" priority="160">
      <formula>(M164+M158)&gt;M143</formula>
    </cfRule>
  </conditionalFormatting>
  <conditionalFormatting sqref="O143">
    <cfRule type="expression" dxfId="151" priority="159">
      <formula>(O164+O158)&gt;O143</formula>
    </cfRule>
  </conditionalFormatting>
  <conditionalFormatting sqref="Q143">
    <cfRule type="expression" dxfId="150" priority="158">
      <formula>(Q164+Q158)&gt;Q143</formula>
    </cfRule>
  </conditionalFormatting>
  <conditionalFormatting sqref="S143">
    <cfRule type="expression" dxfId="149" priority="157">
      <formula>(S164+S158)&gt;S143</formula>
    </cfRule>
  </conditionalFormatting>
  <conditionalFormatting sqref="U143">
    <cfRule type="expression" dxfId="148" priority="156">
      <formula>(U164+U158)&gt;U143</formula>
    </cfRule>
  </conditionalFormatting>
  <conditionalFormatting sqref="W143">
    <cfRule type="expression" dxfId="147" priority="155">
      <formula>(W164+W158)&gt;W143</formula>
    </cfRule>
  </conditionalFormatting>
  <conditionalFormatting sqref="Y143">
    <cfRule type="expression" dxfId="146" priority="154">
      <formula>(Y164+Y158)&gt;Y143</formula>
    </cfRule>
  </conditionalFormatting>
  <conditionalFormatting sqref="AA143">
    <cfRule type="expression" dxfId="145" priority="153">
      <formula>(AA164+AA158)&gt;AA143</formula>
    </cfRule>
  </conditionalFormatting>
  <conditionalFormatting sqref="O164">
    <cfRule type="expression" dxfId="144" priority="151">
      <formula>(O164+O158)&gt;O143</formula>
    </cfRule>
    <cfRule type="expression" dxfId="143" priority="152">
      <formula>O177&gt;O164</formula>
    </cfRule>
  </conditionalFormatting>
  <conditionalFormatting sqref="Q164">
    <cfRule type="expression" dxfId="142" priority="149">
      <formula>(Q164+Q158)&gt;Q143</formula>
    </cfRule>
    <cfRule type="expression" dxfId="141" priority="150">
      <formula>Q177&gt;Q164</formula>
    </cfRule>
  </conditionalFormatting>
  <conditionalFormatting sqref="S164">
    <cfRule type="expression" dxfId="140" priority="147">
      <formula>(S164+S158)&gt;S143</formula>
    </cfRule>
    <cfRule type="expression" dxfId="139" priority="148">
      <formula>S177&gt;S164</formula>
    </cfRule>
  </conditionalFormatting>
  <conditionalFormatting sqref="U164">
    <cfRule type="expression" dxfId="138" priority="145">
      <formula>(U164+U158)&gt;U143</formula>
    </cfRule>
    <cfRule type="expression" dxfId="137" priority="146">
      <formula>U177&gt;U164</formula>
    </cfRule>
  </conditionalFormatting>
  <conditionalFormatting sqref="W164">
    <cfRule type="expression" dxfId="136" priority="143">
      <formula>(W164+W158)&gt;W143</formula>
    </cfRule>
    <cfRule type="expression" dxfId="135" priority="144">
      <formula>W177&gt;W164</formula>
    </cfRule>
  </conditionalFormatting>
  <conditionalFormatting sqref="Y164">
    <cfRule type="expression" dxfId="134" priority="141">
      <formula>(Y164+Y158)&gt;Y143</formula>
    </cfRule>
    <cfRule type="expression" dxfId="133" priority="142">
      <formula>Y177&gt;Y164</formula>
    </cfRule>
  </conditionalFormatting>
  <conditionalFormatting sqref="AA164">
    <cfRule type="expression" dxfId="132" priority="139">
      <formula>(AA164+AA158)&gt;AA143</formula>
    </cfRule>
    <cfRule type="expression" dxfId="131" priority="140">
      <formula>AA177&gt;AA164</formula>
    </cfRule>
  </conditionalFormatting>
  <conditionalFormatting sqref="O158">
    <cfRule type="expression" dxfId="130" priority="137">
      <formula>(O164+O158)&gt;O143</formula>
    </cfRule>
    <cfRule type="expression" dxfId="129" priority="138">
      <formula>O171&gt;O158</formula>
    </cfRule>
  </conditionalFormatting>
  <conditionalFormatting sqref="Q158">
    <cfRule type="expression" dxfId="128" priority="135">
      <formula>(Q164+Q158)&gt;Q143</formula>
    </cfRule>
    <cfRule type="expression" dxfId="127" priority="136">
      <formula>Q171&gt;Q158</formula>
    </cfRule>
  </conditionalFormatting>
  <conditionalFormatting sqref="S158">
    <cfRule type="expression" dxfId="126" priority="133">
      <formula>(S164+S158)&gt;S143</formula>
    </cfRule>
    <cfRule type="expression" dxfId="125" priority="134">
      <formula>S171&gt;S158</formula>
    </cfRule>
  </conditionalFormatting>
  <conditionalFormatting sqref="U158">
    <cfRule type="expression" dxfId="124" priority="131">
      <formula>(U164+U158)&gt;U143</formula>
    </cfRule>
    <cfRule type="expression" dxfId="123" priority="132">
      <formula>U171&gt;U158</formula>
    </cfRule>
  </conditionalFormatting>
  <conditionalFormatting sqref="W158">
    <cfRule type="expression" dxfId="122" priority="129">
      <formula>(W164+W158)&gt;W143</formula>
    </cfRule>
    <cfRule type="expression" dxfId="121" priority="130">
      <formula>W171&gt;W158</formula>
    </cfRule>
  </conditionalFormatting>
  <conditionalFormatting sqref="Y158">
    <cfRule type="expression" dxfId="120" priority="127">
      <formula>(Y164+Y158)&gt;Y143</formula>
    </cfRule>
    <cfRule type="expression" dxfId="119" priority="128">
      <formula>Y171&gt;Y158</formula>
    </cfRule>
  </conditionalFormatting>
  <conditionalFormatting sqref="AA158">
    <cfRule type="expression" dxfId="118" priority="125">
      <formula>(AA164+AA158)&gt;AA143</formula>
    </cfRule>
    <cfRule type="expression" dxfId="117" priority="126">
      <formula>AA171&gt;AA158</formula>
    </cfRule>
  </conditionalFormatting>
  <conditionalFormatting sqref="AB203">
    <cfRule type="expression" dxfId="116" priority="122">
      <formula>(AB203+AB135)&gt;(AB104+AB106)</formula>
    </cfRule>
  </conditionalFormatting>
  <conditionalFormatting sqref="AB135">
    <cfRule type="expression" dxfId="115" priority="121">
      <formula>(AB203+AB135)&gt;(AB104+AB106)</formula>
    </cfRule>
  </conditionalFormatting>
  <conditionalFormatting sqref="AB104">
    <cfRule type="expression" dxfId="114" priority="120">
      <formula>(AB203+AB135)&gt;(AB104+AB106)</formula>
    </cfRule>
  </conditionalFormatting>
  <conditionalFormatting sqref="AB106">
    <cfRule type="expression" dxfId="113" priority="119">
      <formula>(AB203+AB135)&gt;(AB104+AB106)</formula>
    </cfRule>
  </conditionalFormatting>
  <conditionalFormatting sqref="AF52:AF57">
    <cfRule type="notContainsBlanks" dxfId="112" priority="118">
      <formula>LEN(TRIM(AF52))&gt;0</formula>
    </cfRule>
  </conditionalFormatting>
  <conditionalFormatting sqref="AF119:AF133">
    <cfRule type="notContainsBlanks" dxfId="111" priority="117">
      <formula>LEN(TRIM(AF119))&gt;0</formula>
    </cfRule>
  </conditionalFormatting>
  <conditionalFormatting sqref="AF135:AF140">
    <cfRule type="notContainsBlanks" dxfId="110" priority="116">
      <formula>LEN(TRIM(AF135))&gt;0</formula>
    </cfRule>
  </conditionalFormatting>
  <conditionalFormatting sqref="AF142:AF147">
    <cfRule type="notContainsBlanks" dxfId="109" priority="115">
      <formula>LEN(TRIM(AF142))&gt;0</formula>
    </cfRule>
  </conditionalFormatting>
  <conditionalFormatting sqref="AF149:AF154">
    <cfRule type="notContainsBlanks" dxfId="108" priority="114">
      <formula>LEN(TRIM(AF149))&gt;0</formula>
    </cfRule>
  </conditionalFormatting>
  <conditionalFormatting sqref="AF186:AF201">
    <cfRule type="notContainsBlanks" dxfId="107" priority="113">
      <formula>LEN(TRIM(AF186))&gt;0</formula>
    </cfRule>
  </conditionalFormatting>
  <conditionalFormatting sqref="AF203:AF215">
    <cfRule type="notContainsBlanks" dxfId="106" priority="112">
      <formula>LEN(TRIM(AF203))&gt;0</formula>
    </cfRule>
  </conditionalFormatting>
  <conditionalFormatting sqref="AF217:AF229">
    <cfRule type="notContainsBlanks" dxfId="105" priority="111">
      <formula>LEN(TRIM(AF217))&gt;0</formula>
    </cfRule>
  </conditionalFormatting>
  <conditionalFormatting sqref="AF231:AF243">
    <cfRule type="notContainsBlanks" dxfId="104" priority="110">
      <formula>LEN(TRIM(AF231))&gt;0</formula>
    </cfRule>
  </conditionalFormatting>
  <conditionalFormatting sqref="AF245:AF251">
    <cfRule type="notContainsBlanks" dxfId="103" priority="109">
      <formula>LEN(TRIM(AF245))&gt;0</formula>
    </cfRule>
  </conditionalFormatting>
  <conditionalFormatting sqref="AC67">
    <cfRule type="notContainsBlanks" dxfId="102" priority="108">
      <formula>LEN(TRIM(AC67))&gt;0</formula>
    </cfRule>
  </conditionalFormatting>
  <conditionalFormatting sqref="AB27">
    <cfRule type="cellIs" dxfId="101" priority="107" operator="equal">
      <formula>0</formula>
    </cfRule>
  </conditionalFormatting>
  <conditionalFormatting sqref="AB28">
    <cfRule type="cellIs" dxfId="100" priority="106" operator="equal">
      <formula>0</formula>
    </cfRule>
  </conditionalFormatting>
  <conditionalFormatting sqref="L24:AA24">
    <cfRule type="expression" dxfId="99" priority="105">
      <formula>(L29+L30+L31)&gt;L24</formula>
    </cfRule>
  </conditionalFormatting>
  <conditionalFormatting sqref="L29:AA29">
    <cfRule type="expression" dxfId="98" priority="104">
      <formula>(L29+L30+L31)&gt;L24</formula>
    </cfRule>
  </conditionalFormatting>
  <conditionalFormatting sqref="L30:AA30">
    <cfRule type="expression" dxfId="97" priority="103">
      <formula>(L29+L30+L31)&gt;L24</formula>
    </cfRule>
  </conditionalFormatting>
  <conditionalFormatting sqref="L31:AA31">
    <cfRule type="expression" dxfId="96" priority="102">
      <formula>(L29+L30+L31)&gt;L24</formula>
    </cfRule>
  </conditionalFormatting>
  <conditionalFormatting sqref="L25">
    <cfRule type="expression" dxfId="95" priority="101">
      <formula>(L32+L33+L34)&gt;L25</formula>
    </cfRule>
  </conditionalFormatting>
  <conditionalFormatting sqref="L32">
    <cfRule type="expression" dxfId="94" priority="100">
      <formula>(L32+L33+L34)&gt;L25</formula>
    </cfRule>
  </conditionalFormatting>
  <conditionalFormatting sqref="N34">
    <cfRule type="expression" dxfId="93" priority="93">
      <formula>(N32+N33+N34)&gt;N25</formula>
    </cfRule>
    <cfRule type="expression" dxfId="92" priority="97">
      <formula>N34&gt;0</formula>
    </cfRule>
  </conditionalFormatting>
  <conditionalFormatting sqref="N33">
    <cfRule type="expression" dxfId="91" priority="94">
      <formula>(N32+N33+N34)&gt;N25</formula>
    </cfRule>
    <cfRule type="expression" dxfId="90" priority="96">
      <formula>(N83+N85)&gt;N33</formula>
    </cfRule>
  </conditionalFormatting>
  <conditionalFormatting sqref="N32">
    <cfRule type="expression" dxfId="89" priority="95">
      <formula>(N32+N33+N34)&gt;N25</formula>
    </cfRule>
  </conditionalFormatting>
  <conditionalFormatting sqref="P34">
    <cfRule type="expression" dxfId="88" priority="88">
      <formula>(P32+P33+P34)&gt;P25</formula>
    </cfRule>
    <cfRule type="expression" dxfId="87" priority="92">
      <formula>P34&gt;0</formula>
    </cfRule>
  </conditionalFormatting>
  <conditionalFormatting sqref="P33">
    <cfRule type="expression" dxfId="86" priority="89">
      <formula>(P32+P33+P34)&gt;P25</formula>
    </cfRule>
    <cfRule type="expression" dxfId="85" priority="91">
      <formula>(P83+P85)&gt;P33</formula>
    </cfRule>
  </conditionalFormatting>
  <conditionalFormatting sqref="P32">
    <cfRule type="expression" dxfId="84" priority="90">
      <formula>(P32+P33+P34)&gt;P25</formula>
    </cfRule>
  </conditionalFormatting>
  <conditionalFormatting sqref="R34">
    <cfRule type="expression" dxfId="83" priority="83">
      <formula>(R32+R33+R34)&gt;R25</formula>
    </cfRule>
    <cfRule type="expression" dxfId="82" priority="87">
      <formula>R34&gt;0</formula>
    </cfRule>
  </conditionalFormatting>
  <conditionalFormatting sqref="R33">
    <cfRule type="expression" dxfId="81" priority="84">
      <formula>(R32+R33+R34)&gt;R25</formula>
    </cfRule>
    <cfRule type="expression" dxfId="80" priority="86">
      <formula>(R83+R85)&gt;R33</formula>
    </cfRule>
  </conditionalFormatting>
  <conditionalFormatting sqref="R32">
    <cfRule type="expression" dxfId="79" priority="85">
      <formula>(R32+R33+R34)&gt;R25</formula>
    </cfRule>
  </conditionalFormatting>
  <conditionalFormatting sqref="T34">
    <cfRule type="expression" dxfId="78" priority="78">
      <formula>(T32+T33+T34)&gt;T25</formula>
    </cfRule>
    <cfRule type="expression" dxfId="77" priority="82">
      <formula>T34&gt;0</formula>
    </cfRule>
  </conditionalFormatting>
  <conditionalFormatting sqref="T33">
    <cfRule type="expression" dxfId="76" priority="79">
      <formula>(T32+T33+T34)&gt;T25</formula>
    </cfRule>
    <cfRule type="expression" dxfId="75" priority="81">
      <formula>(T83+T85)&gt;T33</formula>
    </cfRule>
  </conditionalFormatting>
  <conditionalFormatting sqref="T32">
    <cfRule type="expression" dxfId="74" priority="80">
      <formula>(T32+T33+T34)&gt;T25</formula>
    </cfRule>
  </conditionalFormatting>
  <conditionalFormatting sqref="V34">
    <cfRule type="expression" dxfId="73" priority="73">
      <formula>(V32+V33+V34)&gt;V25</formula>
    </cfRule>
    <cfRule type="expression" dxfId="72" priority="77">
      <formula>V34&gt;0</formula>
    </cfRule>
  </conditionalFormatting>
  <conditionalFormatting sqref="V33">
    <cfRule type="expression" dxfId="71" priority="74">
      <formula>(V32+V33+V34)&gt;V25</formula>
    </cfRule>
    <cfRule type="expression" dxfId="70" priority="76">
      <formula>(V83+V85)&gt;V33</formula>
    </cfRule>
  </conditionalFormatting>
  <conditionalFormatting sqref="V32">
    <cfRule type="expression" dxfId="69" priority="75">
      <formula>(V32+V33+V34)&gt;V25</formula>
    </cfRule>
  </conditionalFormatting>
  <conditionalFormatting sqref="X34">
    <cfRule type="expression" dxfId="68" priority="68">
      <formula>(X32+X33+X34)&gt;X25</formula>
    </cfRule>
    <cfRule type="expression" dxfId="67" priority="72">
      <formula>X34&gt;0</formula>
    </cfRule>
  </conditionalFormatting>
  <conditionalFormatting sqref="X33">
    <cfRule type="expression" dxfId="66" priority="69">
      <formula>(X32+X33+X34)&gt;X25</formula>
    </cfRule>
    <cfRule type="expression" dxfId="65" priority="71">
      <formula>(X83+X85)&gt;X33</formula>
    </cfRule>
  </conditionalFormatting>
  <conditionalFormatting sqref="X32">
    <cfRule type="expression" dxfId="64" priority="70">
      <formula>(X32+X33+X34)&gt;X25</formula>
    </cfRule>
  </conditionalFormatting>
  <conditionalFormatting sqref="Z34">
    <cfRule type="expression" dxfId="63" priority="63">
      <formula>(Z32+Z33+Z34)&gt;Z25</formula>
    </cfRule>
    <cfRule type="expression" dxfId="62" priority="67">
      <formula>Z34&gt;0</formula>
    </cfRule>
  </conditionalFormatting>
  <conditionalFormatting sqref="Z33">
    <cfRule type="expression" dxfId="61" priority="64">
      <formula>(Z32+Z33+Z34)&gt;Z25</formula>
    </cfRule>
    <cfRule type="expression" dxfId="60" priority="66">
      <formula>(Z83+Z85)&gt;Z33</formula>
    </cfRule>
  </conditionalFormatting>
  <conditionalFormatting sqref="Z32">
    <cfRule type="expression" dxfId="59" priority="65">
      <formula>(Z32+Z33+Z34)&gt;Z25</formula>
    </cfRule>
  </conditionalFormatting>
  <conditionalFormatting sqref="N25">
    <cfRule type="expression" dxfId="58" priority="62">
      <formula>(N32+N33+N34)&gt;N25</formula>
    </cfRule>
  </conditionalFormatting>
  <conditionalFormatting sqref="P25">
    <cfRule type="expression" dxfId="57" priority="61">
      <formula>(P32+P33+P34)&gt;P25</formula>
    </cfRule>
  </conditionalFormatting>
  <conditionalFormatting sqref="R25">
    <cfRule type="expression" dxfId="56" priority="60">
      <formula>(R32+R33+R34)&gt;R25</formula>
    </cfRule>
  </conditionalFormatting>
  <conditionalFormatting sqref="T25">
    <cfRule type="expression" dxfId="55" priority="59">
      <formula>(T32+T33+T34)&gt;T25</formula>
    </cfRule>
  </conditionalFormatting>
  <conditionalFormatting sqref="V25">
    <cfRule type="expression" dxfId="54" priority="58">
      <formula>(V32+V33+V34)&gt;V25</formula>
    </cfRule>
  </conditionalFormatting>
  <conditionalFormatting sqref="X25">
    <cfRule type="expression" dxfId="53" priority="57">
      <formula>(X32+X33+X34)&gt;X25</formula>
    </cfRule>
  </conditionalFormatting>
  <conditionalFormatting sqref="Z25">
    <cfRule type="expression" dxfId="52" priority="56">
      <formula>(Z32+Z33+Z34)&gt;Z25</formula>
    </cfRule>
  </conditionalFormatting>
  <conditionalFormatting sqref="AB26">
    <cfRule type="expression" dxfId="51" priority="55">
      <formula>(AB35+AB36+AB37)&gt;AB26</formula>
    </cfRule>
  </conditionalFormatting>
  <conditionalFormatting sqref="AB35">
    <cfRule type="expression" dxfId="50" priority="54">
      <formula>(AB35+AB36+AB37)&gt;AB26</formula>
    </cfRule>
  </conditionalFormatting>
  <conditionalFormatting sqref="AB37">
    <cfRule type="expression" dxfId="49" priority="52">
      <formula>(AB35+AB36+AB37)&gt;AB26</formula>
    </cfRule>
  </conditionalFormatting>
  <conditionalFormatting sqref="M27">
    <cfRule type="expression" dxfId="48" priority="51">
      <formula>(M38+M39+M40)&gt;M27</formula>
    </cfRule>
  </conditionalFormatting>
  <conditionalFormatting sqref="M38">
    <cfRule type="expression" dxfId="47" priority="50">
      <formula>(M38+M39+M40)&gt;M27</formula>
    </cfRule>
  </conditionalFormatting>
  <conditionalFormatting sqref="O40">
    <cfRule type="expression" dxfId="46" priority="43">
      <formula>(O38+O39+O40)&gt;O27</formula>
    </cfRule>
    <cfRule type="expression" dxfId="45" priority="47">
      <formula>O40&gt;0</formula>
    </cfRule>
  </conditionalFormatting>
  <conditionalFormatting sqref="O39">
    <cfRule type="expression" dxfId="44" priority="44">
      <formula>(O38+O39+O40)&gt;O27</formula>
    </cfRule>
    <cfRule type="expression" dxfId="43" priority="46">
      <formula>(O75+O77)&gt;O39</formula>
    </cfRule>
  </conditionalFormatting>
  <conditionalFormatting sqref="O38">
    <cfRule type="expression" dxfId="42" priority="45">
      <formula>(O38+O39+O40)&gt;O27</formula>
    </cfRule>
  </conditionalFormatting>
  <conditionalFormatting sqref="Q40">
    <cfRule type="expression" dxfId="41" priority="38">
      <formula>(Q38+Q39+Q40)&gt;Q27</formula>
    </cfRule>
    <cfRule type="expression" dxfId="40" priority="42">
      <formula>Q40&gt;0</formula>
    </cfRule>
  </conditionalFormatting>
  <conditionalFormatting sqref="Q39">
    <cfRule type="expression" dxfId="39" priority="39">
      <formula>(Q38+Q39+Q40)&gt;Q27</formula>
    </cfRule>
    <cfRule type="expression" dxfId="38" priority="41">
      <formula>(Q75+Q77)&gt;Q39</formula>
    </cfRule>
  </conditionalFormatting>
  <conditionalFormatting sqref="Q38">
    <cfRule type="expression" dxfId="37" priority="40">
      <formula>(Q38+Q39+Q40)&gt;Q27</formula>
    </cfRule>
  </conditionalFormatting>
  <conditionalFormatting sqref="S40">
    <cfRule type="expression" dxfId="36" priority="33">
      <formula>(S38+S39+S40)&gt;S27</formula>
    </cfRule>
    <cfRule type="expression" dxfId="35" priority="37">
      <formula>S40&gt;0</formula>
    </cfRule>
  </conditionalFormatting>
  <conditionalFormatting sqref="S39">
    <cfRule type="expression" dxfId="34" priority="34">
      <formula>(S38+S39+S40)&gt;S27</formula>
    </cfRule>
    <cfRule type="expression" dxfId="33" priority="36">
      <formula>(S75+S77)&gt;S39</formula>
    </cfRule>
  </conditionalFormatting>
  <conditionalFormatting sqref="S38">
    <cfRule type="expression" dxfId="32" priority="35">
      <formula>(S38+S39+S40)&gt;S27</formula>
    </cfRule>
  </conditionalFormatting>
  <conditionalFormatting sqref="U40">
    <cfRule type="expression" dxfId="31" priority="28">
      <formula>(U38+U39+U40)&gt;U27</formula>
    </cfRule>
    <cfRule type="expression" dxfId="30" priority="32">
      <formula>U40&gt;0</formula>
    </cfRule>
  </conditionalFormatting>
  <conditionalFormatting sqref="U39">
    <cfRule type="expression" dxfId="29" priority="29">
      <formula>(U38+U39+U40)&gt;U27</formula>
    </cfRule>
    <cfRule type="expression" dxfId="28" priority="31">
      <formula>(U75+U77)&gt;U39</formula>
    </cfRule>
  </conditionalFormatting>
  <conditionalFormatting sqref="U38">
    <cfRule type="expression" dxfId="27" priority="30">
      <formula>(U38+U39+U40)&gt;U27</formula>
    </cfRule>
  </conditionalFormatting>
  <conditionalFormatting sqref="W40">
    <cfRule type="expression" dxfId="26" priority="23">
      <formula>(W38+W39+W40)&gt;W27</formula>
    </cfRule>
    <cfRule type="expression" dxfId="25" priority="27">
      <formula>W40&gt;0</formula>
    </cfRule>
  </conditionalFormatting>
  <conditionalFormatting sqref="W39">
    <cfRule type="expression" dxfId="24" priority="24">
      <formula>(W38+W39+W40)&gt;W27</formula>
    </cfRule>
    <cfRule type="expression" dxfId="23" priority="26">
      <formula>(W75+W77)&gt;W39</formula>
    </cfRule>
  </conditionalFormatting>
  <conditionalFormatting sqref="W38">
    <cfRule type="expression" dxfId="22" priority="25">
      <formula>(W38+W39+W40)&gt;W27</formula>
    </cfRule>
  </conditionalFormatting>
  <conditionalFormatting sqref="Y40">
    <cfRule type="expression" dxfId="21" priority="18">
      <formula>(Y38+Y39+Y40)&gt;Y27</formula>
    </cfRule>
    <cfRule type="expression" dxfId="20" priority="22">
      <formula>Y40&gt;0</formula>
    </cfRule>
  </conditionalFormatting>
  <conditionalFormatting sqref="Y39">
    <cfRule type="expression" dxfId="19" priority="19">
      <formula>(Y38+Y39+Y40)&gt;Y27</formula>
    </cfRule>
    <cfRule type="expression" dxfId="18" priority="21">
      <formula>(Y75+Y77)&gt;Y39</formula>
    </cfRule>
  </conditionalFormatting>
  <conditionalFormatting sqref="Y38">
    <cfRule type="expression" dxfId="17" priority="20">
      <formula>(Y38+Y39+Y40)&gt;Y27</formula>
    </cfRule>
  </conditionalFormatting>
  <conditionalFormatting sqref="AA40">
    <cfRule type="expression" dxfId="16" priority="13">
      <formula>(AA38+AA39+AA40)&gt;AA27</formula>
    </cfRule>
    <cfRule type="expression" dxfId="15" priority="17">
      <formula>AA40&gt;0</formula>
    </cfRule>
  </conditionalFormatting>
  <conditionalFormatting sqref="AA39">
    <cfRule type="expression" dxfId="14" priority="14">
      <formula>(AA38+AA39+AA40)&gt;AA27</formula>
    </cfRule>
    <cfRule type="expression" dxfId="13" priority="16">
      <formula>(AA75+AA77)&gt;AA39</formula>
    </cfRule>
  </conditionalFormatting>
  <conditionalFormatting sqref="AA38">
    <cfRule type="expression" dxfId="12" priority="15">
      <formula>(AA38+AA39+AA40)&gt;AA27</formula>
    </cfRule>
  </conditionalFormatting>
  <conditionalFormatting sqref="O27">
    <cfRule type="expression" dxfId="11" priority="12">
      <formula>(O38+O39+O40)&gt;O27</formula>
    </cfRule>
  </conditionalFormatting>
  <conditionalFormatting sqref="Q27">
    <cfRule type="expression" dxfId="10" priority="11">
      <formula>(Q38+Q39+Q40)&gt;Q27</formula>
    </cfRule>
  </conditionalFormatting>
  <conditionalFormatting sqref="S27">
    <cfRule type="expression" dxfId="9" priority="10">
      <formula>(S38+S39+S40)&gt;S27</formula>
    </cfRule>
  </conditionalFormatting>
  <conditionalFormatting sqref="U27">
    <cfRule type="expression" dxfId="8" priority="9">
      <formula>(U38+U39+U40)&gt;U27</formula>
    </cfRule>
  </conditionalFormatting>
  <conditionalFormatting sqref="W27">
    <cfRule type="expression" dxfId="7" priority="8">
      <formula>(W38+W39+W40)&gt;W27</formula>
    </cfRule>
  </conditionalFormatting>
  <conditionalFormatting sqref="Y27">
    <cfRule type="expression" dxfId="6" priority="7">
      <formula>(Y38+Y39+Y40)&gt;Y27</formula>
    </cfRule>
  </conditionalFormatting>
  <conditionalFormatting sqref="AA27">
    <cfRule type="expression" dxfId="5" priority="6">
      <formula>(AA38+AA39+AA40)&gt;AA27</formula>
    </cfRule>
  </conditionalFormatting>
  <conditionalFormatting sqref="L28:AA28">
    <cfRule type="expression" dxfId="4" priority="5">
      <formula>(L41+L42+L43)&gt;L28</formula>
    </cfRule>
  </conditionalFormatting>
  <conditionalFormatting sqref="L41:AA41">
    <cfRule type="expression" dxfId="3" priority="4">
      <formula>(L41+L42+L43)&gt;L28</formula>
    </cfRule>
  </conditionalFormatting>
  <conditionalFormatting sqref="L42:AA42">
    <cfRule type="expression" dxfId="2" priority="3">
      <formula>(L41+L42+L43)&gt;L28</formula>
    </cfRule>
  </conditionalFormatting>
  <conditionalFormatting sqref="L43:AA43">
    <cfRule type="expression" dxfId="1" priority="2">
      <formula>(L41+L42+L43)&gt;L28</formula>
    </cfRule>
  </conditionalFormatting>
  <conditionalFormatting sqref="AC25">
    <cfRule type="notContainsBlanks" dxfId="0" priority="1">
      <formula>LEN(TRIM(AC25))&gt;0</formula>
    </cfRule>
  </conditionalFormatting>
  <dataValidations count="1">
    <dataValidation type="whole" allowBlank="1" showInputMessage="1" showErrorMessage="1" errorTitle="Non-Numeric or abnormal value" error="Enter Numbers only between 0 and 99999" sqref="D8:AA18 D245:AA251 AB18 AB203 AB11 AB186 AB119:AB120 AB245 D110:AA115 AB231 AB217 D231:AA243 M158:AA162 D217:AA229 D203:AA215 D186:AA201 AB52 AB71:AB74 N46:AA50 AB24:AB28 M142:AB142 N45:AB45 D119:AA133 D61:AA63 D67:AA106 M156:AB157 AB149 D149:AA154 M143:AA147 D156:L181 M176:AB176 M177:AA181 E135:AB135 M163:AB163 AB169:AB170 D142:L147 M164:AA175 D52:AA57 D45:M50 AB99:AB106 D135:D140 E136:AA140 D24:AA43" xr:uid="{B89F7BEB-D895-441B-9690-CF40DBC25312}">
      <formula1>0</formula1>
      <formula2>99999</formula2>
    </dataValidation>
  </dataValidations>
  <pageMargins left="0.511811023622047" right="7.8740157480315001E-2" top="0.196850393700787" bottom="0.196850393700787" header="0.2" footer="0.118110236220472"/>
  <pageSetup scale="26" fitToHeight="0" orientation="portrait" r:id="rId1"/>
  <headerFooter>
    <oddFooter>&amp;R&amp;P</oddFooter>
  </headerFooter>
  <rowBreaks count="1" manualBreakCount="1">
    <brk id="106" max="16383" man="1"/>
  </rowBreaks>
  <ignoredErrors>
    <ignoredError sqref="J19" twoDigitTextYear="1"/>
  </ignoredError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_ip_UnifiedCompliancePolicyUIAction xmlns="http://schemas.microsoft.com/sharepoint/v3" xsi:nil="true"/>
    <_ip_UnifiedCompliancePolicyProperties xmlns="http://schemas.microsoft.com/sharepoint/v3"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EA9366B03F6EC145B189534E5AC3D6E6" ma:contentTypeVersion="14" ma:contentTypeDescription="Create a new document." ma:contentTypeScope="" ma:versionID="ffc27aaa6afa60559960f746ac0a40ab">
  <xsd:schema xmlns:xsd="http://www.w3.org/2001/XMLSchema" xmlns:xs="http://www.w3.org/2001/XMLSchema" xmlns:p="http://schemas.microsoft.com/office/2006/metadata/properties" xmlns:ns1="http://schemas.microsoft.com/sharepoint/v3" xmlns:ns3="dac3fa0a-9923-49c3-b4ba-df6390fa58ea" xmlns:ns4="1ed6e237-7a44-4d6d-bfbc-e270d277b5ad" targetNamespace="http://schemas.microsoft.com/office/2006/metadata/properties" ma:root="true" ma:fieldsID="a6816e770e34b85fcdcbb3032b3d95e9" ns1:_="" ns3:_="" ns4:_="">
    <xsd:import namespace="http://schemas.microsoft.com/sharepoint/v3"/>
    <xsd:import namespace="dac3fa0a-9923-49c3-b4ba-df6390fa58ea"/>
    <xsd:import namespace="1ed6e237-7a44-4d6d-bfbc-e270d277b5ad"/>
    <xsd:element name="properties">
      <xsd:complexType>
        <xsd:sequence>
          <xsd:element name="documentManagement">
            <xsd:complexType>
              <xsd:all>
                <xsd:element ref="ns3:MediaServiceMetadata" minOccurs="0"/>
                <xsd:element ref="ns3:MediaServiceFastMetadata" minOccurs="0"/>
                <xsd:element ref="ns3:MediaServiceDateTaken" minOccurs="0"/>
                <xsd:element ref="ns3:MediaServiceAutoTags" minOccurs="0"/>
                <xsd:element ref="ns4:SharedWithUsers" minOccurs="0"/>
                <xsd:element ref="ns4:SharedWithDetails" minOccurs="0"/>
                <xsd:element ref="ns4:SharingHintHash" minOccurs="0"/>
                <xsd:element ref="ns3:MediaServiceOCR" minOccurs="0"/>
                <xsd:element ref="ns3:MediaServiceEventHashCode" minOccurs="0"/>
                <xsd:element ref="ns3:MediaServiceGenerationTime" minOccurs="0"/>
                <xsd:element ref="ns3:MediaServiceAutoKeyPoints" minOccurs="0"/>
                <xsd:element ref="ns3:MediaServiceKeyPoints" minOccurs="0"/>
                <xsd:element ref="ns1:_ip_UnifiedCompliancePolicyProperties" minOccurs="0"/>
                <xsd:element ref="ns1:_ip_UnifiedCompliancePolicyUIAc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http://schemas.microsoft.com/sharepoint/v3" elementFormDefault="qualified">
    <xsd:import namespace="http://schemas.microsoft.com/office/2006/documentManagement/types"/>
    <xsd:import namespace="http://schemas.microsoft.com/office/infopath/2007/PartnerControls"/>
    <xsd:element name="_ip_UnifiedCompliancePolicyProperties" ma:index="20" nillable="true" ma:displayName="Unified Compliance Policy Properties" ma:hidden="true" ma:internalName="_ip_UnifiedCompliancePolicyProperties">
      <xsd:simpleType>
        <xsd:restriction base="dms:Note"/>
      </xsd:simpleType>
    </xsd:element>
    <xsd:element name="_ip_UnifiedCompliancePolicyUIAction" ma:index="21" nillable="true" ma:displayName="Unified Compliance Policy UI Action" ma:hidden="true" ma:internalName="_ip_UnifiedCompliancePolicyUIAction">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dac3fa0a-9923-49c3-b4ba-df6390fa58ea" elementFormDefault="qualified">
    <xsd:import namespace="http://schemas.microsoft.com/office/2006/documentManagement/types"/>
    <xsd:import namespace="http://schemas.microsoft.com/office/infopath/2007/PartnerControls"/>
    <xsd:element name="MediaServiceMetadata" ma:index="8" nillable="true" ma:displayName="MediaServiceMetadata" ma:description="" ma:hidden="true" ma:internalName="MediaServiceMetadata" ma:readOnly="true">
      <xsd:simpleType>
        <xsd:restriction base="dms:Note"/>
      </xsd:simpleType>
    </xsd:element>
    <xsd:element name="MediaServiceFastMetadata" ma:index="9" nillable="true" ma:displayName="MediaServiceFastMetadata" ma:description="" ma:hidden="true" ma:internalName="MediaServiceFastMetadata" ma:readOnly="true">
      <xsd:simpleType>
        <xsd:restriction base="dms:Note"/>
      </xsd:simpleType>
    </xsd:element>
    <xsd:element name="MediaServiceDateTaken" ma:index="10" nillable="true" ma:displayName="MediaServiceDateTaken" ma:description="" ma:hidden="true" ma:internalName="MediaServiceDateTaken" ma:readOnly="true">
      <xsd:simpleType>
        <xsd:restriction base="dms:Text"/>
      </xsd:simpleType>
    </xsd:element>
    <xsd:element name="MediaServiceAutoTags" ma:index="11" nillable="true" ma:displayName="MediaServiceAutoTags" ma:description="" ma:internalName="MediaServiceAutoTags" ma:readOnly="true">
      <xsd:simpleType>
        <xsd:restriction base="dms:Text"/>
      </xsd:simpleType>
    </xsd:element>
    <xsd:element name="MediaServiceOCR" ma:index="15" nillable="true" ma:displayName="MediaServiceOCR" ma:internalName="MediaServiceOCR" ma:readOnly="true">
      <xsd:simpleType>
        <xsd:restriction base="dms:Note">
          <xsd:maxLength value="255"/>
        </xsd:restriction>
      </xsd:simpleType>
    </xsd:element>
    <xsd:element name="MediaServiceEventHashCode" ma:index="16" nillable="true" ma:displayName="MediaServiceEventHashCode" ma:hidden="true" ma:internalName="MediaServiceEventHashCode" ma:readOnly="true">
      <xsd:simpleType>
        <xsd:restriction base="dms:Text"/>
      </xsd:simpleType>
    </xsd:element>
    <xsd:element name="MediaServiceGenerationTime" ma:index="17" nillable="true" ma:displayName="MediaServiceGenerationTime" ma:hidden="true" ma:internalName="MediaServiceGenerationTime" ma:readOnly="true">
      <xsd:simpleType>
        <xsd:restriction base="dms:Text"/>
      </xsd:simpleType>
    </xsd:element>
    <xsd:element name="MediaServiceAutoKeyPoints" ma:index="18" nillable="true" ma:displayName="MediaServiceAutoKeyPoints" ma:hidden="true" ma:internalName="MediaServiceAutoKeyPoints" ma:readOnly="true">
      <xsd:simpleType>
        <xsd:restriction base="dms:Note"/>
      </xsd:simpleType>
    </xsd:element>
    <xsd:element name="MediaServiceKeyPoints" ma:index="19"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1ed6e237-7a44-4d6d-bfbc-e270d277b5ad"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element name="SharingHintHash" ma:index="14" nillable="true" ma:displayName="Sharing Hint Hash" ma:hidden="true"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C9757ECA-E322-4B4F-A80B-F429838D8BF7}">
  <ds:schemaRefs>
    <ds:schemaRef ds:uri="http://schemas.microsoft.com/office/2006/metadata/properties"/>
    <ds:schemaRef ds:uri="http://schemas.microsoft.com/office/2006/documentManagement/types"/>
    <ds:schemaRef ds:uri="http://schemas.microsoft.com/sharepoint/v3"/>
    <ds:schemaRef ds:uri="dac3fa0a-9923-49c3-b4ba-df6390fa58ea"/>
    <ds:schemaRef ds:uri="http://purl.org/dc/terms/"/>
    <ds:schemaRef ds:uri="http://schemas.openxmlformats.org/package/2006/metadata/core-properties"/>
    <ds:schemaRef ds:uri="http://purl.org/dc/dcmitype/"/>
    <ds:schemaRef ds:uri="http://schemas.microsoft.com/office/infopath/2007/PartnerControls"/>
    <ds:schemaRef ds:uri="1ed6e237-7a44-4d6d-bfbc-e270d277b5ad"/>
    <ds:schemaRef ds:uri="http://purl.org/dc/elements/1.1/"/>
    <ds:schemaRef ds:uri="http://www.w3.org/XML/1998/namespace"/>
  </ds:schemaRefs>
</ds:datastoreItem>
</file>

<file path=customXml/itemProps2.xml><?xml version="1.0" encoding="utf-8"?>
<ds:datastoreItem xmlns:ds="http://schemas.openxmlformats.org/officeDocument/2006/customXml" ds:itemID="{8F27D016-ED29-4335-8911-6427F4BFA81E}">
  <ds:schemaRefs>
    <ds:schemaRef ds:uri="http://schemas.microsoft.com/sharepoint/v3/contenttype/forms"/>
  </ds:schemaRefs>
</ds:datastoreItem>
</file>

<file path=customXml/itemProps3.xml><?xml version="1.0" encoding="utf-8"?>
<ds:datastoreItem xmlns:ds="http://schemas.openxmlformats.org/officeDocument/2006/customXml" ds:itemID="{B4331761-FFFE-4F11-AA2E-B35F1517E21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microsoft.com/sharepoint/v3"/>
    <ds:schemaRef ds:uri="dac3fa0a-9923-49c3-b4ba-df6390fa58ea"/>
    <ds:schemaRef ds:uri="1ed6e237-7a44-4d6d-bfbc-e270d277b5ad"/>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Instructions</vt:lpstr>
      <vt:lpstr>Feb</vt:lpstr>
      <vt:lpstr>Feb!Print_Area</vt:lpstr>
      <vt:lpstr>Instructions!Print_Area</vt:lpstr>
      <vt:lpstr>Feb!Print_Titles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Njoka</dc:creator>
  <cp:lastModifiedBy>Developers</cp:lastModifiedBy>
  <cp:lastPrinted>2020-06-04T19:13:43Z</cp:lastPrinted>
  <dcterms:created xsi:type="dcterms:W3CDTF">2018-10-31T09:45:26Z</dcterms:created>
  <dcterms:modified xsi:type="dcterms:W3CDTF">2021-07-02T10:19:07Z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97562b29-1870-4619-bda6-f602bd214bc5</vt:lpwstr>
  </property>
  <property fmtid="{D5CDD505-2E9C-101B-9397-08002B2CF9AE}" pid="3" name="ConnectionInfosStorage">
    <vt:lpwstr>WorkbookXmlParts</vt:lpwstr>
  </property>
  <property fmtid="{D5CDD505-2E9C-101B-9397-08002B2CF9AE}" pid="4" name="ContentTypeId">
    <vt:lpwstr>0x010100EA9366B03F6EC145B189534E5AC3D6E6</vt:lpwstr>
  </property>
</Properties>
</file>