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B926B486-BEDC-427E-BBC5-BC76DB98914E}" xr6:coauthVersionLast="46" xr6:coauthVersionMax="46" xr10:uidLastSave="{00000000-0000-0000-0000-000000000000}"/>
  <workbookProtection workbookAlgorithmName="SHA-512" workbookHashValue="8m/p43neJiOsq/KGI1/iqzlqruCDG2E5T6GFQL8y79oAV6j0O0/M0teS9EZZHckYlC1e9uDylQMUmXoJPMN2HQ==" workbookSaltValue="lw5ba0aiNinchFnrIzGU4A==" workbookSpinCount="100000" lockStructure="1"/>
  <bookViews>
    <workbookView xWindow="-98" yWindow="-98" windowWidth="19396" windowHeight="10395" activeTab="1" xr2:uid="{1C7A72A4-46D5-4130-84F6-E2BF1F1A15D0}"/>
  </bookViews>
  <sheets>
    <sheet name="Instructions" sheetId="4" r:id="rId1"/>
    <sheet name="Feb" sheetId="1" r:id="rId2"/>
  </sheets>
  <definedNames>
    <definedName name="_xlnm._FilterDatabase" localSheetId="0" hidden="1">Instructions!$B$2:$F$4</definedName>
    <definedName name="_xlnm.Print_Area" localSheetId="1">Feb!$A$1:$AB$252</definedName>
    <definedName name="_xlnm.Print_Area" localSheetId="0">Instructions!$B$1:$F$4</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8" i="1" l="1"/>
  <c r="AE167" i="1"/>
  <c r="AE166" i="1"/>
  <c r="AE165" i="1"/>
  <c r="AE135" i="1"/>
  <c r="AC99" i="1" l="1"/>
  <c r="AC67" i="1" l="1"/>
  <c r="AC46" i="1"/>
  <c r="AF110" i="1"/>
  <c r="AF245" i="1"/>
  <c r="AF231" i="1"/>
  <c r="AF217" i="1"/>
  <c r="AF203" i="1"/>
  <c r="AF186" i="1"/>
  <c r="AD24" i="1"/>
  <c r="AF52" i="1"/>
  <c r="AF67" i="1"/>
  <c r="AF119" i="1"/>
  <c r="AF135" i="1"/>
  <c r="AF149" i="1"/>
  <c r="AC147" i="1"/>
  <c r="AC146" i="1"/>
  <c r="AC145" i="1"/>
  <c r="AC144" i="1"/>
  <c r="AC143" i="1"/>
  <c r="AC135" i="1"/>
  <c r="E135" i="1"/>
  <c r="F135" i="1"/>
  <c r="G135" i="1"/>
  <c r="H135" i="1"/>
  <c r="I135" i="1"/>
  <c r="J135" i="1"/>
  <c r="K135" i="1"/>
  <c r="L135" i="1"/>
  <c r="M135" i="1"/>
  <c r="N135" i="1"/>
  <c r="O135" i="1"/>
  <c r="P135" i="1"/>
  <c r="Q135" i="1"/>
  <c r="R135" i="1"/>
  <c r="S135" i="1"/>
  <c r="T135" i="1"/>
  <c r="U135" i="1"/>
  <c r="V135" i="1"/>
  <c r="W135" i="1"/>
  <c r="X135" i="1"/>
  <c r="Y135" i="1"/>
  <c r="Z135" i="1"/>
  <c r="AA135" i="1"/>
  <c r="E104" i="1"/>
  <c r="F104" i="1"/>
  <c r="G104" i="1"/>
  <c r="H104" i="1"/>
  <c r="I104" i="1"/>
  <c r="J104" i="1"/>
  <c r="K104" i="1"/>
  <c r="L104" i="1"/>
  <c r="M104" i="1"/>
  <c r="N104" i="1"/>
  <c r="O104" i="1"/>
  <c r="P104" i="1"/>
  <c r="Q104" i="1"/>
  <c r="R104" i="1"/>
  <c r="S104" i="1"/>
  <c r="T104" i="1"/>
  <c r="U104" i="1"/>
  <c r="V104" i="1"/>
  <c r="W104" i="1"/>
  <c r="X104" i="1"/>
  <c r="Y104" i="1"/>
  <c r="Z104" i="1"/>
  <c r="AA104" i="1"/>
  <c r="AB104" i="1"/>
  <c r="E106" i="1"/>
  <c r="F106" i="1"/>
  <c r="AC102" i="1" s="1"/>
  <c r="G106" i="1"/>
  <c r="H106" i="1"/>
  <c r="I106" i="1"/>
  <c r="J106" i="1"/>
  <c r="K106" i="1"/>
  <c r="L106" i="1"/>
  <c r="M106" i="1"/>
  <c r="N106" i="1"/>
  <c r="O106" i="1"/>
  <c r="P106" i="1"/>
  <c r="Q106" i="1"/>
  <c r="R106" i="1"/>
  <c r="S106" i="1"/>
  <c r="T106" i="1"/>
  <c r="U106" i="1"/>
  <c r="V106" i="1"/>
  <c r="W106" i="1"/>
  <c r="X106" i="1"/>
  <c r="Y106" i="1"/>
  <c r="Z106" i="1"/>
  <c r="AA106" i="1"/>
  <c r="AB106" i="1"/>
  <c r="M120" i="1"/>
  <c r="AC131" i="1" s="1"/>
  <c r="N120" i="1"/>
  <c r="O120" i="1"/>
  <c r="P120" i="1"/>
  <c r="Q120" i="1"/>
  <c r="R120" i="1"/>
  <c r="S120" i="1"/>
  <c r="T120" i="1"/>
  <c r="U120" i="1"/>
  <c r="V120" i="1"/>
  <c r="W120" i="1"/>
  <c r="X120" i="1"/>
  <c r="Y120" i="1"/>
  <c r="Z120" i="1"/>
  <c r="AA120" i="1"/>
  <c r="D120" i="1"/>
  <c r="E120" i="1"/>
  <c r="F120" i="1"/>
  <c r="G120" i="1"/>
  <c r="H120" i="1"/>
  <c r="I120" i="1"/>
  <c r="J120" i="1"/>
  <c r="K120" i="1"/>
  <c r="M105" i="1"/>
  <c r="N105" i="1"/>
  <c r="O105" i="1"/>
  <c r="P105" i="1"/>
  <c r="Q105" i="1"/>
  <c r="R105" i="1"/>
  <c r="S105" i="1"/>
  <c r="T105" i="1"/>
  <c r="U105" i="1"/>
  <c r="V105" i="1"/>
  <c r="W105" i="1"/>
  <c r="X105" i="1"/>
  <c r="Y105" i="1"/>
  <c r="Z105" i="1"/>
  <c r="AA105" i="1"/>
  <c r="D105" i="1"/>
  <c r="E105" i="1"/>
  <c r="F105" i="1"/>
  <c r="G105" i="1"/>
  <c r="H105" i="1"/>
  <c r="I105" i="1"/>
  <c r="J105" i="1"/>
  <c r="K105" i="1"/>
  <c r="D106" i="1"/>
  <c r="M102" i="1"/>
  <c r="N102" i="1"/>
  <c r="O102" i="1"/>
  <c r="P102" i="1"/>
  <c r="Q102" i="1"/>
  <c r="R102" i="1"/>
  <c r="S102" i="1"/>
  <c r="T102" i="1"/>
  <c r="U102" i="1"/>
  <c r="V102" i="1"/>
  <c r="W102" i="1"/>
  <c r="X102" i="1"/>
  <c r="Y102" i="1"/>
  <c r="Z102" i="1"/>
  <c r="AA102" i="1"/>
  <c r="AB102" i="1"/>
  <c r="D102" i="1"/>
  <c r="E102" i="1"/>
  <c r="F102" i="1"/>
  <c r="G102" i="1"/>
  <c r="H102" i="1"/>
  <c r="I102" i="1"/>
  <c r="J102" i="1"/>
  <c r="K102" i="1"/>
  <c r="D104" i="1"/>
  <c r="E101" i="1"/>
  <c r="F101" i="1"/>
  <c r="G101" i="1"/>
  <c r="H101" i="1"/>
  <c r="I101" i="1"/>
  <c r="J101" i="1"/>
  <c r="K101" i="1"/>
  <c r="L101" i="1"/>
  <c r="M101" i="1"/>
  <c r="N101" i="1"/>
  <c r="O101" i="1"/>
  <c r="P101" i="1"/>
  <c r="Q101" i="1"/>
  <c r="R101" i="1"/>
  <c r="S101" i="1"/>
  <c r="T101" i="1"/>
  <c r="U101" i="1"/>
  <c r="V101" i="1"/>
  <c r="W101" i="1"/>
  <c r="X101" i="1"/>
  <c r="Y101" i="1"/>
  <c r="Z101" i="1"/>
  <c r="AA101" i="1"/>
  <c r="AB101" i="1"/>
  <c r="E100" i="1"/>
  <c r="F100" i="1"/>
  <c r="G100" i="1"/>
  <c r="H100" i="1"/>
  <c r="I100" i="1"/>
  <c r="J100" i="1"/>
  <c r="K100" i="1"/>
  <c r="L100" i="1"/>
  <c r="M100" i="1"/>
  <c r="N100" i="1"/>
  <c r="O100" i="1"/>
  <c r="P100" i="1"/>
  <c r="Q100" i="1"/>
  <c r="R100" i="1"/>
  <c r="S100" i="1"/>
  <c r="T100" i="1"/>
  <c r="U100" i="1"/>
  <c r="V100" i="1"/>
  <c r="W100" i="1"/>
  <c r="X100" i="1"/>
  <c r="Y100" i="1"/>
  <c r="Z100" i="1"/>
  <c r="AA100" i="1"/>
  <c r="AB100" i="1"/>
  <c r="E99" i="1"/>
  <c r="F99" i="1"/>
  <c r="G99" i="1"/>
  <c r="H99" i="1"/>
  <c r="I99" i="1"/>
  <c r="J99" i="1"/>
  <c r="K99" i="1"/>
  <c r="L99" i="1"/>
  <c r="M99" i="1"/>
  <c r="N99" i="1"/>
  <c r="O99" i="1"/>
  <c r="P99" i="1"/>
  <c r="Q99" i="1"/>
  <c r="R99" i="1"/>
  <c r="S99" i="1"/>
  <c r="T99" i="1"/>
  <c r="U99" i="1"/>
  <c r="V99" i="1"/>
  <c r="W99" i="1"/>
  <c r="X99" i="1"/>
  <c r="Y99" i="1"/>
  <c r="Z99" i="1"/>
  <c r="AA99" i="1"/>
  <c r="AB99" i="1"/>
  <c r="E103" i="1"/>
  <c r="F103" i="1"/>
  <c r="G103" i="1"/>
  <c r="H103" i="1"/>
  <c r="I103" i="1"/>
  <c r="J103" i="1"/>
  <c r="K103" i="1"/>
  <c r="L103" i="1"/>
  <c r="M103" i="1"/>
  <c r="N103" i="1"/>
  <c r="O103" i="1"/>
  <c r="P103" i="1"/>
  <c r="Q103" i="1"/>
  <c r="R103" i="1"/>
  <c r="S103" i="1"/>
  <c r="T103" i="1"/>
  <c r="U103" i="1"/>
  <c r="V103" i="1"/>
  <c r="W103" i="1"/>
  <c r="X103" i="1"/>
  <c r="Y103" i="1"/>
  <c r="Z103" i="1"/>
  <c r="AA103" i="1"/>
  <c r="D101" i="1"/>
  <c r="L102" i="1"/>
  <c r="D100" i="1"/>
  <c r="D99" i="1"/>
  <c r="D103" i="1"/>
  <c r="L105" i="1"/>
  <c r="AC101" i="1" s="1"/>
  <c r="AC76" i="1"/>
  <c r="AC86" i="1"/>
  <c r="AC72" i="1"/>
  <c r="AC68" i="1"/>
  <c r="AE61" i="1"/>
  <c r="AC61" i="1"/>
  <c r="AC54" i="1"/>
  <c r="AC55" i="1"/>
  <c r="AC56" i="1"/>
  <c r="AC57" i="1"/>
  <c r="AC53" i="1"/>
  <c r="N45" i="1"/>
  <c r="O45" i="1"/>
  <c r="P45" i="1"/>
  <c r="Q45" i="1"/>
  <c r="R45" i="1"/>
  <c r="S45" i="1"/>
  <c r="T45" i="1"/>
  <c r="U45" i="1"/>
  <c r="V45" i="1"/>
  <c r="W45" i="1"/>
  <c r="X45" i="1"/>
  <c r="Y45" i="1"/>
  <c r="Z45" i="1"/>
  <c r="AA45" i="1"/>
  <c r="M45" i="1"/>
  <c r="E23" i="1"/>
  <c r="F23" i="1"/>
  <c r="G23" i="1"/>
  <c r="H23" i="1"/>
  <c r="I23" i="1"/>
  <c r="J23" i="1"/>
  <c r="K23" i="1"/>
  <c r="D23" i="1"/>
  <c r="M24" i="1"/>
  <c r="M23" i="1" s="1"/>
  <c r="N24" i="1"/>
  <c r="O24" i="1"/>
  <c r="O23" i="1" s="1"/>
  <c r="P24" i="1"/>
  <c r="Q24" i="1"/>
  <c r="R24" i="1"/>
  <c r="S24" i="1"/>
  <c r="T24" i="1"/>
  <c r="U24" i="1"/>
  <c r="V24" i="1"/>
  <c r="W24" i="1"/>
  <c r="W23" i="1" s="1"/>
  <c r="X24" i="1"/>
  <c r="Y24" i="1"/>
  <c r="Z24" i="1"/>
  <c r="AA24" i="1"/>
  <c r="M28" i="1"/>
  <c r="N28" i="1"/>
  <c r="O28" i="1"/>
  <c r="P28" i="1"/>
  <c r="AC48" i="1" s="1"/>
  <c r="Q28" i="1"/>
  <c r="R28" i="1"/>
  <c r="R23" i="1" s="1"/>
  <c r="S28" i="1"/>
  <c r="T28" i="1"/>
  <c r="U28" i="1"/>
  <c r="V28" i="1"/>
  <c r="V23" i="1" s="1"/>
  <c r="W28" i="1"/>
  <c r="X28" i="1"/>
  <c r="Y28" i="1"/>
  <c r="Z28" i="1"/>
  <c r="Z23" i="1" s="1"/>
  <c r="AA28" i="1"/>
  <c r="M25" i="1"/>
  <c r="N25" i="1"/>
  <c r="O25" i="1"/>
  <c r="P25" i="1"/>
  <c r="Q25" i="1"/>
  <c r="R25" i="1"/>
  <c r="S25" i="1"/>
  <c r="T25" i="1"/>
  <c r="U25" i="1"/>
  <c r="V25" i="1"/>
  <c r="W25" i="1"/>
  <c r="X25" i="1"/>
  <c r="Y25" i="1"/>
  <c r="Z25" i="1"/>
  <c r="AA25" i="1"/>
  <c r="N27" i="1"/>
  <c r="O27" i="1"/>
  <c r="P27" i="1"/>
  <c r="Q27" i="1"/>
  <c r="R27" i="1"/>
  <c r="S27" i="1"/>
  <c r="T27" i="1"/>
  <c r="U27" i="1"/>
  <c r="V27" i="1"/>
  <c r="W27" i="1"/>
  <c r="X27" i="1"/>
  <c r="Y27" i="1"/>
  <c r="Z27" i="1"/>
  <c r="AA27" i="1"/>
  <c r="AA23" i="1" s="1"/>
  <c r="L27" i="1"/>
  <c r="AE37" i="1"/>
  <c r="AC100" i="1" l="1"/>
  <c r="AC47" i="1"/>
  <c r="X23" i="1"/>
  <c r="T23" i="1"/>
  <c r="P23" i="1"/>
  <c r="N23" i="1"/>
  <c r="Y23" i="1"/>
  <c r="U23" i="1"/>
  <c r="S23" i="1"/>
  <c r="Q23" i="1"/>
  <c r="AD245" i="1"/>
  <c r="AD231" i="1"/>
  <c r="AD217" i="1"/>
  <c r="AD149" i="1"/>
  <c r="AD135" i="1"/>
  <c r="AD119" i="1"/>
  <c r="AD52" i="1"/>
  <c r="M142" i="1" l="1"/>
  <c r="N142" i="1"/>
  <c r="O142" i="1"/>
  <c r="P142" i="1"/>
  <c r="Q142" i="1"/>
  <c r="R142" i="1"/>
  <c r="S142" i="1"/>
  <c r="T142" i="1"/>
  <c r="U142" i="1"/>
  <c r="V142" i="1"/>
  <c r="W142" i="1"/>
  <c r="X142" i="1"/>
  <c r="Y142" i="1"/>
  <c r="Z142" i="1"/>
  <c r="AA142" i="1"/>
  <c r="M170" i="1"/>
  <c r="N170" i="1"/>
  <c r="O170" i="1"/>
  <c r="P170" i="1"/>
  <c r="Q170" i="1"/>
  <c r="R170" i="1"/>
  <c r="S170" i="1"/>
  <c r="T170" i="1"/>
  <c r="U170" i="1"/>
  <c r="V170" i="1"/>
  <c r="W170" i="1"/>
  <c r="X170" i="1"/>
  <c r="Y170" i="1"/>
  <c r="Z170" i="1"/>
  <c r="AA170" i="1"/>
  <c r="M157" i="1"/>
  <c r="N157" i="1"/>
  <c r="O157" i="1"/>
  <c r="P157" i="1"/>
  <c r="Q157" i="1"/>
  <c r="R157" i="1"/>
  <c r="S157" i="1"/>
  <c r="T157" i="1"/>
  <c r="U157" i="1"/>
  <c r="V157" i="1"/>
  <c r="W157" i="1"/>
  <c r="X157" i="1"/>
  <c r="Y157" i="1"/>
  <c r="Z157" i="1"/>
  <c r="AA157" i="1"/>
  <c r="M163" i="1"/>
  <c r="N163" i="1"/>
  <c r="O163" i="1"/>
  <c r="P163" i="1"/>
  <c r="Q163" i="1"/>
  <c r="R163" i="1"/>
  <c r="S163" i="1"/>
  <c r="T163" i="1"/>
  <c r="U163" i="1"/>
  <c r="V163" i="1"/>
  <c r="W163" i="1"/>
  <c r="X163" i="1"/>
  <c r="Y163" i="1"/>
  <c r="Z163" i="1"/>
  <c r="AA163" i="1"/>
  <c r="M176" i="1"/>
  <c r="N176" i="1"/>
  <c r="O176" i="1"/>
  <c r="P176" i="1"/>
  <c r="Q176" i="1"/>
  <c r="R176" i="1"/>
  <c r="S176" i="1"/>
  <c r="T176" i="1"/>
  <c r="U176" i="1"/>
  <c r="V176" i="1"/>
  <c r="W176" i="1"/>
  <c r="X176" i="1"/>
  <c r="Y176" i="1"/>
  <c r="Z176" i="1"/>
  <c r="AA176" i="1"/>
  <c r="AC168" i="1"/>
  <c r="AC162" i="1"/>
  <c r="AA156" i="1" l="1"/>
  <c r="W156" i="1"/>
  <c r="O156" i="1"/>
  <c r="Z156" i="1"/>
  <c r="V156" i="1"/>
  <c r="R156" i="1"/>
  <c r="N156" i="1"/>
  <c r="X156" i="1"/>
  <c r="T156" i="1"/>
  <c r="P156" i="1"/>
  <c r="Y156" i="1"/>
  <c r="U156" i="1"/>
  <c r="Q156" i="1"/>
  <c r="M156" i="1"/>
  <c r="S156" i="1"/>
  <c r="AB180" i="1"/>
  <c r="AB179" i="1"/>
  <c r="AB178" i="1"/>
  <c r="AB177" i="1"/>
  <c r="L176" i="1"/>
  <c r="K176" i="1"/>
  <c r="J176" i="1"/>
  <c r="I176" i="1"/>
  <c r="H176" i="1"/>
  <c r="G176" i="1"/>
  <c r="F176" i="1"/>
  <c r="E176" i="1"/>
  <c r="D176" i="1"/>
  <c r="AB174" i="1"/>
  <c r="AB173" i="1"/>
  <c r="AB172" i="1"/>
  <c r="AB171" i="1"/>
  <c r="X169" i="1"/>
  <c r="W169" i="1"/>
  <c r="V169" i="1"/>
  <c r="S169" i="1"/>
  <c r="R169" i="1"/>
  <c r="P169" i="1"/>
  <c r="O169" i="1"/>
  <c r="N169" i="1"/>
  <c r="L170" i="1"/>
  <c r="K170" i="1"/>
  <c r="J170" i="1"/>
  <c r="I170" i="1"/>
  <c r="H170" i="1"/>
  <c r="G170" i="1"/>
  <c r="F170" i="1"/>
  <c r="E170" i="1"/>
  <c r="D170" i="1"/>
  <c r="AA169" i="1"/>
  <c r="T169" i="1"/>
  <c r="AB167" i="1"/>
  <c r="AB166" i="1"/>
  <c r="AB165" i="1"/>
  <c r="AB164" i="1"/>
  <c r="L163" i="1"/>
  <c r="K163" i="1"/>
  <c r="J163" i="1"/>
  <c r="I163" i="1"/>
  <c r="H163" i="1"/>
  <c r="G163" i="1"/>
  <c r="F163" i="1"/>
  <c r="E163" i="1"/>
  <c r="D163" i="1"/>
  <c r="AB161" i="1"/>
  <c r="AB160" i="1"/>
  <c r="AB159" i="1"/>
  <c r="AB158" i="1"/>
  <c r="AE164" i="1" s="1"/>
  <c r="L157" i="1"/>
  <c r="K157" i="1"/>
  <c r="J157" i="1"/>
  <c r="I157" i="1"/>
  <c r="H157" i="1"/>
  <c r="G157" i="1"/>
  <c r="F157" i="1"/>
  <c r="E157" i="1"/>
  <c r="D157" i="1"/>
  <c r="AB153" i="1"/>
  <c r="AB152" i="1"/>
  <c r="AB151" i="1"/>
  <c r="AB150" i="1"/>
  <c r="AA149" i="1"/>
  <c r="Z149" i="1"/>
  <c r="Y149" i="1"/>
  <c r="X149" i="1"/>
  <c r="W149" i="1"/>
  <c r="V149" i="1"/>
  <c r="U149" i="1"/>
  <c r="T149" i="1"/>
  <c r="S149" i="1"/>
  <c r="R149" i="1"/>
  <c r="Q149" i="1"/>
  <c r="P149" i="1"/>
  <c r="O149" i="1"/>
  <c r="N149" i="1"/>
  <c r="M149" i="1"/>
  <c r="L149" i="1"/>
  <c r="K149" i="1"/>
  <c r="J149" i="1"/>
  <c r="I149" i="1"/>
  <c r="H149" i="1"/>
  <c r="G149" i="1"/>
  <c r="F149" i="1"/>
  <c r="E149" i="1"/>
  <c r="D149" i="1"/>
  <c r="AB146" i="1"/>
  <c r="AB145" i="1"/>
  <c r="AB144" i="1"/>
  <c r="AB143" i="1"/>
  <c r="L142" i="1"/>
  <c r="K142" i="1"/>
  <c r="J142" i="1"/>
  <c r="I142" i="1"/>
  <c r="H142" i="1"/>
  <c r="G142" i="1"/>
  <c r="F142" i="1"/>
  <c r="E142" i="1"/>
  <c r="D142" i="1"/>
  <c r="AB139" i="1"/>
  <c r="AB138" i="1"/>
  <c r="AB137" i="1"/>
  <c r="AB136" i="1"/>
  <c r="D135" i="1"/>
  <c r="AB56" i="1"/>
  <c r="AB55" i="1"/>
  <c r="AB54" i="1"/>
  <c r="AB53" i="1"/>
  <c r="AA52" i="1"/>
  <c r="Z52" i="1"/>
  <c r="Y52" i="1"/>
  <c r="X52" i="1"/>
  <c r="W52" i="1"/>
  <c r="V52" i="1"/>
  <c r="U52" i="1"/>
  <c r="T52" i="1"/>
  <c r="S52" i="1"/>
  <c r="R52" i="1"/>
  <c r="Q52" i="1"/>
  <c r="P52" i="1"/>
  <c r="O52" i="1"/>
  <c r="N52" i="1"/>
  <c r="M52" i="1"/>
  <c r="L52" i="1"/>
  <c r="K52" i="1"/>
  <c r="J52" i="1"/>
  <c r="I52" i="1"/>
  <c r="H52" i="1"/>
  <c r="G52" i="1"/>
  <c r="F52" i="1"/>
  <c r="E52" i="1"/>
  <c r="D52" i="1"/>
  <c r="AB49" i="1"/>
  <c r="AB48" i="1"/>
  <c r="AB47" i="1"/>
  <c r="AB46" i="1"/>
  <c r="L45" i="1"/>
  <c r="K45" i="1"/>
  <c r="J45" i="1"/>
  <c r="I45" i="1"/>
  <c r="H45" i="1"/>
  <c r="G45" i="1"/>
  <c r="F45" i="1"/>
  <c r="E45" i="1"/>
  <c r="D45" i="1"/>
  <c r="AC97" i="1"/>
  <c r="AC95" i="1"/>
  <c r="AC93" i="1"/>
  <c r="AC91" i="1"/>
  <c r="AC89" i="1"/>
  <c r="AC87" i="1"/>
  <c r="AC85" i="1"/>
  <c r="AC83" i="1"/>
  <c r="AC81" i="1"/>
  <c r="AC79" i="1"/>
  <c r="AC77" i="1"/>
  <c r="AC75" i="1"/>
  <c r="AB45" i="1" l="1"/>
  <c r="G156" i="1"/>
  <c r="K156" i="1"/>
  <c r="G169" i="1"/>
  <c r="K169" i="1"/>
  <c r="D156" i="1"/>
  <c r="H156" i="1"/>
  <c r="L156" i="1"/>
  <c r="D169" i="1"/>
  <c r="H169" i="1"/>
  <c r="L169" i="1"/>
  <c r="AB157" i="1"/>
  <c r="E156" i="1"/>
  <c r="I156" i="1"/>
  <c r="AC165" i="1"/>
  <c r="AC158" i="1"/>
  <c r="AC167" i="1"/>
  <c r="AC160" i="1"/>
  <c r="AC166" i="1"/>
  <c r="F156" i="1"/>
  <c r="J156" i="1"/>
  <c r="F169" i="1"/>
  <c r="J169" i="1"/>
  <c r="AC159" i="1"/>
  <c r="AC164" i="1"/>
  <c r="AC161" i="1"/>
  <c r="AB170" i="1"/>
  <c r="Z169" i="1"/>
  <c r="AC105" i="1"/>
  <c r="AC103" i="1"/>
  <c r="AB176" i="1"/>
  <c r="E169" i="1"/>
  <c r="I169" i="1"/>
  <c r="M169" i="1"/>
  <c r="Q169" i="1"/>
  <c r="U169" i="1"/>
  <c r="Y169" i="1"/>
  <c r="AB163" i="1"/>
  <c r="AB149" i="1"/>
  <c r="AB142" i="1"/>
  <c r="AB135" i="1"/>
  <c r="AB52" i="1"/>
  <c r="AC157" i="1" l="1"/>
  <c r="AC163" i="1"/>
  <c r="AB169" i="1"/>
  <c r="AB156" i="1"/>
  <c r="AC156" i="1" l="1"/>
  <c r="AE157" i="1"/>
  <c r="AF157" i="1" s="1"/>
  <c r="AC142" i="1"/>
  <c r="AD142" i="1" s="1"/>
  <c r="AE142" i="1"/>
  <c r="AF142" i="1" s="1"/>
  <c r="AD157" i="1"/>
  <c r="AC73" i="1"/>
  <c r="AC71" i="1"/>
  <c r="AC69" i="1"/>
  <c r="AB98" i="1"/>
  <c r="AB97" i="1"/>
  <c r="AB94" i="1"/>
  <c r="AB93" i="1"/>
  <c r="AB88" i="1"/>
  <c r="AB87" i="1"/>
  <c r="AB84" i="1"/>
  <c r="AB83" i="1"/>
  <c r="AB68" i="1"/>
  <c r="AB70" i="1"/>
  <c r="AB69" i="1"/>
  <c r="AB78" i="1"/>
  <c r="AB77" i="1"/>
  <c r="AB82" i="1"/>
  <c r="AB81" i="1"/>
  <c r="AB105" i="1" l="1"/>
  <c r="AB26" i="1"/>
  <c r="AB221" i="1"/>
  <c r="AB213" i="1"/>
  <c r="AB205" i="1"/>
  <c r="AB131" i="1"/>
  <c r="AB8" i="1"/>
  <c r="AF8" i="1"/>
  <c r="AB9" i="1"/>
  <c r="AB10" i="1"/>
  <c r="AC11" i="1"/>
  <c r="AB12" i="1"/>
  <c r="AC12" i="1"/>
  <c r="AB13" i="1"/>
  <c r="D14" i="1"/>
  <c r="E14" i="1"/>
  <c r="F14" i="1"/>
  <c r="G14" i="1"/>
  <c r="H14" i="1"/>
  <c r="I14" i="1"/>
  <c r="J14" i="1"/>
  <c r="K14" i="1"/>
  <c r="L14" i="1"/>
  <c r="M14" i="1"/>
  <c r="N14" i="1"/>
  <c r="O14" i="1"/>
  <c r="P14" i="1"/>
  <c r="Q14" i="1"/>
  <c r="R14" i="1"/>
  <c r="S14" i="1"/>
  <c r="T14" i="1"/>
  <c r="U14" i="1"/>
  <c r="V14" i="1"/>
  <c r="W14" i="1"/>
  <c r="X14" i="1"/>
  <c r="Y14" i="1"/>
  <c r="Z14" i="1"/>
  <c r="AA14" i="1"/>
  <c r="AB15" i="1"/>
  <c r="AC15" i="1"/>
  <c r="AB16" i="1"/>
  <c r="AC16" i="1"/>
  <c r="AB17" i="1"/>
  <c r="D18" i="1"/>
  <c r="E18" i="1"/>
  <c r="F18" i="1"/>
  <c r="G18" i="1"/>
  <c r="H18" i="1"/>
  <c r="I18" i="1"/>
  <c r="J18" i="1"/>
  <c r="K18" i="1"/>
  <c r="L18" i="1"/>
  <c r="M18" i="1"/>
  <c r="N18" i="1"/>
  <c r="O18" i="1"/>
  <c r="P18" i="1"/>
  <c r="Q18" i="1"/>
  <c r="R18" i="1"/>
  <c r="S18" i="1"/>
  <c r="T18" i="1"/>
  <c r="U18" i="1"/>
  <c r="V18" i="1"/>
  <c r="W18" i="1"/>
  <c r="X18" i="1"/>
  <c r="Y18" i="1"/>
  <c r="Z18" i="1"/>
  <c r="AA18" i="1"/>
  <c r="M217" i="1"/>
  <c r="N217" i="1"/>
  <c r="O217" i="1"/>
  <c r="P217" i="1"/>
  <c r="Q217" i="1"/>
  <c r="R217" i="1"/>
  <c r="S217" i="1"/>
  <c r="T217" i="1"/>
  <c r="U217" i="1"/>
  <c r="V217" i="1"/>
  <c r="W217" i="1"/>
  <c r="X217" i="1"/>
  <c r="Y217" i="1"/>
  <c r="Z217" i="1"/>
  <c r="AA217" i="1"/>
  <c r="M231" i="1"/>
  <c r="N231" i="1"/>
  <c r="O231" i="1"/>
  <c r="P231" i="1"/>
  <c r="Q231" i="1"/>
  <c r="R231" i="1"/>
  <c r="S231" i="1"/>
  <c r="T231" i="1"/>
  <c r="U231" i="1"/>
  <c r="V231" i="1"/>
  <c r="W231" i="1"/>
  <c r="X231" i="1"/>
  <c r="Y231" i="1"/>
  <c r="Z231" i="1"/>
  <c r="AA231" i="1"/>
  <c r="AF61" i="1"/>
  <c r="M186" i="1"/>
  <c r="N186" i="1"/>
  <c r="O186" i="1"/>
  <c r="P186" i="1"/>
  <c r="Q186" i="1"/>
  <c r="R186" i="1"/>
  <c r="S186" i="1"/>
  <c r="T186" i="1"/>
  <c r="U186" i="1"/>
  <c r="V186" i="1"/>
  <c r="W186" i="1"/>
  <c r="X186" i="1"/>
  <c r="Y186" i="1"/>
  <c r="Z186" i="1"/>
  <c r="AA186" i="1"/>
  <c r="L186" i="1"/>
  <c r="D186" i="1"/>
  <c r="E186" i="1"/>
  <c r="F186" i="1"/>
  <c r="G186" i="1"/>
  <c r="H186" i="1"/>
  <c r="I186" i="1"/>
  <c r="J186" i="1"/>
  <c r="K186" i="1"/>
  <c r="AB18" i="1" l="1"/>
  <c r="AC9" i="1"/>
  <c r="AB14" i="1"/>
  <c r="AC8" i="1"/>
  <c r="AC186" i="1"/>
  <c r="AD186" i="1" s="1"/>
  <c r="AB114" i="1"/>
  <c r="AB115" i="1"/>
  <c r="AC110" i="1"/>
  <c r="AC114" i="1"/>
  <c r="AD8" i="1" l="1"/>
  <c r="AD110" i="1"/>
  <c r="D119" i="1"/>
  <c r="E119" i="1"/>
  <c r="F119" i="1"/>
  <c r="G119" i="1"/>
  <c r="H119" i="1"/>
  <c r="I119" i="1"/>
  <c r="J119" i="1"/>
  <c r="K119" i="1"/>
  <c r="D245" i="1"/>
  <c r="E245" i="1"/>
  <c r="F245" i="1"/>
  <c r="G245" i="1"/>
  <c r="H245" i="1"/>
  <c r="I245" i="1"/>
  <c r="J245" i="1"/>
  <c r="K245" i="1"/>
  <c r="L245" i="1"/>
  <c r="M245" i="1"/>
  <c r="N245" i="1"/>
  <c r="O245" i="1"/>
  <c r="P245" i="1"/>
  <c r="Q245" i="1"/>
  <c r="R245" i="1"/>
  <c r="S245" i="1"/>
  <c r="T245" i="1"/>
  <c r="U245" i="1"/>
  <c r="V245" i="1"/>
  <c r="W245" i="1"/>
  <c r="X245" i="1"/>
  <c r="Y245" i="1"/>
  <c r="Z245" i="1"/>
  <c r="AA245" i="1"/>
  <c r="E231" i="1"/>
  <c r="F231" i="1"/>
  <c r="G231" i="1"/>
  <c r="H231" i="1"/>
  <c r="I231" i="1"/>
  <c r="J231" i="1"/>
  <c r="K231" i="1"/>
  <c r="L231" i="1"/>
  <c r="D231" i="1"/>
  <c r="D203" i="1"/>
  <c r="E203" i="1"/>
  <c r="F203" i="1"/>
  <c r="G203" i="1"/>
  <c r="H203" i="1"/>
  <c r="I203" i="1"/>
  <c r="J203" i="1"/>
  <c r="K203" i="1"/>
  <c r="D217" i="1"/>
  <c r="E217" i="1"/>
  <c r="F217" i="1"/>
  <c r="G217" i="1"/>
  <c r="H217" i="1"/>
  <c r="I217" i="1"/>
  <c r="J217" i="1"/>
  <c r="K217" i="1"/>
  <c r="M203" i="1"/>
  <c r="N203" i="1"/>
  <c r="O203" i="1"/>
  <c r="P203" i="1"/>
  <c r="Q203" i="1"/>
  <c r="R203" i="1"/>
  <c r="S203" i="1"/>
  <c r="T203" i="1"/>
  <c r="U203" i="1"/>
  <c r="V203" i="1"/>
  <c r="W203" i="1"/>
  <c r="X203" i="1"/>
  <c r="Y203" i="1"/>
  <c r="Z203" i="1"/>
  <c r="AA203" i="1"/>
  <c r="L203" i="1"/>
  <c r="L217" i="1"/>
  <c r="AB232" i="1"/>
  <c r="AB233" i="1"/>
  <c r="AB234" i="1"/>
  <c r="AB235" i="1"/>
  <c r="AB236" i="1"/>
  <c r="AB238" i="1"/>
  <c r="AB239" i="1"/>
  <c r="AB240" i="1"/>
  <c r="AB241" i="1"/>
  <c r="AB242" i="1"/>
  <c r="AB247" i="1"/>
  <c r="AB246" i="1"/>
  <c r="AB227" i="1"/>
  <c r="AB226" i="1"/>
  <c r="AB225" i="1"/>
  <c r="AB250" i="1"/>
  <c r="AB249" i="1"/>
  <c r="AB248" i="1"/>
  <c r="AB199" i="1"/>
  <c r="AB200" i="1"/>
  <c r="AB204" i="1"/>
  <c r="AB191" i="1"/>
  <c r="AB192" i="1"/>
  <c r="AB193" i="1"/>
  <c r="AB194" i="1"/>
  <c r="AB196" i="1"/>
  <c r="AB197" i="1"/>
  <c r="AB198" i="1"/>
  <c r="AB187" i="1"/>
  <c r="AB188" i="1"/>
  <c r="AB189" i="1"/>
  <c r="AB190" i="1"/>
  <c r="AB228" i="1"/>
  <c r="AB224" i="1"/>
  <c r="AB222" i="1"/>
  <c r="AB220" i="1"/>
  <c r="AB219" i="1"/>
  <c r="AB214" i="1"/>
  <c r="AB212" i="1"/>
  <c r="AB211" i="1"/>
  <c r="AB210" i="1"/>
  <c r="AB208" i="1"/>
  <c r="AB207" i="1"/>
  <c r="AB206" i="1"/>
  <c r="AB245" i="1" l="1"/>
  <c r="AB231" i="1"/>
  <c r="AB203" i="1"/>
  <c r="AB186" i="1"/>
  <c r="AB218" i="1"/>
  <c r="AB217" i="1" s="1"/>
  <c r="AC203" i="1" l="1"/>
  <c r="AD203" i="1" s="1"/>
  <c r="M119" i="1"/>
  <c r="N119" i="1"/>
  <c r="O119" i="1"/>
  <c r="P119" i="1"/>
  <c r="Q119" i="1"/>
  <c r="R119" i="1"/>
  <c r="S119" i="1"/>
  <c r="T119" i="1"/>
  <c r="U119" i="1"/>
  <c r="V119" i="1"/>
  <c r="W119" i="1"/>
  <c r="X119" i="1"/>
  <c r="Y119" i="1"/>
  <c r="Z119" i="1"/>
  <c r="AA119" i="1"/>
  <c r="L120" i="1"/>
  <c r="L119" i="1"/>
  <c r="L28" i="1"/>
  <c r="M27" i="1"/>
  <c r="M26" i="1"/>
  <c r="N26" i="1"/>
  <c r="O26" i="1"/>
  <c r="P26" i="1"/>
  <c r="Q26" i="1"/>
  <c r="R26" i="1"/>
  <c r="S26" i="1"/>
  <c r="T26" i="1"/>
  <c r="U26" i="1"/>
  <c r="V26" i="1"/>
  <c r="W26" i="1"/>
  <c r="X26" i="1"/>
  <c r="Y26" i="1"/>
  <c r="Z26" i="1"/>
  <c r="AA26" i="1"/>
  <c r="L26" i="1"/>
  <c r="AC50" i="1" s="1"/>
  <c r="L25" i="1"/>
  <c r="L24" i="1"/>
  <c r="AB29" i="1"/>
  <c r="AB30" i="1"/>
  <c r="AB31" i="1"/>
  <c r="AE31" i="1" s="1"/>
  <c r="AB32" i="1"/>
  <c r="AB33" i="1"/>
  <c r="AB34" i="1"/>
  <c r="AE34" i="1" s="1"/>
  <c r="AB38" i="1"/>
  <c r="AB39" i="1"/>
  <c r="AB40" i="1"/>
  <c r="AE40" i="1" s="1"/>
  <c r="AB41" i="1"/>
  <c r="AB42" i="1"/>
  <c r="AB43" i="1"/>
  <c r="AE43" i="1" s="1"/>
  <c r="AB61" i="1"/>
  <c r="AB63" i="1"/>
  <c r="AB67" i="1"/>
  <c r="AB75" i="1"/>
  <c r="AB76" i="1"/>
  <c r="AB79" i="1"/>
  <c r="AC80" i="1" s="1"/>
  <c r="AB80" i="1"/>
  <c r="AB85" i="1"/>
  <c r="AB86" i="1"/>
  <c r="AB89" i="1"/>
  <c r="AB90" i="1"/>
  <c r="AB91" i="1"/>
  <c r="AB92" i="1"/>
  <c r="AB95" i="1"/>
  <c r="AB103" i="1" s="1"/>
  <c r="AB96" i="1"/>
  <c r="AB110" i="1"/>
  <c r="AB111" i="1"/>
  <c r="AB112" i="1"/>
  <c r="AB121" i="1"/>
  <c r="AB124" i="1"/>
  <c r="AB125" i="1"/>
  <c r="AB126" i="1"/>
  <c r="AB127" i="1"/>
  <c r="AB129" i="1"/>
  <c r="AB132" i="1"/>
  <c r="AB133" i="1"/>
  <c r="AC49" i="1" l="1"/>
  <c r="L23" i="1"/>
  <c r="AC62" i="1" s="1"/>
  <c r="AD61" i="1" s="1"/>
  <c r="AD67" i="1"/>
  <c r="AE45" i="1"/>
  <c r="AF45" i="1" s="1"/>
  <c r="AF24" i="1"/>
  <c r="AB28" i="1"/>
  <c r="AB24" i="1"/>
  <c r="AB27" i="1"/>
  <c r="AB25" i="1"/>
  <c r="AB62" i="1"/>
  <c r="AB113" i="1"/>
  <c r="AB130" i="1"/>
  <c r="AB120" i="1" s="1"/>
  <c r="AB122" i="1"/>
  <c r="AB119" i="1" s="1"/>
  <c r="AB23" i="1" l="1"/>
  <c r="A278" i="1"/>
  <c r="AD45" i="1"/>
  <c r="A256" i="1" l="1"/>
  <c r="AD6" i="1" s="1"/>
  <c r="AF6" i="1"/>
  <c r="M256" i="1" l="1"/>
</calcChain>
</file>

<file path=xl/sharedStrings.xml><?xml version="1.0" encoding="utf-8"?>
<sst xmlns="http://schemas.openxmlformats.org/spreadsheetml/2006/main" count="1963" uniqueCount="792">
  <si>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</si>
  <si>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</si>
  <si>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</si>
  <si>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</si>
  <si>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</si>
  <si>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</si>
  <si>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</si>
  <si>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</si>
  <si>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</si>
  <si>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</si>
  <si>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</si>
  <si>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</si>
  <si>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</si>
  <si>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</si>
  <si>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</si>
  <si>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</si>
  <si>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</si>
  <si>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</si>
  <si>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</si>
  <si>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</si>
  <si>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</si>
  <si>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</si>
  <si>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</si>
  <si>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</si>
  <si>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</si>
  <si>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</si>
  <si>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</si>
  <si>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</si>
  <si>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</si>
  <si>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</si>
  <si>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</si>
  <si>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</si>
  <si>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</si>
  <si>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</si>
  <si>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</si>
  <si>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</si>
  <si>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</si>
  <si>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</si>
  <si>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</si>
  <si>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</si>
  <si>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</si>
  <si>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</si>
  <si>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</si>
  <si>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</si>
  <si>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</si>
  <si>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</si>
  <si>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</si>
  <si>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</si>
  <si>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</si>
  <si>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</si>
  <si>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</si>
  <si>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</si>
  <si>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</si>
  <si>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</si>
  <si>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</si>
  <si>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</si>
  <si>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</si>
  <si>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</si>
  <si>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</si>
  <si>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</si>
  <si>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</si>
  <si>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</si>
  <si>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</si>
  <si>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</si>
  <si>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</si>
  <si>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</si>
  <si>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</si>
  <si>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</si>
  <si>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</si>
  <si>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</si>
  <si>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</si>
  <si>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</si>
  <si>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</si>
  <si>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</si>
  <si>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r>
      <t xml:space="preserve">1.0 KP_PREV : </t>
    </r>
    <r>
      <rPr>
        <b/>
        <sz val="22"/>
        <color theme="4"/>
        <rFont val="Browallia New"/>
        <family val="2"/>
        <charset val="222"/>
      </rPr>
      <t>Number of key populations reached with individual and/or small group-level HIV prevention interventions designed for the target population.</t>
    </r>
  </si>
  <si>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</si>
  <si>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</si>
  <si>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</si>
  <si>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</si>
  <si>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</si>
  <si>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</si>
  <si>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</si>
  <si>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</si>
  <si>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</si>
  <si>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</si>
  <si>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</si>
  <si>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</si>
  <si>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</si>
  <si>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</si>
  <si>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</si>
  <si>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</si>
  <si>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</si>
  <si>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</si>
  <si>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</si>
  <si>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</si>
  <si>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</si>
  <si>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</si>
  <si>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</si>
  <si>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</si>
  <si>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</si>
  <si>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</si>
  <si>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</si>
  <si>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</si>
  <si>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</si>
  <si>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</si>
  <si>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</si>
  <si>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</si>
  <si>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</si>
  <si>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</si>
  <si>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</si>
  <si>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</si>
  <si>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</si>
  <si>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</si>
  <si>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</si>
  <si>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</si>
  <si>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</si>
  <si>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</si>
  <si>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</si>
  <si>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</si>
  <si>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</si>
  <si>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</si>
  <si>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</si>
  <si>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</si>
  <si>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</si>
  <si>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</si>
  <si>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</si>
  <si>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</si>
  <si>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</si>
  <si>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</si>
  <si>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</si>
  <si>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</si>
  <si>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</si>
  <si>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</si>
  <si>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</si>
  <si>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</si>
  <si>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</si>
  <si>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</si>
  <si>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</si>
  <si>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</si>
  <si>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</si>
  <si>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</si>
  <si>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</si>
  <si>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</si>
  <si>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</si>
  <si>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</si>
  <si>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</si>
  <si>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</si>
  <si>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</si>
  <si>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</si>
  <si>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</si>
  <si>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</si>
  <si>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</si>
  <si>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</si>
  <si>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</si>
  <si>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</si>
  <si>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</si>
  <si>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</si>
  <si>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</si>
  <si>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</si>
  <si>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</si>
  <si>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</si>
  <si>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</si>
  <si>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</si>
  <si>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</si>
  <si>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</si>
  <si>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</si>
  <si>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</si>
  <si>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</si>
  <si>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r>
      <t>Total Eligible For HTS Testing in OPD</t>
    </r>
    <r>
      <rPr>
        <b/>
        <sz val="24"/>
        <color theme="9" tint="0.59999389629810485"/>
        <rFont val="Browallia New"/>
        <family val="2"/>
      </rPr>
      <t xml:space="preserve"> IPD and MCH</t>
    </r>
  </si>
  <si>
    <t>Note: Please DON'T cut paste any cell, this will interfere with the formulas.</t>
  </si>
  <si>
    <r>
      <t xml:space="preserve">Incase you copy data, please </t>
    </r>
    <r>
      <rPr>
        <b/>
        <sz val="26"/>
        <color theme="1"/>
        <rFont val="Browallia New"/>
        <family val="2"/>
      </rPr>
      <t>paste as value</t>
    </r>
    <r>
      <rPr>
        <b/>
        <sz val="26"/>
        <color rgb="FFFF0000"/>
        <rFont val="Browallia New"/>
        <family val="2"/>
      </rPr>
      <t xml:space="preserve"> to avoid unexpected Red alerts</t>
    </r>
  </si>
  <si>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</si>
  <si>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</si>
  <si>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</si>
  <si>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</si>
  <si>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</si>
  <si>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</si>
  <si>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</si>
  <si>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</si>
  <si>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</si>
  <si>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</si>
  <si>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</si>
  <si>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</si>
  <si>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</si>
  <si>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</si>
  <si>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</si>
  <si>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</si>
  <si>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r>
      <t xml:space="preserve">3.0 Prep Curr : </t>
    </r>
    <r>
      <rPr>
        <b/>
        <sz val="24"/>
        <color theme="4"/>
        <rFont val="Browallia New"/>
        <family val="2"/>
      </rPr>
      <t>Number of individuals, including those newly enrolled, receiving oral PrEP during the reporting period</t>
    </r>
  </si>
  <si>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</si>
  <si>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</si>
  <si>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</si>
  <si>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</si>
  <si>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</si>
  <si>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</si>
  <si>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</si>
  <si>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</si>
  <si>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</si>
  <si>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</si>
  <si>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</si>
  <si>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</si>
  <si>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</si>
  <si>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</si>
  <si>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</si>
  <si>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</si>
  <si>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</si>
  <si>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</si>
  <si>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</si>
  <si>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</si>
  <si>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</si>
  <si>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</si>
  <si>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</si>
  <si>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</si>
  <si>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</si>
  <si>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</si>
  <si>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</si>
  <si>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</si>
  <si>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</si>
  <si>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</si>
  <si>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</si>
  <si>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</si>
  <si>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</si>
  <si>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</si>
  <si>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</si>
  <si>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</si>
  <si>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</si>
  <si>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</si>
  <si>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</si>
  <si>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</si>
  <si>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</si>
  <si>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</si>
  <si>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</si>
  <si>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</si>
  <si>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</si>
  <si>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</si>
  <si>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r>
      <t>2.0 Prep</t>
    </r>
    <r>
      <rPr>
        <b/>
        <sz val="24"/>
        <color theme="4"/>
        <rFont val="Browallia New"/>
        <family val="2"/>
      </rPr>
      <t xml:space="preserve"> New: Number of individuals who have been newly enrolled on oral antiretroviral pre-exposure prophylaxis (PrEP) in the reporting period to prevent HIV infection</t>
    </r>
  </si>
  <si>
    <r>
      <t xml:space="preserve">4.0 GEND_GBV : </t>
    </r>
    <r>
      <rPr>
        <b/>
        <sz val="24"/>
        <color theme="4"/>
        <rFont val="Browallia New"/>
        <family val="2"/>
        <charset val="222"/>
      </rPr>
      <t>Number of people receiving post-GBV care based on the minimum package</t>
    </r>
  </si>
  <si>
    <t>5.0 Testing HTS-TST</t>
  </si>
  <si>
    <t>6.0 HTS_TST (Community) - Index Testing Modality</t>
  </si>
  <si>
    <t>7.0 HTS_SELF</t>
  </si>
  <si>
    <r>
      <t>8.0 Starting ART :</t>
    </r>
    <r>
      <rPr>
        <b/>
        <sz val="24"/>
        <color theme="4"/>
        <rFont val="Browallia New"/>
        <family val="2"/>
      </rPr>
      <t xml:space="preserve"> Number of adults and children newly enrolled on antiretroviral therapy (ART)</t>
    </r>
  </si>
  <si>
    <r>
      <t>9.0 Current on ART :</t>
    </r>
    <r>
      <rPr>
        <b/>
        <sz val="24"/>
        <color theme="4"/>
        <rFont val="Browallia New"/>
        <family val="2"/>
      </rPr>
      <t xml:space="preserve"> Number of adults and children newly enrolled on antiretroviral therapy (ART)</t>
    </r>
  </si>
  <si>
    <r>
      <t xml:space="preserve">10.0 TX_RTT: </t>
    </r>
    <r>
      <rPr>
        <b/>
        <sz val="24"/>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</si>
  <si>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Browallia New"/>
        <family val="2"/>
      </rPr>
      <t>Number of adults and pediatric ART patients with a viral load result documented in the medical records and/or supporting laboratory results within the past 12 months</t>
    </r>
  </si>
  <si>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</si>
  <si>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</si>
  <si>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</si>
  <si>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</si>
  <si>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</si>
  <si>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</si>
  <si>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</si>
  <si>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</si>
  <si>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</si>
  <si>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</si>
  <si>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</si>
  <si>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</si>
  <si>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</si>
  <si>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</si>
  <si>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</si>
  <si>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</si>
  <si>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</si>
  <si>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</si>
  <si>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</si>
  <si>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</si>
  <si>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</si>
  <si>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</si>
  <si>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</si>
  <si>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</si>
  <si>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</si>
  <si>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</si>
  <si>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</si>
  <si>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</si>
  <si>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</si>
  <si>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</si>
  <si>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</si>
  <si>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</si>
  <si>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</si>
  <si>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</si>
  <si>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</si>
  <si>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</si>
  <si>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</si>
  <si>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</si>
  <si>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</si>
  <si>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</si>
  <si>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</si>
  <si>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</si>
  <si>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</si>
  <si>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</si>
  <si>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</si>
  <si>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</si>
  <si>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</si>
  <si>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</si>
  <si>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</si>
  <si>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</si>
  <si>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</si>
  <si>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</si>
  <si>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</si>
  <si>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</si>
  <si>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</si>
  <si>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</si>
  <si>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</si>
  <si>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</si>
  <si>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</si>
  <si>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</si>
  <si>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</si>
  <si>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</si>
  <si>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</si>
  <si>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</si>
  <si>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</si>
  <si>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</si>
  <si>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</si>
  <si>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</si>
  <si>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</si>
  <si>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</si>
  <si>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</si>
  <si>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</si>
  <si>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</si>
  <si>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</si>
  <si>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</si>
  <si>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</si>
  <si>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</si>
  <si>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</si>
  <si>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</si>
  <si>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</si>
  <si>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</si>
  <si>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</si>
  <si>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</si>
  <si>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</si>
  <si>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</si>
  <si>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</si>
  <si>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</si>
  <si>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</si>
  <si>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</si>
  <si>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</si>
  <si>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</si>
  <si>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</si>
  <si>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</si>
  <si>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</si>
  <si>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</si>
  <si>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</si>
  <si>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</si>
  <si>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</si>
  <si>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</si>
  <si>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</si>
  <si>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</si>
  <si>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</si>
  <si>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</si>
  <si>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</si>
  <si>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</si>
  <si>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</si>
  <si>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</si>
  <si>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</si>
  <si>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</si>
  <si>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</si>
  <si>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</si>
  <si>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</si>
  <si>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</si>
  <si>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</si>
  <si>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</si>
  <si>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</si>
  <si>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</si>
  <si>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</si>
  <si>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</si>
  <si>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</si>
  <si>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</si>
  <si>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</si>
  <si>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</si>
  <si>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</si>
  <si>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</si>
  <si>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</si>
  <si>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</si>
  <si>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</si>
  <si>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</si>
  <si>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</si>
  <si>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</si>
  <si>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</si>
  <si>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</si>
  <si>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</si>
  <si>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</si>
  <si>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</si>
  <si>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</si>
  <si>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</si>
  <si>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</si>
  <si>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</si>
  <si>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</si>
  <si>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</si>
  <si>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</si>
  <si>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</si>
  <si>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</si>
  <si>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</si>
  <si>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</si>
  <si>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</si>
  <si>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</si>
  <si>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</si>
  <si>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</si>
  <si>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</si>
  <si>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</si>
  <si>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</si>
  <si>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</si>
  <si>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</si>
  <si>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</si>
  <si>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</si>
  <si>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</si>
  <si>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</si>
  <si>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</si>
  <si>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</si>
  <si>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</si>
  <si>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</si>
  <si>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</si>
  <si>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</si>
  <si>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</si>
  <si>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</si>
  <si>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</si>
  <si>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</si>
  <si>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</si>
  <si>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</si>
  <si>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</si>
  <si>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</si>
  <si>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</si>
  <si>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</si>
  <si>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</si>
  <si>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</si>
  <si>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</si>
  <si>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</si>
  <si>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</si>
  <si>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</si>
  <si>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</si>
  <si>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</si>
  <si>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</si>
  <si>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</si>
  <si>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KP Form  version 1.1.0</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</si>
  <si>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</si>
  <si>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</si>
  <si>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</si>
  <si>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</si>
  <si>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</si>
  <si>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</si>
  <si>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</si>
  <si>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</si>
  <si>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</si>
  <si>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</si>
  <si>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</si>
  <si>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</si>
  <si>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</si>
  <si>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</si>
  <si>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</si>
  <si>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</si>
  <si>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</si>
  <si>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</si>
  <si>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</si>
  <si>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</si>
  <si>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</si>
  <si>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</si>
  <si>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</si>
  <si>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</si>
  <si>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</si>
  <si>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</si>
  <si>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</si>
  <si>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</si>
  <si>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</si>
  <si>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</si>
  <si>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</si>
  <si>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</si>
  <si>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</si>
  <si>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</si>
  <si>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Total Number of MSM who were newly enrolled/Initiated on oral antiretroviral pre-exposure prophylaxis (PrEP) to prevent HIV infection in the reporting period</t>
  </si>
  <si>
    <t>Cohort register H8 and AQ43</t>
  </si>
  <si>
    <t>Total Number of FSWs who were newly enrolled/Initiated on oral antiretroviral pre-exposure prophylaxis (PrEP) to prevent HIV infection in the reporting period</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</si>
  <si>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</si>
  <si>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</si>
  <si>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</si>
  <si>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</si>
  <si>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</si>
  <si>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</si>
  <si>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</si>
  <si>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</si>
  <si>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</si>
  <si>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</si>
  <si>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</si>
  <si>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</si>
  <si>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</si>
  <si>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</si>
  <si>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</si>
  <si>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</si>
  <si>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</si>
  <si>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</si>
  <si>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</si>
  <si>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</si>
  <si>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</si>
  <si>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</si>
  <si>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</si>
  <si>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</si>
  <si>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</si>
  <si>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</si>
  <si>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</si>
  <si>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</si>
  <si>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</si>
  <si>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</si>
  <si>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</si>
  <si>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</si>
  <si>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</si>
  <si>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</si>
  <si>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</si>
  <si>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</si>
  <si>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</si>
  <si>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</si>
  <si>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</si>
  <si>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</si>
  <si>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</si>
  <si>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</si>
  <si>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</si>
  <si>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</si>
  <si>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</si>
  <si>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</si>
  <si>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</si>
  <si>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</si>
  <si>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</si>
  <si>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</si>
  <si>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</si>
  <si>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</si>
  <si>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</si>
  <si>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</si>
  <si>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</si>
  <si>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</si>
  <si>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</si>
  <si>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</si>
  <si>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</si>
  <si>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</si>
  <si>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</si>
  <si>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</si>
  <si>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</si>
  <si>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</si>
  <si>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</si>
  <si>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</si>
  <si>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</si>
  <si>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</si>
  <si>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</si>
  <si>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</si>
  <si>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</si>
  <si>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</si>
  <si>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</si>
  <si>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</si>
  <si>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</si>
  <si>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</si>
  <si>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</si>
  <si>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</si>
  <si>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</si>
  <si>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</si>
  <si>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</si>
  <si>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</si>
  <si>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</si>
  <si>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</si>
  <si>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</si>
  <si>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</si>
  <si>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</si>
  <si>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</si>
  <si>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</si>
  <si>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</si>
  <si>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</si>
  <si>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</si>
  <si>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</si>
  <si>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</si>
  <si>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</si>
  <si>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</si>
  <si>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</si>
  <si>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</si>
  <si>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</si>
  <si>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</si>
  <si>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</si>
  <si>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</si>
  <si>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</si>
  <si>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</si>
  <si>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</si>
  <si>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</si>
  <si>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</si>
  <si>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</si>
  <si>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</si>
  <si>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</si>
  <si>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</si>
  <si>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</si>
  <si>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</si>
  <si>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</si>
  <si>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</si>
  <si>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</si>
  <si>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</si>
  <si>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</si>
  <si>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</si>
  <si>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</si>
  <si>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</si>
  <si>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</si>
  <si>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</si>
  <si>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</si>
  <si>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</si>
  <si>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</si>
  <si>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</si>
  <si>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</si>
  <si>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</si>
  <si>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</si>
  <si>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</si>
  <si>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</si>
  <si>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</si>
  <si>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</si>
  <si>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</si>
  <si>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</si>
  <si>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</si>
  <si>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</si>
  <si>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</si>
  <si>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</si>
  <si>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</si>
  <si>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</si>
  <si>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</si>
  <si>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</si>
  <si>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</si>
  <si>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</si>
  <si>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</si>
  <si>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</si>
  <si>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</si>
  <si>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</si>
  <si>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</si>
  <si>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</si>
  <si>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</si>
  <si>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</si>
  <si>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</si>
  <si>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</si>
  <si>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</si>
  <si>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</si>
  <si>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</si>
  <si>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</si>
  <si>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</si>
  <si>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</si>
  <si>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</si>
  <si>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</si>
  <si>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</si>
  <si>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</si>
  <si>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</si>
  <si>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</si>
  <si>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</si>
  <si>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</si>
  <si>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</si>
  <si>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</si>
  <si>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</si>
  <si>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</si>
  <si>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</si>
  <si>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</si>
  <si>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</si>
  <si>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</si>
  <si>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</si>
  <si>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</si>
  <si>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r>
      <t xml:space="preserve">1.0 KP_PREV : </t>
    </r>
    <r>
      <rPr>
        <b/>
        <sz val="24"/>
        <color theme="4"/>
        <rFont val="Browallia New"/>
        <family val="2"/>
      </rPr>
      <t>Number of key populations reached with individual and/or small group-level HIV prevention interventions designed for the target population.</t>
    </r>
  </si>
  <si>
    <r>
      <t xml:space="preserve">4.0 GEND_GBV : </t>
    </r>
    <r>
      <rPr>
        <b/>
        <sz val="24"/>
        <color theme="4"/>
        <rFont val="Browallia New"/>
        <family val="2"/>
      </rPr>
      <t>Number of people receiving post-GBV care based on the minimum package</t>
    </r>
  </si>
  <si>
    <r>
      <t>Total Number of ART patients (KPs) with suppressed VL results (&lt;</t>
    </r>
    <r>
      <rPr>
        <sz val="24"/>
        <color rgb="FFFF0000"/>
        <rFont val="Browallia New"/>
        <family val="2"/>
      </rPr>
      <t>1,000</t>
    </r>
    <r>
      <rPr>
        <sz val="24"/>
        <color theme="1"/>
        <rFont val="Browallia New"/>
        <family val="2"/>
      </rPr>
      <t xml:space="preserve"> copies/ml) documented in the medical or laboratory records/LIS within the past 12 months</t>
    </r>
  </si>
  <si>
    <t>Newly tested and / or referred for testing</t>
  </si>
  <si>
    <t>Declined testing and / or referral</t>
  </si>
  <si>
    <t>Repeat tests</t>
  </si>
  <si>
    <t>Initial tests</t>
  </si>
  <si>
    <t>Initial tests and turned positive</t>
  </si>
  <si>
    <t>Repeat tests and turned positive</t>
  </si>
  <si>
    <r>
      <t xml:space="preserve">Total Tests &amp; Test Results by </t>
    </r>
    <r>
      <rPr>
        <b/>
        <sz val="24"/>
        <color theme="1"/>
        <rFont val="Browallia New"/>
        <family val="2"/>
      </rPr>
      <t>KP Type</t>
    </r>
  </si>
  <si>
    <r>
      <t xml:space="preserve">Total Tests &amp; Test Results by </t>
    </r>
    <r>
      <rPr>
        <b/>
        <sz val="24"/>
        <color theme="1"/>
        <rFont val="Browallia New"/>
        <family val="2"/>
      </rPr>
      <t>Modality</t>
    </r>
  </si>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</sst>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x14ac:knownFonts="1">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16"/>
      <color theme="1"/>
      <name val="Browallia New"/>
      <family val="2"/>
      <charset val="222"/>
    </font>
    <font>
      <b/>
      <sz val="22"/>
      <color theme="1"/>
      <name val="Browallia New"/>
      <family val="2"/>
    </font>
    <font>
      <b/>
      <sz val="26"/>
      <color theme="1"/>
      <name val="Browallia New"/>
      <family val="2"/>
    </font>
    <font>
      <sz val="26"/>
      <color theme="1"/>
      <name val="Browallia New"/>
      <family val="2"/>
    </font>
    <font>
      <b/>
      <sz val="26"/>
      <color rgb="FFFF0000"/>
      <name val="Browallia New"/>
      <family val="2"/>
    </font>
    <font>
      <b/>
      <sz val="20"/>
      <color theme="0"/>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b/>
      <sz val="22"/>
      <color theme="0"/>
      <name val="Browallia New"/>
      <family val="2"/>
    </font>
    <font>
      <sz val="18"/>
      <color theme="0"/>
      <name val="Browallia New"/>
      <family val="2"/>
    </font>
    <font>
      <b/>
      <sz val="22"/>
      <color theme="4"/>
      <name val="Browallia New"/>
      <family val="2"/>
      <charset val="222"/>
    </font>
    <font>
      <b/>
      <sz val="24"/>
      <color theme="4"/>
      <name val="Browallia New"/>
      <family val="2"/>
      <charset val="222"/>
    </font>
    <font>
      <b/>
      <sz val="20"/>
      <color theme="0"/>
      <name val="Browallia New"/>
      <family val="2"/>
      <charset val="222"/>
    </font>
    <font>
      <b/>
      <sz val="22"/>
      <name val="Browallia New"/>
      <family val="2"/>
    </font>
    <font>
      <sz val="24"/>
      <color theme="1"/>
      <name val="Browallia New"/>
      <family val="2"/>
    </font>
    <font>
      <b/>
      <sz val="24"/>
      <color rgb="FFFF0000"/>
      <name val="Browallia New"/>
      <family val="2"/>
    </font>
    <font>
      <b/>
      <sz val="24"/>
      <color theme="9" tint="0.59999389629810485"/>
      <name val="Browallia New"/>
      <family val="2"/>
    </font>
    <font>
      <sz val="22"/>
      <color theme="0"/>
      <name val="Browallia New"/>
      <family val="2"/>
    </font>
    <font>
      <sz val="26"/>
      <color theme="0"/>
      <name val="Browallia New"/>
      <family val="2"/>
    </font>
    <font>
      <sz val="24"/>
      <color theme="0"/>
      <name val="Browallia New"/>
      <family val="2"/>
    </font>
    <font>
      <b/>
      <sz val="20"/>
      <color rgb="FFFF0000"/>
      <name val="Browallia New"/>
      <family val="2"/>
    </font>
    <font>
      <b/>
      <sz val="24"/>
      <color theme="4"/>
      <name val="Browallia New"/>
      <family val="2"/>
    </font>
    <font>
      <sz val="24"/>
      <color rgb="FFFF0000"/>
      <name val="Browallia New"/>
      <family val="2"/>
    </font>
    <font>
      <b/>
      <sz val="24"/>
      <color theme="1"/>
      <name val="Browallia New"/>
      <family val="2"/>
      <charset val="222"/>
    </font>
    <font>
      <b/>
      <sz val="28"/>
      <color theme="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19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right style="thin">
        <color theme="2" tint="-0.249977111117893"/>
      </right>
      <top style="medium">
        <color theme="9"/>
      </top>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s>
  <cellStyleXfs count="2">
    <xf numFmtId="0" fontId="0" fillId="0" borderId="0"/>
    <xf numFmtId="0" fontId="1" fillId="0" borderId="0" applyNumberFormat="0" applyFont="0" applyFill="0" applyBorder="0" applyAlignment="0" applyProtection="0"/>
  </cellStyleXfs>
  <cellXfs count="644">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14" xfId="0" applyFont="1" applyBorder="1" applyAlignment="1" applyProtection="1">
      <alignment horizontal="center" vertical="center"/>
      <protection locked="0"/>
    </xf>
    <xf numFmtId="0" fontId="4" fillId="5" borderId="11" xfId="0" applyFont="1" applyFill="1" applyBorder="1" applyAlignment="1" applyProtection="1">
      <alignment horizontal="center" vertical="center"/>
      <protection locked="0"/>
    </xf>
    <xf numFmtId="0" fontId="4" fillId="0" borderId="11" xfId="0" applyFont="1" applyBorder="1" applyAlignment="1" applyProtection="1">
      <alignment horizontal="center" vertical="center" wrapText="1"/>
      <protection locked="0"/>
    </xf>
    <xf numFmtId="0" fontId="4" fillId="0" borderId="14" xfId="0" applyFont="1" applyBorder="1" applyAlignment="1" applyProtection="1">
      <alignment horizontal="center" vertical="center" wrapText="1"/>
      <protection locked="0"/>
    </xf>
    <xf numFmtId="0" fontId="4" fillId="5" borderId="14" xfId="0" applyFont="1" applyFill="1" applyBorder="1" applyAlignment="1" applyProtection="1">
      <alignment horizontal="center" vertical="center"/>
      <protection locked="0"/>
    </xf>
    <xf numFmtId="49" fontId="5" fillId="4" borderId="14" xfId="1" applyNumberFormat="1" applyFont="1" applyFill="1" applyBorder="1" applyAlignment="1">
      <alignment horizontal="center" vertical="center"/>
    </xf>
    <xf numFmtId="0" fontId="3" fillId="2" borderId="19" xfId="0" applyFont="1" applyFill="1" applyBorder="1" applyAlignment="1">
      <alignment vertical="top"/>
    </xf>
    <xf numFmtId="0" fontId="4" fillId="10" borderId="19" xfId="0" applyFont="1" applyFill="1" applyBorder="1" applyAlignment="1">
      <alignment horizontal="left" vertical="top" wrapText="1"/>
    </xf>
    <xf numFmtId="0" fontId="3" fillId="0" borderId="0" xfId="0" applyFont="1" applyAlignment="1"/>
    <xf numFmtId="0" fontId="4" fillId="0" borderId="3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11" fillId="0" borderId="0" xfId="0" applyFont="1" applyAlignment="1">
      <alignment horizontal="center" wrapText="1"/>
    </xf>
    <xf numFmtId="0" fontId="11" fillId="0" borderId="0" xfId="0" applyFont="1" applyAlignment="1">
      <alignment wrapText="1"/>
    </xf>
    <xf numFmtId="0" fontId="12" fillId="0" borderId="0" xfId="0" applyFont="1" applyAlignment="1">
      <alignment wrapText="1"/>
    </xf>
    <xf numFmtId="0" fontId="3" fillId="2" borderId="19" xfId="0" applyFont="1" applyFill="1" applyBorder="1" applyAlignment="1">
      <alignment horizontal="left" vertical="top"/>
    </xf>
    <xf numFmtId="0" fontId="4" fillId="0" borderId="0" xfId="0" applyFont="1" applyAlignment="1"/>
    <xf numFmtId="0" fontId="4" fillId="0" borderId="7"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4" borderId="9"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0" borderId="11" xfId="0" applyFont="1" applyBorder="1" applyAlignment="1" applyProtection="1">
      <alignment horizontal="center" vertical="center"/>
      <protection locked="0"/>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4" fillId="0" borderId="14" xfId="0" applyFont="1" applyBorder="1" applyAlignment="1" applyProtection="1">
      <alignment horizontal="center" vertical="center"/>
      <protection locked="0"/>
    </xf>
    <xf numFmtId="0" fontId="3" fillId="2" borderId="19" xfId="0" applyFont="1" applyFill="1" applyBorder="1" applyAlignment="1">
      <alignment vertical="top"/>
    </xf>
    <xf numFmtId="0" fontId="4" fillId="10" borderId="19" xfId="0" applyFont="1" applyFill="1" applyBorder="1" applyAlignment="1">
      <alignment horizontal="left" vertical="top"/>
    </xf>
    <xf numFmtId="0" fontId="3" fillId="6" borderId="29" xfId="0" applyFont="1" applyFill="1" applyBorder="1" applyAlignment="1">
      <alignment horizontal="center" vertical="center"/>
    </xf>
    <xf numFmtId="0" fontId="4" fillId="4" borderId="30" xfId="0" applyFont="1" applyFill="1" applyBorder="1" applyAlignment="1" applyProtection="1">
      <alignment horizontal="center" vertical="center"/>
    </xf>
    <xf numFmtId="0" fontId="4" fillId="4" borderId="2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49" fontId="3" fillId="6" borderId="58" xfId="0" applyNumberFormat="1" applyFont="1" applyFill="1" applyBorder="1" applyAlignment="1" applyProtection="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2" xfId="0" applyFont="1" applyFill="1" applyBorder="1" applyAlignment="1">
      <alignment horizontal="center" vertical="center"/>
    </xf>
    <xf numFmtId="49" fontId="3" fillId="6" borderId="28" xfId="0" applyNumberFormat="1" applyFont="1" applyFill="1" applyBorder="1" applyAlignment="1" applyProtection="1">
      <alignment horizontal="center" vertical="center"/>
    </xf>
    <xf numFmtId="0" fontId="22" fillId="0" borderId="0" xfId="0" applyFont="1"/>
    <xf numFmtId="0" fontId="24" fillId="0" borderId="0" xfId="0" applyFont="1" applyAlignment="1">
      <alignment vertical="center"/>
    </xf>
    <xf numFmtId="0" fontId="15" fillId="7" borderId="32" xfId="0" applyFont="1" applyFill="1" applyBorder="1" applyAlignment="1">
      <alignment horizontal="center" vertical="center" wrapText="1"/>
    </xf>
    <xf numFmtId="0" fontId="3" fillId="8" borderId="17" xfId="0" applyFont="1" applyFill="1" applyBorder="1" applyAlignment="1">
      <alignment vertical="center"/>
    </xf>
    <xf numFmtId="0" fontId="15" fillId="0" borderId="22" xfId="0" applyFont="1" applyFill="1" applyBorder="1" applyAlignment="1">
      <alignment horizontal="center" vertical="center" wrapText="1"/>
    </xf>
    <xf numFmtId="0" fontId="10" fillId="0" borderId="37" xfId="0" applyFont="1" applyFill="1" applyBorder="1" applyAlignment="1">
      <alignment vertical="center"/>
    </xf>
    <xf numFmtId="0" fontId="4" fillId="4" borderId="88" xfId="0" applyFont="1" applyFill="1" applyBorder="1" applyAlignment="1" applyProtection="1">
      <alignment horizontal="center" vertical="center"/>
    </xf>
    <xf numFmtId="0" fontId="3" fillId="6" borderId="89" xfId="0" applyFont="1" applyFill="1" applyBorder="1" applyAlignment="1">
      <alignment horizontal="center" vertical="center"/>
    </xf>
    <xf numFmtId="0" fontId="4" fillId="4" borderId="90" xfId="0" applyFont="1" applyFill="1" applyBorder="1" applyAlignment="1" applyProtection="1">
      <alignment horizontal="center" vertical="center"/>
    </xf>
    <xf numFmtId="0" fontId="4" fillId="4" borderId="91" xfId="0" applyFont="1" applyFill="1" applyBorder="1" applyAlignment="1" applyProtection="1">
      <alignment horizontal="center" vertical="center"/>
    </xf>
    <xf numFmtId="0" fontId="4" fillId="4" borderId="92" xfId="0" applyFont="1" applyFill="1" applyBorder="1" applyAlignment="1" applyProtection="1">
      <alignment horizontal="center" vertical="center"/>
    </xf>
    <xf numFmtId="0" fontId="4" fillId="4" borderId="93" xfId="0" applyFont="1" applyFill="1" applyBorder="1" applyAlignment="1" applyProtection="1">
      <alignment horizontal="center" vertical="center"/>
    </xf>
    <xf numFmtId="0" fontId="4" fillId="4" borderId="94" xfId="0" applyFont="1" applyFill="1" applyBorder="1" applyAlignment="1" applyProtection="1">
      <alignment horizontal="center" vertical="center"/>
    </xf>
    <xf numFmtId="0" fontId="4" fillId="4" borderId="95" xfId="0" applyFont="1" applyFill="1" applyBorder="1" applyAlignment="1" applyProtection="1">
      <alignment horizontal="center" vertical="center"/>
    </xf>
    <xf numFmtId="0" fontId="4" fillId="4" borderId="96" xfId="0" applyFont="1" applyFill="1" applyBorder="1" applyAlignment="1" applyProtection="1">
      <alignment horizontal="center" vertical="center"/>
    </xf>
    <xf numFmtId="0" fontId="4" fillId="4" borderId="97" xfId="0" applyFont="1" applyFill="1" applyBorder="1" applyAlignment="1" applyProtection="1">
      <alignment horizontal="center" vertical="center"/>
    </xf>
    <xf numFmtId="0" fontId="4" fillId="4" borderId="98" xfId="0" applyFont="1" applyFill="1" applyBorder="1" applyAlignment="1" applyProtection="1">
      <alignment horizontal="center" vertical="center"/>
    </xf>
    <xf numFmtId="0" fontId="4" fillId="4" borderId="99" xfId="0" applyFont="1" applyFill="1" applyBorder="1" applyAlignment="1" applyProtection="1">
      <alignment horizontal="center" vertical="center"/>
    </xf>
    <xf numFmtId="0" fontId="4" fillId="4" borderId="100" xfId="0" applyFont="1" applyFill="1" applyBorder="1" applyAlignment="1" applyProtection="1">
      <alignment horizontal="center" vertical="center"/>
    </xf>
    <xf numFmtId="0" fontId="11" fillId="0" borderId="89" xfId="0" applyFont="1" applyBorder="1" applyAlignment="1" applyProtection="1">
      <alignment horizontal="center" vertical="center"/>
      <protection locked="0"/>
    </xf>
    <xf numFmtId="0" fontId="4" fillId="6" borderId="7" xfId="0" applyFont="1" applyFill="1" applyBorder="1" applyAlignment="1" applyProtection="1">
      <alignment horizontal="center" vertical="center"/>
    </xf>
    <xf numFmtId="0" fontId="4" fillId="5" borderId="88" xfId="0" applyFont="1" applyFill="1" applyBorder="1" applyAlignment="1" applyProtection="1">
      <alignment horizontal="center" vertical="center"/>
      <protection locked="0"/>
    </xf>
    <xf numFmtId="0" fontId="4" fillId="5" borderId="96" xfId="0" applyFont="1" applyFill="1" applyBorder="1" applyAlignment="1" applyProtection="1">
      <alignment horizontal="center" vertical="center"/>
      <protection locked="0"/>
    </xf>
    <xf numFmtId="0" fontId="4" fillId="5" borderId="102" xfId="0" applyFont="1" applyFill="1" applyBorder="1" applyAlignment="1" applyProtection="1">
      <alignment horizontal="center" vertical="center"/>
      <protection locked="0"/>
    </xf>
    <xf numFmtId="0" fontId="4" fillId="5" borderId="103" xfId="0" applyFont="1" applyFill="1" applyBorder="1" applyAlignment="1" applyProtection="1">
      <alignment horizontal="center" vertical="center"/>
      <protection locked="0"/>
    </xf>
    <xf numFmtId="0" fontId="4" fillId="4" borderId="104" xfId="0" applyFont="1" applyFill="1" applyBorder="1" applyAlignment="1" applyProtection="1">
      <alignment horizontal="center" vertical="center"/>
    </xf>
    <xf numFmtId="0" fontId="4" fillId="4" borderId="105" xfId="0" applyFont="1" applyFill="1" applyBorder="1" applyAlignment="1" applyProtection="1">
      <alignment horizontal="center" vertical="center"/>
    </xf>
    <xf numFmtId="0" fontId="4" fillId="4" borderId="106" xfId="0" applyFont="1" applyFill="1" applyBorder="1" applyAlignment="1" applyProtection="1">
      <alignment horizontal="center" vertical="center"/>
    </xf>
    <xf numFmtId="0" fontId="4" fillId="4" borderId="107" xfId="0" applyFont="1" applyFill="1" applyBorder="1" applyAlignment="1" applyProtection="1">
      <alignment horizontal="center" vertical="center"/>
    </xf>
    <xf numFmtId="0" fontId="4" fillId="4" borderId="108" xfId="0" applyFont="1" applyFill="1" applyBorder="1" applyAlignment="1" applyProtection="1">
      <alignment horizontal="center" vertical="center"/>
    </xf>
    <xf numFmtId="0" fontId="4" fillId="4" borderId="109" xfId="0" applyFont="1" applyFill="1" applyBorder="1" applyAlignment="1" applyProtection="1">
      <alignment horizontal="center" vertical="center"/>
    </xf>
    <xf numFmtId="0" fontId="4" fillId="4" borderId="110" xfId="0" applyFont="1" applyFill="1" applyBorder="1" applyAlignment="1" applyProtection="1">
      <alignment horizontal="center" vertical="center"/>
    </xf>
    <xf numFmtId="0" fontId="4" fillId="4" borderId="111" xfId="0" applyFont="1" applyFill="1" applyBorder="1" applyAlignment="1" applyProtection="1">
      <alignment horizontal="center" vertical="center"/>
    </xf>
    <xf numFmtId="0" fontId="4" fillId="4" borderId="112" xfId="0" applyFont="1" applyFill="1" applyBorder="1" applyAlignment="1" applyProtection="1">
      <alignment horizontal="center" vertical="center"/>
    </xf>
    <xf numFmtId="0" fontId="4" fillId="5" borderId="104" xfId="0" applyFont="1" applyFill="1" applyBorder="1" applyAlignment="1" applyProtection="1">
      <alignment horizontal="center" vertical="center"/>
      <protection locked="0"/>
    </xf>
    <xf numFmtId="0" fontId="4" fillId="5" borderId="105" xfId="0" applyFont="1" applyFill="1" applyBorder="1" applyAlignment="1" applyProtection="1">
      <alignment horizontal="center" vertical="center"/>
      <protection locked="0"/>
    </xf>
    <xf numFmtId="0" fontId="4" fillId="5" borderId="106" xfId="0" applyFont="1" applyFill="1" applyBorder="1" applyAlignment="1" applyProtection="1">
      <alignment horizontal="center" vertical="center"/>
      <protection locked="0"/>
    </xf>
    <xf numFmtId="0" fontId="4" fillId="5" borderId="113" xfId="0" applyFont="1" applyFill="1" applyBorder="1" applyAlignment="1" applyProtection="1">
      <alignment horizontal="center" vertical="center"/>
      <protection locked="0"/>
    </xf>
    <xf numFmtId="0" fontId="4" fillId="5" borderId="114" xfId="0" applyFont="1" applyFill="1" applyBorder="1" applyAlignment="1" applyProtection="1">
      <alignment horizontal="center" vertical="center"/>
      <protection locked="0"/>
    </xf>
    <xf numFmtId="0" fontId="4" fillId="5" borderId="115" xfId="0" applyFont="1" applyFill="1" applyBorder="1" applyAlignment="1" applyProtection="1">
      <alignment horizontal="center" vertical="center"/>
      <protection locked="0"/>
    </xf>
    <xf numFmtId="0" fontId="4" fillId="5" borderId="116" xfId="0" applyFont="1" applyFill="1" applyBorder="1" applyAlignment="1" applyProtection="1">
      <alignment horizontal="center" vertical="center"/>
      <protection locked="0"/>
    </xf>
    <xf numFmtId="0" fontId="4" fillId="5" borderId="117" xfId="0" applyFont="1" applyFill="1" applyBorder="1" applyAlignment="1" applyProtection="1">
      <alignment horizontal="center" vertical="center"/>
      <protection locked="0"/>
    </xf>
    <xf numFmtId="0" fontId="3" fillId="0" borderId="5" xfId="0" applyFont="1" applyBorder="1" applyAlignment="1">
      <alignment wrapText="1"/>
    </xf>
    <xf numFmtId="0" fontId="14" fillId="0" borderId="63" xfId="0" applyFont="1" applyBorder="1" applyAlignment="1">
      <alignment wrapText="1"/>
    </xf>
    <xf numFmtId="0" fontId="3" fillId="0" borderId="5" xfId="0" applyFont="1" applyBorder="1"/>
    <xf numFmtId="0" fontId="3" fillId="0" borderId="63" xfId="0" applyFont="1" applyBorder="1"/>
    <xf numFmtId="0" fontId="30" fillId="0" borderId="0" xfId="0" applyFont="1" applyFill="1" applyBorder="1" applyAlignment="1">
      <alignment horizontal="center"/>
    </xf>
    <xf numFmtId="0" fontId="30" fillId="0" borderId="40" xfId="0" applyFont="1" applyFill="1" applyBorder="1" applyAlignment="1">
      <alignment horizontal="center"/>
    </xf>
    <xf numFmtId="0" fontId="30" fillId="0" borderId="0" xfId="0" applyFont="1" applyFill="1" applyBorder="1"/>
    <xf numFmtId="0" fontId="23" fillId="0" borderId="0" xfId="0" applyFont="1" applyFill="1" applyBorder="1" applyAlignment="1">
      <alignment vertical="center"/>
    </xf>
    <xf numFmtId="0" fontId="25" fillId="0" borderId="0" xfId="0" applyFont="1" applyFill="1" applyBorder="1"/>
    <xf numFmtId="0" fontId="4" fillId="4" borderId="28" xfId="0" applyFont="1" applyFill="1" applyBorder="1" applyAlignment="1" applyProtection="1">
      <alignment horizontal="center" vertical="center"/>
    </xf>
    <xf numFmtId="0" fontId="4" fillId="4" borderId="15" xfId="0" applyFont="1" applyFill="1" applyBorder="1" applyAlignment="1" applyProtection="1">
      <alignment horizontal="center" vertical="center"/>
    </xf>
    <xf numFmtId="0" fontId="4" fillId="4" borderId="58" xfId="0" applyFont="1" applyFill="1" applyBorder="1" applyAlignment="1" applyProtection="1">
      <alignment horizontal="center" vertical="center"/>
    </xf>
    <xf numFmtId="0" fontId="4" fillId="4" borderId="51" xfId="0" applyFont="1" applyFill="1" applyBorder="1" applyAlignment="1" applyProtection="1">
      <alignment horizontal="center" vertical="center"/>
    </xf>
    <xf numFmtId="0" fontId="4" fillId="6" borderId="18" xfId="0" applyFont="1" applyFill="1" applyBorder="1" applyAlignment="1" applyProtection="1">
      <alignment horizontal="center" vertical="center"/>
    </xf>
    <xf numFmtId="0" fontId="3" fillId="6" borderId="20" xfId="0" applyFont="1" applyFill="1" applyBorder="1" applyAlignment="1">
      <alignment horizontal="center" vertical="center"/>
    </xf>
    <xf numFmtId="0" fontId="3" fillId="6" borderId="21" xfId="0" applyFont="1" applyFill="1" applyBorder="1" applyAlignment="1">
      <alignment horizontal="center" vertical="center"/>
    </xf>
    <xf numFmtId="0" fontId="3" fillId="6" borderId="22" xfId="0" applyFont="1" applyFill="1" applyBorder="1" applyAlignment="1">
      <alignment horizontal="center" vertical="center"/>
    </xf>
    <xf numFmtId="0" fontId="7" fillId="6" borderId="20" xfId="0" applyFont="1" applyFill="1" applyBorder="1" applyAlignment="1">
      <alignment horizontal="center" vertical="center"/>
    </xf>
    <xf numFmtId="0" fontId="4" fillId="0" borderId="119" xfId="0"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0" fontId="4" fillId="0" borderId="37"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6" borderId="32" xfId="0" applyFont="1" applyFill="1" applyBorder="1" applyAlignment="1">
      <alignment horizontal="center" vertical="center"/>
    </xf>
    <xf numFmtId="0" fontId="4" fillId="4" borderId="12" xfId="0" applyFont="1" applyFill="1" applyBorder="1" applyAlignment="1" applyProtection="1">
      <alignment horizontal="center" vertical="center"/>
    </xf>
    <xf numFmtId="0" fontId="30" fillId="0" borderId="40" xfId="0" applyFont="1" applyFill="1" applyBorder="1" applyAlignment="1">
      <alignment horizontal="center" vertical="center"/>
    </xf>
    <xf numFmtId="0" fontId="4" fillId="0" borderId="12" xfId="0" applyFont="1" applyBorder="1" applyAlignment="1" applyProtection="1">
      <alignment horizontal="center" vertical="center"/>
      <protection locked="0"/>
    </xf>
    <xf numFmtId="0" fontId="4" fillId="4" borderId="127" xfId="0" applyFont="1" applyFill="1" applyBorder="1" applyAlignment="1" applyProtection="1">
      <alignment horizontal="center" vertical="center"/>
    </xf>
    <xf numFmtId="0" fontId="4" fillId="0" borderId="13" xfId="0" applyFont="1" applyBorder="1" applyAlignment="1" applyProtection="1">
      <alignment horizontal="center" vertical="center"/>
      <protection locked="0"/>
    </xf>
    <xf numFmtId="0" fontId="4" fillId="4" borderId="56" xfId="0" applyFont="1" applyFill="1" applyBorder="1" applyAlignment="1" applyProtection="1">
      <alignment horizontal="center" vertical="center"/>
    </xf>
    <xf numFmtId="0" fontId="19" fillId="2" borderId="41" xfId="0" applyFont="1" applyFill="1" applyBorder="1" applyAlignment="1">
      <alignment vertical="center" wrapText="1"/>
    </xf>
    <xf numFmtId="0" fontId="11" fillId="10" borderId="41" xfId="0" applyFont="1" applyFill="1" applyBorder="1" applyAlignment="1">
      <alignment vertical="center" wrapText="1"/>
    </xf>
    <xf numFmtId="0" fontId="4" fillId="6" borderId="9" xfId="0" applyFont="1" applyFill="1" applyBorder="1" applyAlignment="1" applyProtection="1">
      <alignment horizontal="center" vertical="center"/>
    </xf>
    <xf numFmtId="0" fontId="4" fillId="6" borderId="17" xfId="0" applyFont="1" applyFill="1" applyBorder="1" applyAlignment="1" applyProtection="1">
      <alignment horizontal="center" vertical="center"/>
    </xf>
    <xf numFmtId="0" fontId="3" fillId="6" borderId="33" xfId="0" applyFont="1" applyFill="1" applyBorder="1" applyAlignment="1">
      <alignment horizontal="center" vertical="center"/>
    </xf>
    <xf numFmtId="0" fontId="4" fillId="6" borderId="8" xfId="0" applyFont="1" applyFill="1" applyBorder="1" applyAlignment="1" applyProtection="1">
      <alignment horizontal="center" vertical="center"/>
    </xf>
    <xf numFmtId="0" fontId="4" fillId="4" borderId="29"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4" fillId="10" borderId="35" xfId="0" applyFont="1" applyFill="1" applyBorder="1" applyAlignment="1">
      <alignment horizontal="left" vertical="center" wrapText="1"/>
    </xf>
    <xf numFmtId="0" fontId="4" fillId="10" borderId="19" xfId="0" applyFont="1" applyFill="1" applyBorder="1" applyAlignment="1">
      <alignment horizontal="left" vertical="center" wrapText="1"/>
    </xf>
    <xf numFmtId="0" fontId="3" fillId="2" borderId="19" xfId="0" applyFont="1" applyFill="1" applyBorder="1" applyAlignment="1">
      <alignment horizontal="left" vertical="center"/>
    </xf>
    <xf numFmtId="0" fontId="4" fillId="10" borderId="19" xfId="0" applyFont="1" applyFill="1" applyBorder="1" applyAlignment="1">
      <alignment horizontal="left" vertical="center"/>
    </xf>
    <xf numFmtId="0" fontId="3" fillId="2" borderId="33" xfId="0" applyFont="1" applyFill="1" applyBorder="1" applyAlignment="1">
      <alignment horizontal="left" vertical="center"/>
    </xf>
    <xf numFmtId="0" fontId="4" fillId="2" borderId="19" xfId="0" applyFont="1" applyFill="1" applyBorder="1" applyAlignment="1">
      <alignment horizontal="left" vertical="center"/>
    </xf>
    <xf numFmtId="0" fontId="4" fillId="2" borderId="35" xfId="0" applyFont="1" applyFill="1" applyBorder="1" applyAlignment="1">
      <alignment horizontal="left" vertical="center"/>
    </xf>
    <xf numFmtId="0" fontId="4" fillId="10" borderId="35" xfId="0" applyFont="1" applyFill="1" applyBorder="1" applyAlignment="1">
      <alignment horizontal="left" vertical="center"/>
    </xf>
    <xf numFmtId="0" fontId="4" fillId="5" borderId="0" xfId="0" applyFont="1" applyFill="1" applyAlignment="1">
      <alignment vertical="center"/>
    </xf>
    <xf numFmtId="0" fontId="4" fillId="2" borderId="34" xfId="0" applyFont="1" applyFill="1" applyBorder="1" applyAlignment="1">
      <alignment horizontal="left" vertical="center"/>
    </xf>
    <xf numFmtId="0" fontId="4" fillId="2" borderId="53" xfId="0" applyFont="1" applyFill="1" applyBorder="1" applyAlignment="1">
      <alignment horizontal="left" vertical="center"/>
    </xf>
    <xf numFmtId="0" fontId="4" fillId="2" borderId="54" xfId="0" applyFont="1" applyFill="1" applyBorder="1" applyAlignment="1">
      <alignment horizontal="left" vertical="center"/>
    </xf>
    <xf numFmtId="0" fontId="4" fillId="2" borderId="50" xfId="0" applyFont="1" applyFill="1" applyBorder="1" applyAlignment="1">
      <alignment horizontal="left" vertical="center"/>
    </xf>
    <xf numFmtId="0" fontId="3" fillId="6" borderId="41" xfId="0" applyFont="1" applyFill="1" applyBorder="1" applyAlignment="1">
      <alignment horizontal="center" vertical="center"/>
    </xf>
    <xf numFmtId="0" fontId="4" fillId="6" borderId="16" xfId="0" applyFont="1" applyFill="1" applyBorder="1" applyAlignment="1" applyProtection="1">
      <alignment horizontal="center" vertical="center"/>
    </xf>
    <xf numFmtId="0" fontId="4" fillId="2" borderId="126" xfId="0" applyFont="1" applyFill="1" applyBorder="1" applyAlignment="1">
      <alignment horizontal="left" vertical="center"/>
    </xf>
    <xf numFmtId="0" fontId="4" fillId="2" borderId="89" xfId="0" applyFont="1" applyFill="1" applyBorder="1" applyAlignment="1">
      <alignment horizontal="left" vertical="center"/>
    </xf>
    <xf numFmtId="0" fontId="4" fillId="2" borderId="101" xfId="0" applyFont="1" applyFill="1" applyBorder="1" applyAlignment="1">
      <alignment horizontal="left" vertical="center"/>
    </xf>
    <xf numFmtId="0" fontId="3" fillId="6" borderId="16" xfId="0" applyFont="1" applyFill="1" applyBorder="1" applyAlignment="1" applyProtection="1">
      <alignment horizontal="center" vertical="center"/>
    </xf>
    <xf numFmtId="0" fontId="3" fillId="2" borderId="54" xfId="0" applyFont="1" applyFill="1" applyBorder="1" applyAlignment="1">
      <alignment horizontal="left" vertical="center"/>
    </xf>
    <xf numFmtId="0" fontId="3" fillId="10" borderId="19" xfId="0" applyFont="1" applyFill="1" applyBorder="1" applyAlignment="1">
      <alignment horizontal="left" vertical="center" wrapText="1"/>
    </xf>
    <xf numFmtId="0" fontId="20" fillId="0" borderId="0" xfId="0" applyFont="1" applyAlignment="1">
      <alignment wrapText="1"/>
    </xf>
    <xf numFmtId="0" fontId="35" fillId="0" borderId="45" xfId="0" applyFont="1" applyFill="1" applyBorder="1" applyAlignment="1">
      <alignment horizontal="left" vertical="center" wrapText="1"/>
    </xf>
    <xf numFmtId="0" fontId="35" fillId="0" borderId="19" xfId="0" applyFont="1" applyBorder="1" applyAlignment="1">
      <alignment horizontal="left" vertical="center" wrapText="1"/>
    </xf>
    <xf numFmtId="0" fontId="35" fillId="0" borderId="44" xfId="0" applyFont="1" applyBorder="1" applyAlignment="1">
      <alignment horizontal="left" vertical="center" wrapText="1"/>
    </xf>
    <xf numFmtId="0" fontId="35" fillId="0" borderId="23" xfId="0" applyFont="1" applyFill="1" applyBorder="1" applyAlignment="1">
      <alignment horizontal="left" vertical="center" wrapText="1"/>
    </xf>
    <xf numFmtId="0" fontId="35" fillId="0" borderId="24"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20" fillId="6" borderId="10" xfId="0" applyFont="1" applyFill="1" applyBorder="1" applyAlignment="1">
      <alignment horizontal="left" vertical="center"/>
    </xf>
    <xf numFmtId="0" fontId="35" fillId="0" borderId="23" xfId="0" applyFont="1" applyFill="1" applyBorder="1" applyAlignment="1">
      <alignment horizontal="left" vertical="center"/>
    </xf>
    <xf numFmtId="0" fontId="35" fillId="0" borderId="24" xfId="0" applyFont="1" applyFill="1" applyBorder="1" applyAlignment="1">
      <alignment horizontal="left" vertical="center"/>
    </xf>
    <xf numFmtId="0" fontId="35" fillId="0" borderId="25" xfId="0" applyFont="1" applyFill="1" applyBorder="1" applyAlignment="1">
      <alignment horizontal="left" vertical="center"/>
    </xf>
    <xf numFmtId="0" fontId="35" fillId="0" borderId="36" xfId="0" applyFont="1" applyFill="1" applyBorder="1" applyAlignment="1">
      <alignment horizontal="left" vertical="center"/>
    </xf>
    <xf numFmtId="0" fontId="35" fillId="0" borderId="42" xfId="0" applyFont="1" applyFill="1" applyBorder="1" applyAlignment="1">
      <alignment horizontal="left" vertical="center"/>
    </xf>
    <xf numFmtId="0" fontId="20" fillId="0" borderId="122" xfId="0" applyFont="1" applyBorder="1" applyAlignment="1" applyProtection="1">
      <alignment horizontal="left" wrapText="1"/>
      <protection locked="0"/>
    </xf>
    <xf numFmtId="0" fontId="35" fillId="0" borderId="0" xfId="0" applyFont="1" applyAlignment="1">
      <alignment horizontal="left" wrapText="1"/>
    </xf>
    <xf numFmtId="0" fontId="20" fillId="0" borderId="0" xfId="0" applyFont="1" applyAlignment="1">
      <alignment horizontal="left" wrapText="1"/>
    </xf>
    <xf numFmtId="0" fontId="20" fillId="6" borderId="38" xfId="0" applyFont="1" applyFill="1" applyBorder="1" applyAlignment="1">
      <alignment vertical="center"/>
    </xf>
    <xf numFmtId="0" fontId="20" fillId="6" borderId="10" xfId="0" applyFont="1" applyFill="1" applyBorder="1" applyAlignment="1">
      <alignment horizontal="left" vertical="center" wrapText="1"/>
    </xf>
    <xf numFmtId="0" fontId="35" fillId="0" borderId="23" xfId="0" applyFont="1" applyBorder="1" applyAlignment="1">
      <alignment horizontal="left" wrapText="1"/>
    </xf>
    <xf numFmtId="0" fontId="35" fillId="0" borderId="42" xfId="0" applyFont="1" applyBorder="1" applyAlignment="1">
      <alignment horizontal="left" wrapText="1"/>
    </xf>
    <xf numFmtId="0" fontId="35" fillId="0" borderId="25" xfId="0" applyFont="1" applyBorder="1" applyAlignment="1">
      <alignment horizontal="left" wrapText="1"/>
    </xf>
    <xf numFmtId="0" fontId="20" fillId="6" borderId="43" xfId="0" applyFont="1" applyFill="1" applyBorder="1" applyAlignment="1">
      <alignment horizontal="left" wrapText="1"/>
    </xf>
    <xf numFmtId="0" fontId="35" fillId="0" borderId="24" xfId="0" applyFont="1" applyBorder="1" applyAlignment="1">
      <alignment horizontal="left" wrapText="1"/>
    </xf>
    <xf numFmtId="0" fontId="38" fillId="0" borderId="40" xfId="0" applyFont="1" applyFill="1" applyBorder="1" applyAlignment="1">
      <alignment horizontal="center"/>
    </xf>
    <xf numFmtId="0" fontId="13" fillId="5" borderId="0" xfId="0" applyFont="1" applyFill="1"/>
    <xf numFmtId="49" fontId="34" fillId="4" borderId="14" xfId="1" applyNumberFormat="1" applyFont="1" applyFill="1" applyBorder="1" applyAlignment="1">
      <alignment horizontal="center" vertical="center"/>
    </xf>
    <xf numFmtId="0" fontId="39" fillId="0" borderId="0" xfId="0" applyFont="1" applyFill="1" applyBorder="1" applyAlignment="1">
      <alignment horizontal="center"/>
    </xf>
    <xf numFmtId="0" fontId="20" fillId="0" borderId="10" xfId="0" applyFont="1" applyBorder="1" applyAlignment="1">
      <alignment horizontal="center" vertical="center"/>
    </xf>
    <xf numFmtId="0" fontId="20" fillId="6" borderId="39" xfId="0" applyFont="1" applyFill="1" applyBorder="1" applyAlignment="1">
      <alignment vertical="center"/>
    </xf>
    <xf numFmtId="0" fontId="40" fillId="0" borderId="0" xfId="0" applyFont="1" applyFill="1" applyBorder="1" applyAlignment="1">
      <alignment horizontal="center"/>
    </xf>
    <xf numFmtId="0" fontId="20" fillId="0" borderId="0" xfId="0" applyFont="1" applyAlignment="1">
      <alignment horizontal="left"/>
    </xf>
    <xf numFmtId="0" fontId="16" fillId="0" borderId="0" xfId="0" applyFont="1" applyAlignment="1">
      <alignment vertical="center"/>
    </xf>
    <xf numFmtId="0" fontId="11" fillId="4" borderId="48" xfId="0" applyFont="1" applyFill="1" applyBorder="1" applyAlignment="1">
      <alignment horizontal="center" vertical="center"/>
    </xf>
    <xf numFmtId="0" fontId="41" fillId="4" borderId="41" xfId="0" applyFont="1" applyFill="1" applyBorder="1" applyAlignment="1">
      <alignment horizontal="center" vertical="center"/>
    </xf>
    <xf numFmtId="0" fontId="41" fillId="4" borderId="49" xfId="0" applyFont="1" applyFill="1" applyBorder="1" applyAlignment="1">
      <alignment horizontal="center" vertical="center"/>
    </xf>
    <xf numFmtId="0" fontId="41" fillId="4" borderId="48" xfId="0" applyFont="1" applyFill="1" applyBorder="1" applyAlignment="1">
      <alignment horizontal="center" vertical="center"/>
    </xf>
    <xf numFmtId="0" fontId="11" fillId="4" borderId="10" xfId="0" applyFont="1" applyFill="1" applyBorder="1" applyAlignment="1">
      <alignment horizontal="center" vertical="center"/>
    </xf>
    <xf numFmtId="0" fontId="11" fillId="0" borderId="0" xfId="0" applyFont="1" applyAlignment="1"/>
    <xf numFmtId="0" fontId="11" fillId="4" borderId="101" xfId="0" applyFont="1" applyFill="1" applyBorder="1" applyAlignment="1">
      <alignment horizontal="center" vertical="center"/>
    </xf>
    <xf numFmtId="0" fontId="11" fillId="6" borderId="121" xfId="0" applyFont="1" applyFill="1" applyBorder="1" applyAlignment="1">
      <alignment horizontal="center" vertical="center"/>
    </xf>
    <xf numFmtId="0" fontId="11" fillId="0" borderId="0" xfId="0" applyFont="1" applyAlignment="1">
      <alignment horizontal="center"/>
    </xf>
    <xf numFmtId="0" fontId="35" fillId="0" borderId="23" xfId="0" applyFont="1" applyBorder="1" applyAlignment="1">
      <alignment horizontal="left" vertical="center" wrapText="1"/>
    </xf>
    <xf numFmtId="0" fontId="35" fillId="0" borderId="24" xfId="0" applyFont="1" applyBorder="1" applyAlignment="1">
      <alignment horizontal="left" vertical="center" wrapText="1"/>
    </xf>
    <xf numFmtId="0" fontId="35" fillId="0" borderId="25" xfId="0" applyFont="1" applyBorder="1" applyAlignment="1">
      <alignment horizontal="left" vertical="center"/>
    </xf>
    <xf numFmtId="0" fontId="35" fillId="0" borderId="25" xfId="0" applyFont="1" applyBorder="1" applyAlignment="1">
      <alignment horizontal="left" vertical="center" wrapText="1"/>
    </xf>
    <xf numFmtId="0" fontId="20" fillId="0" borderId="25" xfId="0" applyFont="1" applyFill="1" applyBorder="1" applyAlignment="1">
      <alignment horizontal="left" vertical="center" wrapText="1"/>
    </xf>
    <xf numFmtId="0" fontId="4" fillId="6" borderId="30" xfId="0" applyFont="1" applyFill="1" applyBorder="1" applyAlignment="1" applyProtection="1">
      <alignment horizontal="center" vertical="center"/>
    </xf>
    <xf numFmtId="0" fontId="6" fillId="0" borderId="37" xfId="0" applyFont="1" applyBorder="1" applyAlignment="1" applyProtection="1">
      <alignment horizontal="center" vertical="center"/>
      <protection locked="0"/>
    </xf>
    <xf numFmtId="0" fontId="4" fillId="0" borderId="119" xfId="0" applyFont="1" applyBorder="1" applyAlignment="1" applyProtection="1">
      <alignment horizontal="center" vertical="center" wrapText="1"/>
      <protection locked="0"/>
    </xf>
    <xf numFmtId="0" fontId="4" fillId="0" borderId="37" xfId="0" applyFont="1" applyBorder="1" applyAlignment="1" applyProtection="1">
      <alignment horizontal="center" vertical="center" wrapText="1"/>
      <protection locked="0"/>
    </xf>
    <xf numFmtId="0" fontId="4" fillId="5" borderId="119" xfId="0" applyFont="1" applyFill="1" applyBorder="1" applyAlignment="1" applyProtection="1">
      <alignment horizontal="center" vertical="center"/>
      <protection locked="0"/>
    </xf>
    <xf numFmtId="0" fontId="4" fillId="5" borderId="37" xfId="0" applyFont="1" applyFill="1" applyBorder="1" applyAlignment="1" applyProtection="1">
      <alignment horizontal="center" vertical="center"/>
      <protection locked="0"/>
    </xf>
    <xf numFmtId="0" fontId="8" fillId="3" borderId="31" xfId="0" applyFont="1" applyFill="1" applyBorder="1" applyAlignment="1">
      <alignment horizontal="left" vertical="center"/>
    </xf>
    <xf numFmtId="0" fontId="11" fillId="4" borderId="48" xfId="0" applyFont="1" applyFill="1" applyBorder="1" applyAlignment="1">
      <alignment horizontal="center" vertical="center"/>
    </xf>
    <xf numFmtId="0" fontId="11" fillId="4" borderId="41"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19" xfId="0" applyFont="1" applyFill="1" applyBorder="1" applyAlignment="1">
      <alignment horizontal="left" vertical="center"/>
    </xf>
    <xf numFmtId="0" fontId="8" fillId="3" borderId="120" xfId="0" applyFont="1" applyFill="1" applyBorder="1" applyAlignment="1">
      <alignment horizontal="left" vertical="center"/>
    </xf>
    <xf numFmtId="0" fontId="8" fillId="3" borderId="121" xfId="0" applyFont="1" applyFill="1" applyBorder="1" applyAlignment="1">
      <alignment horizontal="left" vertical="center"/>
    </xf>
    <xf numFmtId="0" fontId="11" fillId="4" borderId="49" xfId="0" applyFont="1" applyFill="1" applyBorder="1" applyAlignment="1">
      <alignment horizontal="center" vertical="center"/>
    </xf>
    <xf numFmtId="0" fontId="4" fillId="4" borderId="128" xfId="0" applyFont="1" applyFill="1" applyBorder="1" applyAlignment="1" applyProtection="1">
      <alignment horizontal="center" vertical="center"/>
    </xf>
    <xf numFmtId="0" fontId="35" fillId="0" borderId="20" xfId="0" applyFont="1" applyBorder="1" applyAlignment="1">
      <alignment horizontal="left" vertical="center" wrapText="1"/>
    </xf>
    <xf numFmtId="0" fontId="20" fillId="0" borderId="22" xfId="0" applyFont="1" applyBorder="1" applyAlignment="1">
      <alignment horizontal="left" vertical="center" wrapText="1"/>
    </xf>
    <xf numFmtId="0" fontId="20" fillId="0" borderId="42" xfId="0" applyFont="1" applyBorder="1" applyAlignment="1">
      <alignment horizontal="left" vertical="center" wrapText="1"/>
    </xf>
    <xf numFmtId="0" fontId="20" fillId="6" borderId="10" xfId="0" applyFont="1" applyFill="1" applyBorder="1" applyAlignment="1">
      <alignment vertical="top" wrapText="1"/>
    </xf>
    <xf numFmtId="0" fontId="20" fillId="0" borderId="0" xfId="0" applyFont="1" applyAlignment="1">
      <alignment vertical="top" wrapText="1"/>
    </xf>
    <xf numFmtId="0" fontId="35" fillId="11" borderId="41" xfId="0" applyFont="1" applyFill="1" applyBorder="1" applyAlignment="1">
      <alignment vertical="top" wrapText="1"/>
    </xf>
    <xf numFmtId="0" fontId="35" fillId="6" borderId="31" xfId="0" applyFont="1" applyFill="1" applyBorder="1" applyAlignment="1">
      <alignment vertical="top" wrapText="1"/>
    </xf>
    <xf numFmtId="0" fontId="35" fillId="0" borderId="20" xfId="0" applyFont="1" applyFill="1" applyBorder="1" applyAlignment="1">
      <alignment vertical="center" wrapText="1"/>
    </xf>
    <xf numFmtId="0" fontId="35" fillId="0" borderId="21" xfId="0" applyFont="1" applyFill="1" applyBorder="1" applyAlignment="1">
      <alignment vertical="center" wrapText="1"/>
    </xf>
    <xf numFmtId="0" fontId="35" fillId="0" borderId="64" xfId="0" applyFont="1" applyBorder="1" applyAlignment="1">
      <alignment vertical="center"/>
    </xf>
    <xf numFmtId="0" fontId="20" fillId="6" borderId="125" xfId="0" applyFont="1" applyFill="1" applyBorder="1" applyAlignment="1">
      <alignment vertical="center"/>
    </xf>
    <xf numFmtId="0" fontId="20" fillId="6" borderId="20" xfId="0" applyFont="1" applyFill="1" applyBorder="1" applyAlignment="1">
      <alignment vertical="center" wrapText="1"/>
    </xf>
    <xf numFmtId="0" fontId="20" fillId="6" borderId="10" xfId="0" applyFont="1" applyFill="1" applyBorder="1" applyAlignment="1">
      <alignment vertical="center" wrapText="1"/>
    </xf>
    <xf numFmtId="0" fontId="35" fillId="0" borderId="32" xfId="0" applyFont="1" applyFill="1" applyBorder="1" applyAlignment="1">
      <alignment vertical="center" wrapText="1"/>
    </xf>
    <xf numFmtId="0" fontId="35" fillId="0" borderId="22" xfId="0" applyFont="1" applyFill="1" applyBorder="1" applyAlignment="1">
      <alignment vertical="center" wrapText="1"/>
    </xf>
    <xf numFmtId="0" fontId="36" fillId="0" borderId="0" xfId="0" applyFont="1" applyAlignment="1">
      <alignment vertical="top" wrapText="1"/>
    </xf>
    <xf numFmtId="0" fontId="35" fillId="0" borderId="0" xfId="0" applyFont="1" applyAlignment="1">
      <alignment vertical="top" wrapText="1"/>
    </xf>
    <xf numFmtId="0" fontId="35" fillId="14" borderId="20" xfId="0" applyFont="1" applyFill="1" applyBorder="1" applyAlignment="1">
      <alignment horizontal="left" vertical="center" wrapText="1"/>
    </xf>
    <xf numFmtId="0" fontId="20" fillId="14" borderId="22" xfId="0" applyFont="1" applyFill="1" applyBorder="1" applyAlignment="1">
      <alignment horizontal="left" vertical="center" wrapText="1"/>
    </xf>
    <xf numFmtId="0" fontId="3" fillId="6" borderId="23"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36" xfId="0" applyFont="1" applyFill="1" applyBorder="1" applyAlignment="1">
      <alignment horizontal="center" vertical="center"/>
    </xf>
    <xf numFmtId="0" fontId="3" fillId="2" borderId="21" xfId="0" applyFont="1" applyFill="1" applyBorder="1" applyAlignment="1">
      <alignment vertical="center"/>
    </xf>
    <xf numFmtId="0" fontId="4" fillId="2" borderId="32" xfId="0" applyFont="1" applyFill="1" applyBorder="1" applyAlignment="1">
      <alignment vertical="center"/>
    </xf>
    <xf numFmtId="0" fontId="4" fillId="2" borderId="21" xfId="0" applyFont="1" applyFill="1" applyBorder="1" applyAlignment="1">
      <alignment vertical="center"/>
    </xf>
    <xf numFmtId="0" fontId="4" fillId="2" borderId="21" xfId="0" applyFont="1" applyFill="1" applyBorder="1" applyAlignment="1">
      <alignment horizontal="left" vertical="center"/>
    </xf>
    <xf numFmtId="0" fontId="4" fillId="2" borderId="32" xfId="0" applyFont="1" applyFill="1" applyBorder="1" applyAlignment="1">
      <alignment horizontal="left" vertical="center"/>
    </xf>
    <xf numFmtId="0" fontId="4" fillId="4" borderId="129" xfId="0" applyFont="1" applyFill="1" applyBorder="1" applyAlignment="1" applyProtection="1">
      <alignment horizontal="center" vertical="center"/>
    </xf>
    <xf numFmtId="0" fontId="6" fillId="0" borderId="10" xfId="0" applyFont="1" applyBorder="1" applyAlignment="1" applyProtection="1">
      <alignment horizontal="center" vertical="center"/>
      <protection locked="0"/>
    </xf>
    <xf numFmtId="0" fontId="8" fillId="3" borderId="0" xfId="0" applyFont="1" applyFill="1" applyBorder="1" applyAlignment="1">
      <alignment horizontal="left" vertical="center"/>
    </xf>
    <xf numFmtId="0" fontId="3" fillId="6" borderId="43" xfId="0" applyFont="1" applyFill="1" applyBorder="1" applyAlignment="1" applyProtection="1">
      <alignment horizontal="center" vertical="center"/>
    </xf>
    <xf numFmtId="0" fontId="8" fillId="3" borderId="10" xfId="0" applyFont="1" applyFill="1" applyBorder="1" applyAlignment="1">
      <alignment horizontal="left" vertical="center"/>
    </xf>
    <xf numFmtId="0" fontId="4" fillId="4" borderId="17" xfId="0" applyFont="1" applyFill="1" applyBorder="1" applyAlignment="1" applyProtection="1">
      <alignment horizontal="center" vertical="center"/>
    </xf>
    <xf numFmtId="0" fontId="4" fillId="0" borderId="10" xfId="0" applyFont="1" applyBorder="1" applyAlignment="1" applyProtection="1">
      <alignment horizontal="center" vertical="center"/>
      <protection locked="0"/>
    </xf>
    <xf numFmtId="0" fontId="4" fillId="4" borderId="119" xfId="0" applyFont="1" applyFill="1" applyBorder="1" applyAlignment="1" applyProtection="1">
      <alignment horizontal="center" vertical="center"/>
    </xf>
    <xf numFmtId="0" fontId="4" fillId="0" borderId="20"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4" fillId="6" borderId="20" xfId="0" applyFont="1" applyFill="1" applyBorder="1" applyAlignment="1" applyProtection="1">
      <alignment horizontal="center" vertical="center"/>
    </xf>
    <xf numFmtId="0" fontId="4" fillId="6" borderId="21" xfId="0" applyFont="1" applyFill="1" applyBorder="1" applyAlignment="1" applyProtection="1">
      <alignment horizontal="center" vertical="center"/>
    </xf>
    <xf numFmtId="0" fontId="4" fillId="6" borderId="22" xfId="0" applyFont="1" applyFill="1" applyBorder="1" applyAlignment="1" applyProtection="1">
      <alignment horizontal="center" vertical="center"/>
    </xf>
    <xf numFmtId="0" fontId="4" fillId="0" borderId="21" xfId="0" applyFont="1" applyBorder="1" applyAlignment="1" applyProtection="1">
      <alignment horizontal="center" vertical="center"/>
      <protection locked="0"/>
    </xf>
    <xf numFmtId="0" fontId="4" fillId="0" borderId="22" xfId="0" applyFont="1" applyBorder="1" applyAlignment="1" applyProtection="1">
      <alignment horizontal="center" vertical="center"/>
      <protection locked="0"/>
    </xf>
    <xf numFmtId="0" fontId="20" fillId="6" borderId="31" xfId="0" applyFont="1" applyFill="1" applyBorder="1" applyAlignment="1">
      <alignment vertical="center" wrapText="1"/>
    </xf>
    <xf numFmtId="0" fontId="3" fillId="6" borderId="130" xfId="0" applyFont="1" applyFill="1" applyBorder="1" applyAlignment="1" applyProtection="1">
      <alignment horizontal="center" vertical="center"/>
    </xf>
    <xf numFmtId="0" fontId="20" fillId="6" borderId="36" xfId="0" applyFont="1" applyFill="1" applyBorder="1" applyAlignment="1">
      <alignment horizontal="left" vertical="center" wrapText="1"/>
    </xf>
    <xf numFmtId="0" fontId="20" fillId="6" borderId="25" xfId="0" applyFont="1" applyFill="1" applyBorder="1" applyAlignment="1">
      <alignment horizontal="left" vertical="center" wrapText="1"/>
    </xf>
    <xf numFmtId="0" fontId="35" fillId="6" borderId="20" xfId="0" applyFont="1" applyFill="1" applyBorder="1" applyAlignment="1">
      <alignment horizontal="left" vertical="center" wrapText="1"/>
    </xf>
    <xf numFmtId="0" fontId="20" fillId="6" borderId="22" xfId="0" applyFont="1" applyFill="1" applyBorder="1" applyAlignment="1">
      <alignment horizontal="left" vertical="center" wrapText="1"/>
    </xf>
    <xf numFmtId="0" fontId="20" fillId="6" borderId="31" xfId="0" applyFont="1" applyFill="1" applyBorder="1" applyAlignment="1">
      <alignment horizontal="left" vertical="center"/>
    </xf>
    <xf numFmtId="0" fontId="4" fillId="6" borderId="130" xfId="0" applyFont="1" applyFill="1" applyBorder="1" applyAlignment="1" applyProtection="1">
      <alignment horizontal="center" vertical="center"/>
    </xf>
    <xf numFmtId="0" fontId="20" fillId="6" borderId="23" xfId="0" applyFont="1" applyFill="1" applyBorder="1" applyAlignment="1">
      <alignment horizontal="left" vertical="center"/>
    </xf>
    <xf numFmtId="0" fontId="11" fillId="6" borderId="10" xfId="0" applyFont="1" applyFill="1" applyBorder="1" applyAlignment="1">
      <alignment horizontal="center" vertical="center"/>
    </xf>
    <xf numFmtId="0" fontId="4" fillId="2" borderId="45" xfId="0" applyFont="1" applyFill="1" applyBorder="1" applyAlignment="1">
      <alignment horizontal="left" vertical="center"/>
    </xf>
    <xf numFmtId="0" fontId="4" fillId="2" borderId="44" xfId="0" applyFont="1" applyFill="1" applyBorder="1" applyAlignment="1">
      <alignment horizontal="left" vertical="center"/>
    </xf>
    <xf numFmtId="0" fontId="4" fillId="6" borderId="26" xfId="0" applyFont="1" applyFill="1" applyBorder="1" applyAlignment="1" applyProtection="1">
      <alignment horizontal="center" vertical="center"/>
    </xf>
    <xf numFmtId="0" fontId="30" fillId="0" borderId="0" xfId="0" applyFont="1" applyFill="1" applyBorder="1" applyAlignment="1">
      <alignment horizontal="center" vertical="center"/>
    </xf>
    <xf numFmtId="0" fontId="35" fillId="0" borderId="33" xfId="0" applyFont="1" applyFill="1" applyBorder="1" applyAlignment="1">
      <alignment vertical="center" wrapText="1"/>
    </xf>
    <xf numFmtId="0" fontId="6" fillId="0" borderId="48" xfId="0" applyFont="1" applyBorder="1" applyAlignment="1" applyProtection="1">
      <alignment horizontal="center" vertical="center"/>
      <protection locked="0"/>
    </xf>
    <xf numFmtId="0" fontId="4" fillId="2" borderId="120" xfId="0" applyFont="1" applyFill="1" applyBorder="1" applyAlignment="1">
      <alignment horizontal="left" vertical="center"/>
    </xf>
    <xf numFmtId="0" fontId="4" fillId="10" borderId="34" xfId="0" applyFont="1" applyFill="1" applyBorder="1" applyAlignment="1">
      <alignment horizontal="left" vertical="center" wrapText="1"/>
    </xf>
    <xf numFmtId="0" fontId="35" fillId="0" borderId="64" xfId="0" applyFont="1" applyBorder="1" applyAlignment="1">
      <alignment vertical="center" wrapText="1"/>
    </xf>
    <xf numFmtId="0" fontId="20" fillId="6" borderId="31" xfId="0" applyFont="1" applyFill="1" applyBorder="1" applyAlignment="1">
      <alignment horizontal="left" vertical="center" wrapText="1"/>
    </xf>
    <xf numFmtId="0" fontId="20" fillId="6" borderId="125" xfId="0" applyFont="1" applyFill="1" applyBorder="1" applyAlignment="1">
      <alignment vertical="center" wrapText="1"/>
    </xf>
    <xf numFmtId="0" fontId="20" fillId="6" borderId="23" xfId="0" applyFont="1" applyFill="1" applyBorder="1" applyAlignment="1">
      <alignment horizontal="left" vertical="center" wrapText="1"/>
    </xf>
    <xf numFmtId="0" fontId="20" fillId="6" borderId="38" xfId="0" applyFont="1" applyFill="1" applyBorder="1" applyAlignment="1">
      <alignment vertical="center" wrapText="1"/>
    </xf>
    <xf numFmtId="0" fontId="8" fillId="3" borderId="0" xfId="0" applyFont="1" applyFill="1" applyBorder="1" applyAlignment="1">
      <alignment horizontal="left" vertical="center"/>
    </xf>
    <xf numFmtId="0" fontId="8" fillId="3" borderId="120" xfId="0" applyFont="1" applyFill="1" applyBorder="1" applyAlignment="1">
      <alignment horizontal="left" vertical="center"/>
    </xf>
    <xf numFmtId="0" fontId="11" fillId="4" borderId="46" xfId="0" applyFont="1" applyFill="1" applyBorder="1" applyAlignment="1">
      <alignment horizontal="center" vertical="center"/>
    </xf>
    <xf numFmtId="0" fontId="13" fillId="5" borderId="0" xfId="0" applyFont="1" applyFill="1" applyAlignment="1">
      <alignment horizontal="left"/>
    </xf>
    <xf numFmtId="0" fontId="13" fillId="5" borderId="0" xfId="0" applyFont="1" applyFill="1" applyAlignment="1">
      <alignment vertical="top" wrapText="1"/>
    </xf>
    <xf numFmtId="0" fontId="13" fillId="5" borderId="0" xfId="0" applyFont="1" applyFill="1" applyAlignment="1">
      <alignment horizontal="left" vertical="center"/>
    </xf>
    <xf numFmtId="0" fontId="13" fillId="5" borderId="0" xfId="0" applyFont="1" applyFill="1" applyAlignment="1">
      <alignment horizontal="left" wrapText="1"/>
    </xf>
    <xf numFmtId="0" fontId="35" fillId="0" borderId="44" xfId="0" applyFont="1" applyFill="1" applyBorder="1" applyAlignment="1">
      <alignment horizontal="left" vertical="center" wrapText="1"/>
    </xf>
    <xf numFmtId="0" fontId="20" fillId="5" borderId="2" xfId="0" applyFont="1" applyFill="1" applyBorder="1"/>
    <xf numFmtId="0" fontId="20" fillId="5" borderId="1" xfId="0" applyFont="1" applyFill="1" applyBorder="1" applyAlignment="1">
      <alignment horizontal="left" wrapText="1"/>
    </xf>
    <xf numFmtId="0" fontId="20" fillId="5" borderId="1" xfId="0" applyFont="1" applyFill="1" applyBorder="1" applyAlignment="1">
      <alignment horizontal="left" vertical="top" wrapText="1"/>
    </xf>
    <xf numFmtId="0" fontId="20" fillId="12" borderId="1" xfId="0" applyFont="1" applyFill="1" applyBorder="1" applyAlignment="1">
      <alignment horizontal="left" vertical="center"/>
    </xf>
    <xf numFmtId="0" fontId="35" fillId="0" borderId="141" xfId="0" applyFont="1" applyBorder="1" applyAlignment="1">
      <alignment horizontal="left" vertical="center" wrapText="1"/>
    </xf>
    <xf numFmtId="0" fontId="35" fillId="0" borderId="19" xfId="0" applyFont="1" applyFill="1" applyBorder="1" applyAlignment="1">
      <alignment horizontal="left" vertical="center" wrapText="1"/>
    </xf>
    <xf numFmtId="0" fontId="35" fillId="5" borderId="1" xfId="0" applyFont="1" applyFill="1" applyBorder="1"/>
    <xf numFmtId="0" fontId="35" fillId="0" borderId="32" xfId="0" applyFont="1" applyBorder="1" applyAlignment="1">
      <alignment vertical="center" wrapText="1"/>
    </xf>
    <xf numFmtId="0" fontId="35" fillId="0" borderId="36" xfId="0" applyFont="1" applyBorder="1" applyAlignment="1">
      <alignment horizontal="left" vertical="center" wrapText="1"/>
    </xf>
    <xf numFmtId="0" fontId="35" fillId="0" borderId="21" xfId="0" applyFont="1" applyBorder="1" applyAlignment="1">
      <alignment vertical="center" wrapText="1"/>
    </xf>
    <xf numFmtId="0" fontId="35" fillId="0" borderId="22" xfId="0" applyFont="1" applyBorder="1" applyAlignment="1">
      <alignment vertical="center" wrapText="1"/>
    </xf>
    <xf numFmtId="0" fontId="35" fillId="5" borderId="1" xfId="0" applyFont="1" applyFill="1" applyBorder="1" applyAlignment="1">
      <alignment vertical="center"/>
    </xf>
    <xf numFmtId="0" fontId="20" fillId="0" borderId="25" xfId="0" applyFont="1" applyBorder="1" applyAlignment="1">
      <alignment horizontal="left" vertical="center" wrapText="1"/>
    </xf>
    <xf numFmtId="0" fontId="36" fillId="3" borderId="31" xfId="0" applyFont="1" applyFill="1" applyBorder="1" applyAlignment="1">
      <alignment vertical="center" wrapText="1"/>
    </xf>
    <xf numFmtId="0" fontId="36" fillId="3" borderId="0" xfId="0" applyFont="1" applyFill="1" applyAlignment="1">
      <alignment vertical="center" wrapText="1"/>
    </xf>
    <xf numFmtId="0" fontId="36" fillId="3" borderId="55" xfId="0" applyFont="1" applyFill="1" applyBorder="1" applyAlignment="1">
      <alignment vertical="center" wrapText="1"/>
    </xf>
    <xf numFmtId="0" fontId="35" fillId="0" borderId="20" xfId="0" applyFont="1" applyBorder="1" applyAlignment="1">
      <alignment vertical="center" wrapText="1"/>
    </xf>
    <xf numFmtId="0" fontId="36" fillId="3" borderId="31" xfId="0" applyFont="1" applyFill="1" applyBorder="1" applyAlignment="1">
      <alignment horizontal="left" vertical="center" wrapText="1"/>
    </xf>
    <xf numFmtId="0" fontId="35" fillId="5" borderId="140" xfId="0" applyFont="1" applyFill="1" applyBorder="1" applyAlignment="1">
      <alignment horizontal="left" vertical="center"/>
    </xf>
    <xf numFmtId="0" fontId="35" fillId="5" borderId="1" xfId="0" applyFont="1" applyFill="1" applyBorder="1" applyAlignment="1">
      <alignment horizontal="left" vertical="center"/>
    </xf>
    <xf numFmtId="0" fontId="35" fillId="5" borderId="1" xfId="0" applyFont="1" applyFill="1" applyBorder="1" applyAlignment="1">
      <alignment vertical="top" wrapText="1"/>
    </xf>
    <xf numFmtId="0" fontId="35" fillId="0" borderId="33" xfId="0" applyFont="1" applyBorder="1" applyAlignment="1">
      <alignment vertical="center" wrapText="1"/>
    </xf>
    <xf numFmtId="0" fontId="35" fillId="0" borderId="42" xfId="0" applyFont="1" applyBorder="1" applyAlignment="1">
      <alignment horizontal="left" vertical="center" wrapText="1"/>
    </xf>
    <xf numFmtId="0" fontId="36" fillId="5" borderId="136" xfId="0" applyFont="1" applyFill="1" applyBorder="1" applyAlignment="1">
      <alignment vertical="center" wrapText="1"/>
    </xf>
    <xf numFmtId="0" fontId="36" fillId="5" borderId="138" xfId="0" applyFont="1" applyFill="1" applyBorder="1" applyAlignment="1">
      <alignment vertical="center" wrapText="1"/>
    </xf>
    <xf numFmtId="0" fontId="36" fillId="5" borderId="139" xfId="0" applyFont="1" applyFill="1" applyBorder="1" applyAlignment="1">
      <alignment vertical="center" wrapText="1"/>
    </xf>
    <xf numFmtId="0" fontId="35" fillId="5" borderId="0" xfId="0" applyFont="1" applyFill="1" applyAlignment="1">
      <alignment vertical="top" wrapText="1"/>
    </xf>
    <xf numFmtId="0" fontId="35" fillId="5" borderId="0" xfId="0" applyFont="1" applyFill="1" applyAlignment="1">
      <alignment horizontal="left" vertical="center"/>
    </xf>
    <xf numFmtId="0" fontId="3" fillId="2" borderId="126" xfId="0" applyFont="1" applyFill="1" applyBorder="1" applyAlignment="1">
      <alignment vertical="center"/>
    </xf>
    <xf numFmtId="0" fontId="3" fillId="2" borderId="32" xfId="0" applyFont="1" applyFill="1" applyBorder="1" applyAlignment="1">
      <alignment vertical="center"/>
    </xf>
    <xf numFmtId="0" fontId="3" fillId="2" borderId="35" xfId="0" applyFont="1" applyFill="1" applyBorder="1" applyAlignment="1">
      <alignment vertical="center"/>
    </xf>
    <xf numFmtId="0" fontId="3" fillId="2" borderId="19" xfId="0" applyFont="1" applyFill="1" applyBorder="1" applyAlignment="1">
      <alignment vertical="center"/>
    </xf>
    <xf numFmtId="0" fontId="3" fillId="2" borderId="33" xfId="0" applyFont="1" applyFill="1" applyBorder="1" applyAlignment="1">
      <alignment vertical="center"/>
    </xf>
    <xf numFmtId="0" fontId="44" fillId="3" borderId="142" xfId="0" applyFont="1" applyFill="1" applyBorder="1" applyAlignment="1">
      <alignment horizontal="center" vertical="center"/>
    </xf>
    <xf numFmtId="0" fontId="44" fillId="3" borderId="130" xfId="0" applyFont="1" applyFill="1" applyBorder="1" applyAlignment="1">
      <alignment horizontal="center" vertical="center"/>
    </xf>
    <xf numFmtId="0" fontId="11" fillId="4" borderId="61" xfId="0" applyFont="1" applyFill="1" applyBorder="1" applyAlignment="1">
      <alignment horizontal="center" vertical="center"/>
    </xf>
    <xf numFmtId="0" fontId="4" fillId="5" borderId="143" xfId="0" applyFont="1" applyFill="1" applyBorder="1" applyAlignment="1" applyProtection="1">
      <alignment horizontal="center" vertical="center"/>
      <protection locked="0"/>
    </xf>
    <xf numFmtId="0" fontId="4" fillId="5" borderId="144" xfId="0" applyFont="1" applyFill="1" applyBorder="1" applyAlignment="1" applyProtection="1">
      <alignment horizontal="center" vertical="center"/>
      <protection locked="0"/>
    </xf>
    <xf numFmtId="0" fontId="3" fillId="6" borderId="42" xfId="0" applyFont="1" applyFill="1" applyBorder="1" applyAlignment="1">
      <alignment horizontal="center" vertical="center"/>
    </xf>
    <xf numFmtId="0" fontId="4" fillId="6" borderId="145" xfId="0" applyFont="1" applyFill="1" applyBorder="1" applyAlignment="1" applyProtection="1">
      <alignment horizontal="center" vertical="center"/>
    </xf>
    <xf numFmtId="0" fontId="4" fillId="6" borderId="146" xfId="0" applyFont="1" applyFill="1" applyBorder="1" applyAlignment="1" applyProtection="1">
      <alignment horizontal="center" vertical="center"/>
    </xf>
    <xf numFmtId="0" fontId="4" fillId="6" borderId="147" xfId="0" applyFont="1" applyFill="1" applyBorder="1" applyAlignment="1" applyProtection="1">
      <alignment horizontal="center" vertical="center"/>
    </xf>
    <xf numFmtId="0" fontId="4" fillId="6" borderId="148" xfId="0" applyFont="1" applyFill="1" applyBorder="1" applyAlignment="1" applyProtection="1">
      <alignment horizontal="center" vertical="center"/>
    </xf>
    <xf numFmtId="0" fontId="4" fillId="6" borderId="149" xfId="0" applyFont="1" applyFill="1" applyBorder="1" applyAlignment="1" applyProtection="1">
      <alignment horizontal="center" vertical="center"/>
    </xf>
    <xf numFmtId="0" fontId="4" fillId="6" borderId="150" xfId="0" applyFont="1" applyFill="1" applyBorder="1" applyAlignment="1" applyProtection="1">
      <alignment horizontal="center" vertical="center"/>
    </xf>
    <xf numFmtId="0" fontId="4" fillId="6" borderId="151" xfId="0" applyFont="1" applyFill="1" applyBorder="1" applyAlignment="1" applyProtection="1">
      <alignment horizontal="center" vertical="center"/>
    </xf>
    <xf numFmtId="0" fontId="4" fillId="6" borderId="152" xfId="0" applyFont="1" applyFill="1" applyBorder="1" applyAlignment="1" applyProtection="1">
      <alignment horizontal="center" vertical="center"/>
    </xf>
    <xf numFmtId="0" fontId="4" fillId="6" borderId="153" xfId="0" applyFont="1" applyFill="1" applyBorder="1" applyAlignment="1" applyProtection="1">
      <alignment horizontal="center" vertical="center"/>
    </xf>
    <xf numFmtId="0" fontId="4" fillId="6" borderId="53" xfId="0" applyFont="1" applyFill="1" applyBorder="1" applyAlignment="1" applyProtection="1">
      <alignment horizontal="center" vertical="center"/>
    </xf>
    <xf numFmtId="0" fontId="4" fillId="6" borderId="47" xfId="0" applyFont="1" applyFill="1" applyBorder="1" applyAlignment="1" applyProtection="1">
      <alignment horizontal="center" vertical="center"/>
    </xf>
    <xf numFmtId="0" fontId="4" fillId="6" borderId="154" xfId="0" applyFont="1" applyFill="1" applyBorder="1" applyAlignment="1" applyProtection="1">
      <alignment horizontal="center" vertical="center"/>
    </xf>
    <xf numFmtId="0" fontId="4" fillId="6" borderId="28" xfId="0" applyFont="1" applyFill="1" applyBorder="1" applyAlignment="1" applyProtection="1">
      <alignment horizontal="center" vertical="center"/>
    </xf>
    <xf numFmtId="0" fontId="4" fillId="6" borderId="155" xfId="0" applyFont="1" applyFill="1" applyBorder="1" applyAlignment="1" applyProtection="1">
      <alignment horizontal="center" vertical="center"/>
    </xf>
    <xf numFmtId="0" fontId="21" fillId="5" borderId="0" xfId="0" applyFont="1" applyFill="1" applyBorder="1" applyAlignment="1">
      <alignment horizontal="left" vertical="center" wrapText="1"/>
    </xf>
    <xf numFmtId="0" fontId="13" fillId="5" borderId="0" xfId="0" applyFont="1" applyFill="1" applyAlignment="1">
      <alignment horizontal="left" vertical="top"/>
    </xf>
    <xf numFmtId="0" fontId="21" fillId="5" borderId="151" xfId="0" applyFont="1" applyFill="1" applyBorder="1" applyAlignment="1">
      <alignment horizontal="left" vertical="center" wrapText="1"/>
    </xf>
    <xf numFmtId="0" fontId="20" fillId="5" borderId="1" xfId="0" applyFont="1" applyFill="1" applyBorder="1" applyAlignment="1">
      <alignment horizontal="left" vertical="center" wrapText="1"/>
    </xf>
    <xf numFmtId="0" fontId="36" fillId="3" borderId="0" xfId="0" applyFont="1" applyFill="1" applyAlignment="1">
      <alignment horizontal="left" vertical="center" wrapText="1"/>
    </xf>
    <xf numFmtId="0" fontId="36" fillId="5" borderId="137" xfId="0" applyFont="1" applyFill="1" applyBorder="1" applyAlignment="1">
      <alignment horizontal="left" vertical="center" wrapText="1"/>
    </xf>
    <xf numFmtId="0" fontId="13" fillId="5" borderId="0" xfId="0" applyFont="1" applyFill="1" applyAlignment="1">
      <alignment horizontal="left" vertical="center" wrapText="1"/>
    </xf>
    <xf numFmtId="0" fontId="20" fillId="5" borderId="1" xfId="0" applyFont="1" applyFill="1" applyBorder="1" applyAlignment="1">
      <alignment horizontal="left" vertical="top"/>
    </xf>
    <xf numFmtId="0" fontId="21" fillId="5" borderId="170" xfId="0" applyFont="1" applyFill="1" applyBorder="1" applyAlignment="1">
      <alignment horizontal="left" vertical="center" wrapText="1"/>
    </xf>
    <xf numFmtId="0" fontId="13" fillId="5" borderId="0" xfId="0" applyFont="1" applyFill="1" applyAlignment="1"/>
    <xf numFmtId="0" fontId="20" fillId="0" borderId="48" xfId="0" applyFont="1" applyFill="1" applyBorder="1" applyAlignment="1">
      <alignment vertical="center" wrapText="1"/>
    </xf>
    <xf numFmtId="0" fontId="20" fillId="0" borderId="41" xfId="0" applyFont="1" applyFill="1" applyBorder="1" applyAlignment="1">
      <alignment vertical="center" wrapText="1"/>
    </xf>
    <xf numFmtId="0" fontId="20" fillId="0" borderId="49" xfId="0" applyFont="1" applyFill="1" applyBorder="1" applyAlignment="1">
      <alignment vertical="center" wrapText="1"/>
    </xf>
    <xf numFmtId="0" fontId="45" fillId="13" borderId="0" xfId="0" applyFont="1" applyFill="1" applyBorder="1" applyAlignment="1">
      <alignment horizontal="center" vertical="center" wrapText="1"/>
    </xf>
    <xf numFmtId="0" fontId="21" fillId="5" borderId="46" xfId="0" applyFont="1" applyFill="1" applyBorder="1" applyAlignment="1">
      <alignment horizontal="left" vertical="center" wrapText="1"/>
    </xf>
    <xf numFmtId="0" fontId="21" fillId="5" borderId="120" xfId="0" applyFont="1" applyFill="1" applyBorder="1" applyAlignment="1">
      <alignment horizontal="left" vertical="center" wrapText="1"/>
    </xf>
    <xf numFmtId="0" fontId="21" fillId="5" borderId="121" xfId="0" applyFont="1" applyFill="1" applyBorder="1" applyAlignment="1">
      <alignment horizontal="left" vertical="center" wrapText="1"/>
    </xf>
    <xf numFmtId="0" fontId="21" fillId="5" borderId="61" xfId="0" applyFont="1" applyFill="1" applyBorder="1" applyAlignment="1">
      <alignment horizontal="left" vertical="center" wrapText="1"/>
    </xf>
    <xf numFmtId="0" fontId="21" fillId="5" borderId="122" xfId="0" applyFont="1" applyFill="1" applyBorder="1" applyAlignment="1">
      <alignment horizontal="left" vertical="center" wrapText="1"/>
    </xf>
    <xf numFmtId="0" fontId="21" fillId="5" borderId="89" xfId="0" applyFont="1" applyFill="1" applyBorder="1" applyAlignment="1">
      <alignment horizontal="left" vertical="center" wrapText="1"/>
    </xf>
    <xf numFmtId="0" fontId="36" fillId="3" borderId="40" xfId="0" applyFont="1" applyFill="1" applyBorder="1" applyAlignment="1">
      <alignment horizontal="center" vertical="center" wrapText="1"/>
    </xf>
    <xf numFmtId="0" fontId="36" fillId="3" borderId="0" xfId="0" applyFont="1" applyFill="1" applyAlignment="1">
      <alignment horizontal="center" vertical="center" wrapText="1"/>
    </xf>
    <xf numFmtId="0" fontId="36" fillId="3" borderId="55" xfId="0" applyFont="1" applyFill="1" applyBorder="1" applyAlignment="1">
      <alignment horizontal="center" vertical="center" wrapText="1"/>
    </xf>
    <xf numFmtId="0" fontId="36" fillId="5" borderId="134" xfId="0" applyFont="1" applyFill="1" applyBorder="1" applyAlignment="1">
      <alignment horizontal="center" vertical="center" wrapText="1"/>
    </xf>
    <xf numFmtId="0" fontId="36" fillId="5" borderId="6" xfId="0" applyFont="1" applyFill="1" applyBorder="1" applyAlignment="1">
      <alignment horizontal="center" vertical="center" wrapText="1"/>
    </xf>
    <xf numFmtId="0" fontId="36" fillId="5" borderId="135" xfId="0" applyFont="1" applyFill="1" applyBorder="1" applyAlignment="1">
      <alignment horizontal="center" vertical="center" wrapText="1"/>
    </xf>
    <xf numFmtId="0" fontId="20" fillId="5" borderId="3" xfId="0" applyFont="1" applyFill="1" applyBorder="1" applyAlignment="1">
      <alignment horizontal="center"/>
    </xf>
    <xf numFmtId="0" fontId="20" fillId="5" borderId="4" xfId="0" applyFont="1" applyFill="1" applyBorder="1" applyAlignment="1">
      <alignment horizontal="center"/>
    </xf>
    <xf numFmtId="0" fontId="35" fillId="0" borderId="125" xfId="0" applyFont="1" applyBorder="1" applyAlignment="1">
      <alignment vertical="center" wrapText="1"/>
    </xf>
    <xf numFmtId="0" fontId="35" fillId="0" borderId="124" xfId="0" applyFont="1" applyBorder="1" applyAlignment="1">
      <alignment vertical="center" wrapText="1"/>
    </xf>
    <xf numFmtId="0" fontId="35" fillId="0" borderId="48" xfId="0" applyFont="1" applyBorder="1" applyAlignment="1">
      <alignment vertical="center" wrapText="1"/>
    </xf>
    <xf numFmtId="0" fontId="35" fillId="0" borderId="41" xfId="0" applyFont="1" applyBorder="1" applyAlignment="1">
      <alignment vertical="center" wrapText="1"/>
    </xf>
    <xf numFmtId="0" fontId="35" fillId="0" borderId="49" xfId="0" applyFont="1" applyBorder="1" applyAlignment="1">
      <alignment vertical="center" wrapText="1"/>
    </xf>
    <xf numFmtId="0" fontId="35" fillId="5" borderId="48" xfId="0" applyFont="1" applyFill="1" applyBorder="1" applyAlignment="1">
      <alignment vertical="center" wrapText="1"/>
    </xf>
    <xf numFmtId="0" fontId="35" fillId="5" borderId="41" xfId="0" applyFont="1" applyFill="1" applyBorder="1" applyAlignment="1">
      <alignment vertical="center" wrapText="1"/>
    </xf>
    <xf numFmtId="0" fontId="35" fillId="5" borderId="49" xfId="0" applyFont="1" applyFill="1" applyBorder="1" applyAlignment="1">
      <alignment vertical="center" wrapText="1"/>
    </xf>
    <xf numFmtId="0" fontId="20" fillId="0" borderId="87" xfId="0" applyFont="1" applyBorder="1" applyAlignment="1">
      <alignment vertical="center" wrapText="1"/>
    </xf>
    <xf numFmtId="0" fontId="20" fillId="0" borderId="123" xfId="0" applyFont="1" applyBorder="1" applyAlignment="1">
      <alignment vertical="center" wrapText="1"/>
    </xf>
    <xf numFmtId="0" fontId="35" fillId="5" borderId="46" xfId="0" applyFont="1" applyFill="1" applyBorder="1" applyAlignment="1">
      <alignment vertical="center" wrapText="1"/>
    </xf>
    <xf numFmtId="0" fontId="35" fillId="5" borderId="40" xfId="0" applyFont="1" applyFill="1" applyBorder="1" applyAlignment="1">
      <alignment vertical="center" wrapText="1"/>
    </xf>
    <xf numFmtId="0" fontId="35" fillId="5" borderId="61" xfId="0" applyFont="1" applyFill="1" applyBorder="1" applyAlignment="1">
      <alignment vertical="center" wrapText="1"/>
    </xf>
    <xf numFmtId="0" fontId="21" fillId="12" borderId="31" xfId="0" applyFont="1" applyFill="1" applyBorder="1" applyAlignment="1">
      <alignment horizontal="center" wrapText="1"/>
    </xf>
    <xf numFmtId="0" fontId="21" fillId="12" borderId="39" xfId="0" applyFont="1" applyFill="1" applyBorder="1" applyAlignment="1">
      <alignment horizontal="center" wrapText="1"/>
    </xf>
    <xf numFmtId="0" fontId="21" fillId="12" borderId="101" xfId="0" applyFont="1" applyFill="1" applyBorder="1" applyAlignment="1">
      <alignment horizontal="center" wrapText="1"/>
    </xf>
    <xf numFmtId="0" fontId="35" fillId="0" borderId="32" xfId="0" applyFont="1" applyBorder="1" applyAlignment="1">
      <alignment vertical="center" wrapText="1"/>
    </xf>
    <xf numFmtId="0" fontId="8" fillId="3" borderId="31" xfId="0" applyFont="1" applyFill="1" applyBorder="1" applyAlignment="1">
      <alignment horizontal="left" vertical="center"/>
    </xf>
    <xf numFmtId="0" fontId="8" fillId="3" borderId="39" xfId="0" applyFont="1" applyFill="1" applyBorder="1" applyAlignment="1">
      <alignment horizontal="left" vertical="center"/>
    </xf>
    <xf numFmtId="0" fontId="8" fillId="3" borderId="0" xfId="0" applyFont="1" applyFill="1" applyBorder="1" applyAlignment="1">
      <alignment horizontal="left" vertical="center"/>
    </xf>
    <xf numFmtId="0" fontId="8" fillId="3" borderId="122" xfId="0" applyFont="1" applyFill="1" applyBorder="1" applyAlignment="1">
      <alignment horizontal="left" vertical="center"/>
    </xf>
    <xf numFmtId="0" fontId="8" fillId="3" borderId="121" xfId="0" applyFont="1" applyFill="1" applyBorder="1" applyAlignment="1">
      <alignment horizontal="left" vertical="center"/>
    </xf>
    <xf numFmtId="0" fontId="33" fillId="2" borderId="48" xfId="0" applyFont="1" applyFill="1" applyBorder="1" applyAlignment="1">
      <alignment horizontal="center" vertical="center" wrapText="1"/>
    </xf>
    <xf numFmtId="0" fontId="33" fillId="2" borderId="41" xfId="0" applyFont="1" applyFill="1" applyBorder="1" applyAlignment="1">
      <alignment horizontal="center" vertical="center" wrapText="1"/>
    </xf>
    <xf numFmtId="0" fontId="3" fillId="10" borderId="156" xfId="0" applyFont="1" applyFill="1" applyBorder="1" applyAlignment="1">
      <alignment horizontal="center" vertical="center" wrapText="1"/>
    </xf>
    <xf numFmtId="0" fontId="3" fillId="10" borderId="157" xfId="0" applyFont="1" applyFill="1" applyBorder="1" applyAlignment="1">
      <alignment horizontal="center" vertical="center" wrapText="1"/>
    </xf>
    <xf numFmtId="0" fontId="3" fillId="10" borderId="158"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9" fillId="10" borderId="41" xfId="0" applyFont="1" applyFill="1" applyBorder="1" applyAlignment="1">
      <alignment horizontal="center" vertical="center" wrapText="1"/>
    </xf>
    <xf numFmtId="0" fontId="9" fillId="10" borderId="49" xfId="0" applyFont="1" applyFill="1" applyBorder="1" applyAlignment="1">
      <alignment horizontal="center" vertical="center" wrapText="1"/>
    </xf>
    <xf numFmtId="0" fontId="8" fillId="3" borderId="89" xfId="0" applyFont="1" applyFill="1" applyBorder="1" applyAlignment="1">
      <alignment horizontal="left" vertical="center"/>
    </xf>
    <xf numFmtId="0" fontId="8" fillId="3" borderId="101" xfId="0" applyFont="1" applyFill="1" applyBorder="1" applyAlignment="1">
      <alignment horizontal="left" vertical="center"/>
    </xf>
    <xf numFmtId="49" fontId="5" fillId="4" borderId="119" xfId="1" applyNumberFormat="1" applyFont="1" applyFill="1" applyBorder="1" applyAlignment="1">
      <alignment horizontal="center" vertical="center"/>
    </xf>
    <xf numFmtId="49" fontId="5" fillId="4" borderId="26" xfId="1" applyNumberFormat="1" applyFont="1" applyFill="1" applyBorder="1" applyAlignment="1">
      <alignment horizontal="center" vertical="center"/>
    </xf>
    <xf numFmtId="0" fontId="11" fillId="4" borderId="48" xfId="0" applyFont="1" applyFill="1" applyBorder="1" applyAlignment="1">
      <alignment horizontal="center" vertical="center"/>
    </xf>
    <xf numFmtId="0" fontId="11" fillId="4" borderId="41" xfId="0" applyFont="1" applyFill="1" applyBorder="1" applyAlignment="1">
      <alignment horizontal="center" vertical="center"/>
    </xf>
    <xf numFmtId="0" fontId="20" fillId="2" borderId="48" xfId="0" applyFont="1" applyFill="1" applyBorder="1" applyAlignment="1">
      <alignment horizontal="left" vertical="center" wrapText="1"/>
    </xf>
    <xf numFmtId="0" fontId="20" fillId="2" borderId="49" xfId="0" applyFont="1" applyFill="1" applyBorder="1" applyAlignment="1">
      <alignment horizontal="left" vertical="center" wrapText="1"/>
    </xf>
    <xf numFmtId="0" fontId="20" fillId="2" borderId="48" xfId="0" applyFont="1" applyFill="1" applyBorder="1" applyAlignment="1">
      <alignment vertical="center" wrapText="1"/>
    </xf>
    <xf numFmtId="0" fontId="20" fillId="2" borderId="49" xfId="0" applyFont="1" applyFill="1" applyBorder="1" applyAlignment="1">
      <alignment vertical="center" wrapText="1"/>
    </xf>
    <xf numFmtId="0" fontId="3" fillId="4" borderId="15"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7" borderId="55" xfId="0" applyFont="1" applyFill="1" applyBorder="1" applyAlignment="1">
      <alignment horizontal="center" vertical="center"/>
    </xf>
    <xf numFmtId="0" fontId="3" fillId="7" borderId="89" xfId="0" applyFont="1" applyFill="1" applyBorder="1" applyAlignment="1">
      <alignment horizontal="center" vertical="center"/>
    </xf>
    <xf numFmtId="0" fontId="20" fillId="2" borderId="41" xfId="0" applyFont="1" applyFill="1" applyBorder="1" applyAlignment="1">
      <alignment horizontal="left" vertical="center" wrapText="1"/>
    </xf>
    <xf numFmtId="0" fontId="11" fillId="4" borderId="40" xfId="0" applyFont="1" applyFill="1" applyBorder="1" applyAlignment="1">
      <alignment horizontal="center" vertical="center"/>
    </xf>
    <xf numFmtId="49" fontId="5" fillId="4" borderId="9" xfId="1" applyNumberFormat="1" applyFont="1" applyFill="1" applyBorder="1" applyAlignment="1">
      <alignment horizontal="center" vertical="center"/>
    </xf>
    <xf numFmtId="49" fontId="5" fillId="4" borderId="17" xfId="1" applyNumberFormat="1" applyFont="1" applyFill="1" applyBorder="1" applyAlignment="1">
      <alignment horizontal="center" vertical="center"/>
    </xf>
    <xf numFmtId="49" fontId="5" fillId="4" borderId="30" xfId="1" applyNumberFormat="1" applyFont="1" applyFill="1" applyBorder="1" applyAlignment="1">
      <alignment horizontal="center" vertical="center"/>
    </xf>
    <xf numFmtId="49" fontId="5" fillId="4" borderId="11" xfId="1" applyNumberFormat="1" applyFont="1" applyFill="1" applyBorder="1" applyAlignment="1">
      <alignment horizontal="center" vertical="center"/>
    </xf>
    <xf numFmtId="0" fontId="8" fillId="5" borderId="131" xfId="0" applyFont="1" applyFill="1" applyBorder="1" applyAlignment="1">
      <alignment horizontal="left" vertical="center"/>
    </xf>
    <xf numFmtId="0" fontId="8" fillId="5" borderId="132" xfId="0" applyFont="1" applyFill="1" applyBorder="1" applyAlignment="1">
      <alignment horizontal="left" vertical="center"/>
    </xf>
    <xf numFmtId="0" fontId="8" fillId="5" borderId="159" xfId="0" applyFont="1" applyFill="1" applyBorder="1" applyAlignment="1">
      <alignment horizontal="left" vertical="center"/>
    </xf>
    <xf numFmtId="0" fontId="19" fillId="2" borderId="48" xfId="0" applyFont="1" applyFill="1" applyBorder="1" applyAlignment="1">
      <alignment horizontal="center" vertical="center" wrapText="1"/>
    </xf>
    <xf numFmtId="0" fontId="19" fillId="2" borderId="41" xfId="0" applyFont="1" applyFill="1" applyBorder="1" applyAlignment="1">
      <alignment horizontal="center" vertical="center" wrapText="1"/>
    </xf>
    <xf numFmtId="0" fontId="19" fillId="2" borderId="49" xfId="0" applyFont="1" applyFill="1" applyBorder="1" applyAlignment="1">
      <alignment horizontal="center" vertical="center" wrapText="1"/>
    </xf>
    <xf numFmtId="0" fontId="35" fillId="0" borderId="125" xfId="0" applyFont="1" applyBorder="1" applyAlignment="1">
      <alignment vertical="center"/>
    </xf>
    <xf numFmtId="0" fontId="35" fillId="0" borderId="124" xfId="0" applyFont="1" applyBorder="1" applyAlignment="1">
      <alignment vertical="center"/>
    </xf>
    <xf numFmtId="0" fontId="35" fillId="0" borderId="48" xfId="0" applyFont="1" applyBorder="1" applyAlignment="1">
      <alignment vertical="center"/>
    </xf>
    <xf numFmtId="0" fontId="35" fillId="0" borderId="41" xfId="0" applyFont="1" applyBorder="1" applyAlignment="1">
      <alignment vertical="center"/>
    </xf>
    <xf numFmtId="0" fontId="35" fillId="0" borderId="49" xfId="0" applyFont="1" applyBorder="1" applyAlignment="1">
      <alignment vertical="center"/>
    </xf>
    <xf numFmtId="0" fontId="8" fillId="3" borderId="61" xfId="0" applyFont="1" applyFill="1" applyBorder="1" applyAlignment="1">
      <alignment horizontal="left" vertical="center"/>
    </xf>
    <xf numFmtId="0" fontId="20" fillId="2" borderId="41" xfId="0" applyFont="1" applyFill="1" applyBorder="1" applyAlignment="1">
      <alignment vertical="center" wrapText="1"/>
    </xf>
    <xf numFmtId="0" fontId="33" fillId="2" borderId="49" xfId="0" applyFont="1" applyFill="1" applyBorder="1" applyAlignment="1">
      <alignment horizontal="center" vertical="center" wrapText="1"/>
    </xf>
    <xf numFmtId="0" fontId="3" fillId="8" borderId="41" xfId="0" applyFont="1" applyFill="1" applyBorder="1" applyAlignment="1">
      <alignment horizontal="center" vertical="center"/>
    </xf>
    <xf numFmtId="0" fontId="3" fillId="8" borderId="32" xfId="0" applyFont="1" applyFill="1" applyBorder="1" applyAlignment="1">
      <alignment horizontal="center" vertical="center"/>
    </xf>
    <xf numFmtId="0" fontId="9" fillId="2" borderId="4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49" xfId="0" applyFont="1" applyFill="1" applyBorder="1" applyAlignment="1">
      <alignment horizontal="center" vertical="center" wrapText="1"/>
    </xf>
    <xf numFmtId="0" fontId="3" fillId="7" borderId="121" xfId="0" applyFont="1" applyFill="1" applyBorder="1" applyAlignment="1">
      <alignment horizontal="center" vertical="center"/>
    </xf>
    <xf numFmtId="0" fontId="8" fillId="3" borderId="40" xfId="0" applyFont="1" applyFill="1" applyBorder="1" applyAlignment="1">
      <alignment horizontal="left" vertical="center"/>
    </xf>
    <xf numFmtId="0" fontId="8" fillId="3" borderId="120" xfId="0" applyFont="1" applyFill="1" applyBorder="1" applyAlignment="1">
      <alignment horizontal="left" vertical="center"/>
    </xf>
    <xf numFmtId="0" fontId="3" fillId="2" borderId="33" xfId="0" applyFont="1" applyFill="1" applyBorder="1" applyAlignment="1">
      <alignment horizontal="left" vertical="center"/>
    </xf>
    <xf numFmtId="0" fontId="3" fillId="2" borderId="32" xfId="0" applyFont="1" applyFill="1" applyBorder="1" applyAlignment="1">
      <alignment horizontal="left" vertical="center"/>
    </xf>
    <xf numFmtId="0" fontId="11" fillId="10" borderId="48" xfId="0" applyFont="1" applyFill="1" applyBorder="1" applyAlignment="1">
      <alignment horizontal="left" vertical="center" wrapText="1"/>
    </xf>
    <xf numFmtId="0" fontId="11" fillId="10" borderId="41" xfId="0" applyFont="1" applyFill="1" applyBorder="1" applyAlignment="1">
      <alignment horizontal="left" vertical="center" wrapText="1"/>
    </xf>
    <xf numFmtId="0" fontId="3" fillId="8" borderId="48" xfId="0" applyFont="1" applyFill="1" applyBorder="1" applyAlignment="1">
      <alignment horizontal="center" vertical="center"/>
    </xf>
    <xf numFmtId="0" fontId="3" fillId="8" borderId="49" xfId="0" applyFont="1" applyFill="1" applyBorder="1" applyAlignment="1">
      <alignment horizontal="center" vertical="center"/>
    </xf>
    <xf numFmtId="0" fontId="11" fillId="7" borderId="48" xfId="0" applyFont="1" applyFill="1" applyBorder="1" applyAlignment="1">
      <alignment horizontal="center" vertical="center" wrapText="1"/>
    </xf>
    <xf numFmtId="0" fontId="11" fillId="7" borderId="49" xfId="0" applyFont="1" applyFill="1" applyBorder="1" applyAlignment="1">
      <alignment horizontal="center" vertical="center" wrapText="1"/>
    </xf>
    <xf numFmtId="0" fontId="19" fillId="2" borderId="48" xfId="0" applyFont="1" applyFill="1" applyBorder="1" applyAlignment="1">
      <alignment horizontal="left" vertical="center" wrapText="1"/>
    </xf>
    <xf numFmtId="0" fontId="19" fillId="2" borderId="41" xfId="0" applyFont="1" applyFill="1" applyBorder="1" applyAlignment="1">
      <alignment horizontal="left" vertical="center" wrapText="1"/>
    </xf>
    <xf numFmtId="0" fontId="3" fillId="4" borderId="118" xfId="0" applyFont="1" applyFill="1" applyBorder="1" applyAlignment="1">
      <alignment horizontal="center" vertical="center" wrapText="1"/>
    </xf>
    <xf numFmtId="0" fontId="3" fillId="4" borderId="62" xfId="0" applyFont="1" applyFill="1" applyBorder="1" applyAlignment="1">
      <alignment horizontal="center" vertical="center" wrapText="1"/>
    </xf>
    <xf numFmtId="0" fontId="3" fillId="7" borderId="60" xfId="0" applyFont="1" applyFill="1" applyBorder="1" applyAlignment="1">
      <alignment horizontal="center" vertical="center"/>
    </xf>
    <xf numFmtId="0" fontId="9" fillId="8" borderId="48" xfId="0" applyFont="1" applyFill="1" applyBorder="1" applyAlignment="1">
      <alignment horizontal="center" vertical="center" wrapText="1"/>
    </xf>
    <xf numFmtId="0" fontId="9" fillId="8" borderId="41" xfId="0" applyFont="1" applyFill="1" applyBorder="1" applyAlignment="1">
      <alignment horizontal="center" vertical="center" wrapText="1"/>
    </xf>
    <xf numFmtId="0" fontId="9" fillId="8" borderId="49" xfId="0" applyFont="1" applyFill="1" applyBorder="1" applyAlignment="1">
      <alignment horizontal="center" vertical="center" wrapText="1"/>
    </xf>
    <xf numFmtId="0" fontId="35" fillId="11" borderId="48" xfId="0" applyFont="1" applyFill="1" applyBorder="1" applyAlignment="1">
      <alignment vertical="top" wrapText="1"/>
    </xf>
    <xf numFmtId="0" fontId="35" fillId="11" borderId="41" xfId="0" applyFont="1" applyFill="1" applyBorder="1" applyAlignment="1">
      <alignment vertical="top" wrapText="1"/>
    </xf>
    <xf numFmtId="0" fontId="35" fillId="11" borderId="49" xfId="0" applyFont="1" applyFill="1" applyBorder="1" applyAlignment="1">
      <alignment vertical="top" wrapText="1"/>
    </xf>
    <xf numFmtId="49" fontId="34" fillId="4" borderId="119" xfId="1" applyNumberFormat="1" applyFont="1" applyFill="1" applyBorder="1" applyAlignment="1">
      <alignment horizontal="center" vertical="center"/>
    </xf>
    <xf numFmtId="49" fontId="34" fillId="4" borderId="26" xfId="1" applyNumberFormat="1" applyFont="1" applyFill="1" applyBorder="1" applyAlignment="1">
      <alignment horizontal="center" vertical="center"/>
    </xf>
    <xf numFmtId="0" fontId="15" fillId="7" borderId="48" xfId="0" applyFont="1" applyFill="1" applyBorder="1" applyAlignment="1">
      <alignment horizontal="center" vertical="center" wrapText="1"/>
    </xf>
    <xf numFmtId="0" fontId="15" fillId="7" borderId="49" xfId="0" applyFont="1" applyFill="1" applyBorder="1" applyAlignment="1">
      <alignment horizontal="center" vertical="center" wrapText="1"/>
    </xf>
    <xf numFmtId="0" fontId="20" fillId="0" borderId="31" xfId="0" applyFont="1" applyBorder="1" applyAlignment="1">
      <alignment horizontal="center" vertical="center" wrapText="1"/>
    </xf>
    <xf numFmtId="0" fontId="20" fillId="0" borderId="101" xfId="0" applyFont="1" applyBorder="1" applyAlignment="1">
      <alignment horizontal="center" vertical="center" wrapText="1"/>
    </xf>
    <xf numFmtId="0" fontId="15" fillId="8" borderId="118" xfId="0" applyFont="1" applyFill="1" applyBorder="1" applyAlignment="1">
      <alignment horizontal="center" vertical="center" wrapText="1"/>
    </xf>
    <xf numFmtId="0" fontId="15" fillId="8" borderId="62" xfId="0" applyFont="1" applyFill="1" applyBorder="1" applyAlignment="1">
      <alignment horizontal="center" vertical="center" wrapText="1"/>
    </xf>
    <xf numFmtId="0" fontId="8" fillId="3" borderId="56" xfId="0" applyFont="1" applyFill="1" applyBorder="1" applyAlignment="1">
      <alignment horizontal="left" vertical="center"/>
    </xf>
    <xf numFmtId="0" fontId="8" fillId="3" borderId="51" xfId="0" applyFont="1" applyFill="1" applyBorder="1" applyAlignment="1">
      <alignment horizontal="left" vertical="center"/>
    </xf>
    <xf numFmtId="0" fontId="8" fillId="3" borderId="15" xfId="0" applyFont="1" applyFill="1" applyBorder="1" applyAlignment="1">
      <alignment horizontal="left" vertical="center"/>
    </xf>
    <xf numFmtId="0" fontId="8" fillId="3" borderId="16" xfId="0" applyFont="1" applyFill="1" applyBorder="1" applyAlignment="1">
      <alignment horizontal="left" vertical="center"/>
    </xf>
    <xf numFmtId="0" fontId="8" fillId="3" borderId="43" xfId="0" applyFont="1" applyFill="1" applyBorder="1" applyAlignment="1">
      <alignment horizontal="left" vertical="center"/>
    </xf>
    <xf numFmtId="0" fontId="36" fillId="9" borderId="31" xfId="0" applyFont="1" applyFill="1" applyBorder="1" applyAlignment="1">
      <alignment horizontal="center" vertical="center" wrapText="1"/>
    </xf>
    <xf numFmtId="0" fontId="36" fillId="9" borderId="39" xfId="0" applyFont="1" applyFill="1" applyBorder="1" applyAlignment="1">
      <alignment horizontal="center" vertical="center" wrapText="1"/>
    </xf>
    <xf numFmtId="0" fontId="36" fillId="9" borderId="101" xfId="0" applyFont="1" applyFill="1" applyBorder="1" applyAlignment="1">
      <alignment horizontal="center" vertical="center" wrapText="1"/>
    </xf>
    <xf numFmtId="0" fontId="3" fillId="0" borderId="0" xfId="0" applyFont="1" applyAlignment="1">
      <alignment horizontal="center" wrapText="1"/>
    </xf>
    <xf numFmtId="0" fontId="15" fillId="7" borderId="118" xfId="0" applyFont="1" applyFill="1" applyBorder="1" applyAlignment="1">
      <alignment horizontal="center" vertical="center"/>
    </xf>
    <xf numFmtId="0" fontId="15" fillId="7" borderId="62" xfId="0" applyFont="1" applyFill="1" applyBorder="1" applyAlignment="1">
      <alignment horizontal="center" vertical="center"/>
    </xf>
    <xf numFmtId="0" fontId="15" fillId="4" borderId="52" xfId="0" applyFont="1" applyFill="1" applyBorder="1" applyAlignment="1">
      <alignment horizontal="center" wrapText="1"/>
    </xf>
    <xf numFmtId="0" fontId="15" fillId="4" borderId="51" xfId="0" applyFont="1" applyFill="1" applyBorder="1" applyAlignment="1">
      <alignment horizontal="center" wrapText="1"/>
    </xf>
    <xf numFmtId="0" fontId="11" fillId="4" borderId="49" xfId="0" applyFont="1" applyFill="1" applyBorder="1" applyAlignment="1">
      <alignment horizontal="center" vertical="center"/>
    </xf>
    <xf numFmtId="0" fontId="15" fillId="2" borderId="48" xfId="0" applyFont="1" applyFill="1" applyBorder="1" applyAlignment="1">
      <alignment horizontal="left" wrapText="1"/>
    </xf>
    <xf numFmtId="0" fontId="15" fillId="2" borderId="49" xfId="0" applyFont="1" applyFill="1" applyBorder="1" applyAlignment="1">
      <alignment horizontal="left" wrapText="1"/>
    </xf>
    <xf numFmtId="0" fontId="15" fillId="2" borderId="48" xfId="0" applyFont="1" applyFill="1" applyBorder="1" applyAlignment="1">
      <alignment vertical="top" wrapText="1"/>
    </xf>
    <xf numFmtId="0" fontId="15" fillId="2" borderId="41" xfId="0" applyFont="1" applyFill="1" applyBorder="1" applyAlignment="1">
      <alignment vertical="top" wrapText="1"/>
    </xf>
    <xf numFmtId="0" fontId="11" fillId="4" borderId="46" xfId="0" applyFont="1" applyFill="1" applyBorder="1" applyAlignment="1">
      <alignment horizontal="center" vertical="center"/>
    </xf>
    <xf numFmtId="0" fontId="15" fillId="8" borderId="47" xfId="0" applyFont="1" applyFill="1" applyBorder="1" applyAlignment="1">
      <alignment horizontal="center" vertical="center"/>
    </xf>
    <xf numFmtId="0" fontId="15" fillId="8" borderId="56" xfId="0" applyFont="1" applyFill="1" applyBorder="1" applyAlignment="1">
      <alignment horizontal="center" vertical="center"/>
    </xf>
    <xf numFmtId="0" fontId="20" fillId="0" borderId="48" xfId="0" applyFont="1" applyBorder="1" applyAlignment="1">
      <alignment vertical="center" wrapText="1"/>
    </xf>
    <xf numFmtId="0" fontId="20" fillId="0" borderId="41" xfId="0" applyFont="1" applyBorder="1" applyAlignment="1">
      <alignment vertical="center" wrapText="1"/>
    </xf>
    <xf numFmtId="0" fontId="20" fillId="0" borderId="49" xfId="0" applyFont="1" applyBorder="1" applyAlignment="1">
      <alignment vertical="center" wrapText="1"/>
    </xf>
    <xf numFmtId="0" fontId="20" fillId="0" borderId="48" xfId="0" applyFont="1" applyBorder="1" applyAlignment="1">
      <alignment vertical="center"/>
    </xf>
    <xf numFmtId="0" fontId="20" fillId="0" borderId="41" xfId="0" applyFont="1" applyBorder="1" applyAlignment="1">
      <alignment vertical="center"/>
    </xf>
    <xf numFmtId="0" fontId="20" fillId="0" borderId="49" xfId="0" applyFont="1" applyBorder="1" applyAlignment="1">
      <alignment vertical="center"/>
    </xf>
    <xf numFmtId="0" fontId="20" fillId="6" borderId="31" xfId="0" applyFont="1" applyFill="1" applyBorder="1" applyAlignment="1">
      <alignment horizontal="center" vertical="center"/>
    </xf>
    <xf numFmtId="0" fontId="20" fillId="6" borderId="101" xfId="0" applyFont="1" applyFill="1" applyBorder="1" applyAlignment="1">
      <alignment horizontal="center" vertical="center"/>
    </xf>
    <xf numFmtId="0" fontId="20" fillId="0" borderId="31" xfId="0" applyFont="1" applyBorder="1" applyAlignment="1">
      <alignment horizontal="center" vertical="center"/>
    </xf>
    <xf numFmtId="0" fontId="20" fillId="0" borderId="101" xfId="0" applyFont="1" applyBorder="1" applyAlignment="1">
      <alignment horizontal="center" vertical="center"/>
    </xf>
    <xf numFmtId="0" fontId="20" fillId="6" borderId="39" xfId="0" applyFont="1" applyFill="1" applyBorder="1" applyAlignment="1">
      <alignment horizontal="center" vertical="center"/>
    </xf>
    <xf numFmtId="0" fontId="8" fillId="3" borderId="46" xfId="0" applyFont="1" applyFill="1" applyBorder="1" applyAlignment="1">
      <alignment horizontal="left" vertical="center"/>
    </xf>
    <xf numFmtId="0" fontId="20" fillId="2" borderId="32" xfId="0" applyFont="1" applyFill="1" applyBorder="1" applyAlignment="1">
      <alignment vertical="top" wrapText="1"/>
    </xf>
    <xf numFmtId="0" fontId="20" fillId="2" borderId="22" xfId="0" applyFont="1" applyFill="1" applyBorder="1" applyAlignment="1">
      <alignment vertical="top" wrapText="1"/>
    </xf>
    <xf numFmtId="0" fontId="20" fillId="2" borderId="32" xfId="0" applyFont="1" applyFill="1" applyBorder="1" applyAlignment="1">
      <alignment horizontal="left" wrapText="1"/>
    </xf>
    <xf numFmtId="0" fontId="20" fillId="2" borderId="22" xfId="0" applyFont="1" applyFill="1" applyBorder="1" applyAlignment="1">
      <alignment horizontal="left" wrapText="1"/>
    </xf>
    <xf numFmtId="0" fontId="11" fillId="4" borderId="32" xfId="0" applyFont="1" applyFill="1" applyBorder="1" applyAlignment="1">
      <alignment horizontal="center" vertical="center"/>
    </xf>
    <xf numFmtId="0" fontId="11" fillId="4" borderId="22" xfId="0" applyFont="1" applyFill="1" applyBorder="1" applyAlignment="1">
      <alignment horizontal="center" vertical="center"/>
    </xf>
    <xf numFmtId="0" fontId="18" fillId="0" borderId="39" xfId="0" applyFont="1" applyBorder="1" applyAlignment="1">
      <alignment horizontal="center" wrapText="1"/>
    </xf>
    <xf numFmtId="0" fontId="20" fillId="0" borderId="39" xfId="0" applyFont="1" applyBorder="1" applyAlignment="1">
      <alignment horizontal="center" vertical="center"/>
    </xf>
    <xf numFmtId="0" fontId="18" fillId="0" borderId="39" xfId="0" applyFont="1" applyBorder="1" applyAlignment="1">
      <alignment horizontal="center" vertical="center" wrapText="1"/>
    </xf>
    <xf numFmtId="0" fontId="18" fillId="0" borderId="101" xfId="0" applyFont="1" applyBorder="1" applyAlignment="1">
      <alignment horizontal="center" vertical="center" wrapText="1"/>
    </xf>
    <xf numFmtId="0" fontId="18" fillId="0" borderId="31" xfId="0" applyFont="1" applyBorder="1" applyAlignment="1">
      <alignment horizontal="center" vertical="center" wrapText="1"/>
    </xf>
    <xf numFmtId="0" fontId="3" fillId="4" borderId="9" xfId="0" applyFont="1" applyFill="1" applyBorder="1" applyAlignment="1">
      <alignment horizontal="center" wrapText="1"/>
    </xf>
    <xf numFmtId="0" fontId="3" fillId="4" borderId="14" xfId="0" applyFont="1" applyFill="1" applyBorder="1" applyAlignment="1">
      <alignment horizontal="center" wrapText="1"/>
    </xf>
    <xf numFmtId="0" fontId="3" fillId="7" borderId="17" xfId="0" applyFont="1" applyFill="1" applyBorder="1" applyAlignment="1">
      <alignment horizontal="center" vertical="center"/>
    </xf>
    <xf numFmtId="0" fontId="3" fillId="7" borderId="37" xfId="0" applyFont="1" applyFill="1" applyBorder="1" applyAlignment="1">
      <alignment horizontal="center" vertical="center"/>
    </xf>
    <xf numFmtId="0" fontId="3" fillId="8" borderId="30" xfId="0" applyFont="1" applyFill="1" applyBorder="1" applyAlignment="1">
      <alignment horizontal="center" vertical="center"/>
    </xf>
    <xf numFmtId="0" fontId="3" fillId="8" borderId="27" xfId="0" applyFont="1" applyFill="1" applyBorder="1" applyAlignment="1">
      <alignment horizontal="center" vertical="center"/>
    </xf>
    <xf numFmtId="0" fontId="17" fillId="0" borderId="67" xfId="0" applyFont="1" applyBorder="1" applyAlignment="1">
      <alignment horizontal="left" vertical="top" wrapText="1"/>
    </xf>
    <xf numFmtId="0" fontId="17" fillId="0" borderId="68" xfId="0" applyFont="1" applyBorder="1" applyAlignment="1">
      <alignment horizontal="left" vertical="top" wrapText="1"/>
    </xf>
    <xf numFmtId="0" fontId="17" fillId="0" borderId="69" xfId="0" applyFont="1" applyBorder="1" applyAlignment="1">
      <alignment horizontal="left" vertical="top" wrapText="1"/>
    </xf>
    <xf numFmtId="0" fontId="17" fillId="0" borderId="70" xfId="0" applyFont="1" applyBorder="1" applyAlignment="1">
      <alignment horizontal="left" vertical="top" wrapText="1"/>
    </xf>
    <xf numFmtId="0" fontId="17" fillId="0" borderId="0" xfId="0" applyFont="1" applyBorder="1" applyAlignment="1">
      <alignment horizontal="left" vertical="top" wrapText="1"/>
    </xf>
    <xf numFmtId="0" fontId="17" fillId="0" borderId="71" xfId="0" applyFont="1" applyBorder="1" applyAlignment="1">
      <alignment horizontal="left" vertical="top" wrapText="1"/>
    </xf>
    <xf numFmtId="0" fontId="17" fillId="0" borderId="72" xfId="0" applyFont="1" applyBorder="1" applyAlignment="1">
      <alignment horizontal="left" vertical="top" wrapText="1"/>
    </xf>
    <xf numFmtId="0" fontId="17" fillId="0" borderId="73" xfId="0" applyFont="1" applyBorder="1" applyAlignment="1">
      <alignment horizontal="left" vertical="top" wrapText="1"/>
    </xf>
    <xf numFmtId="0" fontId="17" fillId="0" borderId="74" xfId="0" applyFont="1" applyBorder="1" applyAlignment="1">
      <alignment horizontal="left" vertical="top" wrapText="1"/>
    </xf>
    <xf numFmtId="0" fontId="28" fillId="0" borderId="67" xfId="0" applyFont="1" applyBorder="1" applyAlignment="1" applyProtection="1">
      <alignment horizontal="left" vertical="top"/>
      <protection locked="0"/>
    </xf>
    <xf numFmtId="0" fontId="28" fillId="0" borderId="68" xfId="0" applyFont="1" applyBorder="1" applyAlignment="1" applyProtection="1">
      <alignment horizontal="left" vertical="top"/>
      <protection locked="0"/>
    </xf>
    <xf numFmtId="0" fontId="28" fillId="0" borderId="69" xfId="0" applyFont="1" applyBorder="1" applyAlignment="1" applyProtection="1">
      <alignment horizontal="left" vertical="top"/>
      <protection locked="0"/>
    </xf>
    <xf numFmtId="0" fontId="28" fillId="0" borderId="70" xfId="0" applyFont="1" applyBorder="1" applyAlignment="1" applyProtection="1">
      <alignment horizontal="left" vertical="top"/>
      <protection locked="0"/>
    </xf>
    <xf numFmtId="0" fontId="28" fillId="0" borderId="0" xfId="0" applyFont="1" applyBorder="1" applyAlignment="1" applyProtection="1">
      <alignment horizontal="left" vertical="top"/>
      <protection locked="0"/>
    </xf>
    <xf numFmtId="0" fontId="28" fillId="0" borderId="71" xfId="0" applyFont="1" applyBorder="1" applyAlignment="1" applyProtection="1">
      <alignment horizontal="left" vertical="top"/>
      <protection locked="0"/>
    </xf>
    <xf numFmtId="0" fontId="28" fillId="0" borderId="72" xfId="0" applyFont="1" applyBorder="1" applyAlignment="1" applyProtection="1">
      <alignment horizontal="left" vertical="top"/>
      <protection locked="0"/>
    </xf>
    <xf numFmtId="0" fontId="28" fillId="0" borderId="73" xfId="0" applyFont="1" applyBorder="1" applyAlignment="1" applyProtection="1">
      <alignment horizontal="left" vertical="top"/>
      <protection locked="0"/>
    </xf>
    <xf numFmtId="0" fontId="28" fillId="0" borderId="74" xfId="0" applyFont="1" applyBorder="1" applyAlignment="1" applyProtection="1">
      <alignment horizontal="left" vertical="top"/>
      <protection locked="0"/>
    </xf>
    <xf numFmtId="0" fontId="21" fillId="12" borderId="65" xfId="0" applyFont="1" applyFill="1" applyBorder="1" applyAlignment="1">
      <alignment horizontal="center" vertical="top" wrapText="1"/>
    </xf>
    <xf numFmtId="0" fontId="21" fillId="12" borderId="0" xfId="0" applyFont="1" applyFill="1" applyBorder="1" applyAlignment="1">
      <alignment horizontal="center" vertical="top" wrapText="1"/>
    </xf>
    <xf numFmtId="0" fontId="21" fillId="12" borderId="66" xfId="0" applyFont="1" applyFill="1" applyBorder="1" applyAlignment="1">
      <alignment horizontal="center" vertical="top" wrapText="1"/>
    </xf>
    <xf numFmtId="0" fontId="21" fillId="12" borderId="0" xfId="0" applyFont="1" applyFill="1" applyBorder="1" applyAlignment="1">
      <alignment horizontal="left" vertical="top" wrapText="1"/>
    </xf>
    <xf numFmtId="0" fontId="21" fillId="12" borderId="55" xfId="0" applyFont="1" applyFill="1" applyBorder="1" applyAlignment="1">
      <alignment horizontal="left" vertical="top" wrapText="1"/>
    </xf>
    <xf numFmtId="0" fontId="20" fillId="0" borderId="75" xfId="0" applyFont="1" applyBorder="1" applyAlignment="1">
      <alignment horizontal="left" vertical="top" wrapText="1"/>
    </xf>
    <xf numFmtId="0" fontId="20" fillId="0" borderId="76" xfId="0" applyFont="1" applyBorder="1" applyAlignment="1">
      <alignment horizontal="left" vertical="top" wrapText="1"/>
    </xf>
    <xf numFmtId="0" fontId="20" fillId="0" borderId="77" xfId="0" applyFont="1" applyBorder="1" applyAlignment="1">
      <alignment horizontal="left" vertical="top" wrapText="1"/>
    </xf>
    <xf numFmtId="0" fontId="20" fillId="0" borderId="78" xfId="0" applyFont="1" applyBorder="1" applyAlignment="1">
      <alignment horizontal="left" vertical="top" wrapText="1"/>
    </xf>
    <xf numFmtId="0" fontId="20" fillId="0" borderId="0" xfId="0" applyFont="1" applyBorder="1" applyAlignment="1">
      <alignment horizontal="left" vertical="top" wrapText="1"/>
    </xf>
    <xf numFmtId="0" fontId="20" fillId="0" borderId="79" xfId="0" applyFont="1" applyBorder="1" applyAlignment="1">
      <alignment horizontal="left" vertical="top" wrapText="1"/>
    </xf>
    <xf numFmtId="0" fontId="20" fillId="0" borderId="80" xfId="0" applyFont="1" applyBorder="1" applyAlignment="1">
      <alignment horizontal="left" vertical="top" wrapText="1"/>
    </xf>
    <xf numFmtId="0" fontId="20" fillId="0" borderId="81" xfId="0" applyFont="1" applyBorder="1" applyAlignment="1">
      <alignment horizontal="left" vertical="top" wrapText="1"/>
    </xf>
    <xf numFmtId="0" fontId="20" fillId="0" borderId="82" xfId="0" applyFont="1" applyBorder="1" applyAlignment="1">
      <alignment horizontal="left" vertical="top" wrapText="1"/>
    </xf>
    <xf numFmtId="0" fontId="26" fillId="13" borderId="83" xfId="0" applyFont="1" applyFill="1" applyBorder="1" applyAlignment="1">
      <alignment horizontal="center" vertical="center" wrapText="1"/>
    </xf>
    <xf numFmtId="0" fontId="26" fillId="13" borderId="84" xfId="0" applyFont="1" applyFill="1" applyBorder="1" applyAlignment="1">
      <alignment horizontal="center" vertical="center" wrapText="1"/>
    </xf>
    <xf numFmtId="0" fontId="26" fillId="13" borderId="86" xfId="0" applyFont="1" applyFill="1" applyBorder="1" applyAlignment="1">
      <alignment horizontal="center" vertical="center" wrapText="1"/>
    </xf>
    <xf numFmtId="0" fontId="26" fillId="13" borderId="85" xfId="0" applyFont="1" applyFill="1" applyBorder="1" applyAlignment="1">
      <alignment horizontal="center" vertical="center" wrapText="1"/>
    </xf>
    <xf numFmtId="0" fontId="27" fillId="0" borderId="75" xfId="0" applyFont="1" applyBorder="1" applyAlignment="1" applyProtection="1">
      <alignment horizontal="left" vertical="top" wrapText="1"/>
      <protection locked="0"/>
    </xf>
    <xf numFmtId="0" fontId="27" fillId="0" borderId="76" xfId="0" applyFont="1" applyBorder="1" applyAlignment="1" applyProtection="1">
      <alignment horizontal="left" vertical="top" wrapText="1"/>
      <protection locked="0"/>
    </xf>
    <xf numFmtId="0" fontId="27" fillId="0" borderId="77" xfId="0" applyFont="1" applyBorder="1" applyAlignment="1" applyProtection="1">
      <alignment horizontal="left" vertical="top" wrapText="1"/>
      <protection locked="0"/>
    </xf>
    <xf numFmtId="0" fontId="27" fillId="0" borderId="78" xfId="0" applyFont="1" applyBorder="1" applyAlignment="1" applyProtection="1">
      <alignment horizontal="left" vertical="top" wrapText="1"/>
      <protection locked="0"/>
    </xf>
    <xf numFmtId="0" fontId="27" fillId="0" borderId="0" xfId="0" applyFont="1" applyBorder="1" applyAlignment="1" applyProtection="1">
      <alignment horizontal="left" vertical="top" wrapText="1"/>
      <protection locked="0"/>
    </xf>
    <xf numFmtId="0" fontId="27" fillId="0" borderId="79" xfId="0" applyFont="1" applyBorder="1" applyAlignment="1" applyProtection="1">
      <alignment horizontal="left" vertical="top" wrapText="1"/>
      <protection locked="0"/>
    </xf>
    <xf numFmtId="0" fontId="27" fillId="0" borderId="80" xfId="0" applyFont="1" applyBorder="1" applyAlignment="1" applyProtection="1">
      <alignment horizontal="left" vertical="top" wrapText="1"/>
      <protection locked="0"/>
    </xf>
    <xf numFmtId="0" fontId="27" fillId="0" borderId="81" xfId="0" applyFont="1" applyBorder="1" applyAlignment="1" applyProtection="1">
      <alignment horizontal="left" vertical="top" wrapText="1"/>
      <protection locked="0"/>
    </xf>
    <xf numFmtId="0" fontId="27" fillId="0" borderId="82" xfId="0" applyFont="1" applyBorder="1" applyAlignment="1" applyProtection="1">
      <alignment horizontal="left" vertical="top" wrapText="1"/>
      <protection locked="0"/>
    </xf>
    <xf numFmtId="0" fontId="35" fillId="0" borderId="48" xfId="0" applyFont="1" applyFill="1" applyBorder="1" applyAlignment="1">
      <alignment vertical="center" wrapText="1"/>
    </xf>
    <xf numFmtId="0" fontId="35" fillId="0" borderId="41" xfId="0" applyFont="1" applyFill="1" applyBorder="1" applyAlignment="1">
      <alignment vertical="center" wrapText="1"/>
    </xf>
    <xf numFmtId="0" fontId="35" fillId="0" borderId="49" xfId="0" applyFont="1" applyFill="1" applyBorder="1" applyAlignment="1">
      <alignment vertical="center" wrapText="1"/>
    </xf>
    <xf numFmtId="0" fontId="35" fillId="0" borderId="32" xfId="0" applyFont="1" applyFill="1" applyBorder="1" applyAlignment="1">
      <alignment vertical="center" wrapText="1"/>
    </xf>
    <xf numFmtId="0" fontId="11" fillId="10" borderId="48" xfId="0" applyFont="1" applyFill="1" applyBorder="1" applyAlignment="1">
      <alignment horizontal="center" vertical="center" wrapText="1"/>
    </xf>
    <xf numFmtId="0" fontId="11" fillId="10" borderId="41" xfId="0" applyFont="1" applyFill="1" applyBorder="1" applyAlignment="1">
      <alignment horizontal="center" vertical="center" wrapText="1"/>
    </xf>
    <xf numFmtId="0" fontId="11" fillId="10" borderId="49" xfId="0" applyFont="1" applyFill="1" applyBorder="1" applyAlignment="1">
      <alignment horizontal="center" vertical="center" wrapText="1"/>
    </xf>
    <xf numFmtId="49" fontId="34" fillId="4" borderId="23" xfId="1" applyNumberFormat="1" applyFont="1" applyFill="1" applyBorder="1" applyAlignment="1">
      <alignment horizontal="center" vertical="center"/>
    </xf>
    <xf numFmtId="0" fontId="29" fillId="2" borderId="48"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49" xfId="0" applyFont="1" applyFill="1" applyBorder="1" applyAlignment="1">
      <alignment horizontal="center" vertical="center" wrapText="1"/>
    </xf>
    <xf numFmtId="0" fontId="3" fillId="4" borderId="52" xfId="0" applyFont="1" applyFill="1" applyBorder="1" applyAlignment="1">
      <alignment horizontal="center" vertical="center" wrapText="1"/>
    </xf>
    <xf numFmtId="0" fontId="3" fillId="7" borderId="118" xfId="0" applyFont="1" applyFill="1" applyBorder="1" applyAlignment="1">
      <alignment horizontal="center" vertical="center"/>
    </xf>
    <xf numFmtId="0" fontId="3" fillId="7" borderId="62" xfId="0" applyFont="1" applyFill="1" applyBorder="1" applyAlignment="1">
      <alignment horizontal="center" vertical="center"/>
    </xf>
    <xf numFmtId="0" fontId="8" fillId="5" borderId="133" xfId="0" applyFont="1" applyFill="1" applyBorder="1" applyAlignment="1">
      <alignment horizontal="left" vertical="center"/>
    </xf>
    <xf numFmtId="0" fontId="20" fillId="4" borderId="46" xfId="0" applyFont="1" applyFill="1" applyBorder="1" applyAlignment="1">
      <alignment horizontal="left" vertical="center"/>
    </xf>
    <xf numFmtId="0" fontId="20" fillId="4" borderId="40" xfId="0" applyFont="1" applyFill="1" applyBorder="1" applyAlignment="1">
      <alignment horizontal="left" vertical="center"/>
    </xf>
    <xf numFmtId="0" fontId="20" fillId="4" borderId="61" xfId="0" applyFont="1" applyFill="1" applyBorder="1" applyAlignment="1">
      <alignment horizontal="left" vertical="center"/>
    </xf>
    <xf numFmtId="0" fontId="20" fillId="4" borderId="31" xfId="0" applyFont="1" applyFill="1" applyBorder="1" applyAlignment="1">
      <alignment horizontal="left" vertical="center"/>
    </xf>
    <xf numFmtId="0" fontId="36" fillId="3" borderId="0" xfId="0" applyFont="1" applyFill="1" applyAlignment="1">
      <alignment horizontal="left" vertical="center"/>
    </xf>
    <xf numFmtId="0" fontId="20" fillId="4" borderId="39" xfId="0" applyFont="1" applyFill="1" applyBorder="1" applyAlignment="1">
      <alignment horizontal="left" vertical="center"/>
    </xf>
    <xf numFmtId="0" fontId="36" fillId="5" borderId="137" xfId="0" applyFont="1" applyFill="1" applyBorder="1" applyAlignment="1">
      <alignment horizontal="left" vertical="center"/>
    </xf>
    <xf numFmtId="0" fontId="20" fillId="6" borderId="120" xfId="0" applyFont="1" applyFill="1" applyBorder="1" applyAlignment="1">
      <alignment horizontal="left" vertical="center"/>
    </xf>
    <xf numFmtId="0" fontId="22" fillId="5" borderId="172" xfId="0" applyFont="1" applyFill="1" applyBorder="1" applyAlignment="1">
      <alignment horizontal="center" vertical="center" wrapText="1"/>
    </xf>
    <xf numFmtId="0" fontId="22" fillId="5" borderId="151" xfId="0" applyFont="1" applyFill="1" applyBorder="1" applyAlignment="1">
      <alignment vertical="center" wrapText="1"/>
    </xf>
    <xf numFmtId="0" fontId="21" fillId="5" borderId="151" xfId="0" applyFont="1" applyFill="1" applyBorder="1" applyAlignment="1">
      <alignment horizontal="left" vertical="top" wrapText="1"/>
    </xf>
    <xf numFmtId="0" fontId="22" fillId="5" borderId="151" xfId="0" applyFont="1" applyFill="1" applyBorder="1" applyAlignment="1">
      <alignment horizontal="left" vertical="top" wrapText="1"/>
    </xf>
    <xf numFmtId="0" fontId="22" fillId="5" borderId="151" xfId="0" applyFont="1" applyFill="1" applyBorder="1" applyAlignment="1">
      <alignment vertical="top" wrapText="1"/>
    </xf>
    <xf numFmtId="0" fontId="22" fillId="5" borderId="151" xfId="0" applyFont="1" applyFill="1" applyBorder="1" applyAlignment="1">
      <alignment horizontal="center" vertical="center" wrapText="1"/>
    </xf>
    <xf numFmtId="0" fontId="22" fillId="5" borderId="0" xfId="0" applyFont="1" applyFill="1" applyAlignment="1">
      <alignment vertical="top" wrapText="1"/>
    </xf>
    <xf numFmtId="0" fontId="22" fillId="5" borderId="151" xfId="0" applyFont="1" applyFill="1" applyBorder="1" applyAlignment="1">
      <alignment horizontal="left" wrapText="1"/>
    </xf>
    <xf numFmtId="0" fontId="22" fillId="5" borderId="155" xfId="0" applyFont="1" applyFill="1" applyBorder="1" applyAlignment="1">
      <alignment horizontal="left" wrapText="1"/>
    </xf>
    <xf numFmtId="0" fontId="21" fillId="5" borderId="155" xfId="0" applyFont="1" applyFill="1" applyBorder="1" applyAlignment="1">
      <alignment horizontal="left" vertical="center" wrapText="1"/>
    </xf>
    <xf numFmtId="0" fontId="22" fillId="5" borderId="155" xfId="0" applyFont="1" applyFill="1" applyBorder="1" applyAlignment="1">
      <alignment horizontal="left" vertical="top" wrapText="1"/>
    </xf>
    <xf numFmtId="0" fontId="22" fillId="5" borderId="164" xfId="0" applyFont="1" applyFill="1" applyBorder="1" applyAlignment="1">
      <alignment horizontal="left" wrapText="1"/>
    </xf>
    <xf numFmtId="0" fontId="21" fillId="5" borderId="173" xfId="0" applyFont="1" applyFill="1" applyBorder="1" applyAlignment="1">
      <alignment horizontal="left" vertical="center" wrapText="1"/>
    </xf>
    <xf numFmtId="0" fontId="22" fillId="5" borderId="174" xfId="0" applyFont="1" applyFill="1" applyBorder="1" applyAlignment="1">
      <alignment horizontal="left" vertical="top" wrapText="1"/>
    </xf>
    <xf numFmtId="0" fontId="22" fillId="5" borderId="165" xfId="0" applyFont="1" applyFill="1" applyBorder="1" applyAlignment="1">
      <alignment horizontal="left" wrapText="1"/>
    </xf>
    <xf numFmtId="0" fontId="22" fillId="5" borderId="175" xfId="0" applyFont="1" applyFill="1" applyBorder="1" applyAlignment="1">
      <alignment horizontal="left" vertical="top" wrapText="1"/>
    </xf>
    <xf numFmtId="0" fontId="22" fillId="5" borderId="166" xfId="0" applyFont="1" applyFill="1" applyBorder="1" applyAlignment="1">
      <alignment horizontal="left" wrapText="1"/>
    </xf>
    <xf numFmtId="0" fontId="21" fillId="5" borderId="176" xfId="0" applyFont="1" applyFill="1" applyBorder="1" applyAlignment="1">
      <alignment horizontal="left" vertical="center" wrapText="1"/>
    </xf>
    <xf numFmtId="0" fontId="22" fillId="5" borderId="177" xfId="0" applyFont="1" applyFill="1" applyBorder="1" applyAlignment="1">
      <alignment horizontal="left" vertical="top" wrapText="1"/>
    </xf>
    <xf numFmtId="0" fontId="22" fillId="5" borderId="171" xfId="0" applyFont="1" applyFill="1" applyBorder="1" applyAlignment="1">
      <alignment horizontal="left" wrapText="1"/>
    </xf>
    <xf numFmtId="0" fontId="21" fillId="5" borderId="162" xfId="0" applyFont="1" applyFill="1" applyBorder="1" applyAlignment="1">
      <alignment horizontal="left" vertical="center" wrapText="1"/>
    </xf>
    <xf numFmtId="0" fontId="21" fillId="5" borderId="161" xfId="0" applyFont="1" applyFill="1" applyBorder="1" applyAlignment="1">
      <alignment horizontal="left" vertical="center" wrapText="1"/>
    </xf>
    <xf numFmtId="0" fontId="22" fillId="5" borderId="167" xfId="0" applyFont="1" applyFill="1" applyBorder="1" applyAlignment="1">
      <alignment horizontal="left" wrapText="1"/>
    </xf>
    <xf numFmtId="0" fontId="21" fillId="0" borderId="164" xfId="0" applyFont="1" applyFill="1" applyBorder="1" applyAlignment="1">
      <alignment horizontal="left" vertical="center" wrapText="1"/>
    </xf>
    <xf numFmtId="0" fontId="22" fillId="5" borderId="178" xfId="0" applyFont="1" applyFill="1" applyBorder="1" applyAlignment="1">
      <alignment horizontal="left" vertical="top" wrapText="1"/>
    </xf>
    <xf numFmtId="0" fontId="22" fillId="5" borderId="168" xfId="0" applyFont="1" applyFill="1" applyBorder="1" applyAlignment="1">
      <alignment horizontal="left" wrapText="1"/>
    </xf>
    <xf numFmtId="0" fontId="21" fillId="0" borderId="165" xfId="0" applyFont="1" applyFill="1" applyBorder="1" applyAlignment="1">
      <alignment horizontal="left" vertical="center" wrapText="1"/>
    </xf>
    <xf numFmtId="0" fontId="22" fillId="5" borderId="179" xfId="0" applyFont="1" applyFill="1" applyBorder="1" applyAlignment="1">
      <alignment horizontal="left" vertical="top" wrapText="1"/>
    </xf>
    <xf numFmtId="0" fontId="22" fillId="5" borderId="169" xfId="0" applyFont="1" applyFill="1" applyBorder="1" applyAlignment="1">
      <alignment horizontal="left" wrapText="1"/>
    </xf>
    <xf numFmtId="0" fontId="21" fillId="5" borderId="166" xfId="0" applyFont="1" applyFill="1" applyBorder="1" applyAlignment="1">
      <alignment horizontal="left" vertical="center" wrapText="1"/>
    </xf>
    <xf numFmtId="0" fontId="22" fillId="5" borderId="180" xfId="0" applyFont="1" applyFill="1" applyBorder="1" applyAlignment="1">
      <alignment horizontal="left" vertical="top" wrapText="1"/>
    </xf>
    <xf numFmtId="0" fontId="22" fillId="5" borderId="182" xfId="0" applyFont="1" applyFill="1" applyBorder="1" applyAlignment="1">
      <alignment horizontal="left" vertical="center" wrapText="1"/>
    </xf>
    <xf numFmtId="0" fontId="22" fillId="5" borderId="41" xfId="0" applyFont="1" applyFill="1" applyBorder="1" applyAlignment="1">
      <alignment horizontal="left" wrapText="1"/>
    </xf>
    <xf numFmtId="0" fontId="22" fillId="5" borderId="184" xfId="0" applyFont="1" applyFill="1" applyBorder="1" applyAlignment="1">
      <alignment horizontal="left" vertical="center" wrapText="1"/>
    </xf>
    <xf numFmtId="0" fontId="22" fillId="5" borderId="185" xfId="0" applyFont="1" applyFill="1" applyBorder="1" applyAlignment="1">
      <alignment horizontal="left" vertical="top" wrapText="1"/>
    </xf>
    <xf numFmtId="0" fontId="22" fillId="5" borderId="186" xfId="0" applyFont="1" applyFill="1" applyBorder="1" applyAlignment="1">
      <alignment horizontal="left" wrapText="1"/>
    </xf>
    <xf numFmtId="0" fontId="22" fillId="5" borderId="187" xfId="0" applyFont="1" applyFill="1" applyBorder="1" applyAlignment="1">
      <alignment horizontal="left" wrapText="1"/>
    </xf>
    <xf numFmtId="0" fontId="22" fillId="5" borderId="151" xfId="0" applyFont="1" applyFill="1" applyBorder="1" applyAlignment="1">
      <alignment horizontal="left" vertical="center" wrapText="1"/>
    </xf>
    <xf numFmtId="0" fontId="22" fillId="5" borderId="188" xfId="0" applyFont="1" applyFill="1" applyBorder="1" applyAlignment="1">
      <alignment horizontal="left" wrapText="1"/>
    </xf>
    <xf numFmtId="0" fontId="22" fillId="5" borderId="155" xfId="0" applyFont="1" applyFill="1" applyBorder="1" applyAlignment="1">
      <alignment horizontal="left" vertical="center" wrapText="1"/>
    </xf>
    <xf numFmtId="0" fontId="22" fillId="0" borderId="151" xfId="0" applyFont="1" applyFill="1" applyBorder="1" applyAlignment="1">
      <alignment horizontal="left" vertical="center" wrapText="1"/>
    </xf>
    <xf numFmtId="0" fontId="21" fillId="0" borderId="151" xfId="0" applyFont="1" applyFill="1" applyBorder="1" applyAlignment="1">
      <alignment horizontal="left" vertical="center" wrapText="1"/>
    </xf>
    <xf numFmtId="0" fontId="22" fillId="0" borderId="155" xfId="0" applyFont="1" applyFill="1" applyBorder="1" applyAlignment="1">
      <alignment horizontal="left" vertical="center" wrapText="1"/>
    </xf>
    <xf numFmtId="0" fontId="21" fillId="0" borderId="155" xfId="0" applyFont="1" applyFill="1" applyBorder="1" applyAlignment="1">
      <alignment horizontal="left" vertical="center" wrapText="1"/>
    </xf>
    <xf numFmtId="0" fontId="22" fillId="0" borderId="186" xfId="0" applyFont="1" applyFill="1" applyBorder="1" applyAlignment="1">
      <alignment horizontal="left" wrapText="1"/>
    </xf>
    <xf numFmtId="0" fontId="22" fillId="0" borderId="182" xfId="0" applyFont="1" applyFill="1" applyBorder="1" applyAlignment="1">
      <alignment horizontal="left" vertical="center" wrapText="1"/>
    </xf>
    <xf numFmtId="0" fontId="22" fillId="0" borderId="174" xfId="0" applyFont="1" applyFill="1" applyBorder="1" applyAlignment="1">
      <alignment horizontal="left" vertical="center" wrapText="1"/>
    </xf>
    <xf numFmtId="0" fontId="22" fillId="0" borderId="187" xfId="0" applyFont="1" applyFill="1" applyBorder="1" applyAlignment="1">
      <alignment horizontal="left" wrapText="1"/>
    </xf>
    <xf numFmtId="0" fontId="22" fillId="0" borderId="175" xfId="0" applyFont="1" applyFill="1" applyBorder="1" applyAlignment="1">
      <alignment horizontal="left" vertical="center" wrapText="1"/>
    </xf>
    <xf numFmtId="0" fontId="22" fillId="0" borderId="188" xfId="0" applyFont="1" applyFill="1" applyBorder="1" applyAlignment="1">
      <alignment horizontal="left" wrapText="1"/>
    </xf>
    <xf numFmtId="0" fontId="22" fillId="0" borderId="185" xfId="0" applyFont="1" applyFill="1" applyBorder="1" applyAlignment="1">
      <alignment horizontal="left" vertical="center" wrapText="1"/>
    </xf>
    <xf numFmtId="0" fontId="22" fillId="0" borderId="64" xfId="0" applyFont="1" applyFill="1" applyBorder="1" applyAlignment="1">
      <alignment horizontal="left" wrapText="1"/>
    </xf>
    <xf numFmtId="0" fontId="22" fillId="5" borderId="183" xfId="0" applyFont="1" applyFill="1" applyBorder="1" applyAlignment="1">
      <alignment horizontal="left" vertical="center" wrapText="1"/>
    </xf>
    <xf numFmtId="0" fontId="22" fillId="0" borderId="164" xfId="0" applyFont="1" applyFill="1" applyBorder="1" applyAlignment="1">
      <alignment horizontal="left" wrapText="1"/>
    </xf>
    <xf numFmtId="0" fontId="22" fillId="0" borderId="189" xfId="0" applyFont="1" applyFill="1" applyBorder="1" applyAlignment="1">
      <alignment horizontal="left" vertical="center" wrapText="1"/>
    </xf>
    <xf numFmtId="0" fontId="22" fillId="0" borderId="165" xfId="0" applyFont="1" applyFill="1" applyBorder="1" applyAlignment="1">
      <alignment horizontal="left" wrapText="1"/>
    </xf>
    <xf numFmtId="0" fontId="22" fillId="5" borderId="163" xfId="0" applyFont="1" applyFill="1" applyBorder="1" applyAlignment="1">
      <alignment horizontal="left" vertical="center" wrapText="1"/>
    </xf>
    <xf numFmtId="0" fontId="22" fillId="0" borderId="181" xfId="0" applyFont="1" applyFill="1" applyBorder="1" applyAlignment="1">
      <alignment horizontal="left" wrapText="1"/>
    </xf>
    <xf numFmtId="0" fontId="22" fillId="5" borderId="160" xfId="0" applyFont="1" applyFill="1" applyBorder="1" applyAlignment="1">
      <alignment horizontal="left" vertical="center" wrapText="1"/>
    </xf>
    <xf numFmtId="0" fontId="22" fillId="5" borderId="190" xfId="0" applyFont="1" applyFill="1" applyBorder="1" applyAlignment="1">
      <alignment horizontal="left" wrapText="1"/>
    </xf>
    <xf numFmtId="0" fontId="22" fillId="5" borderId="151" xfId="0" applyFont="1" applyFill="1" applyBorder="1" applyAlignment="1">
      <alignment wrapText="1"/>
    </xf>
    <xf numFmtId="0" fontId="22" fillId="5" borderId="163" xfId="0" applyFont="1" applyFill="1" applyBorder="1" applyAlignment="1">
      <alignment horizontal="center" vertical="center" wrapText="1"/>
    </xf>
    <xf numFmtId="0" fontId="22" fillId="0" borderId="60" xfId="0" applyFont="1" applyFill="1" applyBorder="1" applyAlignment="1">
      <alignment vertical="center" wrapText="1"/>
    </xf>
    <xf numFmtId="0" fontId="22" fillId="0" borderId="54" xfId="0" applyFont="1" applyFill="1" applyBorder="1" applyAlignment="1">
      <alignment vertical="center" wrapText="1"/>
    </xf>
    <xf numFmtId="0" fontId="22" fillId="0" borderId="50" xfId="0" applyFont="1" applyFill="1" applyBorder="1" applyAlignment="1">
      <alignment vertical="center" wrapText="1"/>
    </xf>
    <xf numFmtId="0" fontId="22" fillId="4" borderId="10" xfId="0" applyFont="1" applyFill="1" applyBorder="1" applyAlignment="1">
      <alignment wrapText="1"/>
    </xf>
    <xf numFmtId="0" fontId="21" fillId="4" borderId="170" xfId="0" applyFont="1" applyFill="1" applyBorder="1" applyAlignment="1">
      <alignment horizontal="left" vertical="center" wrapText="1"/>
    </xf>
    <xf numFmtId="0" fontId="21" fillId="4" borderId="151" xfId="0" applyFont="1" applyFill="1" applyBorder="1" applyAlignment="1">
      <alignment horizontal="left" vertical="center" wrapText="1"/>
    </xf>
  </cellXfs>
  <cellStyles count="2">
    <cellStyle name="Normal" xfId="0" builtinId="0"/>
    <cellStyle name="Normal 3" xfId="1" xr:uid="{931A1C79-423E-4C1D-A52E-ECC68AACDB72}"/>
  </cellStyles>
  <dxfs count="550">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549"/>
      <tableStyleElement type="headerRow" dxfId="5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F303"/>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11" sqref="E11"/>
    </sheetView>
  </sheetViews>
  <sheetFormatPr defaultColWidth="9" defaultRowHeight="30.75" x14ac:dyDescent="0.6"/>
  <cols>
    <col min="1" max="1" width="9.7109375" style="168" customWidth="1" collapsed="1"/>
    <col min="2" max="2" width="56.85546875" style="276" customWidth="1" collapsed="1"/>
    <col min="3" max="3" width="105.140625" style="337" bestFit="1" customWidth="1" collapsed="1"/>
    <col min="4" max="4" width="15.7109375" style="332" bestFit="1" customWidth="1" collapsed="1"/>
    <col min="5" max="5" width="255.7109375" style="274" bestFit="1" customWidth="1" collapsed="1"/>
    <col min="6" max="6" width="211.5703125" style="275" bestFit="1" customWidth="1" collapsed="1"/>
    <col min="7" max="16384" width="9" style="168" collapsed="1"/>
  </cols>
  <sheetData>
    <row r="1" spans="2:6" ht="35.25" x14ac:dyDescent="0.75">
      <c r="B1" s="357" t="s">
        <v>72</v>
      </c>
      <c r="C1" s="358"/>
      <c r="D1" s="358"/>
      <c r="E1" s="358"/>
      <c r="F1" s="278"/>
    </row>
    <row r="2" spans="2:6" s="273" customFormat="1" ht="35.25" x14ac:dyDescent="0.75">
      <c r="B2" s="279" t="s">
        <v>17</v>
      </c>
      <c r="C2" s="334" t="s">
        <v>18</v>
      </c>
      <c r="D2" s="338" t="s">
        <v>20</v>
      </c>
      <c r="E2" s="280" t="s">
        <v>16</v>
      </c>
      <c r="F2" s="281" t="s">
        <v>430</v>
      </c>
    </row>
    <row r="3" spans="2:6" ht="35.25" x14ac:dyDescent="0.6">
      <c r="B3" s="354" t="s">
        <v>428</v>
      </c>
      <c r="C3" s="355"/>
      <c r="D3" s="355"/>
      <c r="E3" s="355"/>
      <c r="F3" s="356"/>
    </row>
    <row r="4" spans="2:6" ht="35.25" customHeight="1" thickBot="1" x14ac:dyDescent="0.65">
      <c r="B4" s="351" t="s">
        <v>647</v>
      </c>
      <c r="C4" s="352"/>
      <c r="D4" s="352"/>
      <c r="E4" s="352"/>
      <c r="F4" s="353"/>
    </row>
    <row r="5" spans="2:6" ht="36" thickBot="1" x14ac:dyDescent="0.65">
      <c r="B5" s="341" t="s">
        <v>75</v>
      </c>
      <c r="C5" s="148" t="s">
        <v>76</v>
      </c>
      <c r="D5" s="568" t="s">
        <v>80</v>
      </c>
      <c r="E5" s="185" t="s">
        <v>431</v>
      </c>
      <c r="F5" s="282" t="s">
        <v>432</v>
      </c>
    </row>
    <row r="6" spans="2:6" ht="36" thickBot="1" x14ac:dyDescent="0.65">
      <c r="B6" s="342"/>
      <c r="C6" s="149" t="s">
        <v>77</v>
      </c>
      <c r="D6" s="569" t="s">
        <v>81</v>
      </c>
      <c r="E6" s="185" t="s">
        <v>433</v>
      </c>
      <c r="F6" s="282" t="s">
        <v>434</v>
      </c>
    </row>
    <row r="7" spans="2:6" ht="36" thickBot="1" x14ac:dyDescent="0.65">
      <c r="B7" s="342"/>
      <c r="C7" s="149" t="s">
        <v>435</v>
      </c>
      <c r="D7" s="569" t="s">
        <v>82</v>
      </c>
      <c r="E7" s="185" t="s">
        <v>436</v>
      </c>
      <c r="F7" s="282" t="s">
        <v>437</v>
      </c>
    </row>
    <row r="8" spans="2:6" ht="36" thickBot="1" x14ac:dyDescent="0.65">
      <c r="B8" s="342"/>
      <c r="C8" s="149" t="s">
        <v>79</v>
      </c>
      <c r="D8" s="569" t="s">
        <v>83</v>
      </c>
      <c r="E8" s="185" t="s">
        <v>438</v>
      </c>
      <c r="F8" s="282" t="s">
        <v>437</v>
      </c>
    </row>
    <row r="9" spans="2:6" ht="36" thickBot="1" x14ac:dyDescent="0.65">
      <c r="B9" s="343"/>
      <c r="C9" s="150" t="s">
        <v>34</v>
      </c>
      <c r="D9" s="570" t="s">
        <v>84</v>
      </c>
      <c r="E9" s="185" t="s">
        <v>439</v>
      </c>
      <c r="F9" s="282" t="s">
        <v>434</v>
      </c>
    </row>
    <row r="10" spans="2:6" ht="36" thickBot="1" x14ac:dyDescent="0.65">
      <c r="B10" s="341" t="s">
        <v>76</v>
      </c>
      <c r="C10" s="145" t="s">
        <v>21</v>
      </c>
      <c r="D10" s="568" t="s">
        <v>85</v>
      </c>
      <c r="E10" s="185" t="s">
        <v>440</v>
      </c>
      <c r="F10" s="282" t="s">
        <v>441</v>
      </c>
    </row>
    <row r="11" spans="2:6" ht="36" thickBot="1" x14ac:dyDescent="0.65">
      <c r="B11" s="342"/>
      <c r="C11" s="283" t="s">
        <v>442</v>
      </c>
      <c r="D11" s="569" t="s">
        <v>86</v>
      </c>
      <c r="E11" s="185" t="s">
        <v>443</v>
      </c>
      <c r="F11" s="282" t="s">
        <v>444</v>
      </c>
    </row>
    <row r="12" spans="2:6" ht="36" thickBot="1" x14ac:dyDescent="0.65">
      <c r="B12" s="343"/>
      <c r="C12" s="277" t="s">
        <v>445</v>
      </c>
      <c r="D12" s="570" t="s">
        <v>87</v>
      </c>
      <c r="E12" s="185" t="s">
        <v>446</v>
      </c>
      <c r="F12" s="282" t="s">
        <v>447</v>
      </c>
    </row>
    <row r="13" spans="2:6" ht="36" thickBot="1" x14ac:dyDescent="0.65">
      <c r="B13" s="341" t="s">
        <v>77</v>
      </c>
      <c r="C13" s="145" t="s">
        <v>21</v>
      </c>
      <c r="D13" s="568" t="s">
        <v>88</v>
      </c>
      <c r="E13" s="185" t="s">
        <v>448</v>
      </c>
      <c r="F13" s="282" t="s">
        <v>449</v>
      </c>
    </row>
    <row r="14" spans="2:6" ht="36" thickBot="1" x14ac:dyDescent="0.65">
      <c r="B14" s="342"/>
      <c r="C14" s="283" t="s">
        <v>442</v>
      </c>
      <c r="D14" s="569" t="s">
        <v>89</v>
      </c>
      <c r="E14" s="185" t="s">
        <v>450</v>
      </c>
      <c r="F14" s="282" t="s">
        <v>444</v>
      </c>
    </row>
    <row r="15" spans="2:6" ht="36" thickBot="1" x14ac:dyDescent="0.65">
      <c r="B15" s="343"/>
      <c r="C15" s="277" t="s">
        <v>445</v>
      </c>
      <c r="D15" s="570" t="s">
        <v>90</v>
      </c>
      <c r="E15" s="185" t="s">
        <v>451</v>
      </c>
      <c r="F15" s="282" t="s">
        <v>447</v>
      </c>
    </row>
    <row r="16" spans="2:6" ht="36" thickBot="1" x14ac:dyDescent="0.65">
      <c r="B16" s="341" t="s">
        <v>435</v>
      </c>
      <c r="C16" s="145" t="s">
        <v>21</v>
      </c>
      <c r="D16" s="568" t="s">
        <v>91</v>
      </c>
      <c r="E16" s="185" t="s">
        <v>452</v>
      </c>
      <c r="F16" s="282" t="s">
        <v>453</v>
      </c>
    </row>
    <row r="17" spans="2:6" ht="36" thickBot="1" x14ac:dyDescent="0.65">
      <c r="B17" s="342" t="s">
        <v>78</v>
      </c>
      <c r="C17" s="283" t="s">
        <v>442</v>
      </c>
      <c r="D17" s="569" t="s">
        <v>92</v>
      </c>
      <c r="E17" s="185" t="s">
        <v>454</v>
      </c>
      <c r="F17" s="282" t="s">
        <v>444</v>
      </c>
    </row>
    <row r="18" spans="2:6" ht="36" thickBot="1" x14ac:dyDescent="0.65">
      <c r="B18" s="343" t="s">
        <v>78</v>
      </c>
      <c r="C18" s="277" t="s">
        <v>445</v>
      </c>
      <c r="D18" s="570" t="s">
        <v>93</v>
      </c>
      <c r="E18" s="185" t="s">
        <v>455</v>
      </c>
      <c r="F18" s="282" t="s">
        <v>447</v>
      </c>
    </row>
    <row r="19" spans="2:6" ht="36" thickBot="1" x14ac:dyDescent="0.65">
      <c r="B19" s="341" t="s">
        <v>79</v>
      </c>
      <c r="C19" s="145" t="s">
        <v>21</v>
      </c>
      <c r="D19" s="568" t="s">
        <v>94</v>
      </c>
      <c r="E19" s="185" t="s">
        <v>456</v>
      </c>
      <c r="F19" s="282" t="s">
        <v>441</v>
      </c>
    </row>
    <row r="20" spans="2:6" ht="36" thickBot="1" x14ac:dyDescent="0.65">
      <c r="B20" s="342" t="s">
        <v>79</v>
      </c>
      <c r="C20" s="283" t="s">
        <v>442</v>
      </c>
      <c r="D20" s="569" t="s">
        <v>95</v>
      </c>
      <c r="E20" s="185" t="s">
        <v>457</v>
      </c>
      <c r="F20" s="282" t="s">
        <v>458</v>
      </c>
    </row>
    <row r="21" spans="2:6" ht="36" thickBot="1" x14ac:dyDescent="0.65">
      <c r="B21" s="343" t="s">
        <v>79</v>
      </c>
      <c r="C21" s="277" t="s">
        <v>445</v>
      </c>
      <c r="D21" s="570" t="s">
        <v>96</v>
      </c>
      <c r="E21" s="185" t="s">
        <v>459</v>
      </c>
      <c r="F21" s="282" t="s">
        <v>447</v>
      </c>
    </row>
    <row r="22" spans="2:6" ht="36" thickBot="1" x14ac:dyDescent="0.65">
      <c r="B22" s="342" t="s">
        <v>167</v>
      </c>
      <c r="C22" s="145" t="s">
        <v>21</v>
      </c>
      <c r="D22" s="569" t="s">
        <v>97</v>
      </c>
      <c r="E22" s="185" t="s">
        <v>460</v>
      </c>
      <c r="F22" s="282" t="s">
        <v>441</v>
      </c>
    </row>
    <row r="23" spans="2:6" ht="36" thickBot="1" x14ac:dyDescent="0.65">
      <c r="B23" s="342" t="s">
        <v>34</v>
      </c>
      <c r="C23" s="283" t="s">
        <v>442</v>
      </c>
      <c r="D23" s="569" t="s">
        <v>98</v>
      </c>
      <c r="E23" s="185" t="s">
        <v>461</v>
      </c>
      <c r="F23" s="282" t="s">
        <v>458</v>
      </c>
    </row>
    <row r="24" spans="2:6" ht="36" thickBot="1" x14ac:dyDescent="0.65">
      <c r="B24" s="343" t="s">
        <v>34</v>
      </c>
      <c r="C24" s="277" t="s">
        <v>445</v>
      </c>
      <c r="D24" s="570" t="s">
        <v>99</v>
      </c>
      <c r="E24" s="185" t="s">
        <v>462</v>
      </c>
      <c r="F24" s="282" t="s">
        <v>447</v>
      </c>
    </row>
    <row r="25" spans="2:6" ht="35.25" customHeight="1" thickBot="1" x14ac:dyDescent="0.65">
      <c r="B25" s="351" t="s">
        <v>234</v>
      </c>
      <c r="C25" s="352"/>
      <c r="D25" s="352"/>
      <c r="E25" s="352"/>
      <c r="F25" s="353"/>
    </row>
    <row r="26" spans="2:6" ht="36" thickBot="1" x14ac:dyDescent="0.7">
      <c r="B26" s="217" t="s">
        <v>175</v>
      </c>
      <c r="C26" s="266" t="s">
        <v>175</v>
      </c>
      <c r="D26" s="571" t="s">
        <v>249</v>
      </c>
      <c r="E26" s="185" t="s">
        <v>463</v>
      </c>
      <c r="F26" s="284"/>
    </row>
    <row r="27" spans="2:6" ht="36" thickBot="1" x14ac:dyDescent="0.7">
      <c r="B27" s="285" t="s">
        <v>79</v>
      </c>
      <c r="C27" s="286" t="s">
        <v>176</v>
      </c>
      <c r="D27" s="569" t="s">
        <v>250</v>
      </c>
      <c r="E27" s="185" t="s">
        <v>464</v>
      </c>
      <c r="F27" s="284" t="s">
        <v>465</v>
      </c>
    </row>
    <row r="28" spans="2:6" ht="36" thickBot="1" x14ac:dyDescent="0.7">
      <c r="B28" s="287" t="s">
        <v>77</v>
      </c>
      <c r="C28" s="186" t="s">
        <v>177</v>
      </c>
      <c r="D28" s="569" t="s">
        <v>251</v>
      </c>
      <c r="E28" s="185" t="s">
        <v>466</v>
      </c>
      <c r="F28" s="284" t="s">
        <v>465</v>
      </c>
    </row>
    <row r="29" spans="2:6" ht="68.25" thickBot="1" x14ac:dyDescent="0.7">
      <c r="B29" s="287" t="s">
        <v>167</v>
      </c>
      <c r="C29" s="186" t="s">
        <v>178</v>
      </c>
      <c r="D29" s="569" t="s">
        <v>252</v>
      </c>
      <c r="E29" s="185" t="s">
        <v>467</v>
      </c>
      <c r="F29" s="284" t="s">
        <v>465</v>
      </c>
    </row>
    <row r="30" spans="2:6" ht="36" thickBot="1" x14ac:dyDescent="0.7">
      <c r="B30" s="287" t="s">
        <v>76</v>
      </c>
      <c r="C30" s="186" t="s">
        <v>179</v>
      </c>
      <c r="D30" s="569" t="s">
        <v>253</v>
      </c>
      <c r="E30" s="185" t="s">
        <v>468</v>
      </c>
      <c r="F30" s="284" t="s">
        <v>465</v>
      </c>
    </row>
    <row r="31" spans="2:6" ht="36" thickBot="1" x14ac:dyDescent="0.7">
      <c r="B31" s="288" t="s">
        <v>435</v>
      </c>
      <c r="C31" s="188" t="s">
        <v>180</v>
      </c>
      <c r="D31" s="570" t="s">
        <v>254</v>
      </c>
      <c r="E31" s="185" t="s">
        <v>469</v>
      </c>
      <c r="F31" s="284" t="s">
        <v>465</v>
      </c>
    </row>
    <row r="32" spans="2:6" ht="35.25" customHeight="1" thickBot="1" x14ac:dyDescent="0.65">
      <c r="B32" s="351" t="s">
        <v>187</v>
      </c>
      <c r="C32" s="352"/>
      <c r="D32" s="352"/>
      <c r="E32" s="352"/>
      <c r="F32" s="353"/>
    </row>
    <row r="33" spans="2:6" ht="36" thickBot="1" x14ac:dyDescent="0.7">
      <c r="B33" s="217" t="s">
        <v>181</v>
      </c>
      <c r="C33" s="266" t="s">
        <v>181</v>
      </c>
      <c r="D33" s="571" t="s">
        <v>255</v>
      </c>
      <c r="E33" s="185" t="s">
        <v>470</v>
      </c>
      <c r="F33" s="284"/>
    </row>
    <row r="34" spans="2:6" ht="36" thickBot="1" x14ac:dyDescent="0.7">
      <c r="B34" s="285" t="s">
        <v>79</v>
      </c>
      <c r="C34" s="286" t="s">
        <v>182</v>
      </c>
      <c r="D34" s="569" t="s">
        <v>256</v>
      </c>
      <c r="E34" s="185" t="s">
        <v>471</v>
      </c>
      <c r="F34" s="284" t="s">
        <v>472</v>
      </c>
    </row>
    <row r="35" spans="2:6" ht="36" thickBot="1" x14ac:dyDescent="0.7">
      <c r="B35" s="287" t="s">
        <v>77</v>
      </c>
      <c r="C35" s="186" t="s">
        <v>183</v>
      </c>
      <c r="D35" s="569" t="s">
        <v>257</v>
      </c>
      <c r="E35" s="185" t="s">
        <v>473</v>
      </c>
      <c r="F35" s="284" t="s">
        <v>472</v>
      </c>
    </row>
    <row r="36" spans="2:6" ht="68.25" thickBot="1" x14ac:dyDescent="0.7">
      <c r="B36" s="287" t="s">
        <v>167</v>
      </c>
      <c r="C36" s="186" t="s">
        <v>184</v>
      </c>
      <c r="D36" s="569" t="s">
        <v>258</v>
      </c>
      <c r="E36" s="185" t="s">
        <v>474</v>
      </c>
      <c r="F36" s="284" t="s">
        <v>472</v>
      </c>
    </row>
    <row r="37" spans="2:6" ht="36" thickBot="1" x14ac:dyDescent="0.7">
      <c r="B37" s="287" t="s">
        <v>76</v>
      </c>
      <c r="C37" s="186" t="s">
        <v>185</v>
      </c>
      <c r="D37" s="569" t="s">
        <v>259</v>
      </c>
      <c r="E37" s="185" t="s">
        <v>475</v>
      </c>
      <c r="F37" s="284" t="s">
        <v>472</v>
      </c>
    </row>
    <row r="38" spans="2:6" ht="36" thickBot="1" x14ac:dyDescent="0.7">
      <c r="B38" s="288" t="s">
        <v>435</v>
      </c>
      <c r="C38" s="188" t="s">
        <v>186</v>
      </c>
      <c r="D38" s="570" t="s">
        <v>260</v>
      </c>
      <c r="E38" s="185" t="s">
        <v>476</v>
      </c>
      <c r="F38" s="284" t="s">
        <v>472</v>
      </c>
    </row>
    <row r="39" spans="2:6" ht="35.25" customHeight="1" thickBot="1" x14ac:dyDescent="0.65">
      <c r="B39" s="351" t="s">
        <v>648</v>
      </c>
      <c r="C39" s="352"/>
      <c r="D39" s="352"/>
      <c r="E39" s="352"/>
      <c r="F39" s="353"/>
    </row>
    <row r="40" spans="2:6" ht="36" thickBot="1" x14ac:dyDescent="0.7">
      <c r="B40" s="367" t="s">
        <v>100</v>
      </c>
      <c r="C40" s="185" t="s">
        <v>101</v>
      </c>
      <c r="D40" s="568" t="s">
        <v>261</v>
      </c>
      <c r="E40" s="185" t="s">
        <v>477</v>
      </c>
      <c r="F40" s="284" t="s">
        <v>478</v>
      </c>
    </row>
    <row r="41" spans="2:6" ht="36" thickBot="1" x14ac:dyDescent="0.7">
      <c r="B41" s="367"/>
      <c r="C41" s="186" t="s">
        <v>102</v>
      </c>
      <c r="D41" s="569" t="s">
        <v>262</v>
      </c>
      <c r="E41" s="185" t="s">
        <v>479</v>
      </c>
      <c r="F41" s="284" t="s">
        <v>480</v>
      </c>
    </row>
    <row r="42" spans="2:6" ht="36" thickBot="1" x14ac:dyDescent="0.7">
      <c r="B42" s="368"/>
      <c r="C42" s="188" t="s">
        <v>103</v>
      </c>
      <c r="D42" s="570" t="s">
        <v>263</v>
      </c>
      <c r="E42" s="185" t="s">
        <v>481</v>
      </c>
      <c r="F42" s="284" t="s">
        <v>482</v>
      </c>
    </row>
    <row r="43" spans="2:6" ht="36" thickBot="1" x14ac:dyDescent="0.65">
      <c r="B43" s="351" t="s">
        <v>236</v>
      </c>
      <c r="C43" s="352"/>
      <c r="D43" s="352"/>
      <c r="E43" s="352"/>
      <c r="F43" s="353"/>
    </row>
    <row r="44" spans="2:6" ht="67.5" customHeight="1" thickBot="1" x14ac:dyDescent="0.7">
      <c r="B44" s="369" t="s">
        <v>76</v>
      </c>
      <c r="C44" s="186" t="s">
        <v>171</v>
      </c>
      <c r="D44" s="568" t="s">
        <v>264</v>
      </c>
      <c r="E44" s="185" t="s">
        <v>483</v>
      </c>
      <c r="F44" s="284" t="s">
        <v>484</v>
      </c>
    </row>
    <row r="45" spans="2:6" ht="68.25" thickBot="1" x14ac:dyDescent="0.7">
      <c r="B45" s="370"/>
      <c r="C45" s="207" t="s">
        <v>173</v>
      </c>
      <c r="D45" s="570" t="s">
        <v>265</v>
      </c>
      <c r="E45" s="185" t="s">
        <v>485</v>
      </c>
      <c r="F45" s="284" t="s">
        <v>486</v>
      </c>
    </row>
    <row r="46" spans="2:6" ht="68.25" thickBot="1" x14ac:dyDescent="0.7">
      <c r="B46" s="370"/>
      <c r="C46" s="222" t="s">
        <v>172</v>
      </c>
      <c r="D46" s="568" t="s">
        <v>266</v>
      </c>
      <c r="E46" s="185" t="s">
        <v>487</v>
      </c>
      <c r="F46" s="284" t="s">
        <v>484</v>
      </c>
    </row>
    <row r="47" spans="2:6" ht="68.25" thickBot="1" x14ac:dyDescent="0.7">
      <c r="B47" s="371"/>
      <c r="C47" s="223" t="s">
        <v>174</v>
      </c>
      <c r="D47" s="570" t="s">
        <v>267</v>
      </c>
      <c r="E47" s="185" t="s">
        <v>488</v>
      </c>
      <c r="F47" s="284" t="s">
        <v>486</v>
      </c>
    </row>
    <row r="48" spans="2:6" ht="68.25" thickBot="1" x14ac:dyDescent="0.7">
      <c r="B48" s="364" t="s">
        <v>435</v>
      </c>
      <c r="C48" s="205" t="s">
        <v>171</v>
      </c>
      <c r="D48" s="568" t="s">
        <v>268</v>
      </c>
      <c r="E48" s="185" t="s">
        <v>489</v>
      </c>
      <c r="F48" s="284" t="s">
        <v>484</v>
      </c>
    </row>
    <row r="49" spans="2:6" ht="36" thickBot="1" x14ac:dyDescent="0.7">
      <c r="B49" s="365"/>
      <c r="C49" s="206" t="s">
        <v>173</v>
      </c>
      <c r="D49" s="570" t="s">
        <v>269</v>
      </c>
      <c r="E49" s="185" t="s">
        <v>490</v>
      </c>
      <c r="F49" s="284" t="s">
        <v>486</v>
      </c>
    </row>
    <row r="50" spans="2:6" ht="68.25" thickBot="1" x14ac:dyDescent="0.7">
      <c r="B50" s="365"/>
      <c r="C50" s="222" t="s">
        <v>172</v>
      </c>
      <c r="D50" s="568" t="s">
        <v>270</v>
      </c>
      <c r="E50" s="185" t="s">
        <v>491</v>
      </c>
      <c r="F50" s="284" t="s">
        <v>484</v>
      </c>
    </row>
    <row r="51" spans="2:6" ht="68.25" thickBot="1" x14ac:dyDescent="0.7">
      <c r="B51" s="366"/>
      <c r="C51" s="223" t="s">
        <v>174</v>
      </c>
      <c r="D51" s="570" t="s">
        <v>271</v>
      </c>
      <c r="E51" s="185" t="s">
        <v>492</v>
      </c>
      <c r="F51" s="284" t="s">
        <v>486</v>
      </c>
    </row>
    <row r="52" spans="2:6" ht="68.25" thickBot="1" x14ac:dyDescent="0.7">
      <c r="B52" s="369" t="s">
        <v>79</v>
      </c>
      <c r="C52" s="205" t="s">
        <v>171</v>
      </c>
      <c r="D52" s="568" t="s">
        <v>272</v>
      </c>
      <c r="E52" s="185" t="s">
        <v>493</v>
      </c>
      <c r="F52" s="284" t="s">
        <v>484</v>
      </c>
    </row>
    <row r="53" spans="2:6" ht="68.25" thickBot="1" x14ac:dyDescent="0.7">
      <c r="B53" s="370"/>
      <c r="C53" s="206" t="s">
        <v>173</v>
      </c>
      <c r="D53" s="570" t="s">
        <v>273</v>
      </c>
      <c r="E53" s="185" t="s">
        <v>494</v>
      </c>
      <c r="F53" s="284" t="s">
        <v>486</v>
      </c>
    </row>
    <row r="54" spans="2:6" ht="68.25" thickBot="1" x14ac:dyDescent="0.7">
      <c r="B54" s="370"/>
      <c r="C54" s="222" t="s">
        <v>172</v>
      </c>
      <c r="D54" s="568" t="s">
        <v>274</v>
      </c>
      <c r="E54" s="185" t="s">
        <v>495</v>
      </c>
      <c r="F54" s="284" t="s">
        <v>484</v>
      </c>
    </row>
    <row r="55" spans="2:6" ht="68.25" thickBot="1" x14ac:dyDescent="0.7">
      <c r="B55" s="371"/>
      <c r="C55" s="223" t="s">
        <v>174</v>
      </c>
      <c r="D55" s="570" t="s">
        <v>275</v>
      </c>
      <c r="E55" s="185" t="s">
        <v>496</v>
      </c>
      <c r="F55" s="284" t="s">
        <v>486</v>
      </c>
    </row>
    <row r="56" spans="2:6" ht="68.25" thickBot="1" x14ac:dyDescent="0.7">
      <c r="B56" s="364" t="s">
        <v>167</v>
      </c>
      <c r="C56" s="205" t="s">
        <v>171</v>
      </c>
      <c r="D56" s="568" t="s">
        <v>276</v>
      </c>
      <c r="E56" s="185" t="s">
        <v>497</v>
      </c>
      <c r="F56" s="284" t="s">
        <v>484</v>
      </c>
    </row>
    <row r="57" spans="2:6" ht="36" thickBot="1" x14ac:dyDescent="0.7">
      <c r="B57" s="365"/>
      <c r="C57" s="206" t="s">
        <v>173</v>
      </c>
      <c r="D57" s="570" t="s">
        <v>277</v>
      </c>
      <c r="E57" s="185" t="s">
        <v>498</v>
      </c>
      <c r="F57" s="284" t="s">
        <v>486</v>
      </c>
    </row>
    <row r="58" spans="2:6" ht="68.25" thickBot="1" x14ac:dyDescent="0.7">
      <c r="B58" s="365"/>
      <c r="C58" s="222" t="s">
        <v>172</v>
      </c>
      <c r="D58" s="568" t="s">
        <v>278</v>
      </c>
      <c r="E58" s="185" t="s">
        <v>499</v>
      </c>
      <c r="F58" s="284" t="s">
        <v>484</v>
      </c>
    </row>
    <row r="59" spans="2:6" ht="68.25" thickBot="1" x14ac:dyDescent="0.7">
      <c r="B59" s="366"/>
      <c r="C59" s="223" t="s">
        <v>174</v>
      </c>
      <c r="D59" s="570" t="s">
        <v>279</v>
      </c>
      <c r="E59" s="185" t="s">
        <v>500</v>
      </c>
      <c r="F59" s="284" t="s">
        <v>486</v>
      </c>
    </row>
    <row r="60" spans="2:6" ht="68.25" thickBot="1" x14ac:dyDescent="0.7">
      <c r="B60" s="364" t="s">
        <v>77</v>
      </c>
      <c r="C60" s="205" t="s">
        <v>171</v>
      </c>
      <c r="D60" s="568" t="s">
        <v>280</v>
      </c>
      <c r="E60" s="185" t="s">
        <v>501</v>
      </c>
      <c r="F60" s="284" t="s">
        <v>484</v>
      </c>
    </row>
    <row r="61" spans="2:6" ht="68.25" thickBot="1" x14ac:dyDescent="0.7">
      <c r="B61" s="365"/>
      <c r="C61" s="206" t="s">
        <v>173</v>
      </c>
      <c r="D61" s="570" t="s">
        <v>281</v>
      </c>
      <c r="E61" s="185" t="s">
        <v>502</v>
      </c>
      <c r="F61" s="284" t="s">
        <v>486</v>
      </c>
    </row>
    <row r="62" spans="2:6" ht="68.25" thickBot="1" x14ac:dyDescent="0.7">
      <c r="B62" s="365"/>
      <c r="C62" s="222" t="s">
        <v>172</v>
      </c>
      <c r="D62" s="568" t="s">
        <v>282</v>
      </c>
      <c r="E62" s="185" t="s">
        <v>503</v>
      </c>
      <c r="F62" s="284" t="s">
        <v>484</v>
      </c>
    </row>
    <row r="63" spans="2:6" ht="68.25" thickBot="1" x14ac:dyDescent="0.7">
      <c r="B63" s="366"/>
      <c r="C63" s="223" t="s">
        <v>174</v>
      </c>
      <c r="D63" s="570" t="s">
        <v>283</v>
      </c>
      <c r="E63" s="185" t="s">
        <v>504</v>
      </c>
      <c r="F63" s="284" t="s">
        <v>486</v>
      </c>
    </row>
    <row r="64" spans="2:6" ht="36" thickBot="1" x14ac:dyDescent="0.7">
      <c r="B64" s="361" t="s">
        <v>104</v>
      </c>
      <c r="C64" s="205" t="s">
        <v>171</v>
      </c>
      <c r="D64" s="568" t="s">
        <v>284</v>
      </c>
      <c r="E64" s="185" t="s">
        <v>505</v>
      </c>
      <c r="F64" s="284" t="s">
        <v>506</v>
      </c>
    </row>
    <row r="65" spans="2:6" ht="36" thickBot="1" x14ac:dyDescent="0.7">
      <c r="B65" s="362"/>
      <c r="C65" s="206" t="s">
        <v>173</v>
      </c>
      <c r="D65" s="570" t="s">
        <v>285</v>
      </c>
      <c r="E65" s="185" t="s">
        <v>507</v>
      </c>
      <c r="F65" s="284" t="s">
        <v>508</v>
      </c>
    </row>
    <row r="66" spans="2:6" ht="36" thickBot="1" x14ac:dyDescent="0.7">
      <c r="B66" s="362"/>
      <c r="C66" s="222" t="s">
        <v>172</v>
      </c>
      <c r="D66" s="568" t="s">
        <v>286</v>
      </c>
      <c r="E66" s="185" t="s">
        <v>509</v>
      </c>
      <c r="F66" s="284" t="s">
        <v>510</v>
      </c>
    </row>
    <row r="67" spans="2:6" ht="36" thickBot="1" x14ac:dyDescent="0.7">
      <c r="B67" s="363"/>
      <c r="C67" s="223" t="s">
        <v>174</v>
      </c>
      <c r="D67" s="570" t="s">
        <v>287</v>
      </c>
      <c r="E67" s="185" t="s">
        <v>511</v>
      </c>
      <c r="F67" s="284" t="s">
        <v>508</v>
      </c>
    </row>
    <row r="68" spans="2:6" ht="36" thickBot="1" x14ac:dyDescent="0.7">
      <c r="B68" s="361" t="s">
        <v>105</v>
      </c>
      <c r="C68" s="205" t="s">
        <v>171</v>
      </c>
      <c r="D68" s="568" t="s">
        <v>288</v>
      </c>
      <c r="E68" s="185" t="s">
        <v>512</v>
      </c>
      <c r="F68" s="284" t="s">
        <v>506</v>
      </c>
    </row>
    <row r="69" spans="2:6" ht="36" thickBot="1" x14ac:dyDescent="0.7">
      <c r="B69" s="362"/>
      <c r="C69" s="206" t="s">
        <v>173</v>
      </c>
      <c r="D69" s="570" t="s">
        <v>289</v>
      </c>
      <c r="E69" s="185" t="s">
        <v>513</v>
      </c>
      <c r="F69" s="284" t="s">
        <v>514</v>
      </c>
    </row>
    <row r="70" spans="2:6" ht="36" thickBot="1" x14ac:dyDescent="0.7">
      <c r="B70" s="362"/>
      <c r="C70" s="222" t="s">
        <v>172</v>
      </c>
      <c r="D70" s="568" t="s">
        <v>290</v>
      </c>
      <c r="E70" s="185" t="s">
        <v>515</v>
      </c>
      <c r="F70" s="284" t="s">
        <v>510</v>
      </c>
    </row>
    <row r="71" spans="2:6" ht="36" thickBot="1" x14ac:dyDescent="0.7">
      <c r="B71" s="363"/>
      <c r="C71" s="223" t="s">
        <v>174</v>
      </c>
      <c r="D71" s="570" t="s">
        <v>291</v>
      </c>
      <c r="E71" s="185" t="s">
        <v>516</v>
      </c>
      <c r="F71" s="284" t="s">
        <v>508</v>
      </c>
    </row>
    <row r="72" spans="2:6" ht="36" thickBot="1" x14ac:dyDescent="0.7">
      <c r="B72" s="361" t="s">
        <v>106</v>
      </c>
      <c r="C72" s="205" t="s">
        <v>171</v>
      </c>
      <c r="D72" s="568" t="s">
        <v>292</v>
      </c>
      <c r="E72" s="185" t="s">
        <v>517</v>
      </c>
      <c r="F72" s="284" t="s">
        <v>510</v>
      </c>
    </row>
    <row r="73" spans="2:6" ht="36" thickBot="1" x14ac:dyDescent="0.7">
      <c r="B73" s="362"/>
      <c r="C73" s="206" t="s">
        <v>173</v>
      </c>
      <c r="D73" s="570" t="s">
        <v>293</v>
      </c>
      <c r="E73" s="185" t="s">
        <v>518</v>
      </c>
      <c r="F73" s="284" t="s">
        <v>508</v>
      </c>
    </row>
    <row r="74" spans="2:6" ht="36" thickBot="1" x14ac:dyDescent="0.7">
      <c r="B74" s="362"/>
      <c r="C74" s="222" t="s">
        <v>172</v>
      </c>
      <c r="D74" s="568" t="s">
        <v>294</v>
      </c>
      <c r="E74" s="185" t="s">
        <v>519</v>
      </c>
      <c r="F74" s="284" t="s">
        <v>510</v>
      </c>
    </row>
    <row r="75" spans="2:6" ht="36" thickBot="1" x14ac:dyDescent="0.7">
      <c r="B75" s="363"/>
      <c r="C75" s="223" t="s">
        <v>174</v>
      </c>
      <c r="D75" s="570" t="s">
        <v>295</v>
      </c>
      <c r="E75" s="185" t="s">
        <v>520</v>
      </c>
      <c r="F75" s="284" t="s">
        <v>521</v>
      </c>
    </row>
    <row r="76" spans="2:6" ht="36" hidden="1" thickBot="1" x14ac:dyDescent="0.7">
      <c r="B76" s="361" t="s">
        <v>106</v>
      </c>
      <c r="C76" s="205" t="s">
        <v>171</v>
      </c>
      <c r="D76" s="568" t="s">
        <v>296</v>
      </c>
      <c r="E76" s="185"/>
      <c r="F76" s="284"/>
    </row>
    <row r="77" spans="2:6" ht="36" hidden="1" thickBot="1" x14ac:dyDescent="0.7">
      <c r="B77" s="362"/>
      <c r="C77" s="206" t="s">
        <v>173</v>
      </c>
      <c r="D77" s="570" t="s">
        <v>297</v>
      </c>
      <c r="E77" s="185"/>
      <c r="F77" s="284"/>
    </row>
    <row r="78" spans="2:6" ht="36" hidden="1" thickBot="1" x14ac:dyDescent="0.7">
      <c r="B78" s="362"/>
      <c r="C78" s="222" t="s">
        <v>172</v>
      </c>
      <c r="D78" s="568" t="s">
        <v>298</v>
      </c>
      <c r="E78" s="185"/>
      <c r="F78" s="284"/>
    </row>
    <row r="79" spans="2:6" ht="36" hidden="1" thickBot="1" x14ac:dyDescent="0.7">
      <c r="B79" s="363"/>
      <c r="C79" s="223" t="s">
        <v>174</v>
      </c>
      <c r="D79" s="570" t="s">
        <v>299</v>
      </c>
      <c r="E79" s="185"/>
      <c r="F79" s="284"/>
    </row>
    <row r="80" spans="2:6" ht="36" thickBot="1" x14ac:dyDescent="0.7">
      <c r="B80" s="361" t="s">
        <v>300</v>
      </c>
      <c r="C80" s="251" t="s">
        <v>171</v>
      </c>
      <c r="D80" s="568" t="s">
        <v>296</v>
      </c>
      <c r="E80" s="185" t="s">
        <v>522</v>
      </c>
      <c r="F80" s="284" t="s">
        <v>523</v>
      </c>
    </row>
    <row r="81" spans="2:6" ht="36" thickBot="1" x14ac:dyDescent="0.7">
      <c r="B81" s="362"/>
      <c r="C81" s="252" t="s">
        <v>173</v>
      </c>
      <c r="D81" s="570" t="s">
        <v>297</v>
      </c>
      <c r="E81" s="185" t="s">
        <v>518</v>
      </c>
      <c r="F81" s="284" t="s">
        <v>524</v>
      </c>
    </row>
    <row r="82" spans="2:6" ht="36" thickBot="1" x14ac:dyDescent="0.7">
      <c r="B82" s="362"/>
      <c r="C82" s="251" t="s">
        <v>172</v>
      </c>
      <c r="D82" s="568" t="s">
        <v>298</v>
      </c>
      <c r="E82" s="185" t="s">
        <v>519</v>
      </c>
      <c r="F82" s="284" t="s">
        <v>523</v>
      </c>
    </row>
    <row r="83" spans="2:6" ht="36" thickBot="1" x14ac:dyDescent="0.7">
      <c r="B83" s="363"/>
      <c r="C83" s="252" t="s">
        <v>174</v>
      </c>
      <c r="D83" s="570" t="s">
        <v>299</v>
      </c>
      <c r="E83" s="185" t="s">
        <v>525</v>
      </c>
      <c r="F83" s="284" t="s">
        <v>524</v>
      </c>
    </row>
    <row r="84" spans="2:6" ht="35.25" customHeight="1" thickBot="1" x14ac:dyDescent="0.65">
      <c r="B84" s="351" t="s">
        <v>237</v>
      </c>
      <c r="C84" s="352"/>
      <c r="D84" s="352"/>
      <c r="E84" s="352"/>
      <c r="F84" s="353"/>
    </row>
    <row r="85" spans="2:6" ht="114" customHeight="1" thickBot="1" x14ac:dyDescent="0.65">
      <c r="B85" s="361" t="s">
        <v>107</v>
      </c>
      <c r="C85" s="185" t="s">
        <v>117</v>
      </c>
      <c r="D85" s="568" t="s">
        <v>301</v>
      </c>
      <c r="E85" s="185" t="s">
        <v>526</v>
      </c>
      <c r="F85" s="289" t="s">
        <v>527</v>
      </c>
    </row>
    <row r="86" spans="2:6" ht="108" customHeight="1" thickBot="1" x14ac:dyDescent="0.65">
      <c r="B86" s="362"/>
      <c r="C86" s="186" t="s">
        <v>116</v>
      </c>
      <c r="D86" s="569" t="s">
        <v>302</v>
      </c>
      <c r="E86" s="185" t="s">
        <v>528</v>
      </c>
      <c r="F86" s="289" t="s">
        <v>529</v>
      </c>
    </row>
    <row r="87" spans="2:6" ht="111.6" customHeight="1" thickBot="1" x14ac:dyDescent="0.65">
      <c r="B87" s="362"/>
      <c r="C87" s="186" t="s">
        <v>109</v>
      </c>
      <c r="D87" s="569" t="s">
        <v>303</v>
      </c>
      <c r="E87" s="185" t="s">
        <v>530</v>
      </c>
      <c r="F87" s="289" t="s">
        <v>531</v>
      </c>
    </row>
    <row r="88" spans="2:6" ht="57.6" customHeight="1" thickBot="1" x14ac:dyDescent="0.65">
      <c r="B88" s="362"/>
      <c r="C88" s="186" t="s">
        <v>108</v>
      </c>
      <c r="D88" s="569" t="s">
        <v>304</v>
      </c>
      <c r="E88" s="185" t="s">
        <v>532</v>
      </c>
      <c r="F88" s="289" t="s">
        <v>533</v>
      </c>
    </row>
    <row r="89" spans="2:6" ht="57.6" customHeight="1" thickBot="1" x14ac:dyDescent="0.65">
      <c r="B89" s="362"/>
      <c r="C89" s="186" t="s">
        <v>23</v>
      </c>
      <c r="D89" s="569" t="s">
        <v>305</v>
      </c>
      <c r="E89" s="185" t="s">
        <v>534</v>
      </c>
      <c r="F89" s="289" t="s">
        <v>535</v>
      </c>
    </row>
    <row r="90" spans="2:6" ht="55.9" customHeight="1" thickBot="1" x14ac:dyDescent="0.65">
      <c r="B90" s="363"/>
      <c r="C90" s="290" t="s">
        <v>22</v>
      </c>
      <c r="D90" s="570" t="s">
        <v>306</v>
      </c>
      <c r="E90" s="185" t="s">
        <v>536</v>
      </c>
      <c r="F90" s="289" t="s">
        <v>535</v>
      </c>
    </row>
    <row r="91" spans="2:6" ht="36" thickBot="1" x14ac:dyDescent="0.65">
      <c r="B91" s="291" t="s">
        <v>238</v>
      </c>
      <c r="C91" s="335"/>
      <c r="D91" s="572"/>
      <c r="E91" s="292"/>
      <c r="F91" s="293"/>
    </row>
    <row r="92" spans="2:6" ht="68.25" thickBot="1" x14ac:dyDescent="0.7">
      <c r="B92" s="359" t="s">
        <v>110</v>
      </c>
      <c r="C92" s="249" t="s">
        <v>118</v>
      </c>
      <c r="D92" s="568" t="s">
        <v>307</v>
      </c>
      <c r="E92" s="185" t="s">
        <v>537</v>
      </c>
      <c r="F92" s="284" t="s">
        <v>538</v>
      </c>
    </row>
    <row r="93" spans="2:6" ht="68.25" thickBot="1" x14ac:dyDescent="0.7">
      <c r="B93" s="360"/>
      <c r="C93" s="250" t="s">
        <v>119</v>
      </c>
      <c r="D93" s="569" t="s">
        <v>308</v>
      </c>
      <c r="E93" s="185" t="s">
        <v>539</v>
      </c>
      <c r="F93" s="284" t="s">
        <v>538</v>
      </c>
    </row>
    <row r="94" spans="2:6" ht="68.25" thickBot="1" x14ac:dyDescent="0.7">
      <c r="B94" s="294" t="s">
        <v>76</v>
      </c>
      <c r="C94" s="185" t="s">
        <v>112</v>
      </c>
      <c r="D94" s="568" t="s">
        <v>309</v>
      </c>
      <c r="E94" s="185" t="s">
        <v>540</v>
      </c>
      <c r="F94" s="284" t="s">
        <v>538</v>
      </c>
    </row>
    <row r="95" spans="2:6" ht="68.25" thickBot="1" x14ac:dyDescent="0.7">
      <c r="B95" s="287" t="s">
        <v>77</v>
      </c>
      <c r="C95" s="186" t="s">
        <v>112</v>
      </c>
      <c r="D95" s="569" t="s">
        <v>310</v>
      </c>
      <c r="E95" s="185" t="s">
        <v>541</v>
      </c>
      <c r="F95" s="284" t="s">
        <v>538</v>
      </c>
    </row>
    <row r="96" spans="2:6" ht="68.25" thickBot="1" x14ac:dyDescent="0.7">
      <c r="B96" s="287" t="s">
        <v>435</v>
      </c>
      <c r="C96" s="186" t="s">
        <v>112</v>
      </c>
      <c r="D96" s="569" t="s">
        <v>311</v>
      </c>
      <c r="E96" s="185" t="s">
        <v>542</v>
      </c>
      <c r="F96" s="284" t="s">
        <v>538</v>
      </c>
    </row>
    <row r="97" spans="2:6" ht="68.25" thickBot="1" x14ac:dyDescent="0.7">
      <c r="B97" s="287" t="s">
        <v>79</v>
      </c>
      <c r="C97" s="186" t="s">
        <v>112</v>
      </c>
      <c r="D97" s="569" t="s">
        <v>312</v>
      </c>
      <c r="E97" s="185" t="s">
        <v>543</v>
      </c>
      <c r="F97" s="284" t="s">
        <v>538</v>
      </c>
    </row>
    <row r="98" spans="2:6" ht="68.25" thickBot="1" x14ac:dyDescent="0.7">
      <c r="B98" s="265" t="s">
        <v>167</v>
      </c>
      <c r="C98" s="188" t="s">
        <v>112</v>
      </c>
      <c r="D98" s="570" t="s">
        <v>313</v>
      </c>
      <c r="E98" s="185" t="s">
        <v>544</v>
      </c>
      <c r="F98" s="284" t="s">
        <v>538</v>
      </c>
    </row>
    <row r="99" spans="2:6" ht="36" thickBot="1" x14ac:dyDescent="0.7">
      <c r="B99" s="294" t="s">
        <v>76</v>
      </c>
      <c r="C99" s="185" t="s">
        <v>113</v>
      </c>
      <c r="D99" s="568" t="s">
        <v>314</v>
      </c>
      <c r="E99" s="185" t="s">
        <v>545</v>
      </c>
      <c r="F99" s="284" t="s">
        <v>538</v>
      </c>
    </row>
    <row r="100" spans="2:6" ht="36" thickBot="1" x14ac:dyDescent="0.7">
      <c r="B100" s="287" t="s">
        <v>77</v>
      </c>
      <c r="C100" s="186" t="s">
        <v>113</v>
      </c>
      <c r="D100" s="569" t="s">
        <v>315</v>
      </c>
      <c r="E100" s="185" t="s">
        <v>546</v>
      </c>
      <c r="F100" s="284" t="s">
        <v>538</v>
      </c>
    </row>
    <row r="101" spans="2:6" ht="36" thickBot="1" x14ac:dyDescent="0.7">
      <c r="B101" s="287" t="s">
        <v>435</v>
      </c>
      <c r="C101" s="186" t="s">
        <v>113</v>
      </c>
      <c r="D101" s="569" t="s">
        <v>316</v>
      </c>
      <c r="E101" s="185" t="s">
        <v>547</v>
      </c>
      <c r="F101" s="284" t="s">
        <v>538</v>
      </c>
    </row>
    <row r="102" spans="2:6" ht="36" thickBot="1" x14ac:dyDescent="0.7">
      <c r="B102" s="287" t="s">
        <v>79</v>
      </c>
      <c r="C102" s="186" t="s">
        <v>113</v>
      </c>
      <c r="D102" s="569" t="s">
        <v>317</v>
      </c>
      <c r="E102" s="185" t="s">
        <v>548</v>
      </c>
      <c r="F102" s="284" t="s">
        <v>538</v>
      </c>
    </row>
    <row r="103" spans="2:6" ht="68.25" thickBot="1" x14ac:dyDescent="0.7">
      <c r="B103" s="265" t="s">
        <v>167</v>
      </c>
      <c r="C103" s="188" t="s">
        <v>113</v>
      </c>
      <c r="D103" s="570" t="s">
        <v>318</v>
      </c>
      <c r="E103" s="185" t="s">
        <v>549</v>
      </c>
      <c r="F103" s="284" t="s">
        <v>538</v>
      </c>
    </row>
    <row r="104" spans="2:6" ht="36" thickBot="1" x14ac:dyDescent="0.7">
      <c r="B104" s="361" t="s">
        <v>111</v>
      </c>
      <c r="C104" s="185" t="s">
        <v>114</v>
      </c>
      <c r="D104" s="569" t="s">
        <v>319</v>
      </c>
      <c r="E104" s="185" t="s">
        <v>550</v>
      </c>
      <c r="F104" s="284" t="s">
        <v>538</v>
      </c>
    </row>
    <row r="105" spans="2:6" ht="36" thickBot="1" x14ac:dyDescent="0.7">
      <c r="B105" s="362"/>
      <c r="C105" s="186" t="s">
        <v>115</v>
      </c>
      <c r="D105" s="569" t="s">
        <v>320</v>
      </c>
      <c r="E105" s="185" t="s">
        <v>551</v>
      </c>
      <c r="F105" s="284" t="s">
        <v>538</v>
      </c>
    </row>
    <row r="106" spans="2:6" ht="36" thickBot="1" x14ac:dyDescent="0.7">
      <c r="B106" s="363"/>
      <c r="C106" s="188" t="s">
        <v>13</v>
      </c>
      <c r="D106" s="570" t="s">
        <v>321</v>
      </c>
      <c r="E106" s="185" t="s">
        <v>552</v>
      </c>
      <c r="F106" s="284" t="s">
        <v>538</v>
      </c>
    </row>
    <row r="107" spans="2:6" ht="35.25" customHeight="1" thickBot="1" x14ac:dyDescent="0.65">
      <c r="B107" s="351" t="s">
        <v>239</v>
      </c>
      <c r="C107" s="352"/>
      <c r="D107" s="352"/>
      <c r="E107" s="352"/>
      <c r="F107" s="353"/>
    </row>
    <row r="108" spans="2:6" ht="36" thickBot="1" x14ac:dyDescent="0.7">
      <c r="B108" s="217" t="s">
        <v>188</v>
      </c>
      <c r="C108" s="161" t="s">
        <v>188</v>
      </c>
      <c r="D108" s="573" t="s">
        <v>322</v>
      </c>
      <c r="E108" s="185" t="s">
        <v>553</v>
      </c>
      <c r="F108" s="284"/>
    </row>
    <row r="109" spans="2:6" ht="36" thickBot="1" x14ac:dyDescent="0.7">
      <c r="B109" s="285" t="s">
        <v>79</v>
      </c>
      <c r="C109" s="286" t="s">
        <v>193</v>
      </c>
      <c r="D109" s="568" t="s">
        <v>323</v>
      </c>
      <c r="E109" s="185" t="s">
        <v>554</v>
      </c>
      <c r="F109" s="284" t="s">
        <v>555</v>
      </c>
    </row>
    <row r="110" spans="2:6" ht="36" thickBot="1" x14ac:dyDescent="0.7">
      <c r="B110" s="287" t="s">
        <v>77</v>
      </c>
      <c r="C110" s="186" t="s">
        <v>189</v>
      </c>
      <c r="D110" s="569" t="s">
        <v>324</v>
      </c>
      <c r="E110" s="185" t="s">
        <v>556</v>
      </c>
      <c r="F110" s="284" t="s">
        <v>555</v>
      </c>
    </row>
    <row r="111" spans="2:6" ht="36" thickBot="1" x14ac:dyDescent="0.7">
      <c r="B111" s="287" t="s">
        <v>167</v>
      </c>
      <c r="C111" s="186" t="s">
        <v>190</v>
      </c>
      <c r="D111" s="569" t="s">
        <v>325</v>
      </c>
      <c r="E111" s="185" t="s">
        <v>557</v>
      </c>
      <c r="F111" s="284" t="s">
        <v>555</v>
      </c>
    </row>
    <row r="112" spans="2:6" ht="36" thickBot="1" x14ac:dyDescent="0.7">
      <c r="B112" s="287" t="s">
        <v>76</v>
      </c>
      <c r="C112" s="186" t="s">
        <v>191</v>
      </c>
      <c r="D112" s="569" t="s">
        <v>326</v>
      </c>
      <c r="E112" s="185" t="s">
        <v>558</v>
      </c>
      <c r="F112" s="284" t="s">
        <v>555</v>
      </c>
    </row>
    <row r="113" spans="2:6" ht="36" thickBot="1" x14ac:dyDescent="0.7">
      <c r="B113" s="288" t="s">
        <v>435</v>
      </c>
      <c r="C113" s="188" t="s">
        <v>192</v>
      </c>
      <c r="D113" s="570" t="s">
        <v>327</v>
      </c>
      <c r="E113" s="185" t="s">
        <v>559</v>
      </c>
      <c r="F113" s="284" t="s">
        <v>555</v>
      </c>
    </row>
    <row r="114" spans="2:6" ht="35.25" customHeight="1" thickBot="1" x14ac:dyDescent="0.65">
      <c r="B114" s="351" t="s">
        <v>240</v>
      </c>
      <c r="C114" s="352"/>
      <c r="D114" s="352"/>
      <c r="E114" s="352"/>
      <c r="F114" s="353"/>
    </row>
    <row r="115" spans="2:6" ht="36" thickBot="1" x14ac:dyDescent="0.7">
      <c r="B115" s="217" t="s">
        <v>194</v>
      </c>
      <c r="C115" s="161" t="s">
        <v>194</v>
      </c>
      <c r="D115" s="573" t="s">
        <v>328</v>
      </c>
      <c r="E115" s="185" t="s">
        <v>560</v>
      </c>
      <c r="F115" s="284"/>
    </row>
    <row r="116" spans="2:6" ht="36" thickBot="1" x14ac:dyDescent="0.7">
      <c r="B116" s="285" t="s">
        <v>79</v>
      </c>
      <c r="C116" s="286" t="s">
        <v>199</v>
      </c>
      <c r="D116" s="568" t="s">
        <v>329</v>
      </c>
      <c r="E116" s="185" t="s">
        <v>561</v>
      </c>
      <c r="F116" s="284" t="s">
        <v>562</v>
      </c>
    </row>
    <row r="117" spans="2:6" ht="36" thickBot="1" x14ac:dyDescent="0.7">
      <c r="B117" s="287" t="s">
        <v>77</v>
      </c>
      <c r="C117" s="186" t="s">
        <v>195</v>
      </c>
      <c r="D117" s="569" t="s">
        <v>330</v>
      </c>
      <c r="E117" s="185" t="s">
        <v>563</v>
      </c>
      <c r="F117" s="284" t="s">
        <v>562</v>
      </c>
    </row>
    <row r="118" spans="2:6" ht="36" thickBot="1" x14ac:dyDescent="0.7">
      <c r="B118" s="287" t="s">
        <v>167</v>
      </c>
      <c r="C118" s="186" t="s">
        <v>196</v>
      </c>
      <c r="D118" s="569" t="s">
        <v>331</v>
      </c>
      <c r="E118" s="185" t="s">
        <v>564</v>
      </c>
      <c r="F118" s="284" t="s">
        <v>562</v>
      </c>
    </row>
    <row r="119" spans="2:6" ht="36" thickBot="1" x14ac:dyDescent="0.7">
      <c r="B119" s="287" t="s">
        <v>76</v>
      </c>
      <c r="C119" s="186" t="s">
        <v>197</v>
      </c>
      <c r="D119" s="569" t="s">
        <v>332</v>
      </c>
      <c r="E119" s="185" t="s">
        <v>565</v>
      </c>
      <c r="F119" s="284" t="s">
        <v>562</v>
      </c>
    </row>
    <row r="120" spans="2:6" ht="36" thickBot="1" x14ac:dyDescent="0.7">
      <c r="B120" s="288" t="s">
        <v>435</v>
      </c>
      <c r="C120" s="188" t="s">
        <v>198</v>
      </c>
      <c r="D120" s="570" t="s">
        <v>333</v>
      </c>
      <c r="E120" s="185" t="s">
        <v>566</v>
      </c>
      <c r="F120" s="284" t="s">
        <v>562</v>
      </c>
    </row>
    <row r="121" spans="2:6" ht="35.25" customHeight="1" thickBot="1" x14ac:dyDescent="0.65">
      <c r="B121" s="351" t="s">
        <v>241</v>
      </c>
      <c r="C121" s="352"/>
      <c r="D121" s="352"/>
      <c r="E121" s="352"/>
      <c r="F121" s="353"/>
    </row>
    <row r="122" spans="2:6" ht="68.25" thickBot="1" x14ac:dyDescent="0.7">
      <c r="B122" s="217" t="s">
        <v>200</v>
      </c>
      <c r="C122" s="161" t="s">
        <v>200</v>
      </c>
      <c r="D122" s="573" t="s">
        <v>334</v>
      </c>
      <c r="E122" s="185" t="s">
        <v>567</v>
      </c>
      <c r="F122" s="284"/>
    </row>
    <row r="123" spans="2:6" ht="68.25" thickBot="1" x14ac:dyDescent="0.7">
      <c r="B123" s="285" t="s">
        <v>79</v>
      </c>
      <c r="C123" s="286" t="s">
        <v>205</v>
      </c>
      <c r="D123" s="568" t="s">
        <v>335</v>
      </c>
      <c r="E123" s="185" t="s">
        <v>568</v>
      </c>
      <c r="F123" s="284" t="s">
        <v>569</v>
      </c>
    </row>
    <row r="124" spans="2:6" ht="68.25" thickBot="1" x14ac:dyDescent="0.7">
      <c r="B124" s="287" t="s">
        <v>77</v>
      </c>
      <c r="C124" s="186" t="s">
        <v>201</v>
      </c>
      <c r="D124" s="569" t="s">
        <v>336</v>
      </c>
      <c r="E124" s="185" t="s">
        <v>570</v>
      </c>
      <c r="F124" s="284" t="s">
        <v>569</v>
      </c>
    </row>
    <row r="125" spans="2:6" ht="68.25" thickBot="1" x14ac:dyDescent="0.7">
      <c r="B125" s="287" t="s">
        <v>167</v>
      </c>
      <c r="C125" s="186" t="s">
        <v>202</v>
      </c>
      <c r="D125" s="569" t="s">
        <v>337</v>
      </c>
      <c r="E125" s="185" t="s">
        <v>571</v>
      </c>
      <c r="F125" s="284" t="s">
        <v>569</v>
      </c>
    </row>
    <row r="126" spans="2:6" ht="68.25" thickBot="1" x14ac:dyDescent="0.7">
      <c r="B126" s="287" t="s">
        <v>76</v>
      </c>
      <c r="C126" s="186" t="s">
        <v>203</v>
      </c>
      <c r="D126" s="569" t="s">
        <v>338</v>
      </c>
      <c r="E126" s="185" t="s">
        <v>572</v>
      </c>
      <c r="F126" s="284" t="s">
        <v>569</v>
      </c>
    </row>
    <row r="127" spans="2:6" ht="68.25" thickBot="1" x14ac:dyDescent="0.7">
      <c r="B127" s="288" t="s">
        <v>435</v>
      </c>
      <c r="C127" s="188" t="s">
        <v>204</v>
      </c>
      <c r="D127" s="570" t="s">
        <v>339</v>
      </c>
      <c r="E127" s="185" t="s">
        <v>573</v>
      </c>
      <c r="F127" s="284" t="s">
        <v>569</v>
      </c>
    </row>
    <row r="128" spans="2:6" ht="35.25" customHeight="1" thickBot="1" x14ac:dyDescent="0.65">
      <c r="B128" s="351" t="s">
        <v>242</v>
      </c>
      <c r="C128" s="352"/>
      <c r="D128" s="352"/>
      <c r="E128" s="352"/>
      <c r="F128" s="353"/>
    </row>
    <row r="129" spans="2:6" ht="68.25" thickBot="1" x14ac:dyDescent="0.7">
      <c r="B129" s="295" t="s">
        <v>206</v>
      </c>
      <c r="C129" s="295" t="s">
        <v>219</v>
      </c>
      <c r="D129" s="571" t="s">
        <v>340</v>
      </c>
      <c r="E129" s="185" t="s">
        <v>574</v>
      </c>
      <c r="F129" s="284"/>
    </row>
    <row r="130" spans="2:6" ht="36" thickBot="1" x14ac:dyDescent="0.7">
      <c r="B130" s="217" t="s">
        <v>207</v>
      </c>
      <c r="C130" s="266" t="s">
        <v>207</v>
      </c>
      <c r="D130" s="571" t="s">
        <v>341</v>
      </c>
      <c r="E130" s="185" t="s">
        <v>575</v>
      </c>
      <c r="F130" s="284"/>
    </row>
    <row r="131" spans="2:6" ht="36" thickBot="1" x14ac:dyDescent="0.7">
      <c r="B131" s="285" t="s">
        <v>79</v>
      </c>
      <c r="C131" s="286" t="s">
        <v>208</v>
      </c>
      <c r="D131" s="569" t="s">
        <v>342</v>
      </c>
      <c r="E131" s="185" t="s">
        <v>576</v>
      </c>
      <c r="F131" s="284" t="s">
        <v>577</v>
      </c>
    </row>
    <row r="132" spans="2:6" ht="36" thickBot="1" x14ac:dyDescent="0.7">
      <c r="B132" s="287" t="s">
        <v>77</v>
      </c>
      <c r="C132" s="186" t="s">
        <v>209</v>
      </c>
      <c r="D132" s="569" t="s">
        <v>343</v>
      </c>
      <c r="E132" s="185" t="s">
        <v>578</v>
      </c>
      <c r="F132" s="284" t="s">
        <v>577</v>
      </c>
    </row>
    <row r="133" spans="2:6" ht="36" thickBot="1" x14ac:dyDescent="0.7">
      <c r="B133" s="287" t="s">
        <v>167</v>
      </c>
      <c r="C133" s="186" t="s">
        <v>210</v>
      </c>
      <c r="D133" s="569" t="s">
        <v>344</v>
      </c>
      <c r="E133" s="185" t="s">
        <v>579</v>
      </c>
      <c r="F133" s="284" t="s">
        <v>577</v>
      </c>
    </row>
    <row r="134" spans="2:6" ht="36" thickBot="1" x14ac:dyDescent="0.7">
      <c r="B134" s="287" t="s">
        <v>76</v>
      </c>
      <c r="C134" s="186" t="s">
        <v>211</v>
      </c>
      <c r="D134" s="569" t="s">
        <v>345</v>
      </c>
      <c r="E134" s="185" t="s">
        <v>580</v>
      </c>
      <c r="F134" s="284" t="s">
        <v>577</v>
      </c>
    </row>
    <row r="135" spans="2:6" ht="36" thickBot="1" x14ac:dyDescent="0.7">
      <c r="B135" s="288" t="s">
        <v>435</v>
      </c>
      <c r="C135" s="188" t="s">
        <v>212</v>
      </c>
      <c r="D135" s="569" t="s">
        <v>346</v>
      </c>
      <c r="E135" s="185" t="s">
        <v>581</v>
      </c>
      <c r="F135" s="284" t="s">
        <v>577</v>
      </c>
    </row>
    <row r="136" spans="2:6" ht="36" thickBot="1" x14ac:dyDescent="0.7">
      <c r="B136" s="217" t="s">
        <v>213</v>
      </c>
      <c r="C136" s="266" t="s">
        <v>213</v>
      </c>
      <c r="D136" s="571" t="s">
        <v>347</v>
      </c>
      <c r="E136" s="185" t="s">
        <v>582</v>
      </c>
      <c r="F136" s="284"/>
    </row>
    <row r="137" spans="2:6" ht="36" thickBot="1" x14ac:dyDescent="0.65">
      <c r="B137" s="285" t="s">
        <v>79</v>
      </c>
      <c r="C137" s="286" t="s">
        <v>214</v>
      </c>
      <c r="D137" s="569" t="s">
        <v>348</v>
      </c>
      <c r="E137" s="185" t="s">
        <v>583</v>
      </c>
      <c r="F137" s="296" t="s">
        <v>584</v>
      </c>
    </row>
    <row r="138" spans="2:6" ht="36" thickBot="1" x14ac:dyDescent="0.65">
      <c r="B138" s="287" t="s">
        <v>77</v>
      </c>
      <c r="C138" s="186" t="s">
        <v>215</v>
      </c>
      <c r="D138" s="569" t="s">
        <v>349</v>
      </c>
      <c r="E138" s="185" t="s">
        <v>585</v>
      </c>
      <c r="F138" s="296" t="s">
        <v>584</v>
      </c>
    </row>
    <row r="139" spans="2:6" ht="36" thickBot="1" x14ac:dyDescent="0.65">
      <c r="B139" s="287" t="s">
        <v>167</v>
      </c>
      <c r="C139" s="186" t="s">
        <v>216</v>
      </c>
      <c r="D139" s="569" t="s">
        <v>350</v>
      </c>
      <c r="E139" s="185" t="s">
        <v>586</v>
      </c>
      <c r="F139" s="296" t="s">
        <v>584</v>
      </c>
    </row>
    <row r="140" spans="2:6" ht="36" thickBot="1" x14ac:dyDescent="0.65">
      <c r="B140" s="287" t="s">
        <v>76</v>
      </c>
      <c r="C140" s="186" t="s">
        <v>217</v>
      </c>
      <c r="D140" s="569" t="s">
        <v>351</v>
      </c>
      <c r="E140" s="185" t="s">
        <v>587</v>
      </c>
      <c r="F140" s="296" t="s">
        <v>584</v>
      </c>
    </row>
    <row r="141" spans="2:6" ht="36" thickBot="1" x14ac:dyDescent="0.65">
      <c r="B141" s="288" t="s">
        <v>435</v>
      </c>
      <c r="C141" s="188" t="s">
        <v>218</v>
      </c>
      <c r="D141" s="569" t="s">
        <v>352</v>
      </c>
      <c r="E141" s="185" t="s">
        <v>588</v>
      </c>
      <c r="F141" s="296" t="s">
        <v>584</v>
      </c>
    </row>
    <row r="142" spans="2:6" ht="36" thickBot="1" x14ac:dyDescent="0.65">
      <c r="B142" s="295" t="s">
        <v>233</v>
      </c>
      <c r="C142" s="295" t="s">
        <v>222</v>
      </c>
      <c r="D142" s="571" t="s">
        <v>353</v>
      </c>
      <c r="E142" s="185"/>
      <c r="F142" s="297"/>
    </row>
    <row r="143" spans="2:6" ht="36" thickBot="1" x14ac:dyDescent="0.65">
      <c r="B143" s="217" t="s">
        <v>220</v>
      </c>
      <c r="C143" s="266" t="s">
        <v>220</v>
      </c>
      <c r="D143" s="571" t="s">
        <v>354</v>
      </c>
      <c r="E143" s="298" t="s">
        <v>649</v>
      </c>
      <c r="F143" s="297"/>
    </row>
    <row r="144" spans="2:6" ht="35.25" x14ac:dyDescent="0.6">
      <c r="B144" s="285" t="s">
        <v>79</v>
      </c>
      <c r="C144" s="286" t="s">
        <v>223</v>
      </c>
      <c r="D144" s="568" t="s">
        <v>355</v>
      </c>
      <c r="E144" s="298" t="s">
        <v>589</v>
      </c>
      <c r="F144" s="296" t="s">
        <v>590</v>
      </c>
    </row>
    <row r="145" spans="2:6" ht="35.25" x14ac:dyDescent="0.6">
      <c r="B145" s="287" t="s">
        <v>77</v>
      </c>
      <c r="C145" s="186" t="s">
        <v>224</v>
      </c>
      <c r="D145" s="569" t="s">
        <v>356</v>
      </c>
      <c r="E145" s="298" t="s">
        <v>591</v>
      </c>
      <c r="F145" s="296" t="s">
        <v>590</v>
      </c>
    </row>
    <row r="146" spans="2:6" ht="67.5" x14ac:dyDescent="0.6">
      <c r="B146" s="287" t="s">
        <v>167</v>
      </c>
      <c r="C146" s="186" t="s">
        <v>225</v>
      </c>
      <c r="D146" s="569" t="s">
        <v>357</v>
      </c>
      <c r="E146" s="298" t="s">
        <v>592</v>
      </c>
      <c r="F146" s="296" t="s">
        <v>590</v>
      </c>
    </row>
    <row r="147" spans="2:6" ht="35.25" x14ac:dyDescent="0.6">
      <c r="B147" s="287" t="s">
        <v>76</v>
      </c>
      <c r="C147" s="186" t="s">
        <v>226</v>
      </c>
      <c r="D147" s="569" t="s">
        <v>358</v>
      </c>
      <c r="E147" s="298" t="s">
        <v>593</v>
      </c>
      <c r="F147" s="296" t="s">
        <v>590</v>
      </c>
    </row>
    <row r="148" spans="2:6" ht="36" thickBot="1" x14ac:dyDescent="0.65">
      <c r="B148" s="288" t="s">
        <v>435</v>
      </c>
      <c r="C148" s="188" t="s">
        <v>227</v>
      </c>
      <c r="D148" s="570" t="s">
        <v>359</v>
      </c>
      <c r="E148" s="298" t="s">
        <v>594</v>
      </c>
      <c r="F148" s="296" t="s">
        <v>590</v>
      </c>
    </row>
    <row r="149" spans="2:6" ht="36" thickBot="1" x14ac:dyDescent="0.65">
      <c r="B149" s="217" t="s">
        <v>221</v>
      </c>
      <c r="C149" s="266" t="s">
        <v>221</v>
      </c>
      <c r="D149" s="571" t="s">
        <v>360</v>
      </c>
      <c r="E149" s="298"/>
      <c r="F149" s="297"/>
    </row>
    <row r="150" spans="2:6" ht="35.25" x14ac:dyDescent="0.6">
      <c r="B150" s="285" t="s">
        <v>79</v>
      </c>
      <c r="C150" s="286" t="s">
        <v>228</v>
      </c>
      <c r="D150" s="569" t="s">
        <v>361</v>
      </c>
      <c r="E150" s="298" t="s">
        <v>595</v>
      </c>
      <c r="F150" s="297" t="s">
        <v>596</v>
      </c>
    </row>
    <row r="151" spans="2:6" ht="35.25" x14ac:dyDescent="0.6">
      <c r="B151" s="287" t="s">
        <v>77</v>
      </c>
      <c r="C151" s="186" t="s">
        <v>229</v>
      </c>
      <c r="D151" s="569" t="s">
        <v>362</v>
      </c>
      <c r="E151" s="298" t="s">
        <v>597</v>
      </c>
      <c r="F151" s="297" t="s">
        <v>596</v>
      </c>
    </row>
    <row r="152" spans="2:6" ht="67.5" x14ac:dyDescent="0.6">
      <c r="B152" s="287" t="s">
        <v>167</v>
      </c>
      <c r="C152" s="186" t="s">
        <v>230</v>
      </c>
      <c r="D152" s="569" t="s">
        <v>363</v>
      </c>
      <c r="E152" s="298" t="s">
        <v>598</v>
      </c>
      <c r="F152" s="297" t="s">
        <v>596</v>
      </c>
    </row>
    <row r="153" spans="2:6" ht="35.25" x14ac:dyDescent="0.6">
      <c r="B153" s="287" t="s">
        <v>76</v>
      </c>
      <c r="C153" s="186" t="s">
        <v>231</v>
      </c>
      <c r="D153" s="569" t="s">
        <v>364</v>
      </c>
      <c r="E153" s="298" t="s">
        <v>599</v>
      </c>
      <c r="F153" s="297" t="s">
        <v>596</v>
      </c>
    </row>
    <row r="154" spans="2:6" ht="36" thickBot="1" x14ac:dyDescent="0.65">
      <c r="B154" s="299" t="s">
        <v>435</v>
      </c>
      <c r="C154" s="300" t="s">
        <v>232</v>
      </c>
      <c r="D154" s="569" t="s">
        <v>365</v>
      </c>
      <c r="E154" s="298" t="s">
        <v>600</v>
      </c>
      <c r="F154" s="297" t="s">
        <v>596</v>
      </c>
    </row>
    <row r="155" spans="2:6" ht="36" thickBot="1" x14ac:dyDescent="0.65">
      <c r="B155" s="301" t="s">
        <v>243</v>
      </c>
      <c r="C155" s="336"/>
      <c r="D155" s="574"/>
      <c r="E155" s="302"/>
      <c r="F155" s="303"/>
    </row>
    <row r="156" spans="2:6" ht="36" thickBot="1" x14ac:dyDescent="0.65">
      <c r="B156" s="351" t="s">
        <v>244</v>
      </c>
      <c r="C156" s="352"/>
      <c r="D156" s="352"/>
      <c r="E156" s="352"/>
      <c r="F156" s="352"/>
    </row>
    <row r="157" spans="2:6" ht="68.25" thickBot="1" x14ac:dyDescent="0.65">
      <c r="B157" s="267" t="s">
        <v>121</v>
      </c>
      <c r="C157" s="266" t="s">
        <v>124</v>
      </c>
      <c r="D157" s="253" t="s">
        <v>366</v>
      </c>
      <c r="E157" s="298" t="s">
        <v>601</v>
      </c>
      <c r="F157" s="297"/>
    </row>
    <row r="158" spans="2:6" ht="35.25" x14ac:dyDescent="0.6">
      <c r="B158" s="361" t="s">
        <v>122</v>
      </c>
      <c r="C158" s="286" t="s">
        <v>125</v>
      </c>
      <c r="D158" s="569" t="s">
        <v>367</v>
      </c>
      <c r="E158" s="286" t="s">
        <v>602</v>
      </c>
      <c r="F158" s="297" t="s">
        <v>603</v>
      </c>
    </row>
    <row r="159" spans="2:6" ht="35.25" x14ac:dyDescent="0.6">
      <c r="B159" s="362"/>
      <c r="C159" s="186" t="s">
        <v>126</v>
      </c>
      <c r="D159" s="569" t="s">
        <v>368</v>
      </c>
      <c r="E159" s="286" t="s">
        <v>604</v>
      </c>
      <c r="F159" s="297" t="s">
        <v>603</v>
      </c>
    </row>
    <row r="160" spans="2:6" ht="36" thickBot="1" x14ac:dyDescent="0.65">
      <c r="B160" s="363"/>
      <c r="C160" s="188" t="s">
        <v>127</v>
      </c>
      <c r="D160" s="570" t="s">
        <v>369</v>
      </c>
      <c r="E160" s="286" t="s">
        <v>605</v>
      </c>
      <c r="F160" s="297" t="s">
        <v>603</v>
      </c>
    </row>
    <row r="161" spans="2:6" ht="35.25" x14ac:dyDescent="0.6">
      <c r="B161" s="361" t="s">
        <v>128</v>
      </c>
      <c r="C161" s="185" t="s">
        <v>132</v>
      </c>
      <c r="D161" s="568" t="s">
        <v>370</v>
      </c>
      <c r="E161" s="286" t="s">
        <v>606</v>
      </c>
      <c r="F161" s="297" t="s">
        <v>607</v>
      </c>
    </row>
    <row r="162" spans="2:6" ht="35.25" x14ac:dyDescent="0.6">
      <c r="B162" s="362"/>
      <c r="C162" s="186" t="s">
        <v>131</v>
      </c>
      <c r="D162" s="569" t="s">
        <v>371</v>
      </c>
      <c r="E162" s="286" t="s">
        <v>608</v>
      </c>
      <c r="F162" s="297" t="s">
        <v>607</v>
      </c>
    </row>
    <row r="163" spans="2:6" ht="35.25" x14ac:dyDescent="0.6">
      <c r="B163" s="362"/>
      <c r="C163" s="186" t="s">
        <v>130</v>
      </c>
      <c r="D163" s="569" t="s">
        <v>372</v>
      </c>
      <c r="E163" s="286" t="s">
        <v>609</v>
      </c>
      <c r="F163" s="297" t="s">
        <v>607</v>
      </c>
    </row>
    <row r="164" spans="2:6" ht="67.5" x14ac:dyDescent="0.6">
      <c r="B164" s="362"/>
      <c r="C164" s="186" t="s">
        <v>133</v>
      </c>
      <c r="D164" s="569" t="s">
        <v>373</v>
      </c>
      <c r="E164" s="286" t="s">
        <v>610</v>
      </c>
      <c r="F164" s="297" t="s">
        <v>607</v>
      </c>
    </row>
    <row r="165" spans="2:6" ht="35.25" x14ac:dyDescent="0.6">
      <c r="B165" s="362"/>
      <c r="C165" s="186" t="s">
        <v>135</v>
      </c>
      <c r="D165" s="569" t="s">
        <v>374</v>
      </c>
      <c r="E165" s="186" t="s">
        <v>611</v>
      </c>
      <c r="F165" s="297" t="s">
        <v>607</v>
      </c>
    </row>
    <row r="166" spans="2:6" ht="36" thickBot="1" x14ac:dyDescent="0.65">
      <c r="B166" s="363"/>
      <c r="C166" s="188" t="s">
        <v>134</v>
      </c>
      <c r="D166" s="570" t="s">
        <v>375</v>
      </c>
      <c r="E166" s="188" t="s">
        <v>612</v>
      </c>
      <c r="F166" s="297" t="s">
        <v>607</v>
      </c>
    </row>
    <row r="167" spans="2:6" ht="35.25" x14ac:dyDescent="0.6">
      <c r="B167" s="362" t="s">
        <v>136</v>
      </c>
      <c r="C167" s="286" t="s">
        <v>132</v>
      </c>
      <c r="D167" s="569" t="s">
        <v>376</v>
      </c>
      <c r="E167" s="286" t="s">
        <v>606</v>
      </c>
      <c r="F167" s="297" t="s">
        <v>613</v>
      </c>
    </row>
    <row r="168" spans="2:6" ht="35.25" x14ac:dyDescent="0.6">
      <c r="B168" s="362"/>
      <c r="C168" s="186" t="s">
        <v>131</v>
      </c>
      <c r="D168" s="569" t="s">
        <v>377</v>
      </c>
      <c r="E168" s="286" t="s">
        <v>608</v>
      </c>
      <c r="F168" s="297" t="s">
        <v>613</v>
      </c>
    </row>
    <row r="169" spans="2:6" ht="35.25" x14ac:dyDescent="0.6">
      <c r="B169" s="362"/>
      <c r="C169" s="186" t="s">
        <v>130</v>
      </c>
      <c r="D169" s="569" t="s">
        <v>378</v>
      </c>
      <c r="E169" s="286" t="s">
        <v>609</v>
      </c>
      <c r="F169" s="297" t="s">
        <v>613</v>
      </c>
    </row>
    <row r="170" spans="2:6" ht="67.5" x14ac:dyDescent="0.6">
      <c r="B170" s="362"/>
      <c r="C170" s="186" t="s">
        <v>133</v>
      </c>
      <c r="D170" s="569" t="s">
        <v>379</v>
      </c>
      <c r="E170" s="286" t="s">
        <v>610</v>
      </c>
      <c r="F170" s="297" t="s">
        <v>613</v>
      </c>
    </row>
    <row r="171" spans="2:6" ht="35.25" x14ac:dyDescent="0.6">
      <c r="B171" s="362"/>
      <c r="C171" s="186" t="s">
        <v>135</v>
      </c>
      <c r="D171" s="569" t="s">
        <v>380</v>
      </c>
      <c r="E171" s="186" t="s">
        <v>611</v>
      </c>
      <c r="F171" s="297" t="s">
        <v>613</v>
      </c>
    </row>
    <row r="172" spans="2:6" ht="36" thickBot="1" x14ac:dyDescent="0.65">
      <c r="B172" s="375"/>
      <c r="C172" s="186" t="s">
        <v>134</v>
      </c>
      <c r="D172" s="570" t="s">
        <v>381</v>
      </c>
      <c r="E172" s="188" t="s">
        <v>612</v>
      </c>
      <c r="F172" s="297" t="s">
        <v>613</v>
      </c>
    </row>
    <row r="173" spans="2:6" ht="36" thickBot="1" x14ac:dyDescent="0.65">
      <c r="B173" s="351" t="s">
        <v>245</v>
      </c>
      <c r="C173" s="352"/>
      <c r="D173" s="352"/>
      <c r="E173" s="352"/>
      <c r="F173" s="352"/>
    </row>
    <row r="174" spans="2:6" ht="36" thickBot="1" x14ac:dyDescent="0.65">
      <c r="B174" s="216" t="s">
        <v>137</v>
      </c>
      <c r="C174" s="268" t="s">
        <v>138</v>
      </c>
      <c r="D174" s="253" t="s">
        <v>382</v>
      </c>
      <c r="E174" s="188" t="s">
        <v>614</v>
      </c>
      <c r="F174" s="297"/>
    </row>
    <row r="175" spans="2:6" ht="36" thickBot="1" x14ac:dyDescent="0.65">
      <c r="B175" s="361" t="s">
        <v>128</v>
      </c>
      <c r="C175" s="185" t="s">
        <v>144</v>
      </c>
      <c r="D175" s="568" t="s">
        <v>383</v>
      </c>
      <c r="E175" s="188" t="s">
        <v>615</v>
      </c>
      <c r="F175" s="297" t="s">
        <v>616</v>
      </c>
    </row>
    <row r="176" spans="2:6" ht="36" thickBot="1" x14ac:dyDescent="0.65">
      <c r="B176" s="362"/>
      <c r="C176" s="186" t="s">
        <v>139</v>
      </c>
      <c r="D176" s="569" t="s">
        <v>384</v>
      </c>
      <c r="E176" s="188" t="s">
        <v>617</v>
      </c>
      <c r="F176" s="297" t="s">
        <v>616</v>
      </c>
    </row>
    <row r="177" spans="2:6" ht="36" thickBot="1" x14ac:dyDescent="0.65">
      <c r="B177" s="362"/>
      <c r="C177" s="186" t="s">
        <v>140</v>
      </c>
      <c r="D177" s="569" t="s">
        <v>385</v>
      </c>
      <c r="E177" s="188" t="s">
        <v>618</v>
      </c>
      <c r="F177" s="297" t="s">
        <v>616</v>
      </c>
    </row>
    <row r="178" spans="2:6" ht="36" thickBot="1" x14ac:dyDescent="0.65">
      <c r="B178" s="362"/>
      <c r="C178" s="186" t="s">
        <v>141</v>
      </c>
      <c r="D178" s="569" t="s">
        <v>386</v>
      </c>
      <c r="E178" s="188" t="s">
        <v>619</v>
      </c>
      <c r="F178" s="297" t="s">
        <v>616</v>
      </c>
    </row>
    <row r="179" spans="2:6" ht="36" thickBot="1" x14ac:dyDescent="0.65">
      <c r="B179" s="362"/>
      <c r="C179" s="186" t="s">
        <v>142</v>
      </c>
      <c r="D179" s="569" t="s">
        <v>387</v>
      </c>
      <c r="E179" s="188" t="s">
        <v>620</v>
      </c>
      <c r="F179" s="297" t="s">
        <v>616</v>
      </c>
    </row>
    <row r="180" spans="2:6" ht="36" thickBot="1" x14ac:dyDescent="0.65">
      <c r="B180" s="363"/>
      <c r="C180" s="188" t="s">
        <v>143</v>
      </c>
      <c r="D180" s="570" t="s">
        <v>388</v>
      </c>
      <c r="E180" s="188" t="s">
        <v>621</v>
      </c>
      <c r="F180" s="297" t="s">
        <v>616</v>
      </c>
    </row>
    <row r="181" spans="2:6" ht="36" thickBot="1" x14ac:dyDescent="0.65">
      <c r="B181" s="361" t="s">
        <v>136</v>
      </c>
      <c r="C181" s="185" t="s">
        <v>144</v>
      </c>
      <c r="D181" s="569" t="s">
        <v>389</v>
      </c>
      <c r="E181" s="188" t="s">
        <v>615</v>
      </c>
      <c r="F181" s="297" t="s">
        <v>622</v>
      </c>
    </row>
    <row r="182" spans="2:6" ht="36" thickBot="1" x14ac:dyDescent="0.65">
      <c r="B182" s="362"/>
      <c r="C182" s="186" t="s">
        <v>139</v>
      </c>
      <c r="D182" s="569" t="s">
        <v>390</v>
      </c>
      <c r="E182" s="188" t="s">
        <v>617</v>
      </c>
      <c r="F182" s="297" t="s">
        <v>622</v>
      </c>
    </row>
    <row r="183" spans="2:6" ht="36" thickBot="1" x14ac:dyDescent="0.65">
      <c r="B183" s="362"/>
      <c r="C183" s="186" t="s">
        <v>140</v>
      </c>
      <c r="D183" s="569" t="s">
        <v>391</v>
      </c>
      <c r="E183" s="188" t="s">
        <v>618</v>
      </c>
      <c r="F183" s="297" t="s">
        <v>622</v>
      </c>
    </row>
    <row r="184" spans="2:6" ht="36" thickBot="1" x14ac:dyDescent="0.65">
      <c r="B184" s="362"/>
      <c r="C184" s="186" t="s">
        <v>141</v>
      </c>
      <c r="D184" s="569" t="s">
        <v>392</v>
      </c>
      <c r="E184" s="188" t="s">
        <v>619</v>
      </c>
      <c r="F184" s="297" t="s">
        <v>622</v>
      </c>
    </row>
    <row r="185" spans="2:6" ht="36" thickBot="1" x14ac:dyDescent="0.65">
      <c r="B185" s="362"/>
      <c r="C185" s="186" t="s">
        <v>142</v>
      </c>
      <c r="D185" s="569" t="s">
        <v>393</v>
      </c>
      <c r="E185" s="188" t="s">
        <v>620</v>
      </c>
      <c r="F185" s="297" t="s">
        <v>622</v>
      </c>
    </row>
    <row r="186" spans="2:6" ht="36" thickBot="1" x14ac:dyDescent="0.65">
      <c r="B186" s="363"/>
      <c r="C186" s="188" t="s">
        <v>143</v>
      </c>
      <c r="D186" s="570" t="s">
        <v>394</v>
      </c>
      <c r="E186" s="188" t="s">
        <v>621</v>
      </c>
      <c r="F186" s="297" t="s">
        <v>622</v>
      </c>
    </row>
    <row r="187" spans="2:6" ht="36" thickBot="1" x14ac:dyDescent="0.65">
      <c r="B187" s="351" t="s">
        <v>246</v>
      </c>
      <c r="C187" s="352"/>
      <c r="D187" s="352"/>
      <c r="E187" s="352"/>
      <c r="F187" s="352"/>
    </row>
    <row r="188" spans="2:6" ht="36" thickBot="1" x14ac:dyDescent="0.65">
      <c r="B188" s="269" t="s">
        <v>145</v>
      </c>
      <c r="C188" s="161" t="s">
        <v>147</v>
      </c>
      <c r="D188" s="575" t="s">
        <v>395</v>
      </c>
      <c r="E188" s="298"/>
      <c r="F188" s="297"/>
    </row>
    <row r="189" spans="2:6" ht="68.25" thickBot="1" x14ac:dyDescent="0.65">
      <c r="B189" s="362" t="s">
        <v>128</v>
      </c>
      <c r="C189" s="286" t="s">
        <v>148</v>
      </c>
      <c r="D189" s="568" t="s">
        <v>396</v>
      </c>
      <c r="E189" s="188" t="s">
        <v>623</v>
      </c>
      <c r="F189" s="297" t="s">
        <v>624</v>
      </c>
    </row>
    <row r="190" spans="2:6" ht="68.25" thickBot="1" x14ac:dyDescent="0.65">
      <c r="B190" s="362"/>
      <c r="C190" s="186" t="s">
        <v>149</v>
      </c>
      <c r="D190" s="569" t="s">
        <v>397</v>
      </c>
      <c r="E190" s="188" t="s">
        <v>625</v>
      </c>
      <c r="F190" s="297" t="s">
        <v>624</v>
      </c>
    </row>
    <row r="191" spans="2:6" ht="68.25" thickBot="1" x14ac:dyDescent="0.65">
      <c r="B191" s="362"/>
      <c r="C191" s="186" t="s">
        <v>150</v>
      </c>
      <c r="D191" s="569" t="s">
        <v>398</v>
      </c>
      <c r="E191" s="188" t="s">
        <v>626</v>
      </c>
      <c r="F191" s="297" t="s">
        <v>624</v>
      </c>
    </row>
    <row r="192" spans="2:6" ht="68.25" thickBot="1" x14ac:dyDescent="0.65">
      <c r="B192" s="362"/>
      <c r="C192" s="186" t="s">
        <v>151</v>
      </c>
      <c r="D192" s="569" t="s">
        <v>399</v>
      </c>
      <c r="E192" s="188" t="s">
        <v>627</v>
      </c>
      <c r="F192" s="297" t="s">
        <v>624</v>
      </c>
    </row>
    <row r="193" spans="2:6" ht="67.5" x14ac:dyDescent="0.6">
      <c r="B193" s="362"/>
      <c r="C193" s="186" t="s">
        <v>152</v>
      </c>
      <c r="D193" s="569" t="s">
        <v>400</v>
      </c>
      <c r="E193" s="298" t="s">
        <v>628</v>
      </c>
      <c r="F193" s="297" t="s">
        <v>624</v>
      </c>
    </row>
    <row r="194" spans="2:6" ht="68.25" thickBot="1" x14ac:dyDescent="0.65">
      <c r="B194" s="363"/>
      <c r="C194" s="188" t="s">
        <v>153</v>
      </c>
      <c r="D194" s="570" t="s">
        <v>401</v>
      </c>
      <c r="E194" s="188" t="s">
        <v>629</v>
      </c>
      <c r="F194" s="297" t="s">
        <v>624</v>
      </c>
    </row>
    <row r="195" spans="2:6" ht="67.5" x14ac:dyDescent="0.6">
      <c r="B195" s="361" t="s">
        <v>129</v>
      </c>
      <c r="C195" s="185" t="s">
        <v>148</v>
      </c>
      <c r="D195" s="569" t="s">
        <v>402</v>
      </c>
      <c r="E195" s="298" t="s">
        <v>623</v>
      </c>
      <c r="F195" s="297" t="s">
        <v>630</v>
      </c>
    </row>
    <row r="196" spans="2:6" ht="67.5" x14ac:dyDescent="0.6">
      <c r="B196" s="362"/>
      <c r="C196" s="186" t="s">
        <v>149</v>
      </c>
      <c r="D196" s="569" t="s">
        <v>403</v>
      </c>
      <c r="E196" s="298" t="s">
        <v>625</v>
      </c>
      <c r="F196" s="297" t="s">
        <v>630</v>
      </c>
    </row>
    <row r="197" spans="2:6" ht="67.5" x14ac:dyDescent="0.6">
      <c r="B197" s="362"/>
      <c r="C197" s="186" t="s">
        <v>150</v>
      </c>
      <c r="D197" s="569" t="s">
        <v>404</v>
      </c>
      <c r="E197" s="298" t="s">
        <v>626</v>
      </c>
      <c r="F197" s="297" t="s">
        <v>630</v>
      </c>
    </row>
    <row r="198" spans="2:6" ht="67.5" x14ac:dyDescent="0.6">
      <c r="B198" s="362"/>
      <c r="C198" s="186" t="s">
        <v>151</v>
      </c>
      <c r="D198" s="569" t="s">
        <v>405</v>
      </c>
      <c r="E198" s="298" t="s">
        <v>627</v>
      </c>
      <c r="F198" s="297" t="s">
        <v>630</v>
      </c>
    </row>
    <row r="199" spans="2:6" ht="67.5" x14ac:dyDescent="0.6">
      <c r="B199" s="362"/>
      <c r="C199" s="186" t="s">
        <v>152</v>
      </c>
      <c r="D199" s="569" t="s">
        <v>406</v>
      </c>
      <c r="E199" s="298" t="s">
        <v>628</v>
      </c>
      <c r="F199" s="297" t="s">
        <v>630</v>
      </c>
    </row>
    <row r="200" spans="2:6" ht="68.25" thickBot="1" x14ac:dyDescent="0.65">
      <c r="B200" s="362"/>
      <c r="C200" s="300" t="s">
        <v>153</v>
      </c>
      <c r="D200" s="570" t="s">
        <v>407</v>
      </c>
      <c r="E200" s="298" t="s">
        <v>629</v>
      </c>
      <c r="F200" s="297" t="s">
        <v>630</v>
      </c>
    </row>
    <row r="201" spans="2:6" ht="36" thickBot="1" x14ac:dyDescent="0.65">
      <c r="B201" s="351" t="s">
        <v>247</v>
      </c>
      <c r="C201" s="352"/>
      <c r="D201" s="352"/>
      <c r="E201" s="352"/>
      <c r="F201" s="352"/>
    </row>
    <row r="202" spans="2:6" ht="36" thickBot="1" x14ac:dyDescent="0.65">
      <c r="B202" s="217" t="s">
        <v>145</v>
      </c>
      <c r="C202" s="266" t="s">
        <v>154</v>
      </c>
      <c r="D202" s="253" t="s">
        <v>408</v>
      </c>
      <c r="E202" s="298"/>
      <c r="F202" s="297"/>
    </row>
    <row r="203" spans="2:6" ht="67.5" x14ac:dyDescent="0.6">
      <c r="B203" s="361" t="s">
        <v>128</v>
      </c>
      <c r="C203" s="185" t="s">
        <v>155</v>
      </c>
      <c r="D203" s="569" t="s">
        <v>409</v>
      </c>
      <c r="E203" s="298" t="s">
        <v>631</v>
      </c>
      <c r="F203" s="297" t="s">
        <v>632</v>
      </c>
    </row>
    <row r="204" spans="2:6" ht="67.5" x14ac:dyDescent="0.6">
      <c r="B204" s="362"/>
      <c r="C204" s="186" t="s">
        <v>156</v>
      </c>
      <c r="D204" s="569" t="s">
        <v>410</v>
      </c>
      <c r="E204" s="298" t="s">
        <v>633</v>
      </c>
      <c r="F204" s="297" t="s">
        <v>632</v>
      </c>
    </row>
    <row r="205" spans="2:6" ht="67.5" x14ac:dyDescent="0.6">
      <c r="B205" s="362"/>
      <c r="C205" s="186" t="s">
        <v>157</v>
      </c>
      <c r="D205" s="569" t="s">
        <v>411</v>
      </c>
      <c r="E205" s="298" t="s">
        <v>634</v>
      </c>
      <c r="F205" s="297" t="s">
        <v>632</v>
      </c>
    </row>
    <row r="206" spans="2:6" ht="67.5" x14ac:dyDescent="0.6">
      <c r="B206" s="362"/>
      <c r="C206" s="186" t="s">
        <v>158</v>
      </c>
      <c r="D206" s="569" t="s">
        <v>412</v>
      </c>
      <c r="E206" s="298" t="s">
        <v>635</v>
      </c>
      <c r="F206" s="297" t="s">
        <v>632</v>
      </c>
    </row>
    <row r="207" spans="2:6" ht="67.5" x14ac:dyDescent="0.6">
      <c r="B207" s="362"/>
      <c r="C207" s="186" t="s">
        <v>159</v>
      </c>
      <c r="D207" s="569" t="s">
        <v>413</v>
      </c>
      <c r="E207" s="298" t="s">
        <v>636</v>
      </c>
      <c r="F207" s="297" t="s">
        <v>632</v>
      </c>
    </row>
    <row r="208" spans="2:6" ht="68.25" thickBot="1" x14ac:dyDescent="0.65">
      <c r="B208" s="363"/>
      <c r="C208" s="188" t="s">
        <v>160</v>
      </c>
      <c r="D208" s="569" t="s">
        <v>414</v>
      </c>
      <c r="E208" s="298" t="s">
        <v>637</v>
      </c>
      <c r="F208" s="297" t="s">
        <v>632</v>
      </c>
    </row>
    <row r="209" spans="2:6" ht="67.5" x14ac:dyDescent="0.6">
      <c r="B209" s="362" t="s">
        <v>129</v>
      </c>
      <c r="C209" s="286" t="s">
        <v>155</v>
      </c>
      <c r="D209" s="568" t="s">
        <v>415</v>
      </c>
      <c r="E209" s="298" t="s">
        <v>631</v>
      </c>
      <c r="F209" s="297" t="s">
        <v>630</v>
      </c>
    </row>
    <row r="210" spans="2:6" ht="67.5" x14ac:dyDescent="0.6">
      <c r="B210" s="362"/>
      <c r="C210" s="186" t="s">
        <v>156</v>
      </c>
      <c r="D210" s="569" t="s">
        <v>416</v>
      </c>
      <c r="E210" s="298" t="s">
        <v>635</v>
      </c>
      <c r="F210" s="297" t="s">
        <v>630</v>
      </c>
    </row>
    <row r="211" spans="2:6" ht="67.5" x14ac:dyDescent="0.6">
      <c r="B211" s="362"/>
      <c r="C211" s="186" t="s">
        <v>157</v>
      </c>
      <c r="D211" s="569" t="s">
        <v>417</v>
      </c>
      <c r="E211" s="298" t="s">
        <v>635</v>
      </c>
      <c r="F211" s="297" t="s">
        <v>630</v>
      </c>
    </row>
    <row r="212" spans="2:6" ht="67.5" x14ac:dyDescent="0.6">
      <c r="B212" s="362"/>
      <c r="C212" s="186" t="s">
        <v>158</v>
      </c>
      <c r="D212" s="569" t="s">
        <v>418</v>
      </c>
      <c r="E212" s="298" t="s">
        <v>635</v>
      </c>
      <c r="F212" s="297" t="s">
        <v>630</v>
      </c>
    </row>
    <row r="213" spans="2:6" ht="67.5" x14ac:dyDescent="0.6">
      <c r="B213" s="362"/>
      <c r="C213" s="186" t="s">
        <v>159</v>
      </c>
      <c r="D213" s="569" t="s">
        <v>419</v>
      </c>
      <c r="E213" s="298" t="s">
        <v>635</v>
      </c>
      <c r="F213" s="297" t="s">
        <v>630</v>
      </c>
    </row>
    <row r="214" spans="2:6" ht="68.25" thickBot="1" x14ac:dyDescent="0.65">
      <c r="B214" s="362"/>
      <c r="C214" s="300" t="s">
        <v>160</v>
      </c>
      <c r="D214" s="570" t="s">
        <v>420</v>
      </c>
      <c r="E214" s="298" t="s">
        <v>635</v>
      </c>
      <c r="F214" s="297" t="s">
        <v>630</v>
      </c>
    </row>
    <row r="215" spans="2:6" ht="36" thickBot="1" x14ac:dyDescent="0.65">
      <c r="B215" s="351" t="s">
        <v>248</v>
      </c>
      <c r="C215" s="352"/>
      <c r="D215" s="352"/>
      <c r="E215" s="352"/>
      <c r="F215" s="352"/>
    </row>
    <row r="216" spans="2:6" ht="68.25" thickBot="1" x14ac:dyDescent="0.65">
      <c r="B216" s="217" t="s">
        <v>146</v>
      </c>
      <c r="C216" s="161" t="s">
        <v>146</v>
      </c>
      <c r="D216" s="570" t="s">
        <v>421</v>
      </c>
      <c r="E216" s="298" t="s">
        <v>638</v>
      </c>
      <c r="F216" s="297" t="s">
        <v>639</v>
      </c>
    </row>
    <row r="217" spans="2:6" ht="101.25" x14ac:dyDescent="0.6">
      <c r="B217" s="285" t="s">
        <v>79</v>
      </c>
      <c r="C217" s="286" t="s">
        <v>161</v>
      </c>
      <c r="D217" s="568" t="s">
        <v>422</v>
      </c>
      <c r="E217" s="298" t="s">
        <v>640</v>
      </c>
      <c r="F217" s="297" t="s">
        <v>639</v>
      </c>
    </row>
    <row r="218" spans="2:6" ht="101.25" x14ac:dyDescent="0.6">
      <c r="B218" s="287" t="s">
        <v>77</v>
      </c>
      <c r="C218" s="186" t="s">
        <v>162</v>
      </c>
      <c r="D218" s="569" t="s">
        <v>423</v>
      </c>
      <c r="E218" s="298" t="s">
        <v>641</v>
      </c>
      <c r="F218" s="297" t="s">
        <v>639</v>
      </c>
    </row>
    <row r="219" spans="2:6" ht="101.25" x14ac:dyDescent="0.6">
      <c r="B219" s="287" t="s">
        <v>123</v>
      </c>
      <c r="C219" s="186" t="s">
        <v>163</v>
      </c>
      <c r="D219" s="569" t="s">
        <v>424</v>
      </c>
      <c r="E219" s="298" t="s">
        <v>642</v>
      </c>
      <c r="F219" s="297" t="s">
        <v>639</v>
      </c>
    </row>
    <row r="220" spans="2:6" ht="101.25" x14ac:dyDescent="0.6">
      <c r="B220" s="287" t="s">
        <v>167</v>
      </c>
      <c r="C220" s="186" t="s">
        <v>164</v>
      </c>
      <c r="D220" s="569" t="s">
        <v>425</v>
      </c>
      <c r="E220" s="298" t="s">
        <v>643</v>
      </c>
      <c r="F220" s="297" t="s">
        <v>639</v>
      </c>
    </row>
    <row r="221" spans="2:6" ht="101.25" x14ac:dyDescent="0.6">
      <c r="B221" s="287" t="s">
        <v>76</v>
      </c>
      <c r="C221" s="186" t="s">
        <v>165</v>
      </c>
      <c r="D221" s="569" t="s">
        <v>426</v>
      </c>
      <c r="E221" s="298" t="s">
        <v>644</v>
      </c>
      <c r="F221" s="297" t="s">
        <v>639</v>
      </c>
    </row>
    <row r="222" spans="2:6" ht="102" thickBot="1" x14ac:dyDescent="0.65">
      <c r="B222" s="288" t="s">
        <v>435</v>
      </c>
      <c r="C222" s="188" t="s">
        <v>166</v>
      </c>
      <c r="D222" s="570" t="s">
        <v>427</v>
      </c>
      <c r="E222" s="298" t="s">
        <v>645</v>
      </c>
      <c r="F222" s="297" t="s">
        <v>646</v>
      </c>
    </row>
    <row r="223" spans="2:6" ht="36" thickBot="1" x14ac:dyDescent="0.8">
      <c r="B223" s="220" t="s">
        <v>40</v>
      </c>
      <c r="C223" s="157"/>
      <c r="D223" s="174"/>
      <c r="E223" s="304"/>
      <c r="F223" s="305"/>
    </row>
    <row r="225" spans="1:5" ht="31.5" thickBot="1" x14ac:dyDescent="0.65"/>
    <row r="226" spans="1:5" ht="30.75" customHeight="1" x14ac:dyDescent="0.6">
      <c r="A226" s="345" t="s">
        <v>790</v>
      </c>
      <c r="B226" s="346"/>
      <c r="C226" s="346"/>
      <c r="D226" s="346"/>
      <c r="E226" s="347"/>
    </row>
    <row r="227" spans="1:5" ht="30.75" customHeight="1" thickBot="1" x14ac:dyDescent="0.65">
      <c r="A227" s="348"/>
      <c r="B227" s="349"/>
      <c r="C227" s="349"/>
      <c r="D227" s="349"/>
      <c r="E227" s="350"/>
    </row>
    <row r="228" spans="1:5" ht="41.25" thickBot="1" x14ac:dyDescent="0.65">
      <c r="A228" s="344" t="s">
        <v>773</v>
      </c>
      <c r="B228" s="344"/>
      <c r="C228" s="344"/>
      <c r="D228" s="344"/>
      <c r="E228" s="331"/>
    </row>
    <row r="229" spans="1:5" ht="41.25" thickBot="1" x14ac:dyDescent="0.8">
      <c r="A229" s="641" t="s">
        <v>791</v>
      </c>
      <c r="B229" s="642" t="s">
        <v>659</v>
      </c>
      <c r="C229" s="643" t="s">
        <v>684</v>
      </c>
      <c r="D229" s="643"/>
      <c r="E229" s="331"/>
    </row>
    <row r="230" spans="1:5" ht="78" x14ac:dyDescent="0.6">
      <c r="A230" s="576">
        <v>1</v>
      </c>
      <c r="B230" s="577" t="s">
        <v>658</v>
      </c>
      <c r="C230" s="578" t="s">
        <v>661</v>
      </c>
      <c r="D230" s="579"/>
      <c r="E230" s="580"/>
    </row>
    <row r="231" spans="1:5" ht="78" x14ac:dyDescent="0.6">
      <c r="A231" s="581">
        <v>2</v>
      </c>
      <c r="B231" s="577" t="s">
        <v>662</v>
      </c>
      <c r="C231" s="578" t="s">
        <v>660</v>
      </c>
      <c r="D231" s="579"/>
      <c r="E231" s="580"/>
    </row>
    <row r="232" spans="1:5" ht="117" x14ac:dyDescent="0.6">
      <c r="A232" s="581">
        <v>3</v>
      </c>
      <c r="B232" s="577" t="s">
        <v>663</v>
      </c>
      <c r="C232" s="578" t="s">
        <v>666</v>
      </c>
      <c r="D232" s="579"/>
      <c r="E232" s="580"/>
    </row>
    <row r="233" spans="1:5" ht="78" x14ac:dyDescent="0.6">
      <c r="A233" s="581">
        <v>4</v>
      </c>
      <c r="B233" s="577" t="s">
        <v>664</v>
      </c>
      <c r="C233" s="578" t="s">
        <v>667</v>
      </c>
      <c r="D233" s="579"/>
      <c r="E233" s="580"/>
    </row>
    <row r="234" spans="1:5" ht="78" x14ac:dyDescent="0.6">
      <c r="A234" s="581">
        <v>5</v>
      </c>
      <c r="B234" s="577" t="s">
        <v>665</v>
      </c>
      <c r="C234" s="578" t="s">
        <v>668</v>
      </c>
      <c r="D234" s="579"/>
      <c r="E234" s="580"/>
    </row>
    <row r="235" spans="1:5" ht="78" x14ac:dyDescent="0.6">
      <c r="A235" s="581">
        <v>6</v>
      </c>
      <c r="B235" s="577" t="s">
        <v>669</v>
      </c>
      <c r="C235" s="578" t="s">
        <v>674</v>
      </c>
      <c r="D235" s="579"/>
      <c r="E235" s="582"/>
    </row>
    <row r="236" spans="1:5" ht="78" x14ac:dyDescent="0.6">
      <c r="A236" s="581">
        <v>7</v>
      </c>
      <c r="B236" s="577" t="s">
        <v>670</v>
      </c>
      <c r="C236" s="578" t="s">
        <v>675</v>
      </c>
      <c r="D236" s="579"/>
      <c r="E236" s="582"/>
    </row>
    <row r="237" spans="1:5" ht="117" x14ac:dyDescent="0.6">
      <c r="A237" s="581">
        <v>8</v>
      </c>
      <c r="B237" s="577" t="s">
        <v>671</v>
      </c>
      <c r="C237" s="578" t="s">
        <v>676</v>
      </c>
      <c r="D237" s="579"/>
      <c r="E237" s="582"/>
    </row>
    <row r="238" spans="1:5" ht="78" x14ac:dyDescent="0.6">
      <c r="A238" s="581">
        <v>9</v>
      </c>
      <c r="B238" s="577" t="s">
        <v>672</v>
      </c>
      <c r="C238" s="578" t="s">
        <v>677</v>
      </c>
      <c r="D238" s="579"/>
      <c r="E238" s="582"/>
    </row>
    <row r="239" spans="1:5" ht="78" x14ac:dyDescent="0.6">
      <c r="A239" s="581">
        <v>10</v>
      </c>
      <c r="B239" s="577" t="s">
        <v>673</v>
      </c>
      <c r="C239" s="578" t="s">
        <v>678</v>
      </c>
      <c r="D239" s="579"/>
      <c r="E239" s="582"/>
    </row>
    <row r="240" spans="1:5" ht="156" x14ac:dyDescent="0.75">
      <c r="A240" s="581">
        <v>11</v>
      </c>
      <c r="B240" s="583" t="s">
        <v>679</v>
      </c>
      <c r="C240" s="333" t="s">
        <v>680</v>
      </c>
      <c r="D240" s="579"/>
      <c r="E240" s="582"/>
    </row>
    <row r="241" spans="1:5" ht="78.75" thickBot="1" x14ac:dyDescent="0.8">
      <c r="A241" s="581">
        <v>12</v>
      </c>
      <c r="B241" s="584" t="s">
        <v>681</v>
      </c>
      <c r="C241" s="585" t="s">
        <v>683</v>
      </c>
      <c r="D241" s="586"/>
      <c r="E241" s="582"/>
    </row>
    <row r="242" spans="1:5" ht="117" x14ac:dyDescent="0.75">
      <c r="A242" s="581">
        <v>13</v>
      </c>
      <c r="B242" s="587" t="s">
        <v>685</v>
      </c>
      <c r="C242" s="588" t="s">
        <v>686</v>
      </c>
      <c r="D242" s="589"/>
      <c r="E242" s="582"/>
    </row>
    <row r="243" spans="1:5" ht="117" x14ac:dyDescent="0.75">
      <c r="A243" s="581">
        <v>14</v>
      </c>
      <c r="B243" s="590" t="s">
        <v>685</v>
      </c>
      <c r="C243" s="339" t="s">
        <v>687</v>
      </c>
      <c r="D243" s="591"/>
      <c r="E243" s="582"/>
    </row>
    <row r="244" spans="1:5" ht="117" x14ac:dyDescent="0.75">
      <c r="A244" s="581">
        <v>15</v>
      </c>
      <c r="B244" s="590" t="s">
        <v>685</v>
      </c>
      <c r="C244" s="339" t="s">
        <v>688</v>
      </c>
      <c r="D244" s="591"/>
      <c r="E244" s="582"/>
    </row>
    <row r="245" spans="1:5" ht="117" x14ac:dyDescent="0.75">
      <c r="A245" s="581">
        <v>16</v>
      </c>
      <c r="B245" s="590" t="s">
        <v>685</v>
      </c>
      <c r="C245" s="339" t="s">
        <v>689</v>
      </c>
      <c r="D245" s="591"/>
      <c r="E245" s="582"/>
    </row>
    <row r="246" spans="1:5" ht="117.75" thickBot="1" x14ac:dyDescent="0.8">
      <c r="A246" s="581">
        <v>17</v>
      </c>
      <c r="B246" s="592" t="s">
        <v>685</v>
      </c>
      <c r="C246" s="593" t="s">
        <v>690</v>
      </c>
      <c r="D246" s="594"/>
      <c r="E246" s="582"/>
    </row>
    <row r="247" spans="1:5" ht="78" x14ac:dyDescent="0.75">
      <c r="A247" s="581">
        <v>18</v>
      </c>
      <c r="B247" s="595" t="s">
        <v>691</v>
      </c>
      <c r="C247" s="596" t="s">
        <v>692</v>
      </c>
      <c r="D247" s="589"/>
      <c r="E247" s="582"/>
    </row>
    <row r="248" spans="1:5" ht="78" x14ac:dyDescent="0.75">
      <c r="A248" s="581">
        <v>19</v>
      </c>
      <c r="B248" s="590" t="s">
        <v>691</v>
      </c>
      <c r="C248" s="339" t="s">
        <v>693</v>
      </c>
      <c r="D248" s="591"/>
      <c r="E248" s="582"/>
    </row>
    <row r="249" spans="1:5" ht="78" x14ac:dyDescent="0.75">
      <c r="A249" s="581">
        <v>20</v>
      </c>
      <c r="B249" s="590" t="s">
        <v>691</v>
      </c>
      <c r="C249" s="339" t="s">
        <v>694</v>
      </c>
      <c r="D249" s="591"/>
      <c r="E249" s="582"/>
    </row>
    <row r="250" spans="1:5" ht="78" x14ac:dyDescent="0.75">
      <c r="A250" s="581">
        <v>21</v>
      </c>
      <c r="B250" s="590" t="s">
        <v>691</v>
      </c>
      <c r="C250" s="339" t="s">
        <v>695</v>
      </c>
      <c r="D250" s="591"/>
      <c r="E250" s="582"/>
    </row>
    <row r="251" spans="1:5" ht="78.75" thickBot="1" x14ac:dyDescent="0.8">
      <c r="A251" s="581">
        <v>22</v>
      </c>
      <c r="B251" s="592" t="s">
        <v>691</v>
      </c>
      <c r="C251" s="597" t="s">
        <v>696</v>
      </c>
      <c r="D251" s="594"/>
      <c r="E251" s="582"/>
    </row>
    <row r="252" spans="1:5" ht="78" x14ac:dyDescent="0.75">
      <c r="A252" s="581">
        <v>23</v>
      </c>
      <c r="B252" s="598" t="s">
        <v>697</v>
      </c>
      <c r="C252" s="599" t="s">
        <v>698</v>
      </c>
      <c r="D252" s="600"/>
      <c r="E252" s="582"/>
    </row>
    <row r="253" spans="1:5" ht="78" x14ac:dyDescent="0.75">
      <c r="A253" s="581">
        <v>24</v>
      </c>
      <c r="B253" s="601" t="s">
        <v>697</v>
      </c>
      <c r="C253" s="602" t="s">
        <v>699</v>
      </c>
      <c r="D253" s="603"/>
      <c r="E253" s="582"/>
    </row>
    <row r="254" spans="1:5" ht="78" x14ac:dyDescent="0.75">
      <c r="A254" s="581">
        <v>25</v>
      </c>
      <c r="B254" s="601" t="s">
        <v>697</v>
      </c>
      <c r="C254" s="602" t="s">
        <v>700</v>
      </c>
      <c r="D254" s="603"/>
      <c r="E254" s="582"/>
    </row>
    <row r="255" spans="1:5" ht="78" x14ac:dyDescent="0.75">
      <c r="A255" s="581">
        <v>26</v>
      </c>
      <c r="B255" s="601" t="s">
        <v>697</v>
      </c>
      <c r="C255" s="602" t="s">
        <v>701</v>
      </c>
      <c r="D255" s="603"/>
      <c r="E255" s="582"/>
    </row>
    <row r="256" spans="1:5" ht="78.75" thickBot="1" x14ac:dyDescent="0.8">
      <c r="A256" s="581">
        <v>27</v>
      </c>
      <c r="B256" s="604" t="s">
        <v>697</v>
      </c>
      <c r="C256" s="605" t="s">
        <v>702</v>
      </c>
      <c r="D256" s="606"/>
      <c r="E256" s="582"/>
    </row>
    <row r="257" spans="1:5" ht="78.75" thickBot="1" x14ac:dyDescent="0.8">
      <c r="A257" s="581">
        <v>28</v>
      </c>
      <c r="B257" s="587" t="s">
        <v>691</v>
      </c>
      <c r="C257" s="607" t="s">
        <v>703</v>
      </c>
      <c r="D257" s="589"/>
      <c r="E257" s="582"/>
    </row>
    <row r="258" spans="1:5" ht="78.75" thickBot="1" x14ac:dyDescent="0.8">
      <c r="A258" s="581">
        <v>29</v>
      </c>
      <c r="B258" s="595" t="s">
        <v>691</v>
      </c>
      <c r="C258" s="607" t="s">
        <v>704</v>
      </c>
      <c r="D258" s="591"/>
      <c r="E258" s="582"/>
    </row>
    <row r="259" spans="1:5" ht="78.75" thickBot="1" x14ac:dyDescent="0.8">
      <c r="A259" s="581">
        <v>30</v>
      </c>
      <c r="B259" s="608" t="s">
        <v>691</v>
      </c>
      <c r="C259" s="609" t="s">
        <v>705</v>
      </c>
      <c r="D259" s="610"/>
      <c r="E259" s="582"/>
    </row>
    <row r="260" spans="1:5" ht="78" x14ac:dyDescent="0.75">
      <c r="A260" s="581">
        <v>31</v>
      </c>
      <c r="B260" s="611" t="s">
        <v>691</v>
      </c>
      <c r="C260" s="607" t="s">
        <v>706</v>
      </c>
      <c r="D260" s="589"/>
      <c r="E260" s="582"/>
    </row>
    <row r="261" spans="1:5" ht="78" x14ac:dyDescent="0.75">
      <c r="A261" s="581">
        <v>32</v>
      </c>
      <c r="B261" s="612" t="s">
        <v>691</v>
      </c>
      <c r="C261" s="613" t="s">
        <v>707</v>
      </c>
      <c r="D261" s="591"/>
      <c r="E261" s="582"/>
    </row>
    <row r="262" spans="1:5" ht="78" x14ac:dyDescent="0.75">
      <c r="A262" s="581">
        <v>33</v>
      </c>
      <c r="B262" s="614" t="s">
        <v>691</v>
      </c>
      <c r="C262" s="615" t="s">
        <v>708</v>
      </c>
      <c r="D262" s="610"/>
      <c r="E262" s="582"/>
    </row>
    <row r="263" spans="1:5" ht="117" x14ac:dyDescent="0.75">
      <c r="A263" s="581">
        <v>34</v>
      </c>
      <c r="B263" s="583" t="s">
        <v>709</v>
      </c>
      <c r="C263" s="613" t="s">
        <v>717</v>
      </c>
      <c r="D263" s="579"/>
      <c r="E263" s="582"/>
    </row>
    <row r="264" spans="1:5" ht="156" x14ac:dyDescent="0.75">
      <c r="A264" s="581">
        <v>35</v>
      </c>
      <c r="B264" s="583" t="s">
        <v>710</v>
      </c>
      <c r="C264" s="613" t="s">
        <v>718</v>
      </c>
      <c r="D264" s="579"/>
      <c r="E264" s="582"/>
    </row>
    <row r="265" spans="1:5" ht="117" x14ac:dyDescent="0.75">
      <c r="A265" s="581">
        <v>36</v>
      </c>
      <c r="B265" s="583" t="s">
        <v>711</v>
      </c>
      <c r="C265" s="613" t="s">
        <v>719</v>
      </c>
      <c r="D265" s="579"/>
      <c r="E265" s="582"/>
    </row>
    <row r="266" spans="1:5" ht="156" x14ac:dyDescent="0.75">
      <c r="A266" s="581">
        <v>37</v>
      </c>
      <c r="B266" s="583" t="s">
        <v>712</v>
      </c>
      <c r="C266" s="613" t="s">
        <v>720</v>
      </c>
      <c r="D266" s="579"/>
      <c r="E266" s="582"/>
    </row>
    <row r="267" spans="1:5" ht="78" x14ac:dyDescent="0.75">
      <c r="A267" s="581">
        <v>38</v>
      </c>
      <c r="B267" s="583" t="s">
        <v>721</v>
      </c>
      <c r="C267" s="613" t="s">
        <v>722</v>
      </c>
      <c r="D267" s="579"/>
      <c r="E267" s="582"/>
    </row>
    <row r="268" spans="1:5" ht="78" x14ac:dyDescent="0.75">
      <c r="A268" s="581">
        <v>39</v>
      </c>
      <c r="B268" s="583" t="s">
        <v>723</v>
      </c>
      <c r="C268" s="616" t="s">
        <v>724</v>
      </c>
      <c r="D268" s="579"/>
      <c r="E268" s="582"/>
    </row>
    <row r="269" spans="1:5" ht="117" x14ac:dyDescent="0.75">
      <c r="A269" s="581">
        <v>40</v>
      </c>
      <c r="B269" s="583" t="s">
        <v>725</v>
      </c>
      <c r="C269" s="616" t="s">
        <v>726</v>
      </c>
      <c r="D269" s="617"/>
      <c r="E269" s="582"/>
    </row>
    <row r="270" spans="1:5" ht="78.75" thickBot="1" x14ac:dyDescent="0.8">
      <c r="A270" s="581">
        <v>41</v>
      </c>
      <c r="B270" s="584" t="s">
        <v>727</v>
      </c>
      <c r="C270" s="618" t="s">
        <v>728</v>
      </c>
      <c r="D270" s="619"/>
      <c r="E270" s="582"/>
    </row>
    <row r="271" spans="1:5" ht="78" x14ac:dyDescent="0.75">
      <c r="A271" s="581">
        <v>42</v>
      </c>
      <c r="B271" s="620" t="s">
        <v>731</v>
      </c>
      <c r="C271" s="621" t="s">
        <v>732</v>
      </c>
      <c r="D271" s="622"/>
      <c r="E271" s="582"/>
    </row>
    <row r="272" spans="1:5" ht="78" x14ac:dyDescent="0.75">
      <c r="A272" s="581">
        <v>43</v>
      </c>
      <c r="B272" s="623" t="s">
        <v>729</v>
      </c>
      <c r="C272" s="616" t="s">
        <v>733</v>
      </c>
      <c r="D272" s="624"/>
      <c r="E272" s="582"/>
    </row>
    <row r="273" spans="1:5" ht="78" x14ac:dyDescent="0.75">
      <c r="A273" s="581">
        <v>44</v>
      </c>
      <c r="B273" s="623" t="s">
        <v>730</v>
      </c>
      <c r="C273" s="616" t="s">
        <v>734</v>
      </c>
      <c r="D273" s="624"/>
      <c r="E273" s="582"/>
    </row>
    <row r="274" spans="1:5" ht="78" x14ac:dyDescent="0.75">
      <c r="A274" s="581">
        <v>45</v>
      </c>
      <c r="B274" s="623" t="s">
        <v>735</v>
      </c>
      <c r="C274" s="616" t="s">
        <v>737</v>
      </c>
      <c r="D274" s="624"/>
      <c r="E274" s="582"/>
    </row>
    <row r="275" spans="1:5" ht="78.75" thickBot="1" x14ac:dyDescent="0.8">
      <c r="A275" s="581">
        <v>46</v>
      </c>
      <c r="B275" s="625" t="s">
        <v>736</v>
      </c>
      <c r="C275" s="618" t="s">
        <v>738</v>
      </c>
      <c r="D275" s="626"/>
      <c r="E275" s="582"/>
    </row>
    <row r="276" spans="1:5" ht="78" x14ac:dyDescent="0.75">
      <c r="A276" s="581">
        <v>47</v>
      </c>
      <c r="B276" s="620" t="s">
        <v>739</v>
      </c>
      <c r="C276" s="621" t="s">
        <v>749</v>
      </c>
      <c r="D276" s="622"/>
      <c r="E276" s="582"/>
    </row>
    <row r="277" spans="1:5" ht="78" x14ac:dyDescent="0.75">
      <c r="A277" s="581">
        <v>48</v>
      </c>
      <c r="B277" s="623" t="s">
        <v>740</v>
      </c>
      <c r="C277" s="613" t="s">
        <v>750</v>
      </c>
      <c r="D277" s="624"/>
      <c r="E277" s="582"/>
    </row>
    <row r="278" spans="1:5" ht="78" x14ac:dyDescent="0.75">
      <c r="A278" s="581">
        <v>49</v>
      </c>
      <c r="B278" s="623" t="s">
        <v>741</v>
      </c>
      <c r="C278" s="613" t="s">
        <v>751</v>
      </c>
      <c r="D278" s="624"/>
      <c r="E278" s="582"/>
    </row>
    <row r="279" spans="1:5" ht="78" x14ac:dyDescent="0.75">
      <c r="A279" s="581">
        <v>50</v>
      </c>
      <c r="B279" s="623" t="s">
        <v>742</v>
      </c>
      <c r="C279" s="613" t="s">
        <v>752</v>
      </c>
      <c r="D279" s="624"/>
      <c r="E279" s="582"/>
    </row>
    <row r="280" spans="1:5" ht="78.75" thickBot="1" x14ac:dyDescent="0.8">
      <c r="A280" s="581">
        <v>51</v>
      </c>
      <c r="B280" s="627" t="s">
        <v>743</v>
      </c>
      <c r="C280" s="628" t="s">
        <v>753</v>
      </c>
      <c r="D280" s="618"/>
      <c r="E280" s="582"/>
    </row>
    <row r="281" spans="1:5" ht="78" x14ac:dyDescent="0.75">
      <c r="A281" s="581">
        <v>52</v>
      </c>
      <c r="B281" s="629" t="s">
        <v>744</v>
      </c>
      <c r="C281" s="630" t="s">
        <v>754</v>
      </c>
      <c r="D281" s="622"/>
      <c r="E281" s="582"/>
    </row>
    <row r="282" spans="1:5" ht="78" x14ac:dyDescent="0.75">
      <c r="A282" s="581">
        <v>53</v>
      </c>
      <c r="B282" s="631" t="s">
        <v>745</v>
      </c>
      <c r="C282" s="632" t="s">
        <v>755</v>
      </c>
      <c r="D282" s="624"/>
      <c r="E282" s="582"/>
    </row>
    <row r="283" spans="1:5" ht="78" x14ac:dyDescent="0.75">
      <c r="A283" s="581">
        <v>54</v>
      </c>
      <c r="B283" s="631" t="s">
        <v>746</v>
      </c>
      <c r="C283" s="632" t="s">
        <v>756</v>
      </c>
      <c r="D283" s="624"/>
      <c r="E283" s="582"/>
    </row>
    <row r="284" spans="1:5" ht="78" x14ac:dyDescent="0.75">
      <c r="A284" s="581">
        <v>55</v>
      </c>
      <c r="B284" s="631" t="s">
        <v>747</v>
      </c>
      <c r="C284" s="632" t="s">
        <v>757</v>
      </c>
      <c r="D284" s="624"/>
      <c r="E284" s="582"/>
    </row>
    <row r="285" spans="1:5" ht="78.75" thickBot="1" x14ac:dyDescent="0.8">
      <c r="A285" s="581">
        <v>56</v>
      </c>
      <c r="B285" s="633" t="s">
        <v>748</v>
      </c>
      <c r="C285" s="634" t="s">
        <v>758</v>
      </c>
      <c r="D285" s="626"/>
      <c r="E285" s="582"/>
    </row>
    <row r="286" spans="1:5" ht="117" x14ac:dyDescent="0.75">
      <c r="A286" s="581">
        <v>57</v>
      </c>
      <c r="B286" s="635" t="s">
        <v>759</v>
      </c>
      <c r="C286" s="613" t="s">
        <v>760</v>
      </c>
      <c r="D286" s="579"/>
      <c r="E286" s="582"/>
    </row>
    <row r="287" spans="1:5" ht="195.75" thickBot="1" x14ac:dyDescent="0.8">
      <c r="A287" s="581">
        <v>58</v>
      </c>
      <c r="B287" s="584" t="s">
        <v>761</v>
      </c>
      <c r="C287" s="615" t="s">
        <v>762</v>
      </c>
      <c r="D287" s="586"/>
      <c r="E287" s="582"/>
    </row>
    <row r="288" spans="1:5" ht="41.25" thickBot="1" x14ac:dyDescent="0.9">
      <c r="A288" s="581">
        <v>59</v>
      </c>
      <c r="B288" s="372" t="s">
        <v>772</v>
      </c>
      <c r="C288" s="373"/>
      <c r="D288" s="374"/>
      <c r="E288" s="582"/>
    </row>
    <row r="289" spans="1:6" ht="117" x14ac:dyDescent="0.75">
      <c r="A289" s="581">
        <v>60</v>
      </c>
      <c r="B289" s="636" t="s">
        <v>763</v>
      </c>
      <c r="C289" s="613" t="s">
        <v>87</v>
      </c>
      <c r="D289" s="579"/>
      <c r="E289" s="582"/>
    </row>
    <row r="290" spans="1:6" ht="117" x14ac:dyDescent="0.75">
      <c r="A290" s="581">
        <v>61</v>
      </c>
      <c r="B290" s="583" t="s">
        <v>764</v>
      </c>
      <c r="C290" s="613" t="s">
        <v>90</v>
      </c>
      <c r="D290" s="579"/>
      <c r="E290" s="582"/>
    </row>
    <row r="291" spans="1:6" ht="117" x14ac:dyDescent="0.75">
      <c r="A291" s="581">
        <v>62</v>
      </c>
      <c r="B291" s="583" t="s">
        <v>765</v>
      </c>
      <c r="C291" s="613" t="s">
        <v>93</v>
      </c>
      <c r="D291" s="579"/>
      <c r="E291" s="582"/>
    </row>
    <row r="292" spans="1:6" ht="117" x14ac:dyDescent="0.75">
      <c r="A292" s="581">
        <v>63</v>
      </c>
      <c r="B292" s="583" t="s">
        <v>766</v>
      </c>
      <c r="C292" s="613" t="s">
        <v>96</v>
      </c>
      <c r="D292" s="579"/>
      <c r="E292" s="582"/>
    </row>
    <row r="293" spans="1:6" s="340" customFormat="1" ht="156" x14ac:dyDescent="0.75">
      <c r="A293" s="581">
        <v>64</v>
      </c>
      <c r="B293" s="583" t="s">
        <v>767</v>
      </c>
      <c r="C293" s="613" t="s">
        <v>99</v>
      </c>
      <c r="D293" s="579"/>
      <c r="E293" s="582"/>
      <c r="F293" s="275"/>
    </row>
    <row r="294" spans="1:6" ht="117" x14ac:dyDescent="0.75">
      <c r="A294" s="581">
        <v>65</v>
      </c>
      <c r="B294" s="583" t="s">
        <v>768</v>
      </c>
      <c r="C294" s="613" t="s">
        <v>770</v>
      </c>
      <c r="D294" s="579"/>
      <c r="E294" s="582"/>
    </row>
    <row r="295" spans="1:6" ht="78" x14ac:dyDescent="0.75">
      <c r="A295" s="581">
        <v>66</v>
      </c>
      <c r="B295" s="583" t="s">
        <v>769</v>
      </c>
      <c r="C295" s="613" t="s">
        <v>771</v>
      </c>
      <c r="D295" s="579"/>
      <c r="E295" s="582"/>
    </row>
    <row r="296" spans="1:6" ht="78" x14ac:dyDescent="0.75">
      <c r="A296" s="581">
        <v>67</v>
      </c>
      <c r="B296" s="583" t="s">
        <v>775</v>
      </c>
      <c r="C296" s="613" t="s">
        <v>774</v>
      </c>
      <c r="D296" s="579"/>
      <c r="E296" s="582"/>
    </row>
    <row r="297" spans="1:6" ht="78" x14ac:dyDescent="0.75">
      <c r="A297" s="581">
        <v>68</v>
      </c>
      <c r="B297" s="583" t="s">
        <v>777</v>
      </c>
      <c r="C297" s="613" t="s">
        <v>776</v>
      </c>
      <c r="D297" s="579"/>
      <c r="E297" s="582"/>
    </row>
    <row r="298" spans="1:6" ht="78" x14ac:dyDescent="0.75">
      <c r="A298" s="581">
        <v>69</v>
      </c>
      <c r="B298" s="584" t="s">
        <v>779</v>
      </c>
      <c r="C298" s="615" t="s">
        <v>778</v>
      </c>
      <c r="D298" s="579"/>
      <c r="E298" s="582"/>
    </row>
    <row r="299" spans="1:6" ht="78" x14ac:dyDescent="0.75">
      <c r="A299" s="637">
        <v>70</v>
      </c>
      <c r="B299" s="583" t="s">
        <v>780</v>
      </c>
      <c r="C299" s="613" t="s">
        <v>785</v>
      </c>
      <c r="D299" s="638"/>
      <c r="E299" s="582"/>
    </row>
    <row r="300" spans="1:6" ht="78" x14ac:dyDescent="0.75">
      <c r="A300" s="637">
        <v>71</v>
      </c>
      <c r="B300" s="583" t="s">
        <v>781</v>
      </c>
      <c r="C300" s="613" t="s">
        <v>786</v>
      </c>
      <c r="D300" s="639"/>
      <c r="E300" s="582"/>
    </row>
    <row r="301" spans="1:6" ht="117" x14ac:dyDescent="0.75">
      <c r="A301" s="637">
        <v>72</v>
      </c>
      <c r="B301" s="583" t="s">
        <v>782</v>
      </c>
      <c r="C301" s="613" t="s">
        <v>787</v>
      </c>
      <c r="D301" s="639"/>
      <c r="E301" s="582"/>
    </row>
    <row r="302" spans="1:6" ht="78" x14ac:dyDescent="0.75">
      <c r="A302" s="637">
        <v>73</v>
      </c>
      <c r="B302" s="583" t="s">
        <v>783</v>
      </c>
      <c r="C302" s="613" t="s">
        <v>788</v>
      </c>
      <c r="D302" s="639"/>
      <c r="E302" s="582"/>
    </row>
    <row r="303" spans="1:6" ht="117.75" thickBot="1" x14ac:dyDescent="0.8">
      <c r="A303" s="637">
        <v>74</v>
      </c>
      <c r="B303" s="583" t="s">
        <v>784</v>
      </c>
      <c r="C303" s="613" t="s">
        <v>789</v>
      </c>
      <c r="D303" s="640"/>
      <c r="E303" s="582"/>
    </row>
  </sheetData>
  <autoFilter ref="B2:F4" xr:uid="{B4420F47-1321-421B-B7C8-E50E9A19F5B4}"/>
  <mergeCells count="49">
    <mergeCell ref="B288:D288"/>
    <mergeCell ref="B215:F215"/>
    <mergeCell ref="B84:F84"/>
    <mergeCell ref="B107:F107"/>
    <mergeCell ref="B114:F114"/>
    <mergeCell ref="B121:F121"/>
    <mergeCell ref="B203:B208"/>
    <mergeCell ref="B209:B214"/>
    <mergeCell ref="B128:F128"/>
    <mergeCell ref="B156:F156"/>
    <mergeCell ref="B173:F173"/>
    <mergeCell ref="B187:F187"/>
    <mergeCell ref="B201:F201"/>
    <mergeCell ref="B167:B172"/>
    <mergeCell ref="B175:B180"/>
    <mergeCell ref="B181:B186"/>
    <mergeCell ref="B189:B194"/>
    <mergeCell ref="B195:B200"/>
    <mergeCell ref="B158:B160"/>
    <mergeCell ref="B161:B166"/>
    <mergeCell ref="B76:B79"/>
    <mergeCell ref="B80:B83"/>
    <mergeCell ref="B44:B47"/>
    <mergeCell ref="B48:B51"/>
    <mergeCell ref="B52:B55"/>
    <mergeCell ref="B3:F3"/>
    <mergeCell ref="B1:E1"/>
    <mergeCell ref="B5:B9"/>
    <mergeCell ref="B10:B12"/>
    <mergeCell ref="B32:F32"/>
    <mergeCell ref="B25:F25"/>
    <mergeCell ref="B19:B21"/>
    <mergeCell ref="B22:B24"/>
    <mergeCell ref="B13:B15"/>
    <mergeCell ref="B16:B18"/>
    <mergeCell ref="A228:D228"/>
    <mergeCell ref="A226:E227"/>
    <mergeCell ref="B4:F4"/>
    <mergeCell ref="B39:F39"/>
    <mergeCell ref="B92:B93"/>
    <mergeCell ref="B104:B106"/>
    <mergeCell ref="B56:B59"/>
    <mergeCell ref="B60:B63"/>
    <mergeCell ref="B64:B67"/>
    <mergeCell ref="B68:B71"/>
    <mergeCell ref="B72:B75"/>
    <mergeCell ref="B85:B90"/>
    <mergeCell ref="B40:B42"/>
    <mergeCell ref="B43:F43"/>
  </mergeCells>
  <phoneticPr fontId="2" type="noConversion"/>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K307"/>
  <sheetViews>
    <sheetView showGridLines="0" tabSelected="1" showRuler="0" zoomScale="45" zoomScaleNormal="45" zoomScaleSheetLayoutView="68" zoomScalePageLayoutView="21" workbookViewId="0">
      <pane xSplit="3" ySplit="20" topLeftCell="L21" activePane="bottomRight" state="frozen"/>
      <selection pane="topRight" activeCell="D1" sqref="D1"/>
      <selection pane="bottomLeft" activeCell="A22" sqref="A22"/>
      <selection pane="bottomRight" activeCell="L29" sqref="L29"/>
    </sheetView>
  </sheetViews>
  <sheetFormatPr defaultColWidth="9.140625" defaultRowHeight="33.75" x14ac:dyDescent="0.65"/>
  <cols>
    <col min="1" max="1" width="64.7109375" style="221" bestFit="1" customWidth="1" collapsed="1"/>
    <col min="2" max="2" width="100.85546875" style="158" bestFit="1" customWidth="1" collapsed="1"/>
    <col min="3" max="3" width="11.7109375" style="184" bestFit="1" customWidth="1" collapsed="1"/>
    <col min="4" max="27" width="7.5703125" style="1" customWidth="1" collapsed="1"/>
    <col min="28" max="28" width="13" style="1" customWidth="1" collapsed="1"/>
    <col min="29" max="29" width="9" style="5" hidden="1" customWidth="1" collapsed="1"/>
    <col min="30" max="30" width="31.85546875" style="22" customWidth="1" collapsed="1"/>
    <col min="31" max="31" width="31.5703125" style="1" hidden="1" customWidth="1" collapsed="1"/>
    <col min="32" max="32" width="36.7109375" style="1" customWidth="1" collapsed="1"/>
    <col min="33" max="33" width="9.140625" style="92" collapsed="1"/>
    <col min="34" max="34" width="9.140625" style="1"/>
    <col min="35" max="35" width="9.140625" style="1" collapsed="1"/>
    <col min="36" max="37" width="9.140625" style="1"/>
    <col min="38" max="16384" width="9.140625" style="1" collapsed="1"/>
  </cols>
  <sheetData>
    <row r="1" spans="1:33" s="174" customFormat="1" ht="39" customHeight="1" thickBot="1" x14ac:dyDescent="0.8">
      <c r="A1" s="208" t="s">
        <v>73</v>
      </c>
      <c r="B1" s="454" t="s">
        <v>35</v>
      </c>
      <c r="C1" s="455"/>
      <c r="D1" s="485" t="s">
        <v>120</v>
      </c>
      <c r="E1" s="486"/>
      <c r="F1" s="487" t="s">
        <v>36</v>
      </c>
      <c r="G1" s="488"/>
      <c r="H1" s="485" t="s">
        <v>27</v>
      </c>
      <c r="I1" s="489"/>
      <c r="J1" s="486"/>
      <c r="K1" s="487" t="s">
        <v>37</v>
      </c>
      <c r="L1" s="498"/>
      <c r="M1" s="498"/>
      <c r="N1" s="498"/>
      <c r="O1" s="498"/>
      <c r="P1" s="498"/>
      <c r="Q1" s="488"/>
      <c r="R1" s="485" t="s">
        <v>33</v>
      </c>
      <c r="S1" s="486"/>
      <c r="T1" s="487" t="s">
        <v>38</v>
      </c>
      <c r="U1" s="498"/>
      <c r="V1" s="488"/>
      <c r="W1" s="485" t="s">
        <v>28</v>
      </c>
      <c r="X1" s="486"/>
      <c r="Y1" s="171" t="s">
        <v>39</v>
      </c>
      <c r="Z1" s="172" t="s">
        <v>29</v>
      </c>
      <c r="AA1" s="487">
        <v>2020</v>
      </c>
      <c r="AB1" s="488"/>
      <c r="AC1" s="463" t="s">
        <v>30</v>
      </c>
      <c r="AD1" s="464"/>
      <c r="AE1" s="464"/>
      <c r="AF1" s="465"/>
      <c r="AG1" s="173">
        <v>0</v>
      </c>
    </row>
    <row r="2" spans="1:33" s="2" customFormat="1" ht="30" hidden="1" x14ac:dyDescent="0.65">
      <c r="A2" s="466" t="s">
        <v>19</v>
      </c>
      <c r="B2" s="466"/>
      <c r="C2" s="466"/>
      <c r="D2" s="466"/>
      <c r="E2" s="466"/>
      <c r="F2" s="466"/>
      <c r="G2" s="466"/>
      <c r="H2" s="466"/>
      <c r="I2" s="466"/>
      <c r="J2" s="466"/>
      <c r="K2" s="466"/>
      <c r="L2" s="466"/>
      <c r="M2" s="466"/>
      <c r="N2" s="466"/>
      <c r="O2" s="466"/>
      <c r="P2" s="466"/>
      <c r="Q2" s="466"/>
      <c r="R2" s="466"/>
      <c r="S2" s="466"/>
      <c r="T2" s="466"/>
      <c r="U2" s="466"/>
      <c r="V2" s="466"/>
      <c r="W2" s="466"/>
      <c r="X2" s="466"/>
      <c r="Y2" s="466"/>
      <c r="Z2" s="466"/>
      <c r="AA2" s="466"/>
      <c r="AB2" s="466"/>
      <c r="AC2" s="466"/>
      <c r="AD2" s="20"/>
      <c r="AG2" s="90">
        <v>1</v>
      </c>
    </row>
    <row r="3" spans="1:33" s="2" customFormat="1" ht="36" hidden="1" thickBot="1" x14ac:dyDescent="0.8">
      <c r="A3" s="209" t="s">
        <v>45</v>
      </c>
      <c r="B3" s="144"/>
      <c r="C3" s="181"/>
      <c r="D3" s="86" t="s">
        <v>46</v>
      </c>
      <c r="E3" s="87">
        <v>1</v>
      </c>
      <c r="F3" s="88" t="s">
        <v>47</v>
      </c>
      <c r="G3" s="89">
        <v>1</v>
      </c>
      <c r="H3" s="88" t="s">
        <v>48</v>
      </c>
      <c r="I3" s="89">
        <v>1</v>
      </c>
      <c r="AC3" s="15"/>
      <c r="AD3" s="21"/>
      <c r="AG3" s="90">
        <v>2</v>
      </c>
    </row>
    <row r="4" spans="1:33" s="175" customFormat="1" ht="39.75" customHeight="1" thickBot="1" x14ac:dyDescent="0.85">
      <c r="A4" s="501" t="s">
        <v>429</v>
      </c>
      <c r="B4" s="499"/>
      <c r="C4" s="499"/>
      <c r="D4" s="497" t="s">
        <v>169</v>
      </c>
      <c r="E4" s="497"/>
      <c r="F4" s="497"/>
      <c r="G4" s="497"/>
      <c r="H4" s="497"/>
      <c r="I4" s="497"/>
      <c r="J4" s="497"/>
      <c r="K4" s="497"/>
      <c r="L4" s="497"/>
      <c r="M4" s="497"/>
      <c r="N4" s="497"/>
      <c r="O4" s="497"/>
      <c r="P4" s="497"/>
      <c r="Q4" s="497"/>
      <c r="R4" s="497"/>
      <c r="S4" s="497"/>
      <c r="T4" s="497"/>
      <c r="U4" s="497"/>
      <c r="V4" s="497"/>
      <c r="W4" s="499" t="s">
        <v>170</v>
      </c>
      <c r="X4" s="499"/>
      <c r="Y4" s="499"/>
      <c r="Z4" s="499"/>
      <c r="AA4" s="499"/>
      <c r="AB4" s="499"/>
      <c r="AC4" s="499"/>
      <c r="AD4" s="499"/>
      <c r="AE4" s="499"/>
      <c r="AF4" s="500"/>
      <c r="AG4" s="170">
        <v>3</v>
      </c>
    </row>
    <row r="5" spans="1:33" s="3" customFormat="1" ht="33" hidden="1" customHeight="1" x14ac:dyDescent="0.5">
      <c r="A5" s="491" t="s">
        <v>17</v>
      </c>
      <c r="B5" s="493" t="s">
        <v>25</v>
      </c>
      <c r="C5" s="495" t="s">
        <v>24</v>
      </c>
      <c r="D5" s="405" t="s">
        <v>0</v>
      </c>
      <c r="E5" s="405"/>
      <c r="F5" s="405" t="s">
        <v>1</v>
      </c>
      <c r="G5" s="405"/>
      <c r="H5" s="405" t="s">
        <v>2</v>
      </c>
      <c r="I5" s="405"/>
      <c r="J5" s="405" t="s">
        <v>3</v>
      </c>
      <c r="K5" s="405"/>
      <c r="L5" s="405" t="s">
        <v>4</v>
      </c>
      <c r="M5" s="405"/>
      <c r="N5" s="405" t="s">
        <v>5</v>
      </c>
      <c r="O5" s="405"/>
      <c r="P5" s="405" t="s">
        <v>6</v>
      </c>
      <c r="Q5" s="405"/>
      <c r="R5" s="405" t="s">
        <v>7</v>
      </c>
      <c r="S5" s="405"/>
      <c r="T5" s="405" t="s">
        <v>8</v>
      </c>
      <c r="U5" s="405"/>
      <c r="V5" s="405" t="s">
        <v>14</v>
      </c>
      <c r="W5" s="405"/>
      <c r="X5" s="405" t="s">
        <v>15</v>
      </c>
      <c r="Y5" s="405"/>
      <c r="Z5" s="405" t="s">
        <v>9</v>
      </c>
      <c r="AA5" s="405"/>
      <c r="AB5" s="502" t="s">
        <v>12</v>
      </c>
      <c r="AC5" s="504" t="s">
        <v>26</v>
      </c>
      <c r="AD5" s="46" t="s">
        <v>26</v>
      </c>
      <c r="AE5" s="506" t="s">
        <v>32</v>
      </c>
      <c r="AF5" s="47" t="s">
        <v>65</v>
      </c>
      <c r="AG5" s="91">
        <v>4</v>
      </c>
    </row>
    <row r="6" spans="1:33" s="3" customFormat="1" ht="33" hidden="1" customHeight="1" thickBot="1" x14ac:dyDescent="0.55000000000000004">
      <c r="A6" s="492"/>
      <c r="B6" s="494"/>
      <c r="C6" s="496"/>
      <c r="D6" s="12" t="s">
        <v>10</v>
      </c>
      <c r="E6" s="12" t="s">
        <v>11</v>
      </c>
      <c r="F6" s="12" t="s">
        <v>10</v>
      </c>
      <c r="G6" s="12" t="s">
        <v>11</v>
      </c>
      <c r="H6" s="12" t="s">
        <v>10</v>
      </c>
      <c r="I6" s="12" t="s">
        <v>11</v>
      </c>
      <c r="J6" s="12" t="s">
        <v>10</v>
      </c>
      <c r="K6" s="12" t="s">
        <v>11</v>
      </c>
      <c r="L6" s="12" t="s">
        <v>10</v>
      </c>
      <c r="M6" s="12" t="s">
        <v>11</v>
      </c>
      <c r="N6" s="12" t="s">
        <v>10</v>
      </c>
      <c r="O6" s="12" t="s">
        <v>11</v>
      </c>
      <c r="P6" s="12" t="s">
        <v>10</v>
      </c>
      <c r="Q6" s="12" t="s">
        <v>11</v>
      </c>
      <c r="R6" s="12" t="s">
        <v>10</v>
      </c>
      <c r="S6" s="12" t="s">
        <v>11</v>
      </c>
      <c r="T6" s="12" t="s">
        <v>10</v>
      </c>
      <c r="U6" s="12" t="s">
        <v>11</v>
      </c>
      <c r="V6" s="12" t="s">
        <v>10</v>
      </c>
      <c r="W6" s="12" t="s">
        <v>11</v>
      </c>
      <c r="X6" s="12" t="s">
        <v>10</v>
      </c>
      <c r="Y6" s="12" t="s">
        <v>11</v>
      </c>
      <c r="Z6" s="12" t="s">
        <v>10</v>
      </c>
      <c r="AA6" s="12" t="s">
        <v>11</v>
      </c>
      <c r="AB6" s="503"/>
      <c r="AC6" s="505"/>
      <c r="AD6" s="48" t="str">
        <f>IF(LEN(A256)-LEN(SUBSTITUTE(A256,"*",""))&gt;0," Total Errors are "&amp;(LEN(A256)-LEN(SUBSTITUTE(A256,"*",""))),"")</f>
        <v/>
      </c>
      <c r="AE6" s="507"/>
      <c r="AF6" s="49" t="str">
        <f>IF(LEN(A278)-LEN(SUBSTITUTE(A278,"*",""))&gt;0," Total Warnings are "&amp;(LEN(A278)-LEN(SUBSTITUTE(A278,"*",""))),"")</f>
        <v/>
      </c>
      <c r="AG6" s="91">
        <v>5</v>
      </c>
    </row>
    <row r="7" spans="1:33" ht="36" hidden="1" thickBot="1" x14ac:dyDescent="0.55000000000000004">
      <c r="A7" s="490" t="s">
        <v>41</v>
      </c>
      <c r="B7" s="430"/>
      <c r="C7" s="430"/>
      <c r="D7" s="430"/>
      <c r="E7" s="430"/>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380"/>
      <c r="AG7" s="91">
        <v>6</v>
      </c>
    </row>
    <row r="8" spans="1:33" ht="31.5" hidden="1" customHeight="1" thickBot="1" x14ac:dyDescent="0.7">
      <c r="A8" s="447" t="s">
        <v>49</v>
      </c>
      <c r="B8" s="162" t="s">
        <v>43</v>
      </c>
      <c r="C8" s="176" t="s">
        <v>67</v>
      </c>
      <c r="D8" s="61"/>
      <c r="E8" s="61"/>
      <c r="F8" s="61"/>
      <c r="G8" s="77"/>
      <c r="H8" s="78"/>
      <c r="I8" s="79"/>
      <c r="J8" s="79"/>
      <c r="K8" s="79"/>
      <c r="L8" s="79"/>
      <c r="M8" s="79"/>
      <c r="N8" s="79"/>
      <c r="O8" s="79"/>
      <c r="P8" s="79"/>
      <c r="Q8" s="79"/>
      <c r="R8" s="79"/>
      <c r="S8" s="80"/>
      <c r="T8" s="69"/>
      <c r="U8" s="70"/>
      <c r="V8" s="70"/>
      <c r="W8" s="70"/>
      <c r="X8" s="70"/>
      <c r="Y8" s="71"/>
      <c r="Z8" s="67"/>
      <c r="AA8" s="65"/>
      <c r="AB8" s="31">
        <f t="shared" ref="AB8:AB10" si="0">SUM(D8:AA8)</f>
        <v>0</v>
      </c>
      <c r="AC8" s="13" t="str">
        <f>CONCATENATE(IF(AB9&gt;AB8," * No Screened in OPD "&amp;$AB$19&amp;" is more than Number Seen at OPD "&amp;CHAR(10),""))</f>
        <v/>
      </c>
      <c r="AD8" s="561" t="str">
        <f>CONCATENATE(AC8,AC9,AC10,AC11,AC12,AC13,AC15,AC16,AC17,AC18,AC14)</f>
        <v/>
      </c>
      <c r="AE8" s="14"/>
      <c r="AF8" s="444" t="str">
        <f>CONCATENATE(AE8,AE9,AE10,AE11,AE12,AE13,AE14,AE15,AE16,AE17,AE18)</f>
        <v/>
      </c>
      <c r="AG8" s="91">
        <v>7</v>
      </c>
    </row>
    <row r="9" spans="1:33" ht="34.5" hidden="1" thickBot="1" x14ac:dyDescent="0.7">
      <c r="A9" s="448"/>
      <c r="B9" s="163" t="s">
        <v>44</v>
      </c>
      <c r="C9" s="176" t="s">
        <v>68</v>
      </c>
      <c r="D9" s="61"/>
      <c r="E9" s="61"/>
      <c r="F9" s="61"/>
      <c r="G9" s="77"/>
      <c r="H9" s="81"/>
      <c r="I9" s="65"/>
      <c r="J9" s="65"/>
      <c r="K9" s="65"/>
      <c r="L9" s="65"/>
      <c r="M9" s="65"/>
      <c r="N9" s="65"/>
      <c r="O9" s="65"/>
      <c r="P9" s="65"/>
      <c r="Q9" s="65"/>
      <c r="R9" s="65"/>
      <c r="S9" s="82"/>
      <c r="T9" s="72"/>
      <c r="U9" s="61"/>
      <c r="V9" s="61"/>
      <c r="W9" s="61"/>
      <c r="X9" s="61"/>
      <c r="Y9" s="73"/>
      <c r="Z9" s="67"/>
      <c r="AA9" s="65"/>
      <c r="AB9" s="31">
        <f t="shared" si="0"/>
        <v>0</v>
      </c>
      <c r="AC9" s="13" t="str">
        <f>CONCATENATE(IF(AB10&gt;AB9," * No Eligible for HTS Testing "&amp;$AB$19&amp;" is more than No Screened for HTS Eligibility "&amp;CHAR(10),""))</f>
        <v/>
      </c>
      <c r="AD9" s="562"/>
      <c r="AE9" s="14"/>
      <c r="AF9" s="445"/>
      <c r="AG9" s="91">
        <v>8</v>
      </c>
    </row>
    <row r="10" spans="1:33" ht="34.5" hidden="1" thickBot="1" x14ac:dyDescent="0.7">
      <c r="A10" s="449"/>
      <c r="B10" s="164" t="s">
        <v>42</v>
      </c>
      <c r="C10" s="176" t="s">
        <v>69</v>
      </c>
      <c r="D10" s="61"/>
      <c r="E10" s="61"/>
      <c r="F10" s="61"/>
      <c r="G10" s="77"/>
      <c r="H10" s="83"/>
      <c r="I10" s="84"/>
      <c r="J10" s="84"/>
      <c r="K10" s="84"/>
      <c r="L10" s="84"/>
      <c r="M10" s="84"/>
      <c r="N10" s="84"/>
      <c r="O10" s="84"/>
      <c r="P10" s="84"/>
      <c r="Q10" s="84"/>
      <c r="R10" s="84"/>
      <c r="S10" s="85"/>
      <c r="T10" s="74"/>
      <c r="U10" s="75"/>
      <c r="V10" s="75"/>
      <c r="W10" s="75"/>
      <c r="X10" s="75"/>
      <c r="Y10" s="76"/>
      <c r="Z10" s="68"/>
      <c r="AA10" s="66"/>
      <c r="AB10" s="31">
        <f t="shared" si="0"/>
        <v>0</v>
      </c>
      <c r="AC10" s="23"/>
      <c r="AD10" s="562"/>
      <c r="AE10" s="14"/>
      <c r="AF10" s="445"/>
      <c r="AG10" s="91">
        <v>9</v>
      </c>
    </row>
    <row r="11" spans="1:33" ht="34.5" hidden="1" thickBot="1" x14ac:dyDescent="0.7">
      <c r="A11" s="447" t="s">
        <v>50</v>
      </c>
      <c r="B11" s="162" t="s">
        <v>58</v>
      </c>
      <c r="C11" s="176" t="s">
        <v>70</v>
      </c>
      <c r="D11" s="60"/>
      <c r="E11" s="61"/>
      <c r="F11" s="61"/>
      <c r="G11" s="61"/>
      <c r="H11" s="61"/>
      <c r="I11" s="61"/>
      <c r="J11" s="61"/>
      <c r="K11" s="61"/>
      <c r="L11" s="61"/>
      <c r="M11" s="61"/>
      <c r="N11" s="61"/>
      <c r="O11" s="61"/>
      <c r="P11" s="61"/>
      <c r="Q11" s="61"/>
      <c r="R11" s="61"/>
      <c r="S11" s="61"/>
      <c r="T11" s="61"/>
      <c r="U11" s="61"/>
      <c r="V11" s="61"/>
      <c r="W11" s="61"/>
      <c r="X11" s="61"/>
      <c r="Y11" s="61"/>
      <c r="Z11" s="61"/>
      <c r="AA11" s="62"/>
      <c r="AB11" s="63"/>
      <c r="AC11" s="13"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562"/>
      <c r="AE11" s="14"/>
      <c r="AF11" s="445"/>
      <c r="AG11" s="91">
        <v>10</v>
      </c>
    </row>
    <row r="12" spans="1:33" hidden="1" x14ac:dyDescent="0.65">
      <c r="A12" s="448"/>
      <c r="B12" s="163" t="s">
        <v>44</v>
      </c>
      <c r="C12" s="177" t="s">
        <v>52</v>
      </c>
      <c r="D12" s="55"/>
      <c r="E12" s="50"/>
      <c r="F12" s="50"/>
      <c r="G12" s="50"/>
      <c r="H12" s="50"/>
      <c r="I12" s="50"/>
      <c r="J12" s="50"/>
      <c r="K12" s="50"/>
      <c r="L12" s="50"/>
      <c r="M12" s="50"/>
      <c r="N12" s="50"/>
      <c r="O12" s="50"/>
      <c r="P12" s="50"/>
      <c r="Q12" s="50"/>
      <c r="R12" s="50"/>
      <c r="S12" s="50"/>
      <c r="T12" s="50"/>
      <c r="U12" s="50"/>
      <c r="V12" s="50"/>
      <c r="W12" s="50"/>
      <c r="X12" s="50"/>
      <c r="Y12" s="50"/>
      <c r="Z12" s="50"/>
      <c r="AA12" s="56"/>
      <c r="AB12" s="41">
        <f t="shared" ref="AB12:AB17" si="1">SUM(D12:AA12)</f>
        <v>0</v>
      </c>
      <c r="AC12" s="13"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562"/>
      <c r="AE12" s="14"/>
      <c r="AF12" s="445"/>
      <c r="AG12" s="91">
        <v>11</v>
      </c>
    </row>
    <row r="13" spans="1:33" ht="34.5" hidden="1" thickBot="1" x14ac:dyDescent="0.7">
      <c r="A13" s="449"/>
      <c r="B13" s="164" t="s">
        <v>42</v>
      </c>
      <c r="C13" s="178" t="s">
        <v>53</v>
      </c>
      <c r="D13" s="57"/>
      <c r="E13" s="58"/>
      <c r="F13" s="58"/>
      <c r="G13" s="58"/>
      <c r="H13" s="58"/>
      <c r="I13" s="58"/>
      <c r="J13" s="58"/>
      <c r="K13" s="58"/>
      <c r="L13" s="58"/>
      <c r="M13" s="58"/>
      <c r="N13" s="58"/>
      <c r="O13" s="58"/>
      <c r="P13" s="58"/>
      <c r="Q13" s="58"/>
      <c r="R13" s="58"/>
      <c r="S13" s="58"/>
      <c r="T13" s="58"/>
      <c r="U13" s="58"/>
      <c r="V13" s="58"/>
      <c r="W13" s="58"/>
      <c r="X13" s="58"/>
      <c r="Y13" s="58"/>
      <c r="Z13" s="58"/>
      <c r="AA13" s="59"/>
      <c r="AB13" s="51">
        <f t="shared" si="1"/>
        <v>0</v>
      </c>
      <c r="AC13" s="23"/>
      <c r="AD13" s="562"/>
      <c r="AE13" s="14"/>
      <c r="AF13" s="445"/>
      <c r="AG13" s="91">
        <v>12</v>
      </c>
    </row>
    <row r="14" spans="1:33" s="24" customFormat="1" ht="36" hidden="1" thickBot="1" x14ac:dyDescent="0.8">
      <c r="A14" s="210" t="s">
        <v>61</v>
      </c>
      <c r="B14" s="165" t="s">
        <v>60</v>
      </c>
      <c r="C14" s="179" t="s">
        <v>54</v>
      </c>
      <c r="D14" s="43">
        <f t="shared" ref="D14:E14" si="2">D13+D10</f>
        <v>0</v>
      </c>
      <c r="E14" s="43">
        <f t="shared" si="2"/>
        <v>0</v>
      </c>
      <c r="F14" s="43">
        <f>F13+F10</f>
        <v>0</v>
      </c>
      <c r="G14" s="43">
        <f t="shared" ref="G14:AA14" si="3">G13+G10</f>
        <v>0</v>
      </c>
      <c r="H14" s="43">
        <f t="shared" si="3"/>
        <v>0</v>
      </c>
      <c r="I14" s="43">
        <f t="shared" si="3"/>
        <v>0</v>
      </c>
      <c r="J14" s="43">
        <f t="shared" si="3"/>
        <v>0</v>
      </c>
      <c r="K14" s="43">
        <f t="shared" si="3"/>
        <v>0</v>
      </c>
      <c r="L14" s="43">
        <f t="shared" si="3"/>
        <v>0</v>
      </c>
      <c r="M14" s="43">
        <f t="shared" si="3"/>
        <v>0</v>
      </c>
      <c r="N14" s="43">
        <f t="shared" si="3"/>
        <v>0</v>
      </c>
      <c r="O14" s="43">
        <f t="shared" si="3"/>
        <v>0</v>
      </c>
      <c r="P14" s="43">
        <f t="shared" si="3"/>
        <v>0</v>
      </c>
      <c r="Q14" s="43">
        <f t="shared" si="3"/>
        <v>0</v>
      </c>
      <c r="R14" s="43">
        <f t="shared" si="3"/>
        <v>0</v>
      </c>
      <c r="S14" s="43">
        <f t="shared" si="3"/>
        <v>0</v>
      </c>
      <c r="T14" s="43">
        <f t="shared" si="3"/>
        <v>0</v>
      </c>
      <c r="U14" s="43">
        <f t="shared" si="3"/>
        <v>0</v>
      </c>
      <c r="V14" s="43">
        <f t="shared" si="3"/>
        <v>0</v>
      </c>
      <c r="W14" s="43">
        <f t="shared" si="3"/>
        <v>0</v>
      </c>
      <c r="X14" s="43">
        <f t="shared" si="3"/>
        <v>0</v>
      </c>
      <c r="Y14" s="43">
        <f t="shared" si="3"/>
        <v>0</v>
      </c>
      <c r="Z14" s="43">
        <f t="shared" si="3"/>
        <v>0</v>
      </c>
      <c r="AA14" s="43">
        <f t="shared" si="3"/>
        <v>0</v>
      </c>
      <c r="AB14" s="40">
        <f t="shared" si="1"/>
        <v>0</v>
      </c>
      <c r="AC14" s="33"/>
      <c r="AD14" s="562"/>
      <c r="AE14" s="34"/>
      <c r="AF14" s="445"/>
      <c r="AG14" s="91">
        <v>13</v>
      </c>
    </row>
    <row r="15" spans="1:33" hidden="1" x14ac:dyDescent="0.65">
      <c r="A15" s="447" t="s">
        <v>51</v>
      </c>
      <c r="B15" s="162" t="s">
        <v>59</v>
      </c>
      <c r="C15" s="179" t="s">
        <v>55</v>
      </c>
      <c r="D15" s="52"/>
      <c r="E15" s="53"/>
      <c r="F15" s="53"/>
      <c r="G15" s="53"/>
      <c r="H15" s="53"/>
      <c r="I15" s="53"/>
      <c r="J15" s="53"/>
      <c r="K15" s="53"/>
      <c r="L15" s="53"/>
      <c r="M15" s="53"/>
      <c r="N15" s="53"/>
      <c r="O15" s="53"/>
      <c r="P15" s="53"/>
      <c r="Q15" s="53"/>
      <c r="R15" s="53"/>
      <c r="S15" s="53"/>
      <c r="T15" s="53"/>
      <c r="U15" s="53"/>
      <c r="V15" s="53"/>
      <c r="W15" s="53"/>
      <c r="X15" s="53"/>
      <c r="Y15" s="53"/>
      <c r="Z15" s="53"/>
      <c r="AA15" s="54"/>
      <c r="AB15" s="30">
        <f t="shared" si="1"/>
        <v>0</v>
      </c>
      <c r="AC15" s="13"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562"/>
      <c r="AE15" s="14"/>
      <c r="AF15" s="445"/>
      <c r="AG15" s="91">
        <v>14</v>
      </c>
    </row>
    <row r="16" spans="1:33" hidden="1" x14ac:dyDescent="0.65">
      <c r="A16" s="448"/>
      <c r="B16" s="166" t="s">
        <v>44</v>
      </c>
      <c r="C16" s="177" t="s">
        <v>56</v>
      </c>
      <c r="D16" s="55"/>
      <c r="E16" s="50"/>
      <c r="F16" s="50"/>
      <c r="G16" s="50"/>
      <c r="H16" s="50"/>
      <c r="I16" s="50"/>
      <c r="J16" s="50"/>
      <c r="K16" s="50"/>
      <c r="L16" s="50"/>
      <c r="M16" s="50"/>
      <c r="N16" s="50"/>
      <c r="O16" s="50"/>
      <c r="P16" s="50"/>
      <c r="Q16" s="50"/>
      <c r="R16" s="50"/>
      <c r="S16" s="50"/>
      <c r="T16" s="50"/>
      <c r="U16" s="50"/>
      <c r="V16" s="50"/>
      <c r="W16" s="50"/>
      <c r="X16" s="50"/>
      <c r="Y16" s="50"/>
      <c r="Z16" s="50"/>
      <c r="AA16" s="56"/>
      <c r="AB16" s="35">
        <f t="shared" si="1"/>
        <v>0</v>
      </c>
      <c r="AC16" s="13"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562"/>
      <c r="AE16" s="14"/>
      <c r="AF16" s="445"/>
      <c r="AG16" s="91">
        <v>15</v>
      </c>
    </row>
    <row r="17" spans="1:33" ht="34.5" hidden="1" thickBot="1" x14ac:dyDescent="0.7">
      <c r="A17" s="449"/>
      <c r="B17" s="164" t="s">
        <v>42</v>
      </c>
      <c r="C17" s="178" t="s">
        <v>57</v>
      </c>
      <c r="D17" s="57"/>
      <c r="E17" s="58"/>
      <c r="F17" s="58"/>
      <c r="G17" s="58"/>
      <c r="H17" s="58"/>
      <c r="I17" s="58"/>
      <c r="J17" s="58"/>
      <c r="K17" s="58"/>
      <c r="L17" s="58"/>
      <c r="M17" s="58"/>
      <c r="N17" s="58"/>
      <c r="O17" s="58"/>
      <c r="P17" s="58"/>
      <c r="Q17" s="58"/>
      <c r="R17" s="58"/>
      <c r="S17" s="58"/>
      <c r="T17" s="58"/>
      <c r="U17" s="58"/>
      <c r="V17" s="58"/>
      <c r="W17" s="58"/>
      <c r="X17" s="58"/>
      <c r="Y17" s="58"/>
      <c r="Z17" s="58"/>
      <c r="AA17" s="59"/>
      <c r="AB17" s="42">
        <f t="shared" si="1"/>
        <v>0</v>
      </c>
      <c r="AC17" s="23"/>
      <c r="AD17" s="562"/>
      <c r="AE17" s="14"/>
      <c r="AF17" s="445"/>
      <c r="AG17" s="91">
        <v>16</v>
      </c>
    </row>
    <row r="18" spans="1:33" ht="36" hidden="1" thickBot="1" x14ac:dyDescent="0.8">
      <c r="A18" s="211"/>
      <c r="B18" s="165" t="s">
        <v>168</v>
      </c>
      <c r="C18" s="180" t="s">
        <v>71</v>
      </c>
      <c r="D18" s="39">
        <f t="shared" ref="D18:E18" si="4">D17+D13+D10</f>
        <v>0</v>
      </c>
      <c r="E18" s="39">
        <f t="shared" si="4"/>
        <v>0</v>
      </c>
      <c r="F18" s="39">
        <f>F17+F13+F10</f>
        <v>0</v>
      </c>
      <c r="G18" s="39">
        <f t="shared" ref="G18:AB18" si="5">G17+G13+G10</f>
        <v>0</v>
      </c>
      <c r="H18" s="39">
        <f t="shared" si="5"/>
        <v>0</v>
      </c>
      <c r="I18" s="39">
        <f t="shared" si="5"/>
        <v>0</v>
      </c>
      <c r="J18" s="39">
        <f t="shared" si="5"/>
        <v>0</v>
      </c>
      <c r="K18" s="39">
        <f t="shared" si="5"/>
        <v>0</v>
      </c>
      <c r="L18" s="39">
        <f t="shared" si="5"/>
        <v>0</v>
      </c>
      <c r="M18" s="39">
        <f t="shared" si="5"/>
        <v>0</v>
      </c>
      <c r="N18" s="39">
        <f t="shared" si="5"/>
        <v>0</v>
      </c>
      <c r="O18" s="39">
        <f t="shared" si="5"/>
        <v>0</v>
      </c>
      <c r="P18" s="39">
        <f t="shared" si="5"/>
        <v>0</v>
      </c>
      <c r="Q18" s="39">
        <f t="shared" si="5"/>
        <v>0</v>
      </c>
      <c r="R18" s="39">
        <f t="shared" si="5"/>
        <v>0</v>
      </c>
      <c r="S18" s="39">
        <f t="shared" si="5"/>
        <v>0</v>
      </c>
      <c r="T18" s="39">
        <f t="shared" si="5"/>
        <v>0</v>
      </c>
      <c r="U18" s="39">
        <f t="shared" si="5"/>
        <v>0</v>
      </c>
      <c r="V18" s="39">
        <f t="shared" si="5"/>
        <v>0</v>
      </c>
      <c r="W18" s="39">
        <f t="shared" si="5"/>
        <v>0</v>
      </c>
      <c r="X18" s="39">
        <f t="shared" si="5"/>
        <v>0</v>
      </c>
      <c r="Y18" s="39">
        <f t="shared" si="5"/>
        <v>0</v>
      </c>
      <c r="Z18" s="39">
        <f t="shared" si="5"/>
        <v>0</v>
      </c>
      <c r="AA18" s="39">
        <f t="shared" si="5"/>
        <v>0</v>
      </c>
      <c r="AB18" s="39">
        <f t="shared" si="5"/>
        <v>0</v>
      </c>
      <c r="AC18" s="23"/>
      <c r="AD18" s="563"/>
      <c r="AE18" s="14"/>
      <c r="AF18" s="446"/>
      <c r="AG18" s="91">
        <v>17</v>
      </c>
    </row>
    <row r="19" spans="1:33" s="168" customFormat="1" ht="39.75" customHeight="1" x14ac:dyDescent="0.6">
      <c r="A19" s="474" t="s">
        <v>17</v>
      </c>
      <c r="B19" s="472" t="s">
        <v>25</v>
      </c>
      <c r="C19" s="393" t="s">
        <v>24</v>
      </c>
      <c r="D19" s="560" t="s">
        <v>0</v>
      </c>
      <c r="E19" s="451"/>
      <c r="F19" s="450" t="s">
        <v>1</v>
      </c>
      <c r="G19" s="451"/>
      <c r="H19" s="450" t="s">
        <v>2</v>
      </c>
      <c r="I19" s="451"/>
      <c r="J19" s="450" t="s">
        <v>3</v>
      </c>
      <c r="K19" s="451"/>
      <c r="L19" s="450" t="s">
        <v>4</v>
      </c>
      <c r="M19" s="451"/>
      <c r="N19" s="450" t="s">
        <v>5</v>
      </c>
      <c r="O19" s="451"/>
      <c r="P19" s="450" t="s">
        <v>6</v>
      </c>
      <c r="Q19" s="451"/>
      <c r="R19" s="450" t="s">
        <v>7</v>
      </c>
      <c r="S19" s="451"/>
      <c r="T19" s="450" t="s">
        <v>8</v>
      </c>
      <c r="U19" s="451"/>
      <c r="V19" s="450" t="s">
        <v>14</v>
      </c>
      <c r="W19" s="451"/>
      <c r="X19" s="450" t="s">
        <v>15</v>
      </c>
      <c r="Y19" s="451"/>
      <c r="Z19" s="450" t="s">
        <v>9</v>
      </c>
      <c r="AA19" s="451"/>
      <c r="AB19" s="469" t="s">
        <v>12</v>
      </c>
      <c r="AC19" s="467" t="s">
        <v>26</v>
      </c>
      <c r="AD19" s="452" t="s">
        <v>31</v>
      </c>
      <c r="AE19" s="477" t="s">
        <v>32</v>
      </c>
      <c r="AF19" s="456" t="s">
        <v>32</v>
      </c>
      <c r="AG19" s="167">
        <v>19</v>
      </c>
    </row>
    <row r="20" spans="1:33" s="168" customFormat="1" ht="33" customHeight="1" thickBot="1" x14ac:dyDescent="0.65">
      <c r="A20" s="475"/>
      <c r="B20" s="473"/>
      <c r="C20" s="471"/>
      <c r="D20" s="169" t="s">
        <v>10</v>
      </c>
      <c r="E20" s="169" t="s">
        <v>11</v>
      </c>
      <c r="F20" s="169" t="s">
        <v>10</v>
      </c>
      <c r="G20" s="169" t="s">
        <v>11</v>
      </c>
      <c r="H20" s="169" t="s">
        <v>10</v>
      </c>
      <c r="I20" s="169" t="s">
        <v>11</v>
      </c>
      <c r="J20" s="169" t="s">
        <v>10</v>
      </c>
      <c r="K20" s="169" t="s">
        <v>11</v>
      </c>
      <c r="L20" s="169" t="s">
        <v>10</v>
      </c>
      <c r="M20" s="169" t="s">
        <v>11</v>
      </c>
      <c r="N20" s="169" t="s">
        <v>10</v>
      </c>
      <c r="O20" s="169" t="s">
        <v>11</v>
      </c>
      <c r="P20" s="169" t="s">
        <v>10</v>
      </c>
      <c r="Q20" s="169" t="s">
        <v>11</v>
      </c>
      <c r="R20" s="169" t="s">
        <v>10</v>
      </c>
      <c r="S20" s="169" t="s">
        <v>11</v>
      </c>
      <c r="T20" s="169" t="s">
        <v>10</v>
      </c>
      <c r="U20" s="169" t="s">
        <v>11</v>
      </c>
      <c r="V20" s="169" t="s">
        <v>10</v>
      </c>
      <c r="W20" s="169" t="s">
        <v>11</v>
      </c>
      <c r="X20" s="169" t="s">
        <v>10</v>
      </c>
      <c r="Y20" s="169" t="s">
        <v>11</v>
      </c>
      <c r="Z20" s="169" t="s">
        <v>10</v>
      </c>
      <c r="AA20" s="169" t="s">
        <v>11</v>
      </c>
      <c r="AB20" s="470"/>
      <c r="AC20" s="468"/>
      <c r="AD20" s="453"/>
      <c r="AE20" s="478"/>
      <c r="AF20" s="457"/>
      <c r="AG20" s="167">
        <v>20</v>
      </c>
    </row>
    <row r="21" spans="1:33" s="4" customFormat="1" ht="38.25" customHeight="1" thickBot="1" x14ac:dyDescent="0.3">
      <c r="A21" s="409" t="s">
        <v>428</v>
      </c>
      <c r="B21" s="410"/>
      <c r="C21" s="410"/>
      <c r="D21" s="410"/>
      <c r="E21" s="410"/>
      <c r="F21" s="410"/>
      <c r="G21" s="410"/>
      <c r="H21" s="410"/>
      <c r="I21" s="410"/>
      <c r="J21" s="410"/>
      <c r="K21" s="410"/>
      <c r="L21" s="410"/>
      <c r="M21" s="410"/>
      <c r="N21" s="410"/>
      <c r="O21" s="410"/>
      <c r="P21" s="410"/>
      <c r="Q21" s="410"/>
      <c r="R21" s="410"/>
      <c r="S21" s="410"/>
      <c r="T21" s="410"/>
      <c r="U21" s="410"/>
      <c r="V21" s="410"/>
      <c r="W21" s="410"/>
      <c r="X21" s="410"/>
      <c r="Y21" s="410"/>
      <c r="Z21" s="410"/>
      <c r="AA21" s="410"/>
      <c r="AB21" s="410"/>
      <c r="AC21" s="410"/>
      <c r="AD21" s="410"/>
      <c r="AE21" s="410"/>
      <c r="AF21" s="567"/>
      <c r="AG21" s="260">
        <v>93</v>
      </c>
    </row>
    <row r="22" spans="1:33" s="4" customFormat="1" ht="38.25" customHeight="1" thickBot="1" x14ac:dyDescent="0.3">
      <c r="A22" s="458" t="s">
        <v>74</v>
      </c>
      <c r="B22" s="459"/>
      <c r="C22" s="460"/>
      <c r="D22" s="459"/>
      <c r="E22" s="459"/>
      <c r="F22" s="459"/>
      <c r="G22" s="459"/>
      <c r="H22" s="459"/>
      <c r="I22" s="459"/>
      <c r="J22" s="459"/>
      <c r="K22" s="459"/>
      <c r="L22" s="459"/>
      <c r="M22" s="459"/>
      <c r="N22" s="459"/>
      <c r="O22" s="459"/>
      <c r="P22" s="459"/>
      <c r="Q22" s="459"/>
      <c r="R22" s="459"/>
      <c r="S22" s="459"/>
      <c r="T22" s="459"/>
      <c r="U22" s="459"/>
      <c r="V22" s="459"/>
      <c r="W22" s="459"/>
      <c r="X22" s="459"/>
      <c r="Y22" s="459"/>
      <c r="Z22" s="459"/>
      <c r="AA22" s="459"/>
      <c r="AB22" s="459"/>
      <c r="AC22" s="459"/>
      <c r="AD22" s="461"/>
      <c r="AE22" s="459"/>
      <c r="AF22" s="462"/>
      <c r="AG22" s="110">
        <v>18</v>
      </c>
    </row>
    <row r="23" spans="1:33" s="4" customFormat="1" ht="38.25" customHeight="1" thickBot="1" x14ac:dyDescent="0.3">
      <c r="A23" s="217" t="s">
        <v>75</v>
      </c>
      <c r="B23" s="217" t="s">
        <v>75</v>
      </c>
      <c r="C23" s="236" t="s">
        <v>682</v>
      </c>
      <c r="D23" s="311">
        <f>SUM(D24:D28)</f>
        <v>0</v>
      </c>
      <c r="E23" s="312">
        <f t="shared" ref="E23:L23" si="6">SUM(E24:E28)</f>
        <v>0</v>
      </c>
      <c r="F23" s="312">
        <f t="shared" si="6"/>
        <v>0</v>
      </c>
      <c r="G23" s="312">
        <f t="shared" si="6"/>
        <v>0</v>
      </c>
      <c r="H23" s="312">
        <f t="shared" si="6"/>
        <v>0</v>
      </c>
      <c r="I23" s="312">
        <f t="shared" si="6"/>
        <v>0</v>
      </c>
      <c r="J23" s="312">
        <f t="shared" si="6"/>
        <v>0</v>
      </c>
      <c r="K23" s="312">
        <f t="shared" si="6"/>
        <v>0</v>
      </c>
      <c r="L23" s="312">
        <f t="shared" si="6"/>
        <v>0</v>
      </c>
      <c r="M23" s="312">
        <f t="shared" ref="M23" si="7">SUM(M24:M28)</f>
        <v>0</v>
      </c>
      <c r="N23" s="312">
        <f t="shared" ref="N23" si="8">SUM(N24:N28)</f>
        <v>0</v>
      </c>
      <c r="O23" s="312">
        <f t="shared" ref="O23" si="9">SUM(O24:O28)</f>
        <v>0</v>
      </c>
      <c r="P23" s="312">
        <f t="shared" ref="P23" si="10">SUM(P24:P28)</f>
        <v>0</v>
      </c>
      <c r="Q23" s="312">
        <f t="shared" ref="Q23" si="11">SUM(Q24:Q28)</f>
        <v>0</v>
      </c>
      <c r="R23" s="312">
        <f t="shared" ref="R23" si="12">SUM(R24:R28)</f>
        <v>0</v>
      </c>
      <c r="S23" s="312">
        <f t="shared" ref="S23" si="13">SUM(S24:S28)</f>
        <v>0</v>
      </c>
      <c r="T23" s="312">
        <f t="shared" ref="T23" si="14">SUM(T24:T28)</f>
        <v>0</v>
      </c>
      <c r="U23" s="312">
        <f t="shared" ref="U23" si="15">SUM(U24:U28)</f>
        <v>0</v>
      </c>
      <c r="V23" s="312">
        <f t="shared" ref="V23" si="16">SUM(V24:V28)</f>
        <v>0</v>
      </c>
      <c r="W23" s="312">
        <f t="shared" ref="W23" si="17">SUM(W24:W28)</f>
        <v>0</v>
      </c>
      <c r="X23" s="312">
        <f t="shared" ref="X23" si="18">SUM(X24:X28)</f>
        <v>0</v>
      </c>
      <c r="Y23" s="312">
        <f t="shared" ref="Y23" si="19">SUM(Y24:Y28)</f>
        <v>0</v>
      </c>
      <c r="Z23" s="312">
        <f t="shared" ref="Z23" si="20">SUM(Z24:Z28)</f>
        <v>0</v>
      </c>
      <c r="AA23" s="312">
        <f t="shared" ref="AA23" si="21">SUM(AA24:AA28)</f>
        <v>0</v>
      </c>
      <c r="AB23" s="312">
        <f t="shared" ref="AB23" si="22">SUM(AB24:AB28)</f>
        <v>0</v>
      </c>
      <c r="AC23" s="236"/>
      <c r="AD23" s="271"/>
      <c r="AE23" s="270"/>
      <c r="AF23" s="271"/>
      <c r="AG23" s="110"/>
    </row>
    <row r="24" spans="1:33" s="4" customFormat="1" ht="38.25" customHeight="1" x14ac:dyDescent="0.25">
      <c r="A24" s="479" t="s">
        <v>75</v>
      </c>
      <c r="B24" s="185" t="s">
        <v>76</v>
      </c>
      <c r="C24" s="197" t="s">
        <v>80</v>
      </c>
      <c r="D24" s="36"/>
      <c r="E24" s="27"/>
      <c r="F24" s="36"/>
      <c r="G24" s="27"/>
      <c r="H24" s="36"/>
      <c r="I24" s="27"/>
      <c r="J24" s="36"/>
      <c r="K24" s="121"/>
      <c r="L24" s="190">
        <f>SUM(L29:L31)</f>
        <v>0</v>
      </c>
      <c r="M24" s="190">
        <f t="shared" ref="M24:AA24" si="23">SUM(M29:M31)</f>
        <v>0</v>
      </c>
      <c r="N24" s="190">
        <f t="shared" si="23"/>
        <v>0</v>
      </c>
      <c r="O24" s="190">
        <f t="shared" si="23"/>
        <v>0</v>
      </c>
      <c r="P24" s="190">
        <f t="shared" si="23"/>
        <v>0</v>
      </c>
      <c r="Q24" s="190">
        <f t="shared" si="23"/>
        <v>0</v>
      </c>
      <c r="R24" s="190">
        <f t="shared" si="23"/>
        <v>0</v>
      </c>
      <c r="S24" s="190">
        <f t="shared" si="23"/>
        <v>0</v>
      </c>
      <c r="T24" s="190">
        <f t="shared" si="23"/>
        <v>0</v>
      </c>
      <c r="U24" s="190">
        <f t="shared" si="23"/>
        <v>0</v>
      </c>
      <c r="V24" s="190">
        <f t="shared" si="23"/>
        <v>0</v>
      </c>
      <c r="W24" s="190">
        <f t="shared" si="23"/>
        <v>0</v>
      </c>
      <c r="X24" s="190">
        <f t="shared" si="23"/>
        <v>0</v>
      </c>
      <c r="Y24" s="190">
        <f t="shared" si="23"/>
        <v>0</v>
      </c>
      <c r="Z24" s="190">
        <f t="shared" si="23"/>
        <v>0</v>
      </c>
      <c r="AA24" s="190">
        <f t="shared" si="23"/>
        <v>0</v>
      </c>
      <c r="AB24" s="242">
        <f t="shared" ref="AB24" si="24">SUM(AB29:AB31)</f>
        <v>0</v>
      </c>
      <c r="AC24" s="308"/>
      <c r="AD24" s="412" t="str">
        <f>CONCATENATE(AC24,AC25,AC26,AC27,AC28,AC29,AC30,AC31,AC32,AC33,AC35,AC37,AC40,AC42,AC43,AC41,AC39)</f>
        <v/>
      </c>
      <c r="AE24" s="123"/>
      <c r="AF24" s="557" t="str">
        <f>CONCATENATE(AE24,AE25,AE26,AE27,AE28,AE29,AE30,AE31,AE32,AE33,AE34,AE35,AE36,AE37,AE38,AE39,AE40,AE41,AE42,AE43)</f>
        <v/>
      </c>
      <c r="AG24" s="110">
        <v>21</v>
      </c>
    </row>
    <row r="25" spans="1:33" s="4" customFormat="1" ht="38.25" customHeight="1" x14ac:dyDescent="0.25">
      <c r="A25" s="480"/>
      <c r="B25" s="186" t="s">
        <v>77</v>
      </c>
      <c r="C25" s="198" t="s">
        <v>81</v>
      </c>
      <c r="D25" s="36"/>
      <c r="E25" s="27"/>
      <c r="F25" s="36"/>
      <c r="G25" s="27"/>
      <c r="H25" s="36"/>
      <c r="I25" s="27"/>
      <c r="J25" s="36"/>
      <c r="K25" s="121"/>
      <c r="L25" s="120">
        <f>SUM(L32:L34)</f>
        <v>0</v>
      </c>
      <c r="M25" s="120">
        <f t="shared" ref="M25:AA25" si="25">SUM(M32:M34)</f>
        <v>0</v>
      </c>
      <c r="N25" s="120">
        <f t="shared" si="25"/>
        <v>0</v>
      </c>
      <c r="O25" s="120">
        <f t="shared" si="25"/>
        <v>0</v>
      </c>
      <c r="P25" s="120">
        <f t="shared" si="25"/>
        <v>0</v>
      </c>
      <c r="Q25" s="120">
        <f t="shared" si="25"/>
        <v>0</v>
      </c>
      <c r="R25" s="120">
        <f t="shared" si="25"/>
        <v>0</v>
      </c>
      <c r="S25" s="120">
        <f t="shared" si="25"/>
        <v>0</v>
      </c>
      <c r="T25" s="120">
        <f t="shared" si="25"/>
        <v>0</v>
      </c>
      <c r="U25" s="120">
        <f t="shared" si="25"/>
        <v>0</v>
      </c>
      <c r="V25" s="120">
        <f t="shared" si="25"/>
        <v>0</v>
      </c>
      <c r="W25" s="120">
        <f t="shared" si="25"/>
        <v>0</v>
      </c>
      <c r="X25" s="120">
        <f t="shared" si="25"/>
        <v>0</v>
      </c>
      <c r="Y25" s="120">
        <f t="shared" si="25"/>
        <v>0</v>
      </c>
      <c r="Z25" s="120">
        <f t="shared" si="25"/>
        <v>0</v>
      </c>
      <c r="AA25" s="120">
        <f t="shared" si="25"/>
        <v>0</v>
      </c>
      <c r="AB25" s="243">
        <f t="shared" ref="AB25" si="26">SUM(AB32:AB34)</f>
        <v>0</v>
      </c>
      <c r="AC25" s="309"/>
      <c r="AD25" s="413"/>
      <c r="AE25" s="124"/>
      <c r="AF25" s="558"/>
      <c r="AG25" s="110">
        <v>22</v>
      </c>
    </row>
    <row r="26" spans="1:33" s="4" customFormat="1" ht="38.25" customHeight="1" x14ac:dyDescent="0.25">
      <c r="A26" s="480"/>
      <c r="B26" s="186" t="s">
        <v>435</v>
      </c>
      <c r="C26" s="198" t="s">
        <v>82</v>
      </c>
      <c r="D26" s="36"/>
      <c r="E26" s="27"/>
      <c r="F26" s="36"/>
      <c r="G26" s="27"/>
      <c r="H26" s="36"/>
      <c r="I26" s="27"/>
      <c r="J26" s="36"/>
      <c r="K26" s="121"/>
      <c r="L26" s="120">
        <f>SUM(L35:L37)</f>
        <v>0</v>
      </c>
      <c r="M26" s="64">
        <f t="shared" ref="M26:AA26" si="27">SUM(M35:M37)</f>
        <v>0</v>
      </c>
      <c r="N26" s="64">
        <f t="shared" si="27"/>
        <v>0</v>
      </c>
      <c r="O26" s="64">
        <f t="shared" si="27"/>
        <v>0</v>
      </c>
      <c r="P26" s="64">
        <f t="shared" si="27"/>
        <v>0</v>
      </c>
      <c r="Q26" s="64">
        <f t="shared" si="27"/>
        <v>0</v>
      </c>
      <c r="R26" s="64">
        <f t="shared" si="27"/>
        <v>0</v>
      </c>
      <c r="S26" s="64">
        <f t="shared" si="27"/>
        <v>0</v>
      </c>
      <c r="T26" s="64">
        <f t="shared" si="27"/>
        <v>0</v>
      </c>
      <c r="U26" s="64">
        <f t="shared" si="27"/>
        <v>0</v>
      </c>
      <c r="V26" s="64">
        <f t="shared" si="27"/>
        <v>0</v>
      </c>
      <c r="W26" s="64">
        <f t="shared" si="27"/>
        <v>0</v>
      </c>
      <c r="X26" s="64">
        <f t="shared" si="27"/>
        <v>0</v>
      </c>
      <c r="Y26" s="64">
        <f t="shared" si="27"/>
        <v>0</v>
      </c>
      <c r="Z26" s="64">
        <f t="shared" si="27"/>
        <v>0</v>
      </c>
      <c r="AA26" s="99">
        <f t="shared" si="27"/>
        <v>0</v>
      </c>
      <c r="AB26" s="243">
        <f t="shared" ref="AB26" si="28">SUM(AB35:AB37)</f>
        <v>0</v>
      </c>
      <c r="AC26" s="125"/>
      <c r="AD26" s="413"/>
      <c r="AE26" s="126"/>
      <c r="AF26" s="558"/>
      <c r="AG26" s="110">
        <v>23</v>
      </c>
    </row>
    <row r="27" spans="1:33" s="4" customFormat="1" ht="38.25" customHeight="1" x14ac:dyDescent="0.25">
      <c r="A27" s="480"/>
      <c r="B27" s="186" t="s">
        <v>79</v>
      </c>
      <c r="C27" s="198" t="s">
        <v>83</v>
      </c>
      <c r="D27" s="36"/>
      <c r="E27" s="27"/>
      <c r="F27" s="36"/>
      <c r="G27" s="27"/>
      <c r="H27" s="36"/>
      <c r="I27" s="27"/>
      <c r="J27" s="36"/>
      <c r="K27" s="121"/>
      <c r="L27" s="64">
        <f t="shared" ref="L27:AA27" si="29">SUM(L38:L40)</f>
        <v>0</v>
      </c>
      <c r="M27" s="64">
        <f t="shared" si="29"/>
        <v>0</v>
      </c>
      <c r="N27" s="64">
        <f t="shared" si="29"/>
        <v>0</v>
      </c>
      <c r="O27" s="64">
        <f t="shared" si="29"/>
        <v>0</v>
      </c>
      <c r="P27" s="64">
        <f t="shared" si="29"/>
        <v>0</v>
      </c>
      <c r="Q27" s="64">
        <f t="shared" si="29"/>
        <v>0</v>
      </c>
      <c r="R27" s="64">
        <f t="shared" si="29"/>
        <v>0</v>
      </c>
      <c r="S27" s="64">
        <f t="shared" si="29"/>
        <v>0</v>
      </c>
      <c r="T27" s="64">
        <f t="shared" si="29"/>
        <v>0</v>
      </c>
      <c r="U27" s="64">
        <f t="shared" si="29"/>
        <v>0</v>
      </c>
      <c r="V27" s="64">
        <f t="shared" si="29"/>
        <v>0</v>
      </c>
      <c r="W27" s="64">
        <f t="shared" si="29"/>
        <v>0</v>
      </c>
      <c r="X27" s="64">
        <f t="shared" si="29"/>
        <v>0</v>
      </c>
      <c r="Y27" s="64">
        <f t="shared" si="29"/>
        <v>0</v>
      </c>
      <c r="Z27" s="64">
        <f t="shared" si="29"/>
        <v>0</v>
      </c>
      <c r="AA27" s="64">
        <f t="shared" si="29"/>
        <v>0</v>
      </c>
      <c r="AB27" s="243">
        <f t="shared" ref="AB27" si="30">SUM(AB38:AB40)</f>
        <v>0</v>
      </c>
      <c r="AC27" s="125"/>
      <c r="AD27" s="413"/>
      <c r="AE27" s="124"/>
      <c r="AF27" s="558"/>
      <c r="AG27" s="110">
        <v>24</v>
      </c>
    </row>
    <row r="28" spans="1:33" s="4" customFormat="1" ht="38.25" customHeight="1" thickBot="1" x14ac:dyDescent="0.3">
      <c r="A28" s="481"/>
      <c r="B28" s="187" t="s">
        <v>34</v>
      </c>
      <c r="C28" s="203" t="s">
        <v>84</v>
      </c>
      <c r="D28" s="97"/>
      <c r="E28" s="98"/>
      <c r="F28" s="97"/>
      <c r="G28" s="98"/>
      <c r="H28" s="97"/>
      <c r="I28" s="98"/>
      <c r="J28" s="97"/>
      <c r="K28" s="122"/>
      <c r="L28" s="120">
        <f>SUM(L41:L43)</f>
        <v>0</v>
      </c>
      <c r="M28" s="120">
        <f t="shared" ref="M28:AA28" si="31">SUM(M41:M43)</f>
        <v>0</v>
      </c>
      <c r="N28" s="120">
        <f t="shared" si="31"/>
        <v>0</v>
      </c>
      <c r="O28" s="120">
        <f t="shared" si="31"/>
        <v>0</v>
      </c>
      <c r="P28" s="120">
        <f t="shared" si="31"/>
        <v>0</v>
      </c>
      <c r="Q28" s="120">
        <f t="shared" si="31"/>
        <v>0</v>
      </c>
      <c r="R28" s="120">
        <f t="shared" si="31"/>
        <v>0</v>
      </c>
      <c r="S28" s="120">
        <f t="shared" si="31"/>
        <v>0</v>
      </c>
      <c r="T28" s="120">
        <f t="shared" si="31"/>
        <v>0</v>
      </c>
      <c r="U28" s="120">
        <f t="shared" si="31"/>
        <v>0</v>
      </c>
      <c r="V28" s="120">
        <f t="shared" si="31"/>
        <v>0</v>
      </c>
      <c r="W28" s="120">
        <f t="shared" si="31"/>
        <v>0</v>
      </c>
      <c r="X28" s="120">
        <f t="shared" si="31"/>
        <v>0</v>
      </c>
      <c r="Y28" s="120">
        <f t="shared" si="31"/>
        <v>0</v>
      </c>
      <c r="Z28" s="120">
        <f t="shared" si="31"/>
        <v>0</v>
      </c>
      <c r="AA28" s="120">
        <f t="shared" si="31"/>
        <v>0</v>
      </c>
      <c r="AB28" s="244">
        <f t="shared" ref="AB28" si="32">SUM(AB41:AB43)</f>
        <v>0</v>
      </c>
      <c r="AC28" s="306"/>
      <c r="AD28" s="413"/>
      <c r="AE28" s="124"/>
      <c r="AF28" s="558"/>
      <c r="AG28" s="110">
        <v>25</v>
      </c>
    </row>
    <row r="29" spans="1:33" s="4" customFormat="1" ht="38.25" customHeight="1" x14ac:dyDescent="0.25">
      <c r="A29" s="482" t="s">
        <v>76</v>
      </c>
      <c r="B29" s="145" t="s">
        <v>21</v>
      </c>
      <c r="C29" s="197" t="s">
        <v>85</v>
      </c>
      <c r="D29" s="37"/>
      <c r="E29" s="28"/>
      <c r="F29" s="37"/>
      <c r="G29" s="28"/>
      <c r="H29" s="37"/>
      <c r="I29" s="28"/>
      <c r="J29" s="37"/>
      <c r="K29" s="109"/>
      <c r="L29" s="18"/>
      <c r="M29" s="29"/>
      <c r="N29" s="29"/>
      <c r="O29" s="29"/>
      <c r="P29" s="29"/>
      <c r="Q29" s="29"/>
      <c r="R29" s="29"/>
      <c r="S29" s="29"/>
      <c r="T29" s="29"/>
      <c r="U29" s="29"/>
      <c r="V29" s="29"/>
      <c r="W29" s="29"/>
      <c r="X29" s="29"/>
      <c r="Y29" s="29"/>
      <c r="Z29" s="29"/>
      <c r="AA29" s="104"/>
      <c r="AB29" s="103">
        <f>SUM(D29:AA29)</f>
        <v>0</v>
      </c>
      <c r="AC29" s="307"/>
      <c r="AD29" s="413"/>
      <c r="AE29" s="124"/>
      <c r="AF29" s="558"/>
      <c r="AG29" s="110">
        <v>26</v>
      </c>
    </row>
    <row r="30" spans="1:33" s="4" customFormat="1" ht="38.25" customHeight="1" x14ac:dyDescent="0.25">
      <c r="A30" s="483"/>
      <c r="B30" s="146" t="s">
        <v>650</v>
      </c>
      <c r="C30" s="198" t="s">
        <v>86</v>
      </c>
      <c r="D30" s="36"/>
      <c r="E30" s="27"/>
      <c r="F30" s="36"/>
      <c r="G30" s="27"/>
      <c r="H30" s="36"/>
      <c r="I30" s="27"/>
      <c r="J30" s="36"/>
      <c r="K30" s="121"/>
      <c r="L30" s="19"/>
      <c r="M30" s="19"/>
      <c r="N30" s="19"/>
      <c r="O30" s="19"/>
      <c r="P30" s="19"/>
      <c r="Q30" s="19"/>
      <c r="R30" s="19"/>
      <c r="S30" s="19"/>
      <c r="T30" s="19"/>
      <c r="U30" s="19"/>
      <c r="V30" s="19"/>
      <c r="W30" s="19"/>
      <c r="X30" s="19"/>
      <c r="Y30" s="19"/>
      <c r="Z30" s="19"/>
      <c r="AA30" s="19"/>
      <c r="AB30" s="101">
        <f t="shared" ref="AB30:AB43" si="33">SUM(D30:AA30)</f>
        <v>0</v>
      </c>
      <c r="AC30" s="125"/>
      <c r="AD30" s="413"/>
      <c r="AE30" s="124"/>
      <c r="AF30" s="558"/>
      <c r="AG30" s="110">
        <v>27</v>
      </c>
    </row>
    <row r="31" spans="1:33" s="4" customFormat="1" ht="38.25" customHeight="1" thickBot="1" x14ac:dyDescent="0.3">
      <c r="A31" s="484"/>
      <c r="B31" s="147" t="s">
        <v>651</v>
      </c>
      <c r="C31" s="203" t="s">
        <v>87</v>
      </c>
      <c r="D31" s="97"/>
      <c r="E31" s="98"/>
      <c r="F31" s="97"/>
      <c r="G31" s="98"/>
      <c r="H31" s="97"/>
      <c r="I31" s="98"/>
      <c r="J31" s="97"/>
      <c r="K31" s="122"/>
      <c r="L31" s="17"/>
      <c r="M31" s="17"/>
      <c r="N31" s="17"/>
      <c r="O31" s="17"/>
      <c r="P31" s="17"/>
      <c r="Q31" s="17"/>
      <c r="R31" s="17"/>
      <c r="S31" s="17"/>
      <c r="T31" s="17"/>
      <c r="U31" s="17"/>
      <c r="V31" s="17"/>
      <c r="W31" s="17"/>
      <c r="X31" s="17"/>
      <c r="Y31" s="17"/>
      <c r="Z31" s="17"/>
      <c r="AA31" s="17"/>
      <c r="AB31" s="102">
        <f t="shared" si="33"/>
        <v>0</v>
      </c>
      <c r="AC31" s="125"/>
      <c r="AD31" s="413"/>
      <c r="AE31" s="124" t="str">
        <f>CONCATENATE(IF(AB31&gt;0," * You have patients who declined Testing on PWID Section.  "&amp;$AB$19&amp;" This needs explanation. "&amp;CHAR(10),""))</f>
        <v/>
      </c>
      <c r="AF31" s="558"/>
      <c r="AG31" s="110">
        <v>28</v>
      </c>
    </row>
    <row r="32" spans="1:33" s="4" customFormat="1" ht="38.25" customHeight="1" x14ac:dyDescent="0.25">
      <c r="A32" s="482" t="s">
        <v>77</v>
      </c>
      <c r="B32" s="145" t="s">
        <v>21</v>
      </c>
      <c r="C32" s="197" t="s">
        <v>88</v>
      </c>
      <c r="D32" s="37"/>
      <c r="E32" s="28"/>
      <c r="F32" s="37"/>
      <c r="G32" s="28"/>
      <c r="H32" s="37"/>
      <c r="I32" s="28"/>
      <c r="J32" s="37"/>
      <c r="K32" s="109"/>
      <c r="L32" s="18"/>
      <c r="M32" s="109"/>
      <c r="N32" s="29"/>
      <c r="O32" s="109"/>
      <c r="P32" s="29"/>
      <c r="Q32" s="109"/>
      <c r="R32" s="29"/>
      <c r="S32" s="109"/>
      <c r="T32" s="29"/>
      <c r="U32" s="109"/>
      <c r="V32" s="29"/>
      <c r="W32" s="109"/>
      <c r="X32" s="29"/>
      <c r="Y32" s="109"/>
      <c r="Z32" s="29"/>
      <c r="AA32" s="109"/>
      <c r="AB32" s="103">
        <f t="shared" si="33"/>
        <v>0</v>
      </c>
      <c r="AC32" s="125"/>
      <c r="AD32" s="413"/>
      <c r="AE32" s="124"/>
      <c r="AF32" s="558"/>
      <c r="AG32" s="110">
        <v>29</v>
      </c>
    </row>
    <row r="33" spans="1:33" s="4" customFormat="1" ht="38.25" customHeight="1" x14ac:dyDescent="0.25">
      <c r="A33" s="483"/>
      <c r="B33" s="146" t="s">
        <v>650</v>
      </c>
      <c r="C33" s="198" t="s">
        <v>89</v>
      </c>
      <c r="D33" s="36"/>
      <c r="E33" s="27"/>
      <c r="F33" s="36"/>
      <c r="G33" s="27"/>
      <c r="H33" s="36"/>
      <c r="I33" s="27"/>
      <c r="J33" s="36"/>
      <c r="K33" s="121"/>
      <c r="L33" s="19"/>
      <c r="M33" s="121"/>
      <c r="N33" s="19"/>
      <c r="O33" s="121"/>
      <c r="P33" s="19"/>
      <c r="Q33" s="121"/>
      <c r="R33" s="19"/>
      <c r="S33" s="121"/>
      <c r="T33" s="19"/>
      <c r="U33" s="121"/>
      <c r="V33" s="19"/>
      <c r="W33" s="121"/>
      <c r="X33" s="19"/>
      <c r="Y33" s="121"/>
      <c r="Z33" s="19"/>
      <c r="AA33" s="121"/>
      <c r="AB33" s="101">
        <f t="shared" si="33"/>
        <v>0</v>
      </c>
      <c r="AC33" s="431"/>
      <c r="AD33" s="413"/>
      <c r="AE33" s="124"/>
      <c r="AF33" s="558"/>
      <c r="AG33" s="110">
        <v>30</v>
      </c>
    </row>
    <row r="34" spans="1:33" s="4" customFormat="1" ht="38.25" customHeight="1" thickBot="1" x14ac:dyDescent="0.3">
      <c r="A34" s="484"/>
      <c r="B34" s="147" t="s">
        <v>651</v>
      </c>
      <c r="C34" s="203" t="s">
        <v>90</v>
      </c>
      <c r="D34" s="97"/>
      <c r="E34" s="98"/>
      <c r="F34" s="97"/>
      <c r="G34" s="98"/>
      <c r="H34" s="97"/>
      <c r="I34" s="98"/>
      <c r="J34" s="97"/>
      <c r="K34" s="122"/>
      <c r="L34" s="17"/>
      <c r="M34" s="122"/>
      <c r="N34" s="17"/>
      <c r="O34" s="122"/>
      <c r="P34" s="17"/>
      <c r="Q34" s="122"/>
      <c r="R34" s="17"/>
      <c r="S34" s="122"/>
      <c r="T34" s="17"/>
      <c r="U34" s="122"/>
      <c r="V34" s="17"/>
      <c r="W34" s="122"/>
      <c r="X34" s="17"/>
      <c r="Y34" s="122"/>
      <c r="Z34" s="17"/>
      <c r="AA34" s="122"/>
      <c r="AB34" s="102">
        <f t="shared" si="33"/>
        <v>0</v>
      </c>
      <c r="AC34" s="432"/>
      <c r="AD34" s="413"/>
      <c r="AE34" s="124" t="str">
        <f>CONCATENATE(IF(AB34&gt;0," * You have patients who declined Testing on MSM Section.  "&amp;$AB$19&amp;" This needs explanation. "&amp;CHAR(10),""))</f>
        <v/>
      </c>
      <c r="AF34" s="558"/>
      <c r="AG34" s="110">
        <v>31</v>
      </c>
    </row>
    <row r="35" spans="1:33" s="4" customFormat="1" ht="38.25" customHeight="1" x14ac:dyDescent="0.25">
      <c r="A35" s="482" t="s">
        <v>435</v>
      </c>
      <c r="B35" s="145" t="s">
        <v>21</v>
      </c>
      <c r="C35" s="197" t="s">
        <v>91</v>
      </c>
      <c r="D35" s="37"/>
      <c r="E35" s="28"/>
      <c r="F35" s="37"/>
      <c r="G35" s="28"/>
      <c r="H35" s="37"/>
      <c r="I35" s="28"/>
      <c r="J35" s="37"/>
      <c r="K35" s="109"/>
      <c r="L35" s="27"/>
      <c r="M35" s="27"/>
      <c r="N35" s="27"/>
      <c r="O35" s="27"/>
      <c r="P35" s="27"/>
      <c r="Q35" s="27"/>
      <c r="R35" s="27"/>
      <c r="S35" s="27"/>
      <c r="T35" s="27"/>
      <c r="U35" s="27"/>
      <c r="V35" s="27"/>
      <c r="W35" s="27"/>
      <c r="X35" s="27"/>
      <c r="Y35" s="27"/>
      <c r="Z35" s="27"/>
      <c r="AA35" s="237"/>
      <c r="AB35" s="240"/>
      <c r="AC35" s="431"/>
      <c r="AD35" s="413"/>
      <c r="AE35" s="124"/>
      <c r="AF35" s="558"/>
      <c r="AG35" s="110">
        <v>32</v>
      </c>
    </row>
    <row r="36" spans="1:33" s="4" customFormat="1" ht="38.25" customHeight="1" x14ac:dyDescent="0.25">
      <c r="A36" s="483" t="s">
        <v>78</v>
      </c>
      <c r="B36" s="146" t="s">
        <v>650</v>
      </c>
      <c r="C36" s="198" t="s">
        <v>92</v>
      </c>
      <c r="D36" s="36"/>
      <c r="E36" s="27"/>
      <c r="F36" s="36"/>
      <c r="G36" s="27"/>
      <c r="H36" s="36"/>
      <c r="I36" s="27"/>
      <c r="J36" s="36"/>
      <c r="K36" s="121"/>
      <c r="L36" s="27"/>
      <c r="M36" s="27"/>
      <c r="N36" s="27"/>
      <c r="O36" s="27"/>
      <c r="P36" s="27"/>
      <c r="Q36" s="27"/>
      <c r="R36" s="27"/>
      <c r="S36" s="27"/>
      <c r="T36" s="27"/>
      <c r="U36" s="27"/>
      <c r="V36" s="27"/>
      <c r="W36" s="27"/>
      <c r="X36" s="27"/>
      <c r="Y36" s="27"/>
      <c r="Z36" s="27"/>
      <c r="AA36" s="237"/>
      <c r="AB36" s="245"/>
      <c r="AC36" s="432"/>
      <c r="AD36" s="413"/>
      <c r="AE36" s="124"/>
      <c r="AF36" s="558"/>
      <c r="AG36" s="110">
        <v>33</v>
      </c>
    </row>
    <row r="37" spans="1:33" s="4" customFormat="1" ht="38.25" customHeight="1" thickBot="1" x14ac:dyDescent="0.3">
      <c r="A37" s="484" t="s">
        <v>78</v>
      </c>
      <c r="B37" s="147" t="s">
        <v>651</v>
      </c>
      <c r="C37" s="203" t="s">
        <v>93</v>
      </c>
      <c r="D37" s="97"/>
      <c r="E37" s="98"/>
      <c r="F37" s="97"/>
      <c r="G37" s="98"/>
      <c r="H37" s="97"/>
      <c r="I37" s="98"/>
      <c r="J37" s="97"/>
      <c r="K37" s="122"/>
      <c r="L37" s="27"/>
      <c r="M37" s="27"/>
      <c r="N37" s="27"/>
      <c r="O37" s="27"/>
      <c r="P37" s="27"/>
      <c r="Q37" s="27"/>
      <c r="R37" s="27"/>
      <c r="S37" s="27"/>
      <c r="T37" s="27"/>
      <c r="U37" s="27"/>
      <c r="V37" s="27"/>
      <c r="W37" s="27"/>
      <c r="X37" s="27"/>
      <c r="Y37" s="27"/>
      <c r="Z37" s="27"/>
      <c r="AA37" s="237"/>
      <c r="AB37" s="246"/>
      <c r="AC37" s="431"/>
      <c r="AD37" s="413"/>
      <c r="AE37" s="124" t="str">
        <f>CONCATENATE(IF(AB37&gt;0," * You have patients who declined Testing on Transgender Section.  "&amp;$AB$19&amp;" This needs explanation. "&amp;CHAR(10),""))</f>
        <v/>
      </c>
      <c r="AF37" s="558"/>
      <c r="AG37" s="110">
        <v>34</v>
      </c>
    </row>
    <row r="38" spans="1:33" s="4" customFormat="1" ht="38.25" customHeight="1" x14ac:dyDescent="0.25">
      <c r="A38" s="482" t="s">
        <v>79</v>
      </c>
      <c r="B38" s="145" t="s">
        <v>21</v>
      </c>
      <c r="C38" s="197" t="s">
        <v>94</v>
      </c>
      <c r="D38" s="37"/>
      <c r="E38" s="28"/>
      <c r="F38" s="37"/>
      <c r="G38" s="28"/>
      <c r="H38" s="37"/>
      <c r="I38" s="28"/>
      <c r="J38" s="37"/>
      <c r="K38" s="109"/>
      <c r="L38" s="109"/>
      <c r="M38" s="29"/>
      <c r="N38" s="109"/>
      <c r="O38" s="29"/>
      <c r="P38" s="109"/>
      <c r="Q38" s="29"/>
      <c r="R38" s="109"/>
      <c r="S38" s="29"/>
      <c r="T38" s="109"/>
      <c r="U38" s="29"/>
      <c r="V38" s="109"/>
      <c r="W38" s="29"/>
      <c r="X38" s="109"/>
      <c r="Y38" s="29"/>
      <c r="Z38" s="109"/>
      <c r="AA38" s="29"/>
      <c r="AB38" s="103">
        <f t="shared" si="33"/>
        <v>0</v>
      </c>
      <c r="AC38" s="432"/>
      <c r="AD38" s="413"/>
      <c r="AE38" s="124"/>
      <c r="AF38" s="558"/>
      <c r="AG38" s="110">
        <v>35</v>
      </c>
    </row>
    <row r="39" spans="1:33" s="4" customFormat="1" ht="38.25" customHeight="1" x14ac:dyDescent="0.25">
      <c r="A39" s="483" t="s">
        <v>79</v>
      </c>
      <c r="B39" s="146" t="s">
        <v>650</v>
      </c>
      <c r="C39" s="198" t="s">
        <v>95</v>
      </c>
      <c r="D39" s="36"/>
      <c r="E39" s="27"/>
      <c r="F39" s="36"/>
      <c r="G39" s="27"/>
      <c r="H39" s="36"/>
      <c r="I39" s="27"/>
      <c r="J39" s="36"/>
      <c r="K39" s="121"/>
      <c r="L39" s="121"/>
      <c r="M39" s="25"/>
      <c r="N39" s="121"/>
      <c r="O39" s="25"/>
      <c r="P39" s="121"/>
      <c r="Q39" s="25"/>
      <c r="R39" s="121"/>
      <c r="S39" s="25"/>
      <c r="T39" s="121"/>
      <c r="U39" s="25"/>
      <c r="V39" s="121"/>
      <c r="W39" s="25"/>
      <c r="X39" s="121"/>
      <c r="Y39" s="25"/>
      <c r="Z39" s="121"/>
      <c r="AA39" s="25"/>
      <c r="AB39" s="101">
        <f t="shared" si="33"/>
        <v>0</v>
      </c>
      <c r="AC39" s="310"/>
      <c r="AD39" s="413"/>
      <c r="AE39" s="124"/>
      <c r="AF39" s="558"/>
      <c r="AG39" s="110">
        <v>36</v>
      </c>
    </row>
    <row r="40" spans="1:33" s="4" customFormat="1" ht="38.25" customHeight="1" thickBot="1" x14ac:dyDescent="0.3">
      <c r="A40" s="484" t="s">
        <v>79</v>
      </c>
      <c r="B40" s="147" t="s">
        <v>651</v>
      </c>
      <c r="C40" s="203" t="s">
        <v>96</v>
      </c>
      <c r="D40" s="97"/>
      <c r="E40" s="98"/>
      <c r="F40" s="97"/>
      <c r="G40" s="98"/>
      <c r="H40" s="97"/>
      <c r="I40" s="98"/>
      <c r="J40" s="97"/>
      <c r="K40" s="122"/>
      <c r="L40" s="122"/>
      <c r="M40" s="32"/>
      <c r="N40" s="122"/>
      <c r="O40" s="32"/>
      <c r="P40" s="122"/>
      <c r="Q40" s="32"/>
      <c r="R40" s="122"/>
      <c r="S40" s="32"/>
      <c r="T40" s="122"/>
      <c r="U40" s="32"/>
      <c r="V40" s="122"/>
      <c r="W40" s="32"/>
      <c r="X40" s="122"/>
      <c r="Y40" s="32"/>
      <c r="Z40" s="122"/>
      <c r="AA40" s="32"/>
      <c r="AB40" s="102">
        <f t="shared" si="33"/>
        <v>0</v>
      </c>
      <c r="AC40" s="307"/>
      <c r="AD40" s="413"/>
      <c r="AE40" s="124" t="str">
        <f>CONCATENATE(IF(AB40&gt;0," * You have patients who declined Testing on FSW.  "&amp;$AB$19&amp;" This needs explanation. "&amp;CHAR(10),""))</f>
        <v/>
      </c>
      <c r="AF40" s="558"/>
      <c r="AG40" s="110">
        <v>37</v>
      </c>
    </row>
    <row r="41" spans="1:33" s="4" customFormat="1" ht="38.25" customHeight="1" x14ac:dyDescent="0.25">
      <c r="A41" s="483" t="s">
        <v>167</v>
      </c>
      <c r="B41" s="145" t="s">
        <v>21</v>
      </c>
      <c r="C41" s="198" t="s">
        <v>97</v>
      </c>
      <c r="D41" s="37"/>
      <c r="E41" s="28"/>
      <c r="F41" s="37"/>
      <c r="G41" s="28"/>
      <c r="H41" s="37"/>
      <c r="I41" s="28"/>
      <c r="J41" s="37"/>
      <c r="K41" s="109"/>
      <c r="L41" s="18"/>
      <c r="M41" s="29"/>
      <c r="N41" s="29"/>
      <c r="O41" s="29"/>
      <c r="P41" s="29"/>
      <c r="Q41" s="29"/>
      <c r="R41" s="29"/>
      <c r="S41" s="29"/>
      <c r="T41" s="29"/>
      <c r="U41" s="29"/>
      <c r="V41" s="29"/>
      <c r="W41" s="29"/>
      <c r="X41" s="29"/>
      <c r="Y41" s="29"/>
      <c r="Z41" s="29"/>
      <c r="AA41" s="29"/>
      <c r="AB41" s="103">
        <f t="shared" si="33"/>
        <v>0</v>
      </c>
      <c r="AC41" s="310"/>
      <c r="AD41" s="413"/>
      <c r="AE41" s="124"/>
      <c r="AF41" s="558"/>
      <c r="AG41" s="110">
        <v>38</v>
      </c>
    </row>
    <row r="42" spans="1:33" s="4" customFormat="1" ht="38.25" customHeight="1" x14ac:dyDescent="0.25">
      <c r="A42" s="483" t="s">
        <v>34</v>
      </c>
      <c r="B42" s="146" t="s">
        <v>650</v>
      </c>
      <c r="C42" s="198" t="s">
        <v>98</v>
      </c>
      <c r="D42" s="36"/>
      <c r="E42" s="27"/>
      <c r="F42" s="36"/>
      <c r="G42" s="27"/>
      <c r="H42" s="36"/>
      <c r="I42" s="27"/>
      <c r="J42" s="36"/>
      <c r="K42" s="121"/>
      <c r="L42" s="19"/>
      <c r="M42" s="19"/>
      <c r="N42" s="19"/>
      <c r="O42" s="19"/>
      <c r="P42" s="19"/>
      <c r="Q42" s="19"/>
      <c r="R42" s="19"/>
      <c r="S42" s="19"/>
      <c r="T42" s="19"/>
      <c r="U42" s="19"/>
      <c r="V42" s="19"/>
      <c r="W42" s="19"/>
      <c r="X42" s="19"/>
      <c r="Y42" s="19"/>
      <c r="Z42" s="19"/>
      <c r="AA42" s="19"/>
      <c r="AB42" s="101">
        <f t="shared" si="33"/>
        <v>0</v>
      </c>
      <c r="AC42" s="307"/>
      <c r="AD42" s="413"/>
      <c r="AE42" s="124"/>
      <c r="AF42" s="558"/>
      <c r="AG42" s="110">
        <v>39</v>
      </c>
    </row>
    <row r="43" spans="1:33" s="4" customFormat="1" ht="38.25" customHeight="1" thickBot="1" x14ac:dyDescent="0.3">
      <c r="A43" s="484" t="s">
        <v>34</v>
      </c>
      <c r="B43" s="147" t="s">
        <v>651</v>
      </c>
      <c r="C43" s="203" t="s">
        <v>99</v>
      </c>
      <c r="D43" s="97"/>
      <c r="E43" s="98"/>
      <c r="F43" s="97"/>
      <c r="G43" s="98"/>
      <c r="H43" s="97"/>
      <c r="I43" s="98"/>
      <c r="J43" s="97"/>
      <c r="K43" s="122"/>
      <c r="L43" s="17"/>
      <c r="M43" s="17"/>
      <c r="N43" s="17"/>
      <c r="O43" s="17"/>
      <c r="P43" s="17"/>
      <c r="Q43" s="17"/>
      <c r="R43" s="17"/>
      <c r="S43" s="17"/>
      <c r="T43" s="17"/>
      <c r="U43" s="17"/>
      <c r="V43" s="17"/>
      <c r="W43" s="17"/>
      <c r="X43" s="17"/>
      <c r="Y43" s="17"/>
      <c r="Z43" s="17"/>
      <c r="AA43" s="17"/>
      <c r="AB43" s="102">
        <f t="shared" si="33"/>
        <v>0</v>
      </c>
      <c r="AC43" s="127"/>
      <c r="AD43" s="414"/>
      <c r="AE43" s="124" t="str">
        <f>CONCATENATE(IF(AB43&gt;0," * You have patients who declined Testing on People in Prison and Other enclosed settings.  "&amp;$AB$19&amp;" This needs explanation. "&amp;CHAR(10),""))</f>
        <v/>
      </c>
      <c r="AF43" s="559"/>
      <c r="AG43" s="110">
        <v>40</v>
      </c>
    </row>
    <row r="44" spans="1:33" s="4" customFormat="1" ht="38.25" customHeight="1" thickBot="1" x14ac:dyDescent="0.3">
      <c r="A44" s="376" t="s">
        <v>234</v>
      </c>
      <c r="B44" s="377"/>
      <c r="C44" s="378"/>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9"/>
      <c r="AC44" s="377"/>
      <c r="AD44" s="377"/>
      <c r="AE44" s="377"/>
      <c r="AF44" s="380"/>
      <c r="AG44" s="110">
        <v>154</v>
      </c>
    </row>
    <row r="45" spans="1:33" s="6" customFormat="1" ht="38.25" customHeight="1" thickBot="1" x14ac:dyDescent="0.3">
      <c r="A45" s="217" t="s">
        <v>175</v>
      </c>
      <c r="B45" s="247" t="s">
        <v>175</v>
      </c>
      <c r="C45" s="180" t="s">
        <v>249</v>
      </c>
      <c r="D45" s="248">
        <f t="shared" ref="D45:AB45" si="34">SUM(D46:D50)</f>
        <v>0</v>
      </c>
      <c r="E45" s="141">
        <f t="shared" si="34"/>
        <v>0</v>
      </c>
      <c r="F45" s="141">
        <f t="shared" si="34"/>
        <v>0</v>
      </c>
      <c r="G45" s="141">
        <f t="shared" si="34"/>
        <v>0</v>
      </c>
      <c r="H45" s="141">
        <f t="shared" si="34"/>
        <v>0</v>
      </c>
      <c r="I45" s="141">
        <f t="shared" si="34"/>
        <v>0</v>
      </c>
      <c r="J45" s="141">
        <f t="shared" si="34"/>
        <v>0</v>
      </c>
      <c r="K45" s="141">
        <f t="shared" si="34"/>
        <v>0</v>
      </c>
      <c r="L45" s="141">
        <f t="shared" si="34"/>
        <v>0</v>
      </c>
      <c r="M45" s="141">
        <f t="shared" si="34"/>
        <v>0</v>
      </c>
      <c r="N45" s="141">
        <f t="shared" si="34"/>
        <v>0</v>
      </c>
      <c r="O45" s="141">
        <f t="shared" si="34"/>
        <v>0</v>
      </c>
      <c r="P45" s="141">
        <f t="shared" si="34"/>
        <v>0</v>
      </c>
      <c r="Q45" s="141">
        <f t="shared" si="34"/>
        <v>0</v>
      </c>
      <c r="R45" s="141">
        <f t="shared" si="34"/>
        <v>0</v>
      </c>
      <c r="S45" s="141">
        <f t="shared" si="34"/>
        <v>0</v>
      </c>
      <c r="T45" s="141">
        <f t="shared" si="34"/>
        <v>0</v>
      </c>
      <c r="U45" s="141">
        <f t="shared" si="34"/>
        <v>0</v>
      </c>
      <c r="V45" s="141">
        <f t="shared" si="34"/>
        <v>0</v>
      </c>
      <c r="W45" s="141">
        <f t="shared" si="34"/>
        <v>0</v>
      </c>
      <c r="X45" s="141">
        <f t="shared" si="34"/>
        <v>0</v>
      </c>
      <c r="Y45" s="141">
        <f t="shared" si="34"/>
        <v>0</v>
      </c>
      <c r="Z45" s="141">
        <f t="shared" si="34"/>
        <v>0</v>
      </c>
      <c r="AA45" s="141">
        <f t="shared" si="34"/>
        <v>0</v>
      </c>
      <c r="AB45" s="141">
        <f t="shared" si="34"/>
        <v>0</v>
      </c>
      <c r="AC45" s="142"/>
      <c r="AD45" s="381" t="str">
        <f>CONCATENATE(AC45,AC46,AC47,AC48,AC49,AC50)</f>
        <v/>
      </c>
      <c r="AE45" s="143" t="str">
        <f>CONCATENATE(IF(D45&lt;&gt;D23," * Some Patients  "&amp;$D$19&amp;" "&amp;$D$20&amp;" have not been initiated on Prep"&amp;CHAR(10),""),IF(E45&lt;&gt;E23," * Some Patients  "&amp;$D$19&amp;" "&amp;$E$20&amp;" have not been initiated on Prep"&amp;CHAR(10),""),IF(F45&lt;&gt;F23," * Some Patients  "&amp;$F$19&amp;" "&amp;$F$20&amp;" have not been initiated on Prep"&amp;CHAR(10),""),IF(G45&lt;&gt;G23," * Some Patients  "&amp;$F$19&amp;" "&amp;$G$20&amp;" have not been initiated on Prep"&amp;CHAR(10),""),IF(H45&lt;&gt;H23," * Some Patients  "&amp;$H$19&amp;" "&amp;$H$20&amp;" have not been initiated on Prep"&amp;CHAR(10),""),IF(I45&lt;&gt;I23," * Some Patients  "&amp;$H$19&amp;" "&amp;$I$20&amp;" have not been initiated on Prep"&amp;CHAR(10),""),IF(J45&lt;&gt;J23," * Some Patients  "&amp;$J$19&amp;" "&amp;$J$20&amp;" have not been initiated on Prep"&amp;CHAR(10),""),IF(K45&lt;&gt;K23," * Some Patients  "&amp;$J$19&amp;" "&amp;$K$20&amp;" have not been initiated on Prep"&amp;CHAR(10),""),IF(L45&lt;&gt;L23," * Some Patients  "&amp;$L$19&amp;" "&amp;$L$20&amp;" have not been initiated on Prep"&amp;CHAR(10),""),IF(M45&lt;&gt;M23," * Some Patients  "&amp;$L$19&amp;" "&amp;$M$20&amp;" have not been initiated on Prep"&amp;CHAR(10),""),IF(N45&lt;&gt;N23," * Some Patients  "&amp;$N$19&amp;" "&amp;$N$20&amp;" have not been initiated on Prep"&amp;CHAR(10),""),IF(O45&lt;&gt;O23," * Some Patients  "&amp;$N$19&amp;" "&amp;$O$20&amp;" have not been initiated on Prep"&amp;CHAR(10),""),IF(P45&lt;&gt;P23," * Some Patients  "&amp;$P$19&amp;" "&amp;$P$20&amp;" have not been initiated on Prep"&amp;CHAR(10),""),IF(Q45&lt;&gt;Q23," * Some Patients  "&amp;$P$19&amp;" "&amp;$Q$20&amp;" have not been initiated on Prep"&amp;CHAR(10),""),IF(R45&lt;&gt;R23," * Some Patients  "&amp;$R$19&amp;" "&amp;$R$20&amp;" have not been initiated on Prep"&amp;CHAR(10),""),IF(S45&lt;&gt;S23," * Some Patients  "&amp;$R$19&amp;" "&amp;$S$20&amp;" have not been initiated on Prep"&amp;CHAR(10),""),IF(T45&lt;&gt;T23," * Some Patients  "&amp;$T$19&amp;" "&amp;$T$20&amp;" have not been initiated on Prep"&amp;CHAR(10),""),IF(U45&lt;&gt;U23," * Some Patients  "&amp;$T$19&amp;" "&amp;$U$20&amp;" have not been initiated on Prep"&amp;CHAR(10),""),IF(V45&lt;&gt;V23," * Some Patients  "&amp;$V$19&amp;" "&amp;$V$20&amp;" have not been initiated on Prep"&amp;CHAR(10),""),IF(W45&lt;&gt;W23," * Some Patients  "&amp;$V$19&amp;" "&amp;$W$20&amp;" have not been initiated on Prep"&amp;CHAR(10),""),IF(X45&lt;&gt;X23," * Some Patients  "&amp;$X$19&amp;" "&amp;$X$20&amp;" have not been initiated on Prep"&amp;CHAR(10),""),IF(Y45&lt;&gt;Y23," * Some Patients  "&amp;$X$19&amp;" "&amp;$Y$20&amp;" have not been initiated on Prep"&amp;CHAR(10),""),IF(Z45&lt;&gt;Z23," * Some Patients  "&amp;$Z$19&amp;" "&amp;$Z$20&amp;" have not been initiated on Prep"&amp;CHAR(10),""),IF(AA45&lt;&gt;AA23," * Some Patients  "&amp;$Z$19&amp;" "&amp;$AA$20&amp;" have not been initiated on Prep"&amp;CHAR(10),""))</f>
        <v/>
      </c>
      <c r="AF45" s="383" t="str">
        <f>CONCATENATE(AE45,AE46,AE47,AE48,AE49,AE50)</f>
        <v/>
      </c>
      <c r="AG45" s="260">
        <v>155</v>
      </c>
    </row>
    <row r="46" spans="1:33" s="4" customFormat="1" ht="38.25" customHeight="1" thickBot="1" x14ac:dyDescent="0.3">
      <c r="A46" s="218" t="s">
        <v>79</v>
      </c>
      <c r="B46" s="155" t="s">
        <v>176</v>
      </c>
      <c r="C46" s="198" t="s">
        <v>250</v>
      </c>
      <c r="D46" s="37"/>
      <c r="E46" s="28"/>
      <c r="F46" s="37"/>
      <c r="G46" s="28"/>
      <c r="H46" s="37"/>
      <c r="I46" s="28"/>
      <c r="J46" s="37"/>
      <c r="K46" s="28"/>
      <c r="L46" s="28"/>
      <c r="M46" s="29"/>
      <c r="N46" s="28"/>
      <c r="O46" s="29"/>
      <c r="P46" s="28"/>
      <c r="Q46" s="29"/>
      <c r="R46" s="28"/>
      <c r="S46" s="29"/>
      <c r="T46" s="28"/>
      <c r="U46" s="29"/>
      <c r="V46" s="28"/>
      <c r="W46" s="29"/>
      <c r="X46" s="28"/>
      <c r="Y46" s="29"/>
      <c r="Z46" s="28"/>
      <c r="AA46" s="29"/>
      <c r="AB46" s="108">
        <f t="shared" ref="AB46:AB49" si="35">SUM(D46:AA46)</f>
        <v>0</v>
      </c>
      <c r="AC46" s="133" t="str">
        <f>CONCATENATE(IF(D46&gt;D27," * Prep New FSW "&amp;$D$19&amp;" "&amp;$D$20&amp;" is more than KP_PREV FSW"&amp;CHAR(10),""),IF(E46&gt;E27," * Prep New FSW "&amp;$D$19&amp;" "&amp;$E$20&amp;" is more than KP_PREV FSW"&amp;CHAR(10),""),IF(F46&gt;F27," * Prep New FSW "&amp;$F$19&amp;" "&amp;$F$20&amp;" is more than KP_PREV FSW"&amp;CHAR(10),""),IF(G46&gt;G27," * Prep New FSW "&amp;$F$19&amp;" "&amp;$G$20&amp;" is more than KP_PREV FSW"&amp;CHAR(10),""),IF(H46&gt;H27," * Prep New FSW "&amp;$H$19&amp;" "&amp;$H$20&amp;" is more than KP_PREV FSW"&amp;CHAR(10),""),IF(I46&gt;I27," * Prep New FSW "&amp;$H$19&amp;" "&amp;$I$20&amp;" is more than KP_PREV FSW"&amp;CHAR(10),""),IF(J46&gt;J27," * Prep New FSW "&amp;$J$19&amp;" "&amp;$J$20&amp;" is more than KP_PREV FSW"&amp;CHAR(10),""),IF(K46&gt;K27," * Prep New FSW "&amp;$J$19&amp;" "&amp;$K$20&amp;" is more than KP_PREV FSW"&amp;CHAR(10),""),IF(L46&gt;L27," * Prep New FSW "&amp;$L$19&amp;" "&amp;$L$20&amp;" is more than KP_PREV FSW"&amp;CHAR(10),""),IF(M46&gt;M27," * Prep New FSW "&amp;$L$19&amp;" "&amp;$M$20&amp;" is more than KP_PREV FSW"&amp;CHAR(10),""),IF(N46&gt;N27," * Prep New FSW "&amp;$N$19&amp;" "&amp;$N$20&amp;" is more than KP_PREV FSW"&amp;CHAR(10),""),IF(O46&gt;O27," * Prep New FSW "&amp;$N$19&amp;" "&amp;$O$20&amp;" is more than KP_PREV FSW"&amp;CHAR(10),""),IF(P46&gt;P27," * Prep New FSW "&amp;$P$19&amp;" "&amp;$P$20&amp;" is more than KP_PREV FSW"&amp;CHAR(10),""),IF(Q46&gt;Q27," * Prep New FSW "&amp;$P$19&amp;" "&amp;$Q$20&amp;" is more than KP_PREV FSW"&amp;CHAR(10),""),IF(R46&gt;R27," * Prep New FSW "&amp;$R$19&amp;" "&amp;$R$20&amp;" is more than KP_PREV FSW"&amp;CHAR(10),""),IF(S46&gt;S27," * Prep New FSW "&amp;$R$19&amp;" "&amp;$S$20&amp;" is more than KP_PREV FSW"&amp;CHAR(10),""),IF(T46&gt;T27," * Prep New FSW "&amp;$T$19&amp;" "&amp;$T$20&amp;" is more than KP_PREV FSW"&amp;CHAR(10),""),IF(U46&gt;U27," * Prep New FSW "&amp;$T$19&amp;" "&amp;$U$20&amp;" is more than KP_PREV FSW"&amp;CHAR(10),""),IF(V46&gt;V27," * Prep New FSW "&amp;$V$19&amp;" "&amp;$V$20&amp;" is more than KP_PREV FSW"&amp;CHAR(10),""),IF(W46&gt;W27," * Prep New FSW "&amp;$V$19&amp;" "&amp;$W$20&amp;" is more than KP_PREV FSW"&amp;CHAR(10),""),IF(X46&gt;X27," * Prep New FSW "&amp;$X$19&amp;" "&amp;$X$20&amp;" is more than KP_PREV FSW"&amp;CHAR(10),""),IF(Y46&gt;Y27," * Prep New FSW "&amp;$X$19&amp;" "&amp;$Y$20&amp;" is more than KP_PREV FSW"&amp;CHAR(10),""),IF(Z46&gt;Z27," * Prep New FSW "&amp;$Z$19&amp;" "&amp;$Z$20&amp;" is more than KP_PREV FSW"&amp;CHAR(10),""),IF(AA46&gt;AA27," * Prep New FSW "&amp;$Z$19&amp;" "&amp;$AA$20&amp;" is more than KP_PREV FSW"&amp;CHAR(10),""))</f>
        <v/>
      </c>
      <c r="AD46" s="382"/>
      <c r="AE46" s="124"/>
      <c r="AF46" s="384"/>
      <c r="AG46" s="260">
        <v>156</v>
      </c>
    </row>
    <row r="47" spans="1:33" s="4" customFormat="1" ht="38.25" customHeight="1" x14ac:dyDescent="0.25">
      <c r="A47" s="213" t="s">
        <v>77</v>
      </c>
      <c r="B47" s="153" t="s">
        <v>177</v>
      </c>
      <c r="C47" s="198" t="s">
        <v>251</v>
      </c>
      <c r="D47" s="36"/>
      <c r="E47" s="27"/>
      <c r="F47" s="36"/>
      <c r="G47" s="27"/>
      <c r="H47" s="36"/>
      <c r="I47" s="27"/>
      <c r="J47" s="36"/>
      <c r="K47" s="27"/>
      <c r="L47" s="25"/>
      <c r="M47" s="28"/>
      <c r="N47" s="25"/>
      <c r="O47" s="28"/>
      <c r="P47" s="25"/>
      <c r="Q47" s="28"/>
      <c r="R47" s="25"/>
      <c r="S47" s="28"/>
      <c r="T47" s="25"/>
      <c r="U47" s="28"/>
      <c r="V47" s="25"/>
      <c r="W47" s="28"/>
      <c r="X47" s="25"/>
      <c r="Y47" s="28"/>
      <c r="Z47" s="25"/>
      <c r="AA47" s="28"/>
      <c r="AB47" s="101">
        <f t="shared" si="35"/>
        <v>0</v>
      </c>
      <c r="AC47" s="134" t="str">
        <f>CONCATENATE(IF(D47&gt;D25," * Prep New MSM "&amp;$D$19&amp;" "&amp;$D$20&amp;" is more than KP_PREV MSM"&amp;CHAR(10),""),IF(E47&gt;E25," * Prep New MSM "&amp;$D$19&amp;" "&amp;$E$20&amp;" is more than KP_PREV MSM"&amp;CHAR(10),""),IF(F47&gt;F25," * Prep New MSM "&amp;$F$19&amp;" "&amp;$F$20&amp;" is more than KP_PREV MSM"&amp;CHAR(10),""),IF(G47&gt;G25," * Prep New MSM "&amp;$F$19&amp;" "&amp;$G$20&amp;" is more than KP_PREV MSM"&amp;CHAR(10),""),IF(H47&gt;H25," * Prep New MSM "&amp;$H$19&amp;" "&amp;$H$20&amp;" is more than KP_PREV MSM"&amp;CHAR(10),""),IF(I47&gt;I25," * Prep New MSM "&amp;$H$19&amp;" "&amp;$I$20&amp;" is more than KP_PREV MSM"&amp;CHAR(10),""),IF(J47&gt;J25," * Prep New MSM "&amp;$J$19&amp;" "&amp;$J$20&amp;" is more than KP_PREV MSM"&amp;CHAR(10),""),IF(K47&gt;K25," * Prep New MSM "&amp;$J$19&amp;" "&amp;$K$20&amp;" is more than KP_PREV MSM"&amp;CHAR(10),""),IF(L47&gt;L25," * Prep New MSM "&amp;$L$19&amp;" "&amp;$L$20&amp;" is more than KP_PREV MSM"&amp;CHAR(10),""),IF(M47&gt;M25," * Prep New MSM "&amp;$L$19&amp;" "&amp;$M$20&amp;" is more than KP_PREV MSM"&amp;CHAR(10),""),IF(N47&gt;N25," * Prep New MSM "&amp;$N$19&amp;" "&amp;$N$20&amp;" is more than KP_PREV MSM"&amp;CHAR(10),""),IF(O47&gt;O25," * Prep New MSM "&amp;$N$19&amp;" "&amp;$O$20&amp;" is more than KP_PREV MSM"&amp;CHAR(10),""),IF(P47&gt;P25," * Prep New MSM "&amp;$P$19&amp;" "&amp;$P$20&amp;" is more than KP_PREV MSM"&amp;CHAR(10),""),IF(Q47&gt;Q25," * Prep New MSM "&amp;$P$19&amp;" "&amp;$Q$20&amp;" is more than KP_PREV MSM"&amp;CHAR(10),""),IF(R47&gt;R25," * Prep New MSM "&amp;$R$19&amp;" "&amp;$R$20&amp;" is more than KP_PREV MSM"&amp;CHAR(10),""),IF(S47&gt;S25," * Prep New MSM "&amp;$R$19&amp;" "&amp;$S$20&amp;" is more than KP_PREV MSM"&amp;CHAR(10),""),IF(T47&gt;T25," * Prep New MSM "&amp;$T$19&amp;" "&amp;$T$20&amp;" is more than KP_PREV MSM"&amp;CHAR(10),""),IF(U47&gt;U25," * Prep New MSM "&amp;$T$19&amp;" "&amp;$U$20&amp;" is more than KP_PREV MSM"&amp;CHAR(10),""),IF(V47&gt;V25," * Prep New MSM "&amp;$V$19&amp;" "&amp;$V$20&amp;" is more than KP_PREV MSM"&amp;CHAR(10),""),IF(W47&gt;W25," * Prep New MSM "&amp;$V$19&amp;" "&amp;$W$20&amp;" is more than KP_PREV MSM"&amp;CHAR(10),""),IF(X47&gt;X25," * Prep New MSM "&amp;$X$19&amp;" "&amp;$X$20&amp;" is more than KP_PREV MSM"&amp;CHAR(10),""),IF(Y47&gt;Y25," * Prep New MSM "&amp;$X$19&amp;" "&amp;$Y$20&amp;" is more than KP_PREV MSM"&amp;CHAR(10),""),IF(Z47&gt;Z25," * Prep New MSM "&amp;$Z$19&amp;" "&amp;$Z$20&amp;" is more than KP_PREV MSM"&amp;CHAR(10),""),IF(AA47&gt;AA25," * Prep New MSM "&amp;$Z$19&amp;" "&amp;$AA$20&amp;" is more than KP_PREV MSM"&amp;CHAR(10),""))</f>
        <v/>
      </c>
      <c r="AD47" s="382"/>
      <c r="AE47" s="124"/>
      <c r="AF47" s="384"/>
      <c r="AG47" s="260">
        <v>157</v>
      </c>
    </row>
    <row r="48" spans="1:33" s="4" customFormat="1" ht="38.25" customHeight="1" x14ac:dyDescent="0.25">
      <c r="A48" s="213" t="s">
        <v>167</v>
      </c>
      <c r="B48" s="153" t="s">
        <v>178</v>
      </c>
      <c r="C48" s="198" t="s">
        <v>252</v>
      </c>
      <c r="D48" s="36"/>
      <c r="E48" s="27"/>
      <c r="F48" s="36"/>
      <c r="G48" s="27"/>
      <c r="H48" s="36"/>
      <c r="I48" s="27"/>
      <c r="J48" s="36"/>
      <c r="K48" s="27"/>
      <c r="L48" s="25"/>
      <c r="M48" s="25"/>
      <c r="N48" s="25"/>
      <c r="O48" s="25"/>
      <c r="P48" s="25"/>
      <c r="Q48" s="25"/>
      <c r="R48" s="25"/>
      <c r="S48" s="25"/>
      <c r="T48" s="25"/>
      <c r="U48" s="25"/>
      <c r="V48" s="25"/>
      <c r="W48" s="25"/>
      <c r="X48" s="25"/>
      <c r="Y48" s="25"/>
      <c r="Z48" s="25"/>
      <c r="AA48" s="25"/>
      <c r="AB48" s="101">
        <f t="shared" si="35"/>
        <v>0</v>
      </c>
      <c r="AC48" s="134" t="str">
        <f>CONCATENATE(IF(D48&gt;D28," * Prep New People in prison &amp; other closed settings "&amp;$D$19&amp;" "&amp;$D$20&amp;" is more than KP_PREV People in prison &amp; other closed settings"&amp;CHAR(10),""),IF(E48&gt;E28," * Prep New People in prison &amp; other closed settings "&amp;$D$19&amp;" "&amp;$E$20&amp;" is more than KP_PREV People in prison &amp; other closed settings"&amp;CHAR(10),""),IF(F48&gt;F28," * Prep New People in prison &amp; other closed settings "&amp;$F$19&amp;" "&amp;$F$20&amp;" is more than KP_PREV People in prison &amp; other closed settings"&amp;CHAR(10),""),IF(G48&gt;G28," * Prep New People in prison &amp; other closed settings "&amp;$F$19&amp;" "&amp;$G$20&amp;" is more than KP_PREV People in prison &amp; other closed settings"&amp;CHAR(10),""),IF(H48&gt;H28," * Prep New People in prison &amp; other closed settings "&amp;$H$19&amp;" "&amp;$H$20&amp;" is more than KP_PREV People in prison &amp; other closed settings"&amp;CHAR(10),""),IF(I48&gt;I28," * Prep New People in prison &amp; other closed settings "&amp;$H$19&amp;" "&amp;$I$20&amp;" is more than KP_PREV People in prison &amp; other closed settings"&amp;CHAR(10),""),IF(J48&gt;J28," * Prep New People in prison &amp; other closed settings "&amp;$J$19&amp;" "&amp;$J$20&amp;" is more than KP_PREV People in prison &amp; other closed settings"&amp;CHAR(10),""),IF(K48&gt;K28," * Prep New People in prison &amp; other closed settings "&amp;$J$19&amp;" "&amp;$K$20&amp;" is more than KP_PREV People in prison &amp; other closed settings"&amp;CHAR(10),""),IF(L48&gt;L28," * Prep New People in prison &amp; other closed settings "&amp;$L$19&amp;" "&amp;$L$20&amp;" is more than KP_PREV People in prison &amp; other closed settings"&amp;CHAR(10),""),IF(M48&gt;M28," * Prep New People in prison &amp; other closed settings "&amp;$L$19&amp;" "&amp;$M$20&amp;" is more than KP_PREV People in prison &amp; other closed settings"&amp;CHAR(10),""),IF(N48&gt;N28," * Prep New People in prison &amp; other closed settings "&amp;$N$19&amp;" "&amp;$N$20&amp;" is more than KP_PREV People in prison &amp; other closed settings"&amp;CHAR(10),""),IF(O48&gt;O28," * Prep New People in prison &amp; other closed settings "&amp;$N$19&amp;" "&amp;$O$20&amp;" is more than KP_PREV People in prison &amp; other closed settings"&amp;CHAR(10),""),IF(P48&gt;P28," * Prep New People in prison &amp; other closed settings "&amp;$P$19&amp;" "&amp;$P$20&amp;" is more than KP_PREV People in prison &amp; other closed settings"&amp;CHAR(10),""),IF(Q48&gt;Q28," * Prep New People in prison &amp; other closed settings "&amp;$P$19&amp;" "&amp;$Q$20&amp;" is more than KP_PREV People in prison &amp; other closed settings"&amp;CHAR(10),""),IF(R48&gt;R28," * Prep New People in prison &amp; other closed settings "&amp;$R$19&amp;" "&amp;$R$20&amp;" is more than KP_PREV People in prison &amp; other closed settings"&amp;CHAR(10),""),IF(S48&gt;S28," * Prep New People in prison &amp; other closed settings "&amp;$R$19&amp;" "&amp;$S$20&amp;" is more than KP_PREV People in prison &amp; other closed settings"&amp;CHAR(10),""),IF(T48&gt;T28," * Prep New People in prison &amp; other closed settings "&amp;$T$19&amp;" "&amp;$T$20&amp;" is more than KP_PREV People in prison &amp; other closed settings"&amp;CHAR(10),""),IF(U48&gt;U28," * Prep New People in prison &amp; other closed settings "&amp;$T$19&amp;" "&amp;$U$20&amp;" is more than KP_PREV People in prison &amp; other closed settings"&amp;CHAR(10),""),IF(V48&gt;V28," * Prep New People in prison &amp; other closed settings "&amp;$V$19&amp;" "&amp;$V$20&amp;" is more than KP_PREV People in prison &amp; other closed settings"&amp;CHAR(10),""),IF(W48&gt;W28," * Prep New People in prison &amp; other closed settings "&amp;$V$19&amp;" "&amp;$W$20&amp;" is more than KP_PREV People in prison &amp; other closed settings"&amp;CHAR(10),""),IF(X48&gt;X28," * Prep New People in prison &amp; other closed settings "&amp;$X$19&amp;" "&amp;$X$20&amp;" is more than KP_PREV People in prison &amp; other closed settings"&amp;CHAR(10),""),IF(Y48&gt;Y28," * Prep New People in prison &amp; other closed settings "&amp;$X$19&amp;" "&amp;$Y$20&amp;" is more than KP_PREV People in prison &amp; other closed settings"&amp;CHAR(10),""),IF(Z48&gt;Z28," * Prep New People in prison &amp; other closed settings "&amp;$Z$19&amp;" "&amp;$Z$20&amp;" is more than KP_PREV People in prison &amp; other closed settings"&amp;CHAR(10),""),IF(AA48&gt;AA28," * Prep New People in prison &amp; other closed settings "&amp;$Z$19&amp;" "&amp;$AA$20&amp;" is more than KP_PREV People in prison &amp; other closed settings"&amp;CHAR(10),""))</f>
        <v/>
      </c>
      <c r="AD48" s="382"/>
      <c r="AE48" s="124"/>
      <c r="AF48" s="384"/>
      <c r="AG48" s="260">
        <v>159</v>
      </c>
    </row>
    <row r="49" spans="1:33" s="4" customFormat="1" ht="38.25" customHeight="1" thickBot="1" x14ac:dyDescent="0.3">
      <c r="A49" s="213" t="s">
        <v>76</v>
      </c>
      <c r="B49" s="153" t="s">
        <v>179</v>
      </c>
      <c r="C49" s="198" t="s">
        <v>253</v>
      </c>
      <c r="D49" s="36"/>
      <c r="E49" s="27"/>
      <c r="F49" s="36"/>
      <c r="G49" s="27"/>
      <c r="H49" s="36"/>
      <c r="I49" s="27"/>
      <c r="J49" s="36"/>
      <c r="K49" s="27"/>
      <c r="L49" s="25"/>
      <c r="M49" s="25"/>
      <c r="N49" s="25"/>
      <c r="O49" s="25"/>
      <c r="P49" s="25"/>
      <c r="Q49" s="25"/>
      <c r="R49" s="25"/>
      <c r="S49" s="25"/>
      <c r="T49" s="25"/>
      <c r="U49" s="25"/>
      <c r="V49" s="25"/>
      <c r="W49" s="25"/>
      <c r="X49" s="25"/>
      <c r="Y49" s="25"/>
      <c r="Z49" s="25"/>
      <c r="AA49" s="25"/>
      <c r="AB49" s="102">
        <f t="shared" si="35"/>
        <v>0</v>
      </c>
      <c r="AC49" s="135" t="str">
        <f>CONCATENATE(IF(D49&gt;D24," * Prep New PWID "&amp;$D$19&amp;" "&amp;$D$20&amp;" is more than KP_PREV PWID"&amp;CHAR(10),""),IF(E49&gt;E24," * Prep New PWID "&amp;$D$19&amp;" "&amp;$E$20&amp;" is more than KP_PREV PWID"&amp;CHAR(10),""),IF(F49&gt;F24," * Prep New PWID "&amp;$F$19&amp;" "&amp;$F$20&amp;" is more than KP_PREV PWID"&amp;CHAR(10),""),IF(G49&gt;G24," * Prep New PWID "&amp;$F$19&amp;" "&amp;$G$20&amp;" is more than KP_PREV PWID"&amp;CHAR(10),""),IF(H49&gt;H24," * Prep New PWID "&amp;$H$19&amp;" "&amp;$H$20&amp;" is more than KP_PREV PWID"&amp;CHAR(10),""),IF(I49&gt;I24," * Prep New PWID "&amp;$H$19&amp;" "&amp;$I$20&amp;" is more than KP_PREV PWID"&amp;CHAR(10),""),IF(J49&gt;J24," * Prep New PWID "&amp;$J$19&amp;" "&amp;$J$20&amp;" is more than KP_PREV PWID"&amp;CHAR(10),""),IF(K49&gt;K24," * Prep New PWID "&amp;$J$19&amp;" "&amp;$K$20&amp;" is more than KP_PREV PWID"&amp;CHAR(10),""),IF(L49&gt;L24," * Prep New PWID "&amp;$L$19&amp;" "&amp;$L$20&amp;" is more than KP_PREV PWID"&amp;CHAR(10),""),IF(M49&gt;M24," * Prep New PWID "&amp;$L$19&amp;" "&amp;$M$20&amp;" is more than KP_PREV PWID"&amp;CHAR(10),""),IF(N49&gt;N24," * Prep New PWID "&amp;$N$19&amp;" "&amp;$N$20&amp;" is more than KP_PREV PWID"&amp;CHAR(10),""),IF(O49&gt;O24," * Prep New PWID "&amp;$N$19&amp;" "&amp;$O$20&amp;" is more than KP_PREV PWID"&amp;CHAR(10),""),IF(P49&gt;P24," * Prep New PWID "&amp;$P$19&amp;" "&amp;$P$20&amp;" is more than KP_PREV PWID"&amp;CHAR(10),""),IF(Q49&gt;Q24," * Prep New PWID "&amp;$P$19&amp;" "&amp;$Q$20&amp;" is more than KP_PREV PWID"&amp;CHAR(10),""),IF(R49&gt;R24," * Prep New PWID "&amp;$R$19&amp;" "&amp;$R$20&amp;" is more than KP_PREV PWID"&amp;CHAR(10),""),IF(S49&gt;S24," * Prep New PWID "&amp;$R$19&amp;" "&amp;$S$20&amp;" is more than KP_PREV PWID"&amp;CHAR(10),""),IF(T49&gt;T24," * Prep New PWID "&amp;$T$19&amp;" "&amp;$T$20&amp;" is more than KP_PREV PWID"&amp;CHAR(10),""),IF(U49&gt;U24," * Prep New PWID "&amp;$T$19&amp;" "&amp;$U$20&amp;" is more than KP_PREV PWID"&amp;CHAR(10),""),IF(V49&gt;V24," * Prep New PWID "&amp;$V$19&amp;" "&amp;$V$20&amp;" is more than KP_PREV PWID"&amp;CHAR(10),""),IF(W49&gt;W24," * Prep New PWID "&amp;$V$19&amp;" "&amp;$W$20&amp;" is more than KP_PREV PWID"&amp;CHAR(10),""),IF(X49&gt;X24," * Prep New PWID "&amp;$X$19&amp;" "&amp;$X$20&amp;" is more than KP_PREV PWID"&amp;CHAR(10),""),IF(Y49&gt;Y24," * Prep New PWID "&amp;$X$19&amp;" "&amp;$Y$20&amp;" is more than KP_PREV PWID"&amp;CHAR(10),""),IF(Z49&gt;Z24," * Prep New PWID "&amp;$Z$19&amp;" "&amp;$Z$20&amp;" is more than KP_PREV PWID"&amp;CHAR(10),""),IF(AA49&gt;AA24," * Prep New PWID "&amp;$Z$19&amp;" "&amp;$AA$20&amp;" is more than KP_PREV PWID"&amp;CHAR(10),""))</f>
        <v/>
      </c>
      <c r="AD49" s="382"/>
      <c r="AE49" s="124"/>
      <c r="AF49" s="384"/>
      <c r="AG49" s="260">
        <v>160</v>
      </c>
    </row>
    <row r="50" spans="1:33" s="4" customFormat="1" ht="38.25" customHeight="1" thickBot="1" x14ac:dyDescent="0.3">
      <c r="A50" s="219" t="s">
        <v>435</v>
      </c>
      <c r="B50" s="154" t="s">
        <v>180</v>
      </c>
      <c r="C50" s="203" t="s">
        <v>254</v>
      </c>
      <c r="D50" s="97"/>
      <c r="E50" s="98"/>
      <c r="F50" s="97"/>
      <c r="G50" s="98"/>
      <c r="H50" s="97"/>
      <c r="I50" s="98"/>
      <c r="J50" s="97"/>
      <c r="K50" s="98"/>
      <c r="L50" s="98"/>
      <c r="M50" s="98"/>
      <c r="N50" s="98"/>
      <c r="O50" s="98"/>
      <c r="P50" s="98"/>
      <c r="Q50" s="98"/>
      <c r="R50" s="98"/>
      <c r="S50" s="98"/>
      <c r="T50" s="98"/>
      <c r="U50" s="98"/>
      <c r="V50" s="98"/>
      <c r="W50" s="98"/>
      <c r="X50" s="98"/>
      <c r="Y50" s="98"/>
      <c r="Z50" s="98"/>
      <c r="AA50" s="232"/>
      <c r="AB50" s="233"/>
      <c r="AC50" s="134" t="str">
        <f>CONCATENATE(IF(D50&gt;D26," * Prep New Transgender "&amp;$D$19&amp;" "&amp;$D$20&amp;" is more than KP_PREV Transgender"&amp;CHAR(10),""),IF(E50&gt;E26," * Prep New Transgender "&amp;$D$19&amp;" "&amp;$E$20&amp;" is more than KP_PREV Transgender"&amp;CHAR(10),""),IF(F50&gt;F26," * Prep New Transgender "&amp;$F$19&amp;" "&amp;$F$20&amp;" is more than KP_PREV Transgender"&amp;CHAR(10),""),IF(G50&gt;G26," * Prep New Transgender "&amp;$F$19&amp;" "&amp;$G$20&amp;" is more than KP_PREV Transgender"&amp;CHAR(10),""),IF(H50&gt;H26," * Prep New Transgender "&amp;$H$19&amp;" "&amp;$H$20&amp;" is more than KP_PREV Transgender"&amp;CHAR(10),""),IF(I50&gt;I26," * Prep New Transgender "&amp;$H$19&amp;" "&amp;$I$20&amp;" is more than KP_PREV Transgender"&amp;CHAR(10),""),IF(J50&gt;J26," * Prep New Transgender "&amp;$J$19&amp;" "&amp;$J$20&amp;" is more than KP_PREV Transgender"&amp;CHAR(10),""),IF(K50&gt;K26," * Prep New Transgender "&amp;$J$19&amp;" "&amp;$K$20&amp;" is more than KP_PREV Transgender"&amp;CHAR(10),""),IF(L50&gt;L26," * Prep New Transgender "&amp;$L$19&amp;" "&amp;$L$20&amp;" is more than KP_PREV Transgender"&amp;CHAR(10),""),IF(M50&gt;M26," * Prep New Transgender "&amp;$L$19&amp;" "&amp;$M$20&amp;" is more than KP_PREV Transgender"&amp;CHAR(10),""),IF(N50&gt;N26," * Prep New Transgender "&amp;$N$19&amp;" "&amp;$N$20&amp;" is more than KP_PREV Transgender"&amp;CHAR(10),""),IF(O50&gt;O26," * Prep New Transgender "&amp;$N$19&amp;" "&amp;$O$20&amp;" is more than KP_PREV Transgender"&amp;CHAR(10),""),IF(P50&gt;P26," * Prep New Transgender "&amp;$P$19&amp;" "&amp;$P$20&amp;" is more than KP_PREV Transgender"&amp;CHAR(10),""),IF(Q50&gt;Q26," * Prep New Transgender "&amp;$P$19&amp;" "&amp;$Q$20&amp;" is more than KP_PREV Transgender"&amp;CHAR(10),""),IF(R50&gt;R26," * Prep New Transgender "&amp;$R$19&amp;" "&amp;$R$20&amp;" is more than KP_PREV Transgender"&amp;CHAR(10),""),IF(S50&gt;S26," * Prep New Transgender "&amp;$R$19&amp;" "&amp;$S$20&amp;" is more than KP_PREV Transgender"&amp;CHAR(10),""),IF(T50&gt;T26," * Prep New Transgender "&amp;$T$19&amp;" "&amp;$T$20&amp;" is more than KP_PREV Transgender"&amp;CHAR(10),""),IF(U50&gt;U26," * Prep New Transgender "&amp;$T$19&amp;" "&amp;$U$20&amp;" is more than KP_PREV Transgender"&amp;CHAR(10),""),IF(V50&gt;V26," * Prep New Transgender "&amp;$V$19&amp;" "&amp;$V$20&amp;" is more than KP_PREV Transgender"&amp;CHAR(10),""),IF(W50&gt;W26," * Prep New Transgender "&amp;$V$19&amp;" "&amp;$W$20&amp;" is more than KP_PREV Transgender"&amp;CHAR(10),""),IF(X50&gt;X26," * Prep New Transgender "&amp;$X$19&amp;" "&amp;$X$20&amp;" is more than KP_PREV Transgender"&amp;CHAR(10),""),IF(Y50&gt;Y26," * Prep New Transgender "&amp;$X$19&amp;" "&amp;$Y$20&amp;" is more than KP_PREV Transgender"&amp;CHAR(10),""),IF(Z50&gt;Z26," * Prep New Transgender "&amp;$Z$19&amp;" "&amp;$Z$20&amp;" is more than KP_PREV Transgender"&amp;CHAR(10),""),IF(AA50&gt;AA26," * Prep New Transgender "&amp;$Z$19&amp;" "&amp;$AA$20&amp;" is more than KP_PREV Transgender"&amp;CHAR(10),""),IF(AB50&gt;AB26," * Prep New Transgender "&amp;$AB$19&amp;" "&amp;$AA$20&amp;" is more than KP_PREV Transgender"&amp;CHAR(10),""))</f>
        <v/>
      </c>
      <c r="AD50" s="382"/>
      <c r="AE50" s="124"/>
      <c r="AF50" s="385"/>
      <c r="AG50" s="260">
        <v>161</v>
      </c>
    </row>
    <row r="51" spans="1:33" s="4" customFormat="1" ht="38.25" customHeight="1" thickBot="1" x14ac:dyDescent="0.3">
      <c r="A51" s="376" t="s">
        <v>187</v>
      </c>
      <c r="B51" s="377"/>
      <c r="C51" s="378"/>
      <c r="D51" s="377"/>
      <c r="E51" s="377"/>
      <c r="F51" s="377"/>
      <c r="G51" s="377"/>
      <c r="H51" s="377"/>
      <c r="I51" s="377"/>
      <c r="J51" s="377"/>
      <c r="K51" s="377"/>
      <c r="L51" s="377"/>
      <c r="M51" s="377"/>
      <c r="N51" s="377"/>
      <c r="O51" s="377"/>
      <c r="P51" s="377"/>
      <c r="Q51" s="377"/>
      <c r="R51" s="377"/>
      <c r="S51" s="377"/>
      <c r="T51" s="377"/>
      <c r="U51" s="377"/>
      <c r="V51" s="377"/>
      <c r="W51" s="377"/>
      <c r="X51" s="377"/>
      <c r="Y51" s="377"/>
      <c r="Z51" s="377"/>
      <c r="AA51" s="377"/>
      <c r="AB51" s="379"/>
      <c r="AC51" s="377"/>
      <c r="AD51" s="377"/>
      <c r="AE51" s="377"/>
      <c r="AF51" s="389"/>
      <c r="AG51" s="110">
        <v>154</v>
      </c>
    </row>
    <row r="52" spans="1:33" s="6" customFormat="1" ht="38.25" customHeight="1" thickBot="1" x14ac:dyDescent="0.3">
      <c r="A52" s="217" t="s">
        <v>181</v>
      </c>
      <c r="B52" s="247" t="s">
        <v>181</v>
      </c>
      <c r="C52" s="180" t="s">
        <v>255</v>
      </c>
      <c r="D52" s="248">
        <f t="shared" ref="D52:AB52" si="36">SUM(D53:D57)</f>
        <v>0</v>
      </c>
      <c r="E52" s="141">
        <f t="shared" si="36"/>
        <v>0</v>
      </c>
      <c r="F52" s="141">
        <f t="shared" si="36"/>
        <v>0</v>
      </c>
      <c r="G52" s="141">
        <f t="shared" si="36"/>
        <v>0</v>
      </c>
      <c r="H52" s="141">
        <f t="shared" si="36"/>
        <v>0</v>
      </c>
      <c r="I52" s="141">
        <f t="shared" si="36"/>
        <v>0</v>
      </c>
      <c r="J52" s="141">
        <f t="shared" si="36"/>
        <v>0</v>
      </c>
      <c r="K52" s="141">
        <f t="shared" si="36"/>
        <v>0</v>
      </c>
      <c r="L52" s="141">
        <f t="shared" si="36"/>
        <v>0</v>
      </c>
      <c r="M52" s="141">
        <f t="shared" si="36"/>
        <v>0</v>
      </c>
      <c r="N52" s="141">
        <f t="shared" si="36"/>
        <v>0</v>
      </c>
      <c r="O52" s="141">
        <f t="shared" si="36"/>
        <v>0</v>
      </c>
      <c r="P52" s="141">
        <f t="shared" si="36"/>
        <v>0</v>
      </c>
      <c r="Q52" s="141">
        <f t="shared" si="36"/>
        <v>0</v>
      </c>
      <c r="R52" s="141">
        <f t="shared" si="36"/>
        <v>0</v>
      </c>
      <c r="S52" s="141">
        <f t="shared" si="36"/>
        <v>0</v>
      </c>
      <c r="T52" s="141">
        <f t="shared" si="36"/>
        <v>0</v>
      </c>
      <c r="U52" s="141">
        <f t="shared" si="36"/>
        <v>0</v>
      </c>
      <c r="V52" s="141">
        <f t="shared" si="36"/>
        <v>0</v>
      </c>
      <c r="W52" s="141">
        <f t="shared" si="36"/>
        <v>0</v>
      </c>
      <c r="X52" s="141">
        <f t="shared" si="36"/>
        <v>0</v>
      </c>
      <c r="Y52" s="141">
        <f t="shared" si="36"/>
        <v>0</v>
      </c>
      <c r="Z52" s="141">
        <f t="shared" si="36"/>
        <v>0</v>
      </c>
      <c r="AA52" s="141">
        <f t="shared" si="36"/>
        <v>0</v>
      </c>
      <c r="AB52" s="141">
        <f t="shared" si="36"/>
        <v>0</v>
      </c>
      <c r="AC52" s="142"/>
      <c r="AD52" s="381" t="str">
        <f>CONCATENATE(AC52,AC53,AC54,AC55,AC56,AC57)</f>
        <v/>
      </c>
      <c r="AE52" s="143"/>
      <c r="AF52" s="386" t="str">
        <f>CONCATENATE(AE52,AE53,AE54,AE55,AE56,AE57)</f>
        <v/>
      </c>
      <c r="AG52" s="110">
        <v>155</v>
      </c>
    </row>
    <row r="53" spans="1:33" s="4" customFormat="1" ht="38.25" customHeight="1" thickBot="1" x14ac:dyDescent="0.3">
      <c r="A53" s="218" t="s">
        <v>79</v>
      </c>
      <c r="B53" s="155" t="s">
        <v>182</v>
      </c>
      <c r="C53" s="198" t="s">
        <v>256</v>
      </c>
      <c r="D53" s="37"/>
      <c r="E53" s="28"/>
      <c r="F53" s="37"/>
      <c r="G53" s="28"/>
      <c r="H53" s="37"/>
      <c r="I53" s="28"/>
      <c r="J53" s="37"/>
      <c r="K53" s="28"/>
      <c r="L53" s="28"/>
      <c r="M53" s="29"/>
      <c r="N53" s="28"/>
      <c r="O53" s="29"/>
      <c r="P53" s="28"/>
      <c r="Q53" s="29"/>
      <c r="R53" s="28"/>
      <c r="S53" s="29"/>
      <c r="T53" s="28"/>
      <c r="U53" s="29"/>
      <c r="V53" s="28"/>
      <c r="W53" s="29"/>
      <c r="X53" s="28"/>
      <c r="Y53" s="29"/>
      <c r="Z53" s="28"/>
      <c r="AA53" s="29"/>
      <c r="AB53" s="108">
        <f t="shared" ref="AB53:AB56" si="37">SUM(D53:AA53)</f>
        <v>0</v>
      </c>
      <c r="AC53" s="133" t="str">
        <f>CONCATENATE(IF(D46&gt;D53," * Prep New FSW "&amp;$D$19&amp;" "&amp;$D$20&amp;" Is more than Prep Curr FSW"&amp;CHAR(10),""),IF(E46&gt;E53," * Prep New FSW "&amp;$D$19&amp;" "&amp;$E$20&amp;" Is more than Prep Curr FSW"&amp;CHAR(10),""),IF(F46&gt;F53," * Prep New FSW "&amp;$F$19&amp;" "&amp;$F$20&amp;" Is more than Prep Curr FSW"&amp;CHAR(10),""),IF(G46&gt;G53," * Prep New FSW "&amp;$F$19&amp;" "&amp;$G$20&amp;" Is more than Prep Curr FSW"&amp;CHAR(10),""),IF(H46&gt;H53," * Prep New FSW "&amp;$H$19&amp;" "&amp;$H$20&amp;" Is more than Prep Curr FSW"&amp;CHAR(10),""),IF(I46&gt;I53," * Prep New FSW "&amp;$H$19&amp;" "&amp;$I$20&amp;" Is more than Prep Curr FSW"&amp;CHAR(10),""),IF(J46&gt;J53," * Prep New FSW "&amp;$J$19&amp;" "&amp;$J$20&amp;" Is more than Prep Curr FSW"&amp;CHAR(10),""),IF(K46&gt;K53," * Prep New FSW "&amp;$J$19&amp;" "&amp;$K$20&amp;" Is more than Prep Curr FSW"&amp;CHAR(10),""),IF(L46&gt;L53," * Prep New FSW "&amp;$L$19&amp;" "&amp;$L$20&amp;" Is more than Prep Curr FSW"&amp;CHAR(10),""),IF(M46&gt;M53," * Prep New FSW "&amp;$L$19&amp;" "&amp;$M$20&amp;" Is more than Prep Curr FSW"&amp;CHAR(10),""),IF(N46&gt;N53," * Prep New FSW "&amp;$N$19&amp;" "&amp;$N$20&amp;" Is more than Prep Curr FSW"&amp;CHAR(10),""),IF(O46&gt;O53," * Prep New FSW "&amp;$N$19&amp;" "&amp;$O$20&amp;" Is more than Prep Curr FSW"&amp;CHAR(10),""),IF(P46&gt;P53," * Prep New FSW "&amp;$P$19&amp;" "&amp;$P$20&amp;" Is more than Prep Curr FSW"&amp;CHAR(10),""),IF(Q46&gt;Q53," * Prep New FSW "&amp;$P$19&amp;" "&amp;$Q$20&amp;" Is more than Prep Curr FSW"&amp;CHAR(10),""),IF(R46&gt;R53," * Prep New FSW "&amp;$R$19&amp;" "&amp;$R$20&amp;" Is more than Prep Curr FSW"&amp;CHAR(10),""),IF(S46&gt;S53," * Prep New FSW "&amp;$R$19&amp;" "&amp;$S$20&amp;" Is more than Prep Curr FSW"&amp;CHAR(10),""),IF(T46&gt;T53," * Prep New FSW "&amp;$T$19&amp;" "&amp;$T$20&amp;" Is more than Prep Curr FSW"&amp;CHAR(10),""),IF(U46&gt;U53," * Prep New FSW "&amp;$T$19&amp;" "&amp;$U$20&amp;" Is more than Prep Curr FSW"&amp;CHAR(10),""),IF(V46&gt;V53," * Prep New FSW "&amp;$V$19&amp;" "&amp;$V$20&amp;" Is more than Prep Curr FSW"&amp;CHAR(10),""),IF(W46&gt;W53," * Prep New FSW "&amp;$V$19&amp;" "&amp;$W$20&amp;" Is more than Prep Curr FSW"&amp;CHAR(10),""),IF(X46&gt;X53," * Prep New FSW "&amp;$X$19&amp;" "&amp;$X$20&amp;" Is more than Prep Curr FSW"&amp;CHAR(10),""),IF(Y46&gt;Y53," * Prep New FSW "&amp;$X$19&amp;" "&amp;$Y$20&amp;" Is more than Prep Curr FSW"&amp;CHAR(10),""),IF(Z46&gt;Z53," * Prep New FSW "&amp;$Z$19&amp;" "&amp;$Z$20&amp;" Is more than Prep Curr FSW"&amp;CHAR(10),""),IF(AA46&gt;AA53," * Prep New FSW "&amp;$Z$19&amp;" "&amp;$AA$20&amp;" Is more than Prep Curr FSW"&amp;CHAR(10),""))</f>
        <v/>
      </c>
      <c r="AD53" s="382"/>
      <c r="AE53" s="124"/>
      <c r="AF53" s="387"/>
      <c r="AG53" s="110">
        <v>156</v>
      </c>
    </row>
    <row r="54" spans="1:33" s="4" customFormat="1" ht="38.25" customHeight="1" thickBot="1" x14ac:dyDescent="0.3">
      <c r="A54" s="213" t="s">
        <v>77</v>
      </c>
      <c r="B54" s="153" t="s">
        <v>183</v>
      </c>
      <c r="C54" s="198" t="s">
        <v>257</v>
      </c>
      <c r="D54" s="36"/>
      <c r="E54" s="27"/>
      <c r="F54" s="36"/>
      <c r="G54" s="27"/>
      <c r="H54" s="36"/>
      <c r="I54" s="27"/>
      <c r="J54" s="36"/>
      <c r="K54" s="27"/>
      <c r="L54" s="25"/>
      <c r="M54" s="28"/>
      <c r="N54" s="25"/>
      <c r="O54" s="28"/>
      <c r="P54" s="25"/>
      <c r="Q54" s="28"/>
      <c r="R54" s="25"/>
      <c r="S54" s="28"/>
      <c r="T54" s="25"/>
      <c r="U54" s="28"/>
      <c r="V54" s="25"/>
      <c r="W54" s="28"/>
      <c r="X54" s="25"/>
      <c r="Y54" s="28"/>
      <c r="Z54" s="25"/>
      <c r="AA54" s="28"/>
      <c r="AB54" s="101">
        <f t="shared" si="37"/>
        <v>0</v>
      </c>
      <c r="AC54" s="133" t="str">
        <f>CONCATENATE(IF(D47&gt;D54," * Prep New MSM "&amp;$D$19&amp;" "&amp;$D$20&amp;" Is more than Prep Curr MSM"&amp;CHAR(10),""),IF(E47&gt;E54," * Prep New MSM "&amp;$D$19&amp;" "&amp;$E$20&amp;" Is more than Prep Curr MSM"&amp;CHAR(10),""),IF(F47&gt;F54," * Prep New MSM "&amp;$F$19&amp;" "&amp;$F$20&amp;" Is more than Prep Curr MSM"&amp;CHAR(10),""),IF(G47&gt;G54," * Prep New MSM "&amp;$F$19&amp;" "&amp;$G$20&amp;" Is more than Prep Curr MSM"&amp;CHAR(10),""),IF(H47&gt;H54," * Prep New MSM "&amp;$H$19&amp;" "&amp;$H$20&amp;" Is more than Prep Curr MSM"&amp;CHAR(10),""),IF(I47&gt;I54," * Prep New MSM "&amp;$H$19&amp;" "&amp;$I$20&amp;" Is more than Prep Curr MSM"&amp;CHAR(10),""),IF(J47&gt;J54," * Prep New MSM "&amp;$J$19&amp;" "&amp;$J$20&amp;" Is more than Prep Curr MSM"&amp;CHAR(10),""),IF(K47&gt;K54," * Prep New MSM "&amp;$J$19&amp;" "&amp;$K$20&amp;" Is more than Prep Curr MSM"&amp;CHAR(10),""),IF(L47&gt;L54," * Prep New MSM "&amp;$L$19&amp;" "&amp;$L$20&amp;" Is more than Prep Curr MSM"&amp;CHAR(10),""),IF(M47&gt;M54," * Prep New MSM "&amp;$L$19&amp;" "&amp;$M$20&amp;" Is more than Prep Curr MSM"&amp;CHAR(10),""),IF(N47&gt;N54," * Prep New MSM "&amp;$N$19&amp;" "&amp;$N$20&amp;" Is more than Prep Curr MSM"&amp;CHAR(10),""),IF(O47&gt;O54," * Prep New MSM "&amp;$N$19&amp;" "&amp;$O$20&amp;" Is more than Prep Curr MSM"&amp;CHAR(10),""),IF(P47&gt;P54," * Prep New MSM "&amp;$P$19&amp;" "&amp;$P$20&amp;" Is more than Prep Curr MSM"&amp;CHAR(10),""),IF(Q47&gt;Q54," * Prep New MSM "&amp;$P$19&amp;" "&amp;$Q$20&amp;" Is more than Prep Curr MSM"&amp;CHAR(10),""),IF(R47&gt;R54," * Prep New MSM "&amp;$R$19&amp;" "&amp;$R$20&amp;" Is more than Prep Curr MSM"&amp;CHAR(10),""),IF(S47&gt;S54," * Prep New MSM "&amp;$R$19&amp;" "&amp;$S$20&amp;" Is more than Prep Curr MSM"&amp;CHAR(10),""),IF(T47&gt;T54," * Prep New MSM "&amp;$T$19&amp;" "&amp;$T$20&amp;" Is more than Prep Curr MSM"&amp;CHAR(10),""),IF(U47&gt;U54," * Prep New MSM "&amp;$T$19&amp;" "&amp;$U$20&amp;" Is more than Prep Curr MSM"&amp;CHAR(10),""),IF(V47&gt;V54," * Prep New MSM "&amp;$V$19&amp;" "&amp;$V$20&amp;" Is more than Prep Curr MSM"&amp;CHAR(10),""),IF(W47&gt;W54," * Prep New MSM "&amp;$V$19&amp;" "&amp;$W$20&amp;" Is more than Prep Curr MSM"&amp;CHAR(10),""),IF(X47&gt;X54," * Prep New MSM "&amp;$X$19&amp;" "&amp;$X$20&amp;" Is more than Prep Curr MSM"&amp;CHAR(10),""),IF(Y47&gt;Y54," * Prep New MSM "&amp;$X$19&amp;" "&amp;$Y$20&amp;" Is more than Prep Curr MSM"&amp;CHAR(10),""),IF(Z47&gt;Z54," * Prep New MSM "&amp;$Z$19&amp;" "&amp;$Z$20&amp;" Is more than Prep Curr MSM"&amp;CHAR(10),""),IF(AA47&gt;AA54," * Prep New MSM "&amp;$Z$19&amp;" "&amp;$AA$20&amp;" Is more than Prep Curr MSM"&amp;CHAR(10),""))</f>
        <v/>
      </c>
      <c r="AD54" s="382"/>
      <c r="AE54" s="124"/>
      <c r="AF54" s="387"/>
      <c r="AG54" s="110">
        <v>157</v>
      </c>
    </row>
    <row r="55" spans="1:33" s="4" customFormat="1" ht="38.25" customHeight="1" thickBot="1" x14ac:dyDescent="0.3">
      <c r="A55" s="213" t="s">
        <v>167</v>
      </c>
      <c r="B55" s="153" t="s">
        <v>184</v>
      </c>
      <c r="C55" s="198" t="s">
        <v>258</v>
      </c>
      <c r="D55" s="36"/>
      <c r="E55" s="27"/>
      <c r="F55" s="36"/>
      <c r="G55" s="27"/>
      <c r="H55" s="36"/>
      <c r="I55" s="27"/>
      <c r="J55" s="36"/>
      <c r="K55" s="27"/>
      <c r="L55" s="25"/>
      <c r="M55" s="25"/>
      <c r="N55" s="25"/>
      <c r="O55" s="25"/>
      <c r="P55" s="25"/>
      <c r="Q55" s="25"/>
      <c r="R55" s="25"/>
      <c r="S55" s="25"/>
      <c r="T55" s="25"/>
      <c r="U55" s="25"/>
      <c r="V55" s="25"/>
      <c r="W55" s="25"/>
      <c r="X55" s="25"/>
      <c r="Y55" s="25"/>
      <c r="Z55" s="25"/>
      <c r="AA55" s="25"/>
      <c r="AB55" s="101">
        <f t="shared" si="37"/>
        <v>0</v>
      </c>
      <c r="AC55" s="133" t="str">
        <f>CONCATENATE(IF(D48&gt;D55," * Prep New People in Prison "&amp;$D$19&amp;" "&amp;$D$20&amp;" Is more than Prep Curr People in Prison"&amp;CHAR(10),""),IF(E48&gt;E55," * Prep New People in Prison "&amp;$D$19&amp;" "&amp;$E$20&amp;" Is more than Prep Curr People in Prison"&amp;CHAR(10),""),IF(F48&gt;F55," * Prep New People in Prison "&amp;$F$19&amp;" "&amp;$F$20&amp;" Is more than Prep Curr People in Prison"&amp;CHAR(10),""),IF(G48&gt;G55," * Prep New People in Prison "&amp;$F$19&amp;" "&amp;$G$20&amp;" Is more than Prep Curr People in Prison"&amp;CHAR(10),""),IF(H48&gt;H55," * Prep New People in Prison "&amp;$H$19&amp;" "&amp;$H$20&amp;" Is more than Prep Curr People in Prison"&amp;CHAR(10),""),IF(I48&gt;I55," * Prep New People in Prison "&amp;$H$19&amp;" "&amp;$I$20&amp;" Is more than Prep Curr People in Prison"&amp;CHAR(10),""),IF(J48&gt;J55," * Prep New People in Prison "&amp;$J$19&amp;" "&amp;$J$20&amp;" Is more than Prep Curr People in Prison"&amp;CHAR(10),""),IF(K48&gt;K55," * Prep New People in Prison "&amp;$J$19&amp;" "&amp;$K$20&amp;" Is more than Prep Curr People in Prison"&amp;CHAR(10),""),IF(L48&gt;L55," * Prep New People in Prison "&amp;$L$19&amp;" "&amp;$L$20&amp;" Is more than Prep Curr People in Prison"&amp;CHAR(10),""),IF(M48&gt;M55," * Prep New People in Prison "&amp;$L$19&amp;" "&amp;$M$20&amp;" Is more than Prep Curr People in Prison"&amp;CHAR(10),""),IF(N48&gt;N55," * Prep New People in Prison "&amp;$N$19&amp;" "&amp;$N$20&amp;" Is more than Prep Curr People in Prison"&amp;CHAR(10),""),IF(O48&gt;O55," * Prep New People in Prison "&amp;$N$19&amp;" "&amp;$O$20&amp;" Is more than Prep Curr People in Prison"&amp;CHAR(10),""),IF(P48&gt;P55," * Prep New People in Prison "&amp;$P$19&amp;" "&amp;$P$20&amp;" Is more than Prep Curr People in Prison"&amp;CHAR(10),""),IF(Q48&gt;Q55," * Prep New People in Prison "&amp;$P$19&amp;" "&amp;$Q$20&amp;" Is more than Prep Curr People in Prison"&amp;CHAR(10),""),IF(R48&gt;R55," * Prep New People in Prison "&amp;$R$19&amp;" "&amp;$R$20&amp;" Is more than Prep Curr People in Prison"&amp;CHAR(10),""),IF(S48&gt;S55," * Prep New People in Prison "&amp;$R$19&amp;" "&amp;$S$20&amp;" Is more than Prep Curr People in Prison"&amp;CHAR(10),""),IF(T48&gt;T55," * Prep New People in Prison "&amp;$T$19&amp;" "&amp;$T$20&amp;" Is more than Prep Curr People in Prison"&amp;CHAR(10),""),IF(U48&gt;U55," * Prep New People in Prison "&amp;$T$19&amp;" "&amp;$U$20&amp;" Is more than Prep Curr People in Prison"&amp;CHAR(10),""),IF(V48&gt;V55," * Prep New People in Prison "&amp;$V$19&amp;" "&amp;$V$20&amp;" Is more than Prep Curr People in Prison"&amp;CHAR(10),""),IF(W48&gt;W55," * Prep New People in Prison "&amp;$V$19&amp;" "&amp;$W$20&amp;" Is more than Prep Curr People in Prison"&amp;CHAR(10),""),IF(X48&gt;X55," * Prep New People in Prison "&amp;$X$19&amp;" "&amp;$X$20&amp;" Is more than Prep Curr People in Prison"&amp;CHAR(10),""),IF(Y48&gt;Y55," * Prep New People in Prison "&amp;$X$19&amp;" "&amp;$Y$20&amp;" Is more than Prep Curr People in Prison"&amp;CHAR(10),""),IF(Z48&gt;Z55," * Prep New People in Prison "&amp;$Z$19&amp;" "&amp;$Z$20&amp;" Is more than Prep Curr People in Prison"&amp;CHAR(10),""),IF(AA48&gt;AA55," * Prep New People in Prison "&amp;$Z$19&amp;" "&amp;$AA$20&amp;" Is more than Prep Curr People in Prison"&amp;CHAR(10),""))</f>
        <v/>
      </c>
      <c r="AD55" s="382"/>
      <c r="AE55" s="124"/>
      <c r="AF55" s="387"/>
      <c r="AG55" s="110">
        <v>159</v>
      </c>
    </row>
    <row r="56" spans="1:33" s="4" customFormat="1" ht="38.25" customHeight="1" thickBot="1" x14ac:dyDescent="0.3">
      <c r="A56" s="213" t="s">
        <v>76</v>
      </c>
      <c r="B56" s="153" t="s">
        <v>185</v>
      </c>
      <c r="C56" s="198" t="s">
        <v>259</v>
      </c>
      <c r="D56" s="36"/>
      <c r="E56" s="27"/>
      <c r="F56" s="36"/>
      <c r="G56" s="27"/>
      <c r="H56" s="36"/>
      <c r="I56" s="27"/>
      <c r="J56" s="36"/>
      <c r="K56" s="27"/>
      <c r="L56" s="25"/>
      <c r="M56" s="25"/>
      <c r="N56" s="25"/>
      <c r="O56" s="25"/>
      <c r="P56" s="25"/>
      <c r="Q56" s="25"/>
      <c r="R56" s="25"/>
      <c r="S56" s="25"/>
      <c r="T56" s="25"/>
      <c r="U56" s="25"/>
      <c r="V56" s="25"/>
      <c r="W56" s="25"/>
      <c r="X56" s="25"/>
      <c r="Y56" s="25"/>
      <c r="Z56" s="25"/>
      <c r="AA56" s="25"/>
      <c r="AB56" s="102">
        <f t="shared" si="37"/>
        <v>0</v>
      </c>
      <c r="AC56" s="133" t="str">
        <f>CONCATENATE(IF(D49&gt;D56," * Prep New PWID "&amp;$D$19&amp;" "&amp;$D$20&amp;" Is more than Prep Curr PWID"&amp;CHAR(10),""),IF(E49&gt;E56," * Prep New PWID "&amp;$D$19&amp;" "&amp;$E$20&amp;" Is more than Prep Curr PWID"&amp;CHAR(10),""),IF(F49&gt;F56," * Prep New PWID "&amp;$F$19&amp;" "&amp;$F$20&amp;" Is more than Prep Curr PWID"&amp;CHAR(10),""),IF(G49&gt;G56," * Prep New PWID "&amp;$F$19&amp;" "&amp;$G$20&amp;" Is more than Prep Curr PWID"&amp;CHAR(10),""),IF(H49&gt;H56," * Prep New PWID "&amp;$H$19&amp;" "&amp;$H$20&amp;" Is more than Prep Curr PWID"&amp;CHAR(10),""),IF(I49&gt;I56," * Prep New PWID "&amp;$H$19&amp;" "&amp;$I$20&amp;" Is more than Prep Curr PWID"&amp;CHAR(10),""),IF(J49&gt;J56," * Prep New PWID "&amp;$J$19&amp;" "&amp;$J$20&amp;" Is more than Prep Curr PWID"&amp;CHAR(10),""),IF(K49&gt;K56," * Prep New PWID "&amp;$J$19&amp;" "&amp;$K$20&amp;" Is more than Prep Curr PWID"&amp;CHAR(10),""),IF(L49&gt;L56," * Prep New PWID "&amp;$L$19&amp;" "&amp;$L$20&amp;" Is more than Prep Curr PWID"&amp;CHAR(10),""),IF(M49&gt;M56," * Prep New PWID "&amp;$L$19&amp;" "&amp;$M$20&amp;" Is more than Prep Curr PWID"&amp;CHAR(10),""),IF(N49&gt;N56," * Prep New PWID "&amp;$N$19&amp;" "&amp;$N$20&amp;" Is more than Prep Curr PWID"&amp;CHAR(10),""),IF(O49&gt;O56," * Prep New PWID "&amp;$N$19&amp;" "&amp;$O$20&amp;" Is more than Prep Curr PWID"&amp;CHAR(10),""),IF(P49&gt;P56," * Prep New PWID "&amp;$P$19&amp;" "&amp;$P$20&amp;" Is more than Prep Curr PWID"&amp;CHAR(10),""),IF(Q49&gt;Q56," * Prep New PWID "&amp;$P$19&amp;" "&amp;$Q$20&amp;" Is more than Prep Curr PWID"&amp;CHAR(10),""),IF(R49&gt;R56," * Prep New PWID "&amp;$R$19&amp;" "&amp;$R$20&amp;" Is more than Prep Curr PWID"&amp;CHAR(10),""),IF(S49&gt;S56," * Prep New PWID "&amp;$R$19&amp;" "&amp;$S$20&amp;" Is more than Prep Curr PWID"&amp;CHAR(10),""),IF(T49&gt;T56," * Prep New PWID "&amp;$T$19&amp;" "&amp;$T$20&amp;" Is more than Prep Curr PWID"&amp;CHAR(10),""),IF(U49&gt;U56," * Prep New PWID "&amp;$T$19&amp;" "&amp;$U$20&amp;" Is more than Prep Curr PWID"&amp;CHAR(10),""),IF(V49&gt;V56," * Prep New PWID "&amp;$V$19&amp;" "&amp;$V$20&amp;" Is more than Prep Curr PWID"&amp;CHAR(10),""),IF(W49&gt;W56," * Prep New PWID "&amp;$V$19&amp;" "&amp;$W$20&amp;" Is more than Prep Curr PWID"&amp;CHAR(10),""),IF(X49&gt;X56," * Prep New PWID "&amp;$X$19&amp;" "&amp;$X$20&amp;" Is more than Prep Curr PWID"&amp;CHAR(10),""),IF(Y49&gt;Y56," * Prep New PWID "&amp;$X$19&amp;" "&amp;$Y$20&amp;" Is more than Prep Curr PWID"&amp;CHAR(10),""),IF(Z49&gt;Z56," * Prep New PWID "&amp;$Z$19&amp;" "&amp;$Z$20&amp;" Is more than Prep Curr PWID"&amp;CHAR(10),""),IF(AA49&gt;AA56," * Prep New PWID "&amp;$Z$19&amp;" "&amp;$AA$20&amp;" Is more than Prep Curr PWID"&amp;CHAR(10),""))</f>
        <v/>
      </c>
      <c r="AD56" s="382"/>
      <c r="AE56" s="124"/>
      <c r="AF56" s="387"/>
      <c r="AG56" s="110">
        <v>160</v>
      </c>
    </row>
    <row r="57" spans="1:33" s="4" customFormat="1" ht="38.25" customHeight="1" thickBot="1" x14ac:dyDescent="0.3">
      <c r="A57" s="219" t="s">
        <v>435</v>
      </c>
      <c r="B57" s="154" t="s">
        <v>186</v>
      </c>
      <c r="C57" s="203" t="s">
        <v>260</v>
      </c>
      <c r="D57" s="97"/>
      <c r="E57" s="98"/>
      <c r="F57" s="97"/>
      <c r="G57" s="98"/>
      <c r="H57" s="97"/>
      <c r="I57" s="98"/>
      <c r="J57" s="97"/>
      <c r="K57" s="98"/>
      <c r="L57" s="98"/>
      <c r="M57" s="98"/>
      <c r="N57" s="98"/>
      <c r="O57" s="98"/>
      <c r="P57" s="98"/>
      <c r="Q57" s="98"/>
      <c r="R57" s="98"/>
      <c r="S57" s="98"/>
      <c r="T57" s="98"/>
      <c r="U57" s="98"/>
      <c r="V57" s="98"/>
      <c r="W57" s="98"/>
      <c r="X57" s="98"/>
      <c r="Y57" s="98"/>
      <c r="Z57" s="98"/>
      <c r="AA57" s="232"/>
      <c r="AB57" s="233"/>
      <c r="AC57" s="134" t="str">
        <f>CONCATENATE(IF(D50&gt;D57," * Prep New Transgender "&amp;$D$19&amp;" "&amp;$D$20&amp;" is more than PREP_CURR Transgender"&amp;CHAR(10),""),IF(E50&gt;E57," * Prep New Transgender "&amp;$D$19&amp;" "&amp;$E$20&amp;" is more than PREP_CURR Transgender"&amp;CHAR(10),""),IF(F50&gt;F57," * Prep New Transgender "&amp;$F$19&amp;" "&amp;$F$20&amp;" is more than PREP_CURR Transgender"&amp;CHAR(10),""),IF(G50&gt;G57," * Prep New Transgender "&amp;$F$19&amp;" "&amp;$G$20&amp;" is more than PREP_CURR Transgender"&amp;CHAR(10),""),IF(H50&gt;H57," * Prep New Transgender "&amp;$H$19&amp;" "&amp;$H$20&amp;" is more than PREP_CURR Transgender"&amp;CHAR(10),""),IF(I50&gt;I57," * Prep New Transgender "&amp;$H$19&amp;" "&amp;$I$20&amp;" is more than PREP_CURR Transgender"&amp;CHAR(10),""),IF(J50&gt;J57," * Prep New Transgender "&amp;$J$19&amp;" "&amp;$J$20&amp;" is more than PREP_CURR Transgender"&amp;CHAR(10),""),IF(K50&gt;K57," * Prep New Transgender "&amp;$J$19&amp;" "&amp;$K$20&amp;" is more than PREP_CURR Transgender"&amp;CHAR(10),""),IF(L50&gt;L57," * Prep New Transgender "&amp;$L$19&amp;" "&amp;$L$20&amp;" is more than PREP_CURR Transgender"&amp;CHAR(10),""),IF(M50&gt;M57," * Prep New Transgender "&amp;$L$19&amp;" "&amp;$M$20&amp;" is more than PREP_CURR Transgender"&amp;CHAR(10),""),IF(N50&gt;N57," * Prep New Transgender "&amp;$N$19&amp;" "&amp;$N$20&amp;" is more than PREP_CURR Transgender"&amp;CHAR(10),""),IF(O50&gt;O57," * Prep New Transgender "&amp;$N$19&amp;" "&amp;$O$20&amp;" is more than PREP_CURR Transgender"&amp;CHAR(10),""),IF(P50&gt;P57," * Prep New Transgender "&amp;$P$19&amp;" "&amp;$P$20&amp;" is more than PREP_CURR Transgender"&amp;CHAR(10),""),IF(Q50&gt;Q57," * Prep New Transgender "&amp;$P$19&amp;" "&amp;$Q$20&amp;" is more than PREP_CURR Transgender"&amp;CHAR(10),""),IF(R50&gt;R57," * Prep New Transgender "&amp;$R$19&amp;" "&amp;$R$20&amp;" is more than PREP_CURR Transgender"&amp;CHAR(10),""),IF(S50&gt;S57," * Prep New Transgender "&amp;$R$19&amp;" "&amp;$S$20&amp;" is more than PREP_CURR Transgender"&amp;CHAR(10),""),IF(T50&gt;T57," * Prep New Transgender "&amp;$T$19&amp;" "&amp;$T$20&amp;" is more than PREP_CURR Transgender"&amp;CHAR(10),""),IF(U50&gt;U57," * Prep New Transgender "&amp;$T$19&amp;" "&amp;$U$20&amp;" is more than PREP_CURR Transgender"&amp;CHAR(10),""),IF(V50&gt;V57," * Prep New Transgender "&amp;$V$19&amp;" "&amp;$V$20&amp;" is more than PREP_CURR Transgender"&amp;CHAR(10),""),IF(W50&gt;W57," * Prep New Transgender "&amp;$V$19&amp;" "&amp;$W$20&amp;" is more than PREP_CURR Transgender"&amp;CHAR(10),""),IF(X50&gt;X57," * Prep New Transgender "&amp;$X$19&amp;" "&amp;$X$20&amp;" is more than PREP_CURR Transgender"&amp;CHAR(10),""),IF(Y50&gt;Y57," * Prep New Transgender "&amp;$X$19&amp;" "&amp;$Y$20&amp;" is more than PREP_CURR Transgender"&amp;CHAR(10),""),IF(Z50&gt;Z57," * Prep New Transgender "&amp;$Z$19&amp;" "&amp;$Z$20&amp;" is more than PREP_CURR Transgender"&amp;CHAR(10),""),IF(AA50&gt;AA57," * Prep New Transgender "&amp;$Z$19&amp;" "&amp;$AA$20&amp;" is more than PREP_CURR Transgender"&amp;CHAR(10),""),IF(AB50&gt;AB57," * Prep New Transgender "&amp;$AB$19&amp;" "&amp;$AA$20&amp;" is more than PREP_CURR Transgender"&amp;CHAR(10),""))</f>
        <v/>
      </c>
      <c r="AD57" s="382"/>
      <c r="AE57" s="124"/>
      <c r="AF57" s="388"/>
      <c r="AG57" s="110">
        <v>161</v>
      </c>
    </row>
    <row r="58" spans="1:33" s="4" customFormat="1" ht="38.25" customHeight="1" thickBot="1" x14ac:dyDescent="0.3">
      <c r="A58" s="376" t="s">
        <v>235</v>
      </c>
      <c r="B58" s="377"/>
      <c r="C58" s="379"/>
      <c r="D58" s="377"/>
      <c r="E58" s="377"/>
      <c r="F58" s="377"/>
      <c r="G58" s="377"/>
      <c r="H58" s="377"/>
      <c r="I58" s="377"/>
      <c r="J58" s="377"/>
      <c r="K58" s="377"/>
      <c r="L58" s="377"/>
      <c r="M58" s="377"/>
      <c r="N58" s="377"/>
      <c r="O58" s="377"/>
      <c r="P58" s="377"/>
      <c r="Q58" s="377"/>
      <c r="R58" s="377"/>
      <c r="S58" s="377"/>
      <c r="T58" s="377"/>
      <c r="U58" s="377"/>
      <c r="V58" s="377"/>
      <c r="W58" s="377"/>
      <c r="X58" s="377"/>
      <c r="Y58" s="377"/>
      <c r="Z58" s="377"/>
      <c r="AA58" s="377"/>
      <c r="AB58" s="377"/>
      <c r="AC58" s="377"/>
      <c r="AD58" s="377"/>
      <c r="AE58" s="377"/>
      <c r="AF58" s="390"/>
      <c r="AG58" s="110">
        <v>41</v>
      </c>
    </row>
    <row r="59" spans="1:33" s="4" customFormat="1" ht="27" hidden="1" customHeight="1" x14ac:dyDescent="0.25">
      <c r="A59" s="397" t="s">
        <v>17</v>
      </c>
      <c r="B59" s="395" t="s">
        <v>25</v>
      </c>
      <c r="C59" s="393" t="s">
        <v>24</v>
      </c>
      <c r="D59" s="405" t="s">
        <v>0</v>
      </c>
      <c r="E59" s="405"/>
      <c r="F59" s="405" t="s">
        <v>1</v>
      </c>
      <c r="G59" s="405"/>
      <c r="H59" s="405" t="s">
        <v>2</v>
      </c>
      <c r="I59" s="405"/>
      <c r="J59" s="405" t="s">
        <v>3</v>
      </c>
      <c r="K59" s="405"/>
      <c r="L59" s="391" t="s">
        <v>4</v>
      </c>
      <c r="M59" s="392"/>
      <c r="N59" s="391" t="s">
        <v>5</v>
      </c>
      <c r="O59" s="392"/>
      <c r="P59" s="391" t="s">
        <v>6</v>
      </c>
      <c r="Q59" s="392"/>
      <c r="R59" s="391" t="s">
        <v>7</v>
      </c>
      <c r="S59" s="392"/>
      <c r="T59" s="391" t="s">
        <v>8</v>
      </c>
      <c r="U59" s="392"/>
      <c r="V59" s="391" t="s">
        <v>14</v>
      </c>
      <c r="W59" s="392"/>
      <c r="X59" s="391" t="s">
        <v>15</v>
      </c>
      <c r="Y59" s="392"/>
      <c r="Z59" s="391" t="s">
        <v>9</v>
      </c>
      <c r="AA59" s="392"/>
      <c r="AB59" s="441" t="s">
        <v>12</v>
      </c>
      <c r="AC59" s="428" t="s">
        <v>26</v>
      </c>
      <c r="AD59" s="437" t="s">
        <v>31</v>
      </c>
      <c r="AE59" s="435" t="s">
        <v>32</v>
      </c>
      <c r="AF59" s="435" t="s">
        <v>32</v>
      </c>
      <c r="AG59" s="110">
        <v>42</v>
      </c>
    </row>
    <row r="60" spans="1:33" s="4" customFormat="1" ht="27" hidden="1" customHeight="1" thickBot="1" x14ac:dyDescent="0.3">
      <c r="A60" s="398"/>
      <c r="B60" s="396"/>
      <c r="C60" s="394"/>
      <c r="D60" s="12" t="s">
        <v>10</v>
      </c>
      <c r="E60" s="12" t="s">
        <v>11</v>
      </c>
      <c r="F60" s="12" t="s">
        <v>10</v>
      </c>
      <c r="G60" s="12" t="s">
        <v>11</v>
      </c>
      <c r="H60" s="12" t="s">
        <v>10</v>
      </c>
      <c r="I60" s="12" t="s">
        <v>11</v>
      </c>
      <c r="J60" s="12" t="s">
        <v>10</v>
      </c>
      <c r="K60" s="12" t="s">
        <v>11</v>
      </c>
      <c r="L60" s="12" t="s">
        <v>10</v>
      </c>
      <c r="M60" s="12" t="s">
        <v>11</v>
      </c>
      <c r="N60" s="12" t="s">
        <v>10</v>
      </c>
      <c r="O60" s="12" t="s">
        <v>11</v>
      </c>
      <c r="P60" s="12" t="s">
        <v>10</v>
      </c>
      <c r="Q60" s="12" t="s">
        <v>11</v>
      </c>
      <c r="R60" s="12" t="s">
        <v>10</v>
      </c>
      <c r="S60" s="12" t="s">
        <v>11</v>
      </c>
      <c r="T60" s="12" t="s">
        <v>10</v>
      </c>
      <c r="U60" s="12" t="s">
        <v>11</v>
      </c>
      <c r="V60" s="12" t="s">
        <v>10</v>
      </c>
      <c r="W60" s="12" t="s">
        <v>11</v>
      </c>
      <c r="X60" s="12" t="s">
        <v>10</v>
      </c>
      <c r="Y60" s="12" t="s">
        <v>11</v>
      </c>
      <c r="Z60" s="12" t="s">
        <v>10</v>
      </c>
      <c r="AA60" s="12" t="s">
        <v>11</v>
      </c>
      <c r="AB60" s="442"/>
      <c r="AC60" s="443"/>
      <c r="AD60" s="438"/>
      <c r="AE60" s="424"/>
      <c r="AF60" s="436"/>
      <c r="AG60" s="110">
        <v>43</v>
      </c>
    </row>
    <row r="61" spans="1:33" s="4" customFormat="1" ht="38.25" customHeight="1" x14ac:dyDescent="0.25">
      <c r="A61" s="367" t="s">
        <v>100</v>
      </c>
      <c r="B61" s="185" t="s">
        <v>101</v>
      </c>
      <c r="C61" s="197" t="s">
        <v>261</v>
      </c>
      <c r="D61" s="37"/>
      <c r="E61" s="28"/>
      <c r="F61" s="37"/>
      <c r="G61" s="28"/>
      <c r="H61" s="37"/>
      <c r="I61" s="28"/>
      <c r="J61" s="37"/>
      <c r="K61" s="109"/>
      <c r="L61" s="16"/>
      <c r="M61" s="16"/>
      <c r="N61" s="16"/>
      <c r="O61" s="16"/>
      <c r="P61" s="16"/>
      <c r="Q61" s="16"/>
      <c r="R61" s="16"/>
      <c r="S61" s="16"/>
      <c r="T61" s="16"/>
      <c r="U61" s="16"/>
      <c r="V61" s="16"/>
      <c r="W61" s="16"/>
      <c r="X61" s="16"/>
      <c r="Y61" s="16"/>
      <c r="Z61" s="16"/>
      <c r="AA61" s="16"/>
      <c r="AB61" s="108">
        <f>SUM(D61:AA61)</f>
        <v>0</v>
      </c>
      <c r="AC61" s="128" t="str">
        <f>CONCATENATE(IF(D63&gt;(D61+D62)," * Number of people receiving PEP Service   "&amp;$D$19&amp;" "&amp;$D$20&amp;" is more than Sexual violence + Physical violence under GBV"&amp;CHAR(10),""),IF(E63&gt;(E61+E62)," * Number of people receiving PEP Service   "&amp;$D$19&amp;" "&amp;$E$20&amp;" is more than Sexual violence + Physical violence under GBV"&amp;CHAR(10),""),IF(F63&gt;(F61+F62)," * Number of people receiving PEP Service   "&amp;$F$19&amp;" "&amp;$F$20&amp;" is more than Sexual violence + Physical violence under GBV"&amp;CHAR(10),""),IF(G63&gt;(G61+G62)," * Number of people receiving PEP Service   "&amp;$F$19&amp;" "&amp;$G$20&amp;" is more than Sexual violence + Physical violence under GBV"&amp;CHAR(10),""),IF(H63&gt;(H61+H62)," * Number of people receiving PEP Service   "&amp;$H$19&amp;" "&amp;$H$20&amp;" is more than Sexual violence + Physical violence under GBV"&amp;CHAR(10),""),IF(I63&gt;(I61+I62)," * Number of people receiving PEP Service   "&amp;$H$19&amp;" "&amp;$I$20&amp;" is more than Sexual violence + Physical violence under GBV"&amp;CHAR(10),""),IF(J63&gt;(J61+J62)," * Number of people receiving PEP Service   "&amp;$J$19&amp;" "&amp;$J$20&amp;" is more than Sexual violence + Physical violence under GBV"&amp;CHAR(10),""),IF(K63&gt;(K61+K62)," * Number of people receiving PEP Service   "&amp;$J$19&amp;" "&amp;$K$20&amp;" is more than Sexual violence + Physical violence under GBV"&amp;CHAR(10),""),IF(L63&gt;(L61+L62)," * Number of people receiving PEP Service   "&amp;$L$19&amp;" "&amp;$L$20&amp;" is more than Sexual violence + Physical violence under GBV"&amp;CHAR(10),""),IF(M63&gt;(M61+M62)," * Number of people receiving PEP Service   "&amp;$L$19&amp;" "&amp;$M$20&amp;" is more than Sexual violence + Physical violence under GBV"&amp;CHAR(10),""),IF(N63&gt;(N61+N62)," * Number of people receiving PEP Service   "&amp;$N$19&amp;" "&amp;$N$20&amp;" is more than Sexual violence + Physical violence under GBV"&amp;CHAR(10),""),IF(O63&gt;(O61+O62)," * Number of people receiving PEP Service   "&amp;$N$19&amp;" "&amp;$O$20&amp;" is more than Sexual violence + Physical violence under GBV"&amp;CHAR(10),""),IF(P63&gt;(P61+P62)," * Number of people receiving PEP Service   "&amp;$P$19&amp;" "&amp;$P$20&amp;" is more than Sexual violence + Physical violence under GBV"&amp;CHAR(10),""),IF(Q63&gt;(Q61+Q62)," * Number of people receiving PEP Service   "&amp;$P$19&amp;" "&amp;$Q$20&amp;" is more than Sexual violence + Physical violence under GBV"&amp;CHAR(10),""),IF(R63&gt;(R61+R62)," * Number of people receiving PEP Service   "&amp;$R$19&amp;" "&amp;$R$20&amp;" is more than Sexual violence + Physical violence under GBV"&amp;CHAR(10),""),IF(S63&gt;(S61+S62)," * Number of people receiving PEP Service   "&amp;$R$19&amp;" "&amp;$S$20&amp;" is more than Sexual violence + Physical violence under GBV"&amp;CHAR(10),""),IF(T63&gt;(T61+T62)," * Number of people receiving PEP Service   "&amp;$T$19&amp;" "&amp;$T$20&amp;" is more than Sexual violence + Physical violence under GBV"&amp;CHAR(10),""),IF(U63&gt;(U61+U62)," * Number of people receiving PEP Service   "&amp;$T$19&amp;" "&amp;$U$20&amp;" is more than Sexual violence + Physical violence under GBV"&amp;CHAR(10),""),IF(V63&gt;(V61+V62)," * Number of people receiving PEP Service   "&amp;$V$19&amp;" "&amp;$V$20&amp;" is more than Sexual violence + Physical violence under GBV"&amp;CHAR(10),""),IF(W63&gt;(W61+W62)," * Number of people receiving PEP Service   "&amp;$V$19&amp;" "&amp;$W$20&amp;" is more than Sexual violence + Physical violence under GBV"&amp;CHAR(10),""),IF(X63&gt;(X61+X62)," * Number of people receiving PEP Service   "&amp;$X$19&amp;" "&amp;$X$20&amp;" is more than Sexual violence + Physical violence under GBV"&amp;CHAR(10),""),IF(Y63&gt;(Y61+Y62)," * Number of people receiving PEP Service   "&amp;$X$19&amp;" "&amp;$Y$20&amp;" is more than Sexual violence + Physical violence under GBV"&amp;CHAR(10),""),IF(Z63&gt;(Z61+Z62)," * Number of people receiving PEP Service   "&amp;$Z$19&amp;" "&amp;$Z$20&amp;" is more than Sexual violence + Physical violence under GBV"&amp;CHAR(10),""),IF(AA63&gt;(AA61+AA62)," * Number of people receiving PEP Service   "&amp;$Z$19&amp;" "&amp;$AA$20&amp;" is more than Sexual violence + Physical violence under GBV"&amp;CHAR(10),""))</f>
        <v/>
      </c>
      <c r="AD61" s="439" t="str">
        <f>CONCATENATE(AC61,AC62,AC63)</f>
        <v/>
      </c>
      <c r="AE61" s="124" t="str">
        <f>CONCATENATE(IF(D63&lt;(D61+D62)," * Some GBV Cases have not been started on Pep Service "&amp;$D$19&amp;" "&amp;$D$20&amp;" Please provide explanations below"&amp;CHAR(10),""),IF(E63&lt;(E61+E62)," * Some GBV Cases have not been started on Pep Service "&amp;$D$19&amp;" "&amp;$E$20&amp;" Please provide explanations below"&amp;CHAR(10),""),IF(F63&lt;(F61+F62)," * Some GBV Cases have not been started on Pep Service "&amp;$F$19&amp;" "&amp;$F$20&amp;" Please provide explanations below"&amp;CHAR(10),""),IF(G63&lt;(G61+G62)," * Some GBV Cases have not been started on Pep Service "&amp;$F$19&amp;" "&amp;$G$20&amp;" Please provide explanations below"&amp;CHAR(10),""),IF(H63&lt;(H61+H62)," * Some GBV Cases have not been started on Pep Service "&amp;$H$19&amp;" "&amp;$H$20&amp;" Please provide explanations below"&amp;CHAR(10),""),IF(I63&lt;(I61+I62)," * Some GBV Cases have not been started on Pep Service "&amp;$H$19&amp;" "&amp;$I$20&amp;" Please provide explanations below"&amp;CHAR(10),""),IF(J63&lt;(J61+J62)," * Some GBV Cases have not been started on Pep Service "&amp;$J$19&amp;" "&amp;$J$20&amp;" Please provide explanations below"&amp;CHAR(10),""),IF(K63&lt;(K61+K62)," * Some GBV Cases have not been started on Pep Service "&amp;$J$19&amp;" "&amp;$K$20&amp;" Please provide explanations below"&amp;CHAR(10),""),IF(L63&lt;(L61+L62)," * Some GBV Cases have not been started on Pep Service "&amp;$L$19&amp;" "&amp;$L$20&amp;" Please provide explanations below"&amp;CHAR(10),""),IF(M63&lt;(M61+M62)," * Some GBV Cases have not been started on Pep Service "&amp;$L$19&amp;" "&amp;$M$20&amp;" Please provide explanations below"&amp;CHAR(10),""),IF(N63&lt;(N61+N62)," * Some GBV Cases have not been started on Pep Service "&amp;$N$19&amp;" "&amp;$N$20&amp;" Please provide explanations below"&amp;CHAR(10),""),IF(O63&lt;(O61+O62)," * Some GBV Cases have not been started on Pep Service "&amp;$N$19&amp;" "&amp;$O$20&amp;" Please provide explanations below"&amp;CHAR(10),""),IF(P63&lt;(P61+P62)," * Some GBV Cases have not been started on Pep Service "&amp;$P$19&amp;" "&amp;$P$20&amp;" Please provide explanations below"&amp;CHAR(10),""),IF(Q63&lt;(Q61+Q62)," * Some GBV Cases have not been started on Pep Service "&amp;$P$19&amp;" "&amp;$Q$20&amp;" Please provide explanations below"&amp;CHAR(10),""),IF(R63&lt;(R61+R62)," * Some GBV Cases have not been started on Pep Service "&amp;$R$19&amp;" "&amp;$R$20&amp;" Please provide explanations below"&amp;CHAR(10),""),IF(S63&lt;(S61+S62)," * Some GBV Cases have not been started on Pep Service "&amp;$R$19&amp;" "&amp;$S$20&amp;" Please provide explanations below"&amp;CHAR(10),""),IF(T63&lt;(T61+T62)," * Some GBV Cases have not been started on Pep Service "&amp;$T$19&amp;" "&amp;$T$20&amp;" Please provide explanations below"&amp;CHAR(10),""),IF(U63&lt;(U61+U62)," * Some GBV Cases have not been started on Pep Service "&amp;$T$19&amp;" "&amp;$U$20&amp;" Please provide explanations below"&amp;CHAR(10),""),IF(V63&lt;(V61+V62)," * Some GBV Cases have not been started on Pep Service "&amp;$V$19&amp;" "&amp;$V$20&amp;" Please provide explanations below"&amp;CHAR(10),""),IF(W63&lt;(W61+W62)," * Some GBV Cases have not been started on Pep Service "&amp;$V$19&amp;" "&amp;$W$20&amp;" Please provide explanations below"&amp;CHAR(10),""),IF(X63&lt;(X61+X62)," * Some GBV Cases have not been started on Pep Service "&amp;$X$19&amp;" "&amp;$X$20&amp;" Please provide explanations below"&amp;CHAR(10),""),IF(Y63&lt;(Y61+Y62)," * Some GBV Cases have not been started on Pep Service "&amp;$X$19&amp;" "&amp;$Y$20&amp;" Please provide explanations below"&amp;CHAR(10),""),IF(Z63&lt;(Z61+Z62)," * Some GBV Cases have not been started on Pep Service "&amp;$Z$19&amp;" "&amp;$Z$20&amp;" Please provide explanations below"&amp;CHAR(10),""),IF(AA63&lt;(AA61+AA62)," * Some GBV Cases have not been started on Pep Service "&amp;$Z$19&amp;" "&amp;$AA$20&amp;" Please provide explanations below"&amp;CHAR(10),""))</f>
        <v/>
      </c>
      <c r="AF61" s="433" t="str">
        <f>CONCATENATE(AE61,AE62,AE63)</f>
        <v/>
      </c>
      <c r="AG61" s="110">
        <v>44</v>
      </c>
    </row>
    <row r="62" spans="1:33" s="4" customFormat="1" ht="38.25" customHeight="1" x14ac:dyDescent="0.25">
      <c r="A62" s="367"/>
      <c r="B62" s="186" t="s">
        <v>102</v>
      </c>
      <c r="C62" s="198" t="s">
        <v>262</v>
      </c>
      <c r="D62" s="36"/>
      <c r="E62" s="27"/>
      <c r="F62" s="36"/>
      <c r="G62" s="27"/>
      <c r="H62" s="36"/>
      <c r="I62" s="27"/>
      <c r="J62" s="36"/>
      <c r="K62" s="121"/>
      <c r="L62" s="19"/>
      <c r="M62" s="19"/>
      <c r="N62" s="19"/>
      <c r="O62" s="19"/>
      <c r="P62" s="19"/>
      <c r="Q62" s="19"/>
      <c r="R62" s="19"/>
      <c r="S62" s="19"/>
      <c r="T62" s="19"/>
      <c r="U62" s="19"/>
      <c r="V62" s="19"/>
      <c r="W62" s="19"/>
      <c r="X62" s="19"/>
      <c r="Y62" s="19"/>
      <c r="Z62" s="19"/>
      <c r="AA62" s="19"/>
      <c r="AB62" s="101">
        <f t="shared" ref="AB62:AB63" si="38">SUM(D62:AA62)</f>
        <v>0</v>
      </c>
      <c r="AC62" s="128" t="str">
        <f>CONCATENATE(IF(D23&lt;(D61+D62)," * Gend GBV Cases "&amp;$D$19&amp;" "&amp;$D$20&amp;" are more than KP_PREV"&amp;CHAR(10),""),IF(E23&lt;(E61+E62)," * Gend GBV Cases "&amp;$D$19&amp;" "&amp;$E$20&amp;" are more than KP_PREV"&amp;CHAR(10),""),IF(F23&lt;(F61+F62)," * Gend GBV Cases "&amp;$F$19&amp;" "&amp;$F$20&amp;" are more than KP_PREV"&amp;CHAR(10),""),IF(G23&lt;(G61+G62)," * Gend GBV Cases "&amp;$F$19&amp;" "&amp;$G$20&amp;" are more than KP_PREV"&amp;CHAR(10),""),IF(H23&lt;(H61+H62)," * Gend GBV Cases "&amp;$H$19&amp;" "&amp;$H$20&amp;" are more than KP_PREV"&amp;CHAR(10),""),IF(I23&lt;(I61+I62)," * Gend GBV Cases "&amp;$H$19&amp;" "&amp;$I$20&amp;" are more than KP_PREV"&amp;CHAR(10),""),IF(J23&lt;(J61+J62)," * Gend GBV Cases "&amp;$J$19&amp;" "&amp;$J$20&amp;" are more than KP_PREV"&amp;CHAR(10),""),IF(K23&lt;(K61+K62)," * Gend GBV Cases "&amp;$J$19&amp;" "&amp;$K$20&amp;" are more than KP_PREV"&amp;CHAR(10),""),IF(L23&lt;(L61+L62)," * Gend GBV Cases "&amp;$L$19&amp;" "&amp;$L$20&amp;" are more than KP_PREV"&amp;CHAR(10),""),IF(M23&lt;(M61+M62)," * Gend GBV Cases "&amp;$L$19&amp;" "&amp;$M$20&amp;" are more than KP_PREV"&amp;CHAR(10),""),IF(N23&lt;(N61+N62)," * Gend GBV Cases "&amp;$N$19&amp;" "&amp;$N$20&amp;" are more than KP_PREV"&amp;CHAR(10),""),IF(O23&lt;(O61+O62)," * Gend GBV Cases "&amp;$N$19&amp;" "&amp;$O$20&amp;" are more than KP_PREV"&amp;CHAR(10),""),IF(P23&lt;(P61+P62)," * Gend GBV Cases "&amp;$P$19&amp;" "&amp;$P$20&amp;" are more than KP_PREV"&amp;CHAR(10),""),IF(Q23&lt;(Q61+Q62)," * Gend GBV Cases "&amp;$P$19&amp;" "&amp;$Q$20&amp;" are more than KP_PREV"&amp;CHAR(10),""),IF(R23&lt;(R61+R62)," * Gend GBV Cases "&amp;$R$19&amp;" "&amp;$R$20&amp;" are more than KP_PREV"&amp;CHAR(10),""),IF(S23&lt;(S61+S62)," * Gend GBV Cases "&amp;$R$19&amp;" "&amp;$S$20&amp;" are more than KP_PREV"&amp;CHAR(10),""),IF(T23&lt;(T61+T62)," * Gend GBV Cases "&amp;$T$19&amp;" "&amp;$T$20&amp;" are more than KP_PREV"&amp;CHAR(10),""),IF(U23&lt;(U61+U62)," * Gend GBV Cases "&amp;$T$19&amp;" "&amp;$U$20&amp;" are more than KP_PREV"&amp;CHAR(10),""),IF(V23&lt;(V61+V62)," * Gend GBV Cases "&amp;$V$19&amp;" "&amp;$V$20&amp;" are more than KP_PREV"&amp;CHAR(10),""),IF(W23&lt;(W61+W62)," * Gend GBV Cases "&amp;$V$19&amp;" "&amp;$W$20&amp;" are more than KP_PREV"&amp;CHAR(10),""),IF(X23&lt;(X61+X62)," * Gend GBV Cases "&amp;$X$19&amp;" "&amp;$X$20&amp;" are more than KP_PREV"&amp;CHAR(10),""),IF(Y23&lt;(Y61+Y62)," * Gend GBV Cases "&amp;$X$19&amp;" "&amp;$Y$20&amp;" are more than KP_PREV"&amp;CHAR(10),""),IF(Z23&lt;(Z61+Z62)," * Gend GBV Cases "&amp;$Z$19&amp;" "&amp;$Z$20&amp;" are more than KP_PREV"&amp;CHAR(10),""),IF(AA23&lt;(AA61+AA62)," * Gend GBV Cases "&amp;$Z$19&amp;" "&amp;$AA$20&amp;" are more than KP_PREV"&amp;CHAR(10),""))</f>
        <v/>
      </c>
      <c r="AD62" s="440"/>
      <c r="AE62" s="124"/>
      <c r="AF62" s="434"/>
      <c r="AG62" s="110">
        <v>45</v>
      </c>
    </row>
    <row r="63" spans="1:33" s="4" customFormat="1" ht="38.25" customHeight="1" thickBot="1" x14ac:dyDescent="0.3">
      <c r="A63" s="368"/>
      <c r="B63" s="188" t="s">
        <v>103</v>
      </c>
      <c r="C63" s="203" t="s">
        <v>263</v>
      </c>
      <c r="D63" s="97"/>
      <c r="E63" s="98"/>
      <c r="F63" s="97"/>
      <c r="G63" s="98"/>
      <c r="H63" s="97"/>
      <c r="I63" s="98"/>
      <c r="J63" s="97"/>
      <c r="K63" s="122"/>
      <c r="L63" s="17"/>
      <c r="M63" s="17"/>
      <c r="N63" s="17"/>
      <c r="O63" s="17"/>
      <c r="P63" s="17"/>
      <c r="Q63" s="17"/>
      <c r="R63" s="17"/>
      <c r="S63" s="17"/>
      <c r="T63" s="17"/>
      <c r="U63" s="17"/>
      <c r="V63" s="17"/>
      <c r="W63" s="17"/>
      <c r="X63" s="17"/>
      <c r="Y63" s="17"/>
      <c r="Z63" s="17"/>
      <c r="AA63" s="17"/>
      <c r="AB63" s="102">
        <f t="shared" si="38"/>
        <v>0</v>
      </c>
      <c r="AC63" s="128"/>
      <c r="AD63" s="440"/>
      <c r="AE63" s="124"/>
      <c r="AF63" s="434"/>
      <c r="AG63" s="110">
        <v>46</v>
      </c>
    </row>
    <row r="64" spans="1:33" s="4" customFormat="1" ht="38.25" customHeight="1" thickBot="1" x14ac:dyDescent="0.3">
      <c r="A64" s="376" t="s">
        <v>236</v>
      </c>
      <c r="B64" s="377"/>
      <c r="C64" s="379"/>
      <c r="D64" s="377"/>
      <c r="E64" s="377"/>
      <c r="F64" s="377"/>
      <c r="G64" s="377"/>
      <c r="H64" s="377"/>
      <c r="I64" s="377"/>
      <c r="J64" s="377"/>
      <c r="K64" s="377"/>
      <c r="L64" s="377"/>
      <c r="M64" s="377"/>
      <c r="N64" s="377"/>
      <c r="O64" s="377"/>
      <c r="P64" s="377"/>
      <c r="Q64" s="377"/>
      <c r="R64" s="377"/>
      <c r="S64" s="377"/>
      <c r="T64" s="377"/>
      <c r="U64" s="377"/>
      <c r="V64" s="377"/>
      <c r="W64" s="377"/>
      <c r="X64" s="377"/>
      <c r="Y64" s="377"/>
      <c r="Z64" s="377"/>
      <c r="AA64" s="377"/>
      <c r="AB64" s="377"/>
      <c r="AC64" s="377"/>
      <c r="AD64" s="377"/>
      <c r="AE64" s="377"/>
      <c r="AF64" s="390"/>
      <c r="AG64" s="110">
        <v>47</v>
      </c>
    </row>
    <row r="65" spans="1:33" s="4" customFormat="1" ht="27" hidden="1" customHeight="1" thickBot="1" x14ac:dyDescent="0.3">
      <c r="A65" s="397" t="s">
        <v>17</v>
      </c>
      <c r="B65" s="395" t="s">
        <v>25</v>
      </c>
      <c r="C65" s="393" t="s">
        <v>24</v>
      </c>
      <c r="D65" s="405" t="s">
        <v>0</v>
      </c>
      <c r="E65" s="405"/>
      <c r="F65" s="405" t="s">
        <v>1</v>
      </c>
      <c r="G65" s="405"/>
      <c r="H65" s="405" t="s">
        <v>2</v>
      </c>
      <c r="I65" s="405"/>
      <c r="J65" s="405" t="s">
        <v>3</v>
      </c>
      <c r="K65" s="405"/>
      <c r="L65" s="391" t="s">
        <v>4</v>
      </c>
      <c r="M65" s="392"/>
      <c r="N65" s="391" t="s">
        <v>5</v>
      </c>
      <c r="O65" s="392"/>
      <c r="P65" s="391" t="s">
        <v>6</v>
      </c>
      <c r="Q65" s="392"/>
      <c r="R65" s="391" t="s">
        <v>7</v>
      </c>
      <c r="S65" s="392"/>
      <c r="T65" s="391" t="s">
        <v>8</v>
      </c>
      <c r="U65" s="392"/>
      <c r="V65" s="391" t="s">
        <v>14</v>
      </c>
      <c r="W65" s="392"/>
      <c r="X65" s="391" t="s">
        <v>15</v>
      </c>
      <c r="Y65" s="392"/>
      <c r="Z65" s="391" t="s">
        <v>9</v>
      </c>
      <c r="AA65" s="392"/>
      <c r="AB65" s="564" t="s">
        <v>12</v>
      </c>
      <c r="AC65" s="565" t="s">
        <v>26</v>
      </c>
      <c r="AD65" s="437" t="s">
        <v>31</v>
      </c>
      <c r="AE65" s="435" t="s">
        <v>32</v>
      </c>
      <c r="AF65" s="435" t="s">
        <v>32</v>
      </c>
      <c r="AG65" s="110">
        <v>48</v>
      </c>
    </row>
    <row r="66" spans="1:33" s="4" customFormat="1" ht="27" hidden="1" customHeight="1" thickBot="1" x14ac:dyDescent="0.3">
      <c r="A66" s="398"/>
      <c r="B66" s="403"/>
      <c r="C66" s="394"/>
      <c r="D66" s="12" t="s">
        <v>10</v>
      </c>
      <c r="E66" s="12" t="s">
        <v>11</v>
      </c>
      <c r="F66" s="12" t="s">
        <v>10</v>
      </c>
      <c r="G66" s="12" t="s">
        <v>11</v>
      </c>
      <c r="H66" s="12" t="s">
        <v>10</v>
      </c>
      <c r="I66" s="12" t="s">
        <v>11</v>
      </c>
      <c r="J66" s="12" t="s">
        <v>10</v>
      </c>
      <c r="K66" s="12" t="s">
        <v>11</v>
      </c>
      <c r="L66" s="12" t="s">
        <v>10</v>
      </c>
      <c r="M66" s="12" t="s">
        <v>11</v>
      </c>
      <c r="N66" s="12" t="s">
        <v>10</v>
      </c>
      <c r="O66" s="12" t="s">
        <v>11</v>
      </c>
      <c r="P66" s="12" t="s">
        <v>10</v>
      </c>
      <c r="Q66" s="12" t="s">
        <v>11</v>
      </c>
      <c r="R66" s="12" t="s">
        <v>10</v>
      </c>
      <c r="S66" s="12" t="s">
        <v>11</v>
      </c>
      <c r="T66" s="12" t="s">
        <v>10</v>
      </c>
      <c r="U66" s="12" t="s">
        <v>11</v>
      </c>
      <c r="V66" s="12" t="s">
        <v>10</v>
      </c>
      <c r="W66" s="12" t="s">
        <v>11</v>
      </c>
      <c r="X66" s="12" t="s">
        <v>10</v>
      </c>
      <c r="Y66" s="12" t="s">
        <v>11</v>
      </c>
      <c r="Z66" s="12" t="s">
        <v>10</v>
      </c>
      <c r="AA66" s="12" t="s">
        <v>11</v>
      </c>
      <c r="AB66" s="400"/>
      <c r="AC66" s="566"/>
      <c r="AD66" s="438"/>
      <c r="AE66" s="424"/>
      <c r="AF66" s="436"/>
      <c r="AG66" s="110">
        <v>49</v>
      </c>
    </row>
    <row r="67" spans="1:33" s="4" customFormat="1" ht="38.25" customHeight="1" x14ac:dyDescent="0.25">
      <c r="A67" s="369" t="s">
        <v>76</v>
      </c>
      <c r="B67" s="186" t="s">
        <v>653</v>
      </c>
      <c r="C67" s="197" t="s">
        <v>264</v>
      </c>
      <c r="D67" s="37"/>
      <c r="E67" s="28"/>
      <c r="F67" s="37"/>
      <c r="G67" s="28"/>
      <c r="H67" s="37"/>
      <c r="I67" s="28"/>
      <c r="J67" s="37"/>
      <c r="K67" s="28"/>
      <c r="L67" s="29"/>
      <c r="M67" s="29"/>
      <c r="N67" s="29"/>
      <c r="O67" s="29"/>
      <c r="P67" s="29"/>
      <c r="Q67" s="29"/>
      <c r="R67" s="29"/>
      <c r="S67" s="29"/>
      <c r="T67" s="29"/>
      <c r="U67" s="29"/>
      <c r="V67" s="29"/>
      <c r="W67" s="29"/>
      <c r="X67" s="29"/>
      <c r="Y67" s="29"/>
      <c r="Z67" s="29"/>
      <c r="AA67" s="29"/>
      <c r="AB67" s="224">
        <f>SUM(D67:AA67)</f>
        <v>0</v>
      </c>
      <c r="AC67" s="228" t="str">
        <f>CONCATENATE(IF(D68&gt;D67," * Initial Test and Turned Positive PWID "&amp;$D$19&amp;" "&amp;$D$20&amp;" is more than Initial Test PWID"&amp;CHAR(10),""),IF(E68&gt;E67," * Initial Test and Turned Positive PWID "&amp;$D$19&amp;" "&amp;$E$20&amp;" is more than Initial Test PWID"&amp;CHAR(10),""),IF(F68&gt;F67," * Initial Test and Turned Positive PWID "&amp;$F$19&amp;" "&amp;$F$20&amp;" is more than Initial Test PWID"&amp;CHAR(10),""),IF(G68&gt;G67," * Initial Test and Turned Positive PWID "&amp;$F$19&amp;" "&amp;$G$20&amp;" is more than Initial Test PWID"&amp;CHAR(10),""),IF(H68&gt;H67," * Initial Test and Turned Positive PWID "&amp;$H$19&amp;" "&amp;$H$20&amp;" is more than Initial Test PWID"&amp;CHAR(10),""),IF(I68&gt;I67," * Initial Test and Turned Positive PWID "&amp;$H$19&amp;" "&amp;$I$20&amp;" is more than Initial Test PWID"&amp;CHAR(10),""),IF(J68&gt;J67," * Initial Test and Turned Positive PWID "&amp;$J$19&amp;" "&amp;$J$20&amp;" is more than Initial Test PWID"&amp;CHAR(10),""),IF(K68&gt;K67," * Initial Test and Turned Positive PWID "&amp;$J$19&amp;" "&amp;$K$20&amp;" is more than Initial Test PWID"&amp;CHAR(10),""),IF(L68&gt;L67," * Initial Test and Turned Positive PWID "&amp;$L$19&amp;" "&amp;$L$20&amp;" is more than Initial Test PWID"&amp;CHAR(10),""),IF(M68&gt;M67," * Initial Test and Turned Positive PWID "&amp;$L$19&amp;" "&amp;$M$20&amp;" is more than Initial Test PWID"&amp;CHAR(10),""),IF(N68&gt;N67," * Initial Test and Turned Positive PWID "&amp;$N$19&amp;" "&amp;$N$20&amp;" is more than Initial Test PWID"&amp;CHAR(10),""),IF(O68&gt;O67," * Initial Test and Turned Positive PWID "&amp;$N$19&amp;" "&amp;$O$20&amp;" is more than Initial Test PWID"&amp;CHAR(10),""),IF(P68&gt;P67," * Initial Test and Turned Positive PWID "&amp;$P$19&amp;" "&amp;$P$20&amp;" is more than Initial Test PWID"&amp;CHAR(10),""),IF(Q68&gt;Q67," * Initial Test and Turned Positive PWID "&amp;$P$19&amp;" "&amp;$Q$20&amp;" is more than Initial Test PWID"&amp;CHAR(10),""),IF(R68&gt;R67," * Initial Test and Turned Positive PWID "&amp;$R$19&amp;" "&amp;$R$20&amp;" is more than Initial Test PWID"&amp;CHAR(10),""),IF(S68&gt;S67," * Initial Test and Turned Positive PWID "&amp;$R$19&amp;" "&amp;$S$20&amp;" is more than Initial Test PWID"&amp;CHAR(10),""),IF(T68&gt;T67," * Initial Test and Turned Positive PWID "&amp;$T$19&amp;" "&amp;$T$20&amp;" is more than Initial Test PWID"&amp;CHAR(10),""),IF(U68&gt;U67," * Initial Test and Turned Positive PWID "&amp;$T$19&amp;" "&amp;$U$20&amp;" is more than Initial Test PWID"&amp;CHAR(10),""),IF(V68&gt;V67," * Initial Test and Turned Positive PWID "&amp;$V$19&amp;" "&amp;$V$20&amp;" is more than Initial Test PWID"&amp;CHAR(10),""),IF(W68&gt;W67," * Initial Test and Turned Positive PWID "&amp;$V$19&amp;" "&amp;$W$20&amp;" is more than Initial Test PWID"&amp;CHAR(10),""),IF(X68&gt;X67," * Initial Test and Turned Positive PWID "&amp;$X$19&amp;" "&amp;$X$20&amp;" is more than Initial Test PWID"&amp;CHAR(10),""),IF(Y68&gt;Y67," * Initial Test and Turned Positive PWID "&amp;$X$19&amp;" "&amp;$Y$20&amp;" is more than Initial Test PWID"&amp;CHAR(10),""),IF(Z68&gt;Z67," * Initial Test and Turned Positive PWID "&amp;$Z$19&amp;" "&amp;$Z$20&amp;" is more than Initial Test PWID"&amp;CHAR(10),""),IF(AA68&gt;AA67," * Initial Test and Turned Positive PWID "&amp;$Z$19&amp;" "&amp;$AA$20&amp;" is more than Initial Test PWID"&amp;CHAR(10),""))</f>
        <v/>
      </c>
      <c r="AD67" s="412" t="str">
        <f>CONCATENATE(AC67,AC68,AC69,AC70,AC71,AC72,AC73,AC74,AC75,AC76,AC77,AC78,AC79,AC80,AC81,AC82,AC83,AC84,AC85,AC86,AC87,AC88,AC89,AC90,AC91,AC92,AC93,AC94,AC95,AC96,AC97,AC98,AC99,AC100,AC101,AC102,AC103,AC104,AC105,AC106)</f>
        <v/>
      </c>
      <c r="AE67" s="123"/>
      <c r="AF67" s="557" t="str">
        <f>CONCATENATE(AE67,AE68,AE69,AE70,AE71,AE72,AE73,AE74,AE75,AE76,AE77,AE78,AE79,AE80,AE81,AE82,AE83,AE84,AE85,AE86,AE87,AE88,AE89,AE90,AE91,AE92,AE93,AE94,AE95,AE96,AE97,AE98,AE99,AE100,AE101,AE102,AE103,AE104,AE105,AE106)</f>
        <v/>
      </c>
      <c r="AG67" s="110">
        <v>50</v>
      </c>
    </row>
    <row r="68" spans="1:33" s="4" customFormat="1" ht="38.25" customHeight="1" thickBot="1" x14ac:dyDescent="0.3">
      <c r="A68" s="370"/>
      <c r="B68" s="207" t="s">
        <v>654</v>
      </c>
      <c r="C68" s="203" t="s">
        <v>265</v>
      </c>
      <c r="D68" s="97"/>
      <c r="E68" s="98"/>
      <c r="F68" s="97"/>
      <c r="G68" s="98"/>
      <c r="H68" s="97"/>
      <c r="I68" s="98"/>
      <c r="J68" s="97"/>
      <c r="K68" s="98"/>
      <c r="L68" s="7"/>
      <c r="M68" s="7"/>
      <c r="N68" s="7"/>
      <c r="O68" s="7"/>
      <c r="P68" s="7"/>
      <c r="Q68" s="7"/>
      <c r="R68" s="7"/>
      <c r="S68" s="7"/>
      <c r="T68" s="7"/>
      <c r="U68" s="7"/>
      <c r="V68" s="7"/>
      <c r="W68" s="7"/>
      <c r="X68" s="7"/>
      <c r="Y68" s="7"/>
      <c r="Z68" s="7"/>
      <c r="AA68" s="191"/>
      <c r="AB68" s="225">
        <f>SUM(D68:AA68)</f>
        <v>0</v>
      </c>
      <c r="AC68" s="227" t="str">
        <f>CONCATENATE(IF(D30&lt;(D67+D69)," * Initial Tests + Repeat Tests PWID "&amp;$D$19&amp;" "&amp;$D$20&amp;" Is more than Newly Tested and/or referred for testing"&amp;CHAR(10),""),IF(E30&lt;(E67+E69)," * Initial Tests + Repeat Tests PWID "&amp;$D$19&amp;" "&amp;$E$20&amp;" Is more than Newly Tested and/or referred for testing"&amp;CHAR(10),""),IF(F30&lt;(F67+F69)," * Initial Tests + Repeat Tests PWID "&amp;$F$19&amp;" "&amp;$F$20&amp;" Is more than Newly Tested and/or referred for testing"&amp;CHAR(10),""),IF(G30&lt;(G67+G69)," * Initial Tests + Repeat Tests PWID "&amp;$F$19&amp;" "&amp;$G$20&amp;" Is more than Newly Tested and/or referred for testing"&amp;CHAR(10),""),IF(H30&lt;(H67+H69)," * Initial Tests + Repeat Tests PWID "&amp;$H$19&amp;" "&amp;$H$20&amp;" Is more than Newly Tested and/or referred for testing"&amp;CHAR(10),""),IF(I30&lt;(I67+I69)," * Initial Tests + Repeat Tests PWID "&amp;$H$19&amp;" "&amp;$I$20&amp;" Is more than Newly Tested and/or referred for testing"&amp;CHAR(10),""),IF(J30&lt;(J67+J69)," * Initial Tests + Repeat Tests PWID "&amp;$J$19&amp;" "&amp;$J$20&amp;" Is more than Newly Tested and/or referred for testing"&amp;CHAR(10),""),IF(K30&lt;(K67+K69)," * Initial Tests + Repeat Tests PWID "&amp;$J$19&amp;" "&amp;$K$20&amp;" Is more than Newly Tested and/or referred for testing"&amp;CHAR(10),""),IF(L30&lt;(L67+L69)," * Initial Tests + Repeat Tests PWID "&amp;$L$19&amp;" "&amp;$L$20&amp;" Is more than Newly Tested and/or referred for testing"&amp;CHAR(10),""),IF(M30&lt;(M67+M69)," * Initial Tests + Repeat Tests PWID "&amp;$L$19&amp;" "&amp;$M$20&amp;" Is more than Newly Tested and/or referred for testing"&amp;CHAR(10),""),IF(N30&lt;(N67+N69)," * Initial Tests + Repeat Tests PWID "&amp;$N$19&amp;" "&amp;$N$20&amp;" Is more than Newly Tested and/or referred for testing"&amp;CHAR(10),""),IF(O30&lt;(O67+O69)," * Initial Tests + Repeat Tests PWID "&amp;$N$19&amp;" "&amp;$O$20&amp;" Is more than Newly Tested and/or referred for testing"&amp;CHAR(10),""),IF(P30&lt;(P67+P69)," * Initial Tests + Repeat Tests PWID "&amp;$P$19&amp;" "&amp;$P$20&amp;" Is more than Newly Tested and/or referred for testing"&amp;CHAR(10),""),IF(Q30&lt;(Q67+Q69)," * Initial Tests + Repeat Tests PWID "&amp;$P$19&amp;" "&amp;$Q$20&amp;" Is more than Newly Tested and/or referred for testing"&amp;CHAR(10),""),IF(R30&lt;(R67+R69)," * Initial Tests + Repeat Tests PWID "&amp;$R$19&amp;" "&amp;$R$20&amp;" Is more than Newly Tested and/or referred for testing"&amp;CHAR(10),""),IF(S30&lt;(S67+S69)," * Initial Tests + Repeat Tests PWID "&amp;$R$19&amp;" "&amp;$S$20&amp;" Is more than Newly Tested and/or referred for testing"&amp;CHAR(10),""),IF(T30&lt;(T67+T69)," * Initial Tests + Repeat Tests PWID "&amp;$T$19&amp;" "&amp;$T$20&amp;" Is more than Newly Tested and/or referred for testing"&amp;CHAR(10),""),IF(U30&lt;(U67+U69)," * Initial Tests + Repeat Tests PWID "&amp;$T$19&amp;" "&amp;$U$20&amp;" Is more than Newly Tested and/or referred for testing"&amp;CHAR(10),""),IF(V30&lt;(V67+V69)," * Initial Tests + Repeat Tests PWID "&amp;$V$19&amp;" "&amp;$V$20&amp;" Is more than Newly Tested and/or referred for testing"&amp;CHAR(10),""),IF(W30&lt;(W67+W69)," * Initial Tests + Repeat Tests PWID "&amp;$V$19&amp;" "&amp;$W$20&amp;" Is more than Newly Tested and/or referred for testing"&amp;CHAR(10),""),IF(X30&lt;(X67+X69)," * Initial Tests + Repeat Tests PWID "&amp;$X$19&amp;" "&amp;$X$20&amp;" Is more than Newly Tested and/or referred for testing"&amp;CHAR(10),""),IF(Y30&lt;(Y67+Y69)," * Initial Tests + Repeat Tests PWID "&amp;$X$19&amp;" "&amp;$Y$20&amp;" Is more than Newly Tested and/or referred for testing"&amp;CHAR(10),""),IF(Z30&lt;(Z67+Z69)," * Initial Tests + Repeat Tests PWID "&amp;$Z$19&amp;" "&amp;$Z$20&amp;" Is more than Newly Tested and/or referred for testing"&amp;CHAR(10),""),IF(AA30&lt;(AA67+AA69)," * Initial Tests + Repeat Tests PWID "&amp;$Z$19&amp;" "&amp;$AA$20&amp;" Is more than Newly Tested and/or referred for testing"&amp;CHAR(10),""))</f>
        <v/>
      </c>
      <c r="AD68" s="413"/>
      <c r="AE68" s="124"/>
      <c r="AF68" s="558"/>
      <c r="AG68" s="110">
        <v>51</v>
      </c>
    </row>
    <row r="69" spans="1:33" s="4" customFormat="1" ht="38.25" customHeight="1" x14ac:dyDescent="0.25">
      <c r="A69" s="370"/>
      <c r="B69" s="222" t="s">
        <v>652</v>
      </c>
      <c r="C69" s="197" t="s">
        <v>266</v>
      </c>
      <c r="D69" s="37"/>
      <c r="E69" s="28"/>
      <c r="F69" s="37"/>
      <c r="G69" s="28"/>
      <c r="H69" s="37"/>
      <c r="I69" s="28"/>
      <c r="J69" s="37"/>
      <c r="K69" s="28"/>
      <c r="L69" s="29"/>
      <c r="M69" s="29"/>
      <c r="N69" s="29"/>
      <c r="O69" s="29"/>
      <c r="P69" s="29"/>
      <c r="Q69" s="29"/>
      <c r="R69" s="29"/>
      <c r="S69" s="29"/>
      <c r="T69" s="29"/>
      <c r="U69" s="29"/>
      <c r="V69" s="29"/>
      <c r="W69" s="29"/>
      <c r="X69" s="29"/>
      <c r="Y69" s="29"/>
      <c r="Z69" s="29"/>
      <c r="AA69" s="29"/>
      <c r="AB69" s="224">
        <f>SUM(D69:AA69)</f>
        <v>0</v>
      </c>
      <c r="AC69" s="228" t="str">
        <f>CONCATENATE(IF(D70&gt;D69," * Repeat Test and Turned Positive PWID "&amp;$D$19&amp;" "&amp;$D$20&amp;" is more than Repeat Test PWID"&amp;CHAR(10),""),IF(E70&gt;E69," * Repeat Test and Turned Positive PWID "&amp;$D$19&amp;" "&amp;$E$20&amp;" is more than Repeat Test PWID"&amp;CHAR(10),""),IF(F70&gt;F69," * Repeat Test and Turned Positive PWID "&amp;$F$19&amp;" "&amp;$F$20&amp;" is more than Repeat Test PWID"&amp;CHAR(10),""),IF(G70&gt;G69," * Repeat Test and Turned Positive PWID "&amp;$F$19&amp;" "&amp;$G$20&amp;" is more than Repeat Test PWID"&amp;CHAR(10),""),IF(H70&gt;H69," * Repeat Test and Turned Positive PWID "&amp;$H$19&amp;" "&amp;$H$20&amp;" is more than Repeat Test PWID"&amp;CHAR(10),""),IF(I70&gt;I69," * Repeat Test and Turned Positive PWID "&amp;$H$19&amp;" "&amp;$I$20&amp;" is more than Repeat Test PWID"&amp;CHAR(10),""),IF(J70&gt;J69," * Repeat Test and Turned Positive PWID "&amp;$J$19&amp;" "&amp;$J$20&amp;" is more than Repeat Test PWID"&amp;CHAR(10),""),IF(K70&gt;K69," * Repeat Test and Turned Positive PWID "&amp;$J$19&amp;" "&amp;$K$20&amp;" is more than Repeat Test PWID"&amp;CHAR(10),""),IF(L70&gt;L69," * Repeat Test and Turned Positive PWID "&amp;$L$19&amp;" "&amp;$L$20&amp;" is more than Repeat Test PWID"&amp;CHAR(10),""),IF(M70&gt;M69," * Repeat Test and Turned Positive PWID "&amp;$L$19&amp;" "&amp;$M$20&amp;" is more than Repeat Test PWID"&amp;CHAR(10),""),IF(N70&gt;N69," * Repeat Test and Turned Positive PWID "&amp;$N$19&amp;" "&amp;$N$20&amp;" is more than Repeat Test PWID"&amp;CHAR(10),""),IF(O70&gt;O69," * Repeat Test and Turned Positive PWID "&amp;$N$19&amp;" "&amp;$O$20&amp;" is more than Repeat Test PWID"&amp;CHAR(10),""),IF(P70&gt;P69," * Repeat Test and Turned Positive PWID "&amp;$P$19&amp;" "&amp;$P$20&amp;" is more than Repeat Test PWID"&amp;CHAR(10),""),IF(Q70&gt;Q69," * Repeat Test and Turned Positive PWID "&amp;$P$19&amp;" "&amp;$Q$20&amp;" is more than Repeat Test PWID"&amp;CHAR(10),""),IF(R70&gt;R69," * Repeat Test and Turned Positive PWID "&amp;$R$19&amp;" "&amp;$R$20&amp;" is more than Repeat Test PWID"&amp;CHAR(10),""),IF(S70&gt;S69," * Repeat Test and Turned Positive PWID "&amp;$R$19&amp;" "&amp;$S$20&amp;" is more than Repeat Test PWID"&amp;CHAR(10),""),IF(T70&gt;T69," * Repeat Test and Turned Positive PWID "&amp;$T$19&amp;" "&amp;$T$20&amp;" is more than Repeat Test PWID"&amp;CHAR(10),""),IF(U70&gt;U69," * Repeat Test and Turned Positive PWID "&amp;$T$19&amp;" "&amp;$U$20&amp;" is more than Repeat Test PWID"&amp;CHAR(10),""),IF(V70&gt;V69," * Repeat Test and Turned Positive PWID "&amp;$V$19&amp;" "&amp;$V$20&amp;" is more than Repeat Test PWID"&amp;CHAR(10),""),IF(W70&gt;W69," * Repeat Test and Turned Positive PWID "&amp;$V$19&amp;" "&amp;$W$20&amp;" is more than Repeat Test PWID"&amp;CHAR(10),""),IF(X70&gt;X69," * Repeat Test and Turned Positive PWID "&amp;$X$19&amp;" "&amp;$X$20&amp;" is more than Repeat Test PWID"&amp;CHAR(10),""),IF(Y70&gt;Y69," * Repeat Test and Turned Positive PWID "&amp;$X$19&amp;" "&amp;$Y$20&amp;" is more than Repeat Test PWID"&amp;CHAR(10),""),IF(Z70&gt;Z69," * Repeat Test and Turned Positive PWID "&amp;$Z$19&amp;" "&amp;$Z$20&amp;" is more than Repeat Test PWID"&amp;CHAR(10),""),IF(AA70&gt;AA69," * Repeat Test and Turned Positive PWID "&amp;$Z$19&amp;" "&amp;$AA$20&amp;" is more than Repeat Test PWID"&amp;CHAR(10),""))</f>
        <v/>
      </c>
      <c r="AD69" s="413"/>
      <c r="AE69" s="123"/>
      <c r="AF69" s="558"/>
      <c r="AG69" s="110">
        <v>50</v>
      </c>
    </row>
    <row r="70" spans="1:33" s="4" customFormat="1" ht="38.25" customHeight="1" thickBot="1" x14ac:dyDescent="0.3">
      <c r="A70" s="371"/>
      <c r="B70" s="223" t="s">
        <v>655</v>
      </c>
      <c r="C70" s="203" t="s">
        <v>267</v>
      </c>
      <c r="D70" s="97"/>
      <c r="E70" s="98"/>
      <c r="F70" s="97"/>
      <c r="G70" s="98"/>
      <c r="H70" s="97"/>
      <c r="I70" s="98"/>
      <c r="J70" s="97"/>
      <c r="K70" s="98"/>
      <c r="L70" s="7"/>
      <c r="M70" s="7"/>
      <c r="N70" s="7"/>
      <c r="O70" s="7"/>
      <c r="P70" s="7"/>
      <c r="Q70" s="7"/>
      <c r="R70" s="7"/>
      <c r="S70" s="7"/>
      <c r="T70" s="7"/>
      <c r="U70" s="7"/>
      <c r="V70" s="7"/>
      <c r="W70" s="7"/>
      <c r="X70" s="7"/>
      <c r="Y70" s="7"/>
      <c r="Z70" s="7"/>
      <c r="AA70" s="191"/>
      <c r="AB70" s="225">
        <f>SUM(J70:AA70)</f>
        <v>0</v>
      </c>
      <c r="AC70" s="227"/>
      <c r="AD70" s="413"/>
      <c r="AE70" s="124"/>
      <c r="AF70" s="558"/>
      <c r="AG70" s="110">
        <v>51</v>
      </c>
    </row>
    <row r="71" spans="1:33" s="4" customFormat="1" ht="38.25" customHeight="1" x14ac:dyDescent="0.25">
      <c r="A71" s="364" t="s">
        <v>435</v>
      </c>
      <c r="B71" s="205" t="s">
        <v>653</v>
      </c>
      <c r="C71" s="197" t="s">
        <v>268</v>
      </c>
      <c r="D71" s="37"/>
      <c r="E71" s="28"/>
      <c r="F71" s="37"/>
      <c r="G71" s="28"/>
      <c r="H71" s="37"/>
      <c r="I71" s="28"/>
      <c r="J71" s="37"/>
      <c r="K71" s="28"/>
      <c r="L71" s="28"/>
      <c r="M71" s="28"/>
      <c r="N71" s="28"/>
      <c r="O71" s="28"/>
      <c r="P71" s="28"/>
      <c r="Q71" s="28"/>
      <c r="R71" s="28"/>
      <c r="S71" s="28"/>
      <c r="T71" s="28"/>
      <c r="U71" s="28"/>
      <c r="V71" s="28"/>
      <c r="W71" s="28"/>
      <c r="X71" s="28"/>
      <c r="Y71" s="28"/>
      <c r="Z71" s="28"/>
      <c r="AA71" s="239"/>
      <c r="AB71" s="240"/>
      <c r="AC71" s="229" t="str">
        <f>CONCATENATE(IF(D72&gt;D71," * Initial Test and Turned Positive Transgender "&amp;$D$19&amp;" "&amp;$D$20&amp;" is more than Initial Test Transgender"&amp;CHAR(10),""),IF(E72&gt;E71," * Initial Test and Turned Positive Transgender "&amp;$D$19&amp;" "&amp;$E$20&amp;" is more than Initial Test Transgender"&amp;CHAR(10),""),IF(F72&gt;F71," * Initial Test and Turned Positive Transgender "&amp;$F$19&amp;" "&amp;$F$20&amp;" is more than Initial Test Transgender"&amp;CHAR(10),""),IF(G72&gt;G71," * Initial Test and Turned Positive Transgender "&amp;$F$19&amp;" "&amp;$G$20&amp;" is more than Initial Test Transgender"&amp;CHAR(10),""),IF(H72&gt;H71," * Initial Test and Turned Positive Transgender "&amp;$H$19&amp;" "&amp;$H$20&amp;" is more than Initial Test Transgender"&amp;CHAR(10),""),IF(I72&gt;I71," * Initial Test and Turned Positive Transgender "&amp;$H$19&amp;" "&amp;$I$20&amp;" is more than Initial Test Transgender"&amp;CHAR(10),""),IF(J72&gt;J71," * Initial Test and Turned Positive Transgender "&amp;$J$19&amp;" "&amp;$J$20&amp;" is more than Initial Test Transgender"&amp;CHAR(10),""),IF(K72&gt;K71," * Initial Test and Turned Positive Transgender "&amp;$J$19&amp;" "&amp;$K$20&amp;" is more than Initial Test Transgender"&amp;CHAR(10),""),IF(L72&gt;L71," * Initial Test and Turned Positive Transgender "&amp;$L$19&amp;" "&amp;$L$20&amp;" is more than Initial Test Transgender"&amp;CHAR(10),""),IF(M72&gt;M71," * Initial Test and Turned Positive Transgender "&amp;$L$19&amp;" "&amp;$M$20&amp;" is more than Initial Test Transgender"&amp;CHAR(10),""),IF(N72&gt;N71," * Initial Test and Turned Positive Transgender "&amp;$N$19&amp;" "&amp;$N$20&amp;" is more than Initial Test Transgender"&amp;CHAR(10),""),IF(O72&gt;O71," * Initial Test and Turned Positive Transgender "&amp;$N$19&amp;" "&amp;$O$20&amp;" is more than Initial Test Transgender"&amp;CHAR(10),""),IF(P72&gt;P71," * Initial Test and Turned Positive Transgender "&amp;$P$19&amp;" "&amp;$P$20&amp;" is more than Initial Test Transgender"&amp;CHAR(10),""),IF(Q72&gt;Q71," * Initial Test and Turned Positive Transgender "&amp;$P$19&amp;" "&amp;$Q$20&amp;" is more than Initial Test Transgender"&amp;CHAR(10),""),IF(R72&gt;R71," * Initial Test and Turned Positive Transgender "&amp;$R$19&amp;" "&amp;$R$20&amp;" is more than Initial Test Transgender"&amp;CHAR(10),""),IF(S72&gt;S71," * Initial Test and Turned Positive Transgender "&amp;$R$19&amp;" "&amp;$S$20&amp;" is more than Initial Test Transgender"&amp;CHAR(10),""),IF(T72&gt;T71," * Initial Test and Turned Positive Transgender "&amp;$T$19&amp;" "&amp;$T$20&amp;" is more than Initial Test Transgender"&amp;CHAR(10),""),IF(U72&gt;U71," * Initial Test and Turned Positive Transgender "&amp;$T$19&amp;" "&amp;$U$20&amp;" is more than Initial Test Transgender"&amp;CHAR(10),""),IF(V72&gt;V71," * Initial Test and Turned Positive Transgender "&amp;$V$19&amp;" "&amp;$V$20&amp;" is more than Initial Test Transgender"&amp;CHAR(10),""),IF(W72&gt;W71," * Initial Test and Turned Positive Transgender "&amp;$V$19&amp;" "&amp;$W$20&amp;" is more than Initial Test Transgender"&amp;CHAR(10),""),IF(X72&gt;X71," * Initial Test and Turned Positive Transgender "&amp;$X$19&amp;" "&amp;$X$20&amp;" is more than Initial Test Transgender"&amp;CHAR(10),""),IF(Y72&gt;Y71," * Initial Test and Turned Positive Transgender "&amp;$X$19&amp;" "&amp;$Y$20&amp;" is more than Initial Test Transgender"&amp;CHAR(10),""),IF(Z72&gt;Z71," * Initial Test and Turned Positive Transgender "&amp;$Z$19&amp;" "&amp;$Z$20&amp;" is more than Initial Test Transgender"&amp;CHAR(10),""),IF(AA72&gt;AA71," * Initial Test and Turned Positive Transgender "&amp;$Z$19&amp;" "&amp;$AA$20&amp;" is more than Initial Test Transgender"&amp;CHAR(10),""),IF(AB72&gt;AB71," * Initial Test and Turned Positive Transgender "&amp;$Z$19&amp;" "&amp;$AA$20&amp;" is more than Initial Test Transgender"&amp;CHAR(10),""))</f>
        <v/>
      </c>
      <c r="AD71" s="413"/>
      <c r="AE71" s="124"/>
      <c r="AF71" s="558"/>
      <c r="AG71" s="110">
        <v>52</v>
      </c>
    </row>
    <row r="72" spans="1:33" s="4" customFormat="1" ht="38.25" customHeight="1" thickBot="1" x14ac:dyDescent="0.3">
      <c r="A72" s="365"/>
      <c r="B72" s="206" t="s">
        <v>654</v>
      </c>
      <c r="C72" s="203" t="s">
        <v>269</v>
      </c>
      <c r="D72" s="97"/>
      <c r="E72" s="98"/>
      <c r="F72" s="97"/>
      <c r="G72" s="98"/>
      <c r="H72" s="97"/>
      <c r="I72" s="98"/>
      <c r="J72" s="97"/>
      <c r="K72" s="98"/>
      <c r="L72" s="98"/>
      <c r="M72" s="98"/>
      <c r="N72" s="98"/>
      <c r="O72" s="98"/>
      <c r="P72" s="98"/>
      <c r="Q72" s="98"/>
      <c r="R72" s="98"/>
      <c r="S72" s="98"/>
      <c r="T72" s="98"/>
      <c r="U72" s="98"/>
      <c r="V72" s="98"/>
      <c r="W72" s="98"/>
      <c r="X72" s="98"/>
      <c r="Y72" s="98"/>
      <c r="Z72" s="98"/>
      <c r="AA72" s="232"/>
      <c r="AB72" s="241"/>
      <c r="AC72" s="229" t="str">
        <f>CONCATENATE(IF(D36&lt;(D71+D73)," * Initial Tests + Repeat Tests Transgender "&amp;$D$19&amp;" "&amp;$D$20&amp;" Is more than Newly Tested and/or referred for testing"&amp;CHAR(10),""),IF(E36&lt;(E71+E73)," * Initial Tests + Repeat Tests Transgender "&amp;$D$19&amp;" "&amp;$E$20&amp;" Is more than Newly Tested and/or referred for testing"&amp;CHAR(10),""),IF(F36&lt;(F71+F73)," * Initial Tests + Repeat Tests Transgender "&amp;$F$19&amp;" "&amp;$F$20&amp;" Is more than Newly Tested and/or referred for testing"&amp;CHAR(10),""),IF(G36&lt;(G71+G73)," * Initial Tests + Repeat Tests Transgender "&amp;$F$19&amp;" "&amp;$G$20&amp;" Is more than Newly Tested and/or referred for testing"&amp;CHAR(10),""),IF(H36&lt;(H71+H73)," * Initial Tests + Repeat Tests Transgender "&amp;$H$19&amp;" "&amp;$H$20&amp;" Is more than Newly Tested and/or referred for testing"&amp;CHAR(10),""),IF(I36&lt;(I71+I73)," * Initial Tests + Repeat Tests Transgender "&amp;$H$19&amp;" "&amp;$I$20&amp;" Is more than Newly Tested and/or referred for testing"&amp;CHAR(10),""),IF(J36&lt;(J71+J73)," * Initial Tests + Repeat Tests Transgender "&amp;$J$19&amp;" "&amp;$J$20&amp;" Is more than Newly Tested and/or referred for testing"&amp;CHAR(10),""),IF(K36&lt;(K71+K73)," * Initial Tests + Repeat Tests Transgender "&amp;$J$19&amp;" "&amp;$K$20&amp;" Is more than Newly Tested and/or referred for testing"&amp;CHAR(10),""),IF(L36&lt;(L71+L73)," * Initial Tests + Repeat Tests Transgender "&amp;$L$19&amp;" "&amp;$L$20&amp;" Is more than Newly Tested and/or referred for testing"&amp;CHAR(10),""),IF(M36&lt;(M71+M73)," * Initial Tests + Repeat Tests Transgender "&amp;$L$19&amp;" "&amp;$M$20&amp;" Is more than Newly Tested and/or referred for testing"&amp;CHAR(10),""),IF(N36&lt;(N71+N73)," * Initial Tests + Repeat Tests Transgender "&amp;$N$19&amp;" "&amp;$N$20&amp;" Is more than Newly Tested and/or referred for testing"&amp;CHAR(10),""),IF(O36&lt;(O71+O73)," * Initial Tests + Repeat Tests Transgender "&amp;$N$19&amp;" "&amp;$O$20&amp;" Is more than Newly Tested and/or referred for testing"&amp;CHAR(10),""),IF(P36&lt;(P71+P73)," * Initial Tests + Repeat Tests Transgender "&amp;$P$19&amp;" "&amp;$P$20&amp;" Is more than Newly Tested and/or referred for testing"&amp;CHAR(10),""),IF(Q36&lt;(Q71+Q73)," * Initial Tests + Repeat Tests Transgender "&amp;$P$19&amp;" "&amp;$Q$20&amp;" Is more than Newly Tested and/or referred for testing"&amp;CHAR(10),""),IF(R36&lt;(R71+R73)," * Initial Tests + Repeat Tests Transgender "&amp;$R$19&amp;" "&amp;$R$20&amp;" Is more than Newly Tested and/or referred for testing"&amp;CHAR(10),""),IF(S36&lt;(S71+S73)," * Initial Tests + Repeat Tests Transgender "&amp;$R$19&amp;" "&amp;$S$20&amp;" Is more than Newly Tested and/or referred for testing"&amp;CHAR(10),""),IF(T36&lt;(T71+T73)," * Initial Tests + Repeat Tests Transgender "&amp;$T$19&amp;" "&amp;$T$20&amp;" Is more than Newly Tested and/or referred for testing"&amp;CHAR(10),""),IF(U36&lt;(U71+U73)," * Initial Tests + Repeat Tests Transgender "&amp;$T$19&amp;" "&amp;$U$20&amp;" Is more than Newly Tested and/or referred for testing"&amp;CHAR(10),""),IF(V36&lt;(V71+V73)," * Initial Tests + Repeat Tests Transgender "&amp;$V$19&amp;" "&amp;$V$20&amp;" Is more than Newly Tested and/or referred for testing"&amp;CHAR(10),""),IF(W36&lt;(W71+W73)," * Initial Tests + Repeat Tests Transgender "&amp;$V$19&amp;" "&amp;$W$20&amp;" Is more than Newly Tested and/or referred for testing"&amp;CHAR(10),""),IF(X36&lt;(X71+X73)," * Initial Tests + Repeat Tests Transgender "&amp;$X$19&amp;" "&amp;$X$20&amp;" Is more than Newly Tested and/or referred for testing"&amp;CHAR(10),""),IF(Y36&lt;(Y71+Y73)," * Initial Tests + Repeat Tests Transgender "&amp;$X$19&amp;" "&amp;$Y$20&amp;" Is more than Newly Tested and/or referred for testing"&amp;CHAR(10),""),IF(Z36&lt;(Z71+Z73)," * Initial Tests + Repeat Tests Transgender "&amp;$Z$19&amp;" "&amp;$Z$20&amp;" Is more than Newly Tested and/or referred for testing"&amp;CHAR(10),""),IF(AA36&lt;(AA71+AA73)," * Initial Tests + Repeat Tests Transgender "&amp;$Z$19&amp;" "&amp;$AA$20&amp;" Is more than Newly Tested and/or referred for testing"&amp;CHAR(10),""),IF(AB36&lt;(AB71+AB73)," * Initial Tests + Repeat Tests Trans-gender "&amp;$AB$19&amp;" "&amp;$AB$20&amp;" Is more than Newly Tested and/or referred for testing"&amp;CHAR(10),""))</f>
        <v/>
      </c>
      <c r="AD72" s="413"/>
      <c r="AE72" s="124"/>
      <c r="AF72" s="558"/>
      <c r="AG72" s="110">
        <v>53</v>
      </c>
    </row>
    <row r="73" spans="1:33" s="4" customFormat="1" ht="38.25" customHeight="1" x14ac:dyDescent="0.25">
      <c r="A73" s="365"/>
      <c r="B73" s="222" t="s">
        <v>652</v>
      </c>
      <c r="C73" s="197" t="s">
        <v>270</v>
      </c>
      <c r="D73" s="37"/>
      <c r="E73" s="28"/>
      <c r="F73" s="37"/>
      <c r="G73" s="28"/>
      <c r="H73" s="37"/>
      <c r="I73" s="28"/>
      <c r="J73" s="37"/>
      <c r="K73" s="28"/>
      <c r="L73" s="28"/>
      <c r="M73" s="28"/>
      <c r="N73" s="28"/>
      <c r="O73" s="28"/>
      <c r="P73" s="28"/>
      <c r="Q73" s="28"/>
      <c r="R73" s="28"/>
      <c r="S73" s="28"/>
      <c r="T73" s="28"/>
      <c r="U73" s="28"/>
      <c r="V73" s="28"/>
      <c r="W73" s="28"/>
      <c r="X73" s="28"/>
      <c r="Y73" s="28"/>
      <c r="Z73" s="28"/>
      <c r="AA73" s="239"/>
      <c r="AB73" s="240"/>
      <c r="AC73" s="229" t="str">
        <f>CONCATENATE(IF(D74&gt;D73," * Repeat Test and Turned Positive Transgender "&amp;$D$19&amp;" "&amp;$D$20&amp;" is more than Repeat Test Transgender"&amp;CHAR(10),""),IF(E74&gt;E73," * Repeat Test and Turned Positive Transgender "&amp;$D$19&amp;" "&amp;$E$20&amp;" is more than Repeat Test Transgender"&amp;CHAR(10),""),IF(F74&gt;F73," * Repeat Test and Turned Positive Transgender "&amp;$F$19&amp;" "&amp;$F$20&amp;" is more than Repeat Test Transgender"&amp;CHAR(10),""),IF(G74&gt;G73," * Repeat Test and Turned Positive Transgender "&amp;$F$19&amp;" "&amp;$G$20&amp;" is more than Repeat Test Transgender"&amp;CHAR(10),""),IF(H74&gt;H73," * Repeat Test and Turned Positive Transgender "&amp;$H$19&amp;" "&amp;$H$20&amp;" is more than Repeat Test Transgender"&amp;CHAR(10),""),IF(I74&gt;I73," * Repeat Test and Turned Positive Transgender "&amp;$H$19&amp;" "&amp;$I$20&amp;" is more than Repeat Test Transgender"&amp;CHAR(10),""),IF(J74&gt;J73," * Repeat Test and Turned Positive Transgender "&amp;$J$19&amp;" "&amp;$J$20&amp;" is more than Repeat Test Transgender"&amp;CHAR(10),""),IF(K74&gt;K73," * Repeat Test and Turned Positive Transgender "&amp;$J$19&amp;" "&amp;$K$20&amp;" is more than Repeat Test Transgender"&amp;CHAR(10),""),IF(L74&gt;L73," * Repeat Test and Turned Positive Transgender "&amp;$L$19&amp;" "&amp;$L$20&amp;" is more than Repeat Test Transgender"&amp;CHAR(10),""),IF(M74&gt;M73," * Repeat Test and Turned Positive Transgender "&amp;$L$19&amp;" "&amp;$M$20&amp;" is more than Repeat Test Transgender"&amp;CHAR(10),""),IF(N74&gt;N73," * Repeat Test and Turned Positive Transgender "&amp;$N$19&amp;" "&amp;$N$20&amp;" is more than Repeat Test Transgender"&amp;CHAR(10),""),IF(O74&gt;O73," * Repeat Test and Turned Positive Transgender "&amp;$N$19&amp;" "&amp;$O$20&amp;" is more than Repeat Test Transgender"&amp;CHAR(10),""),IF(P74&gt;P73," * Repeat Test and Turned Positive Transgender "&amp;$P$19&amp;" "&amp;$P$20&amp;" is more than Repeat Test Transgender"&amp;CHAR(10),""),IF(Q74&gt;Q73," * Repeat Test and Turned Positive Transgender "&amp;$P$19&amp;" "&amp;$Q$20&amp;" is more than Repeat Test Transgender"&amp;CHAR(10),""),IF(R74&gt;R73," * Repeat Test and Turned Positive Transgender "&amp;$R$19&amp;" "&amp;$R$20&amp;" is more than Repeat Test Transgender"&amp;CHAR(10),""),IF(S74&gt;S73," * Repeat Test and Turned Positive Transgender "&amp;$R$19&amp;" "&amp;$S$20&amp;" is more than Repeat Test Transgender"&amp;CHAR(10),""),IF(T74&gt;T73," * Repeat Test and Turned Positive Transgender "&amp;$T$19&amp;" "&amp;$T$20&amp;" is more than Repeat Test Transgender"&amp;CHAR(10),""),IF(U74&gt;U73," * Repeat Test and Turned Positive Transgender "&amp;$T$19&amp;" "&amp;$U$20&amp;" is more than Repeat Test Transgender"&amp;CHAR(10),""),IF(V74&gt;V73," * Repeat Test and Turned Positive Transgender "&amp;$V$19&amp;" "&amp;$V$20&amp;" is more than Repeat Test Transgender"&amp;CHAR(10),""),IF(W74&gt;W73," * Repeat Test and Turned Positive Transgender "&amp;$V$19&amp;" "&amp;$W$20&amp;" is more than Repeat Test Transgender"&amp;CHAR(10),""),IF(X74&gt;X73," * Repeat Test and Turned Positive Transgender "&amp;$X$19&amp;" "&amp;$X$20&amp;" is more than Repeat Test Transgender"&amp;CHAR(10),""),IF(Y74&gt;Y73," * Repeat Test and Turned Positive Transgender "&amp;$X$19&amp;" "&amp;$Y$20&amp;" is more than Repeat Test Transgender"&amp;CHAR(10),""),IF(Z74&gt;Z73," * Repeat Test and Turned Positive Transgender "&amp;$Z$19&amp;" "&amp;$Z$20&amp;" is more than Repeat Test Transgender"&amp;CHAR(10),""),IF(AA74&gt;AA73," * Repeat Test and Turned Positive Transgender "&amp;$Z$19&amp;" "&amp;$AA$20&amp;" is more than Repeat Test Transgender"&amp;CHAR(10),""),IF(AB74&gt;AB73," * Repeat Test and Turned Positive Transgender "&amp;$Z$19&amp;" "&amp;$AA$20&amp;" is more than Repeat Test Transgender"&amp;CHAR(10),""))</f>
        <v/>
      </c>
      <c r="AD73" s="413"/>
      <c r="AE73" s="124"/>
      <c r="AF73" s="558"/>
      <c r="AG73" s="110">
        <v>52</v>
      </c>
    </row>
    <row r="74" spans="1:33" s="4" customFormat="1" ht="38.25" customHeight="1" thickBot="1" x14ac:dyDescent="0.3">
      <c r="A74" s="366"/>
      <c r="B74" s="223" t="s">
        <v>655</v>
      </c>
      <c r="C74" s="203" t="s">
        <v>271</v>
      </c>
      <c r="D74" s="97"/>
      <c r="E74" s="98"/>
      <c r="F74" s="97"/>
      <c r="G74" s="98"/>
      <c r="H74" s="97"/>
      <c r="I74" s="98"/>
      <c r="J74" s="97"/>
      <c r="K74" s="98"/>
      <c r="L74" s="98"/>
      <c r="M74" s="98"/>
      <c r="N74" s="98"/>
      <c r="O74" s="98"/>
      <c r="P74" s="98"/>
      <c r="Q74" s="98"/>
      <c r="R74" s="98"/>
      <c r="S74" s="98"/>
      <c r="T74" s="98"/>
      <c r="U74" s="98"/>
      <c r="V74" s="98"/>
      <c r="W74" s="98"/>
      <c r="X74" s="98"/>
      <c r="Y74" s="98"/>
      <c r="Z74" s="98"/>
      <c r="AA74" s="232"/>
      <c r="AB74" s="241"/>
      <c r="AC74" s="229"/>
      <c r="AD74" s="413"/>
      <c r="AE74" s="124"/>
      <c r="AF74" s="558"/>
      <c r="AG74" s="110">
        <v>53</v>
      </c>
    </row>
    <row r="75" spans="1:33" s="4" customFormat="1" ht="38.25" customHeight="1" x14ac:dyDescent="0.25">
      <c r="A75" s="369" t="s">
        <v>79</v>
      </c>
      <c r="B75" s="205" t="s">
        <v>653</v>
      </c>
      <c r="C75" s="197" t="s">
        <v>272</v>
      </c>
      <c r="D75" s="37"/>
      <c r="E75" s="28"/>
      <c r="F75" s="37"/>
      <c r="G75" s="28"/>
      <c r="H75" s="37"/>
      <c r="I75" s="28"/>
      <c r="J75" s="37"/>
      <c r="K75" s="28"/>
      <c r="L75" s="28"/>
      <c r="M75" s="29"/>
      <c r="N75" s="28"/>
      <c r="O75" s="29"/>
      <c r="P75" s="28"/>
      <c r="Q75" s="29"/>
      <c r="R75" s="28"/>
      <c r="S75" s="29"/>
      <c r="T75" s="28"/>
      <c r="U75" s="29"/>
      <c r="V75" s="28"/>
      <c r="W75" s="29"/>
      <c r="X75" s="28"/>
      <c r="Y75" s="29"/>
      <c r="Z75" s="28"/>
      <c r="AA75" s="29"/>
      <c r="AB75" s="224">
        <f t="shared" ref="AB75:AB80" si="39">SUM(J75:AA75)</f>
        <v>0</v>
      </c>
      <c r="AC75" s="230" t="str">
        <f>CONCATENATE(IF(D76&gt;D75," * Initial Test and Turned Positive FSW "&amp;$D$19&amp;" "&amp;$D$20&amp;" is more than Initial Test FSW"&amp;CHAR(10),""),IF(E76&gt;E75," * Initial Test and Turned Positive FSW "&amp;$D$19&amp;" "&amp;$E$20&amp;" is more than Initial Test FSW"&amp;CHAR(10),""),IF(F76&gt;F75," * Initial Test and Turned Positive FSW "&amp;$F$19&amp;" "&amp;$F$20&amp;" is more than Initial Test FSW"&amp;CHAR(10),""),IF(G76&gt;G75," * Initial Test and Turned Positive FSW "&amp;$F$19&amp;" "&amp;$G$20&amp;" is more than Initial Test FSW"&amp;CHAR(10),""),IF(H76&gt;H75," * Initial Test and Turned Positive FSW "&amp;$H$19&amp;" "&amp;$H$20&amp;" is more than Initial Test FSW"&amp;CHAR(10),""),IF(I76&gt;I75," * Initial Test and Turned Positive FSW "&amp;$H$19&amp;" "&amp;$I$20&amp;" is more than Initial Test FSW"&amp;CHAR(10),""),IF(J76&gt;J75," * Initial Test and Turned Positive FSW "&amp;$J$19&amp;" "&amp;$J$20&amp;" is more than Initial Test FSW"&amp;CHAR(10),""),IF(K76&gt;K75," * Initial Test and Turned Positive FSW "&amp;$J$19&amp;" "&amp;$K$20&amp;" is more than Initial Test FSW"&amp;CHAR(10),""),IF(L76&gt;L75," * Initial Test and Turned Positive FSW "&amp;$L$19&amp;" "&amp;$L$20&amp;" is more than Initial Test FSW"&amp;CHAR(10),""),IF(M76&gt;M75," * Initial Test and Turned Positive FSW "&amp;$L$19&amp;" "&amp;$M$20&amp;" is more than Initial Test FSW"&amp;CHAR(10),""),IF(N76&gt;N75," * Initial Test and Turned Positive FSW "&amp;$N$19&amp;" "&amp;$N$20&amp;" is more than Initial Test FSW"&amp;CHAR(10),""),IF(O76&gt;O75," * Initial Test and Turned Positive FSW "&amp;$N$19&amp;" "&amp;$O$20&amp;" is more than Initial Test FSW"&amp;CHAR(10),""),IF(P76&gt;P75," * Initial Test and Turned Positive FSW "&amp;$P$19&amp;" "&amp;$P$20&amp;" is more than Initial Test FSW"&amp;CHAR(10),""),IF(Q76&gt;Q75," * Initial Test and Turned Positive FSW "&amp;$P$19&amp;" "&amp;$Q$20&amp;" is more than Initial Test FSW"&amp;CHAR(10),""),IF(R76&gt;R75," * Initial Test and Turned Positive FSW "&amp;$R$19&amp;" "&amp;$R$20&amp;" is more than Initial Test FSW"&amp;CHAR(10),""),IF(S76&gt;S75," * Initial Test and Turned Positive FSW "&amp;$R$19&amp;" "&amp;$S$20&amp;" is more than Initial Test FSW"&amp;CHAR(10),""),IF(T76&gt;T75," * Initial Test and Turned Positive FSW "&amp;$T$19&amp;" "&amp;$T$20&amp;" is more than Initial Test FSW"&amp;CHAR(10),""),IF(U76&gt;U75," * Initial Test and Turned Positive FSW "&amp;$T$19&amp;" "&amp;$U$20&amp;" is more than Initial Test FSW"&amp;CHAR(10),""),IF(V76&gt;V75," * Initial Test and Turned Positive FSW "&amp;$V$19&amp;" "&amp;$V$20&amp;" is more than Initial Test FSW"&amp;CHAR(10),""),IF(W76&gt;W75," * Initial Test and Turned Positive FSW "&amp;$V$19&amp;" "&amp;$W$20&amp;" is more than Initial Test FSW"&amp;CHAR(10),""),IF(X76&gt;X75," * Initial Test and Turned Positive FSW "&amp;$X$19&amp;" "&amp;$X$20&amp;" is more than Initial Test FSW"&amp;CHAR(10),""),IF(Y76&gt;Y75," * Initial Test and Turned Positive FSW "&amp;$X$19&amp;" "&amp;$Y$20&amp;" is more than Initial Test FSW"&amp;CHAR(10),""),IF(Z76&gt;Z75," * Initial Test and Turned Positive FSW "&amp;$Z$19&amp;" "&amp;$Z$20&amp;" is more than Initial Test FSW"&amp;CHAR(10),""),IF(AA76&gt;AA75," * Initial Test and Turned Positive FSW "&amp;$Z$19&amp;" "&amp;$AA$20&amp;" is more than Initial Test FSW"&amp;CHAR(10),""))</f>
        <v/>
      </c>
      <c r="AD75" s="413"/>
      <c r="AE75" s="124"/>
      <c r="AF75" s="558"/>
      <c r="AG75" s="110">
        <v>54</v>
      </c>
    </row>
    <row r="76" spans="1:33" s="4" customFormat="1" ht="38.25" customHeight="1" thickBot="1" x14ac:dyDescent="0.3">
      <c r="A76" s="370"/>
      <c r="B76" s="206" t="s">
        <v>654</v>
      </c>
      <c r="C76" s="203" t="s">
        <v>273</v>
      </c>
      <c r="D76" s="97"/>
      <c r="E76" s="98"/>
      <c r="F76" s="97"/>
      <c r="G76" s="98"/>
      <c r="H76" s="97"/>
      <c r="I76" s="98"/>
      <c r="J76" s="97"/>
      <c r="K76" s="98"/>
      <c r="L76" s="98"/>
      <c r="M76" s="7"/>
      <c r="N76" s="98"/>
      <c r="O76" s="7"/>
      <c r="P76" s="98"/>
      <c r="Q76" s="7"/>
      <c r="R76" s="98"/>
      <c r="S76" s="7"/>
      <c r="T76" s="98"/>
      <c r="U76" s="7"/>
      <c r="V76" s="98"/>
      <c r="W76" s="7"/>
      <c r="X76" s="98"/>
      <c r="Y76" s="7"/>
      <c r="Z76" s="98"/>
      <c r="AA76" s="191"/>
      <c r="AB76" s="225">
        <f t="shared" si="39"/>
        <v>0</v>
      </c>
      <c r="AC76" s="230" t="str">
        <f>CONCATENATE(IF(D39&lt;(D75+D77)," * Initial Tests + Repeat Tests Transgender "&amp;$D$19&amp;" "&amp;$D$20&amp;" Is more than Newly Tested and/or referred for testing"&amp;CHAR(10),""),IF(E39&lt;(E75+E77)," * Initial Tests + Repeat Tests Transgender "&amp;$D$19&amp;" "&amp;$E$20&amp;" Is more than Newly Tested and/or referred for testing"&amp;CHAR(10),""),IF(F39&lt;(F75+F77)," * Initial Tests + Repeat Tests Transgender "&amp;$F$19&amp;" "&amp;$F$20&amp;" Is more than Newly Tested and/or referred for testing"&amp;CHAR(10),""),IF(G39&lt;(G75+G77)," * Initial Tests + Repeat Tests Transgender "&amp;$F$19&amp;" "&amp;$G$20&amp;" Is more than Newly Tested and/or referred for testing"&amp;CHAR(10),""),IF(H39&lt;(H75+H77)," * Initial Tests + Repeat Tests Transgender "&amp;$H$19&amp;" "&amp;$H$20&amp;" Is more than Newly Tested and/or referred for testing"&amp;CHAR(10),""),IF(I39&lt;(I75+I77)," * Initial Tests + Repeat Tests Transgender "&amp;$H$19&amp;" "&amp;$I$20&amp;" Is more than Newly Tested and/or referred for testing"&amp;CHAR(10),""),IF(J39&lt;(J75+J77)," * Initial Tests + Repeat Tests Transgender "&amp;$J$19&amp;" "&amp;$J$20&amp;" Is more than Newly Tested and/or referred for testing"&amp;CHAR(10),""),IF(K39&lt;(K75+K77)," * Initial Tests + Repeat Tests Transgender "&amp;$J$19&amp;" "&amp;$K$20&amp;" Is more than Newly Tested and/or referred for testing"&amp;CHAR(10),""),IF(L39&lt;(L75+L77)," * Initial Tests + Repeat Tests Transgender "&amp;$L$19&amp;" "&amp;$L$20&amp;" Is more than Newly Tested and/or referred for testing"&amp;CHAR(10),""),IF(M39&lt;(M75+M77)," * Initial Tests + Repeat Tests Transgender "&amp;$L$19&amp;" "&amp;$M$20&amp;" Is more than Newly Tested and/or referred for testing"&amp;CHAR(10),""),IF(N39&lt;(N75+N77)," * Initial Tests + Repeat Tests Transgender "&amp;$N$19&amp;" "&amp;$N$20&amp;" Is more than Newly Tested and/or referred for testing"&amp;CHAR(10),""),IF(O39&lt;(O75+O77)," * Initial Tests + Repeat Tests Transgender "&amp;$N$19&amp;" "&amp;$O$20&amp;" Is more than Newly Tested and/or referred for testing"&amp;CHAR(10),""),IF(P39&lt;(P75+P77)," * Initial Tests + Repeat Tests Transgender "&amp;$P$19&amp;" "&amp;$P$20&amp;" Is more than Newly Tested and/or referred for testing"&amp;CHAR(10),""),IF(Q39&lt;(Q75+Q77)," * Initial Tests + Repeat Tests Transgender "&amp;$P$19&amp;" "&amp;$Q$20&amp;" Is more than Newly Tested and/or referred for testing"&amp;CHAR(10),""),IF(R39&lt;(R75+R77)," * Initial Tests + Repeat Tests Transgender "&amp;$R$19&amp;" "&amp;$R$20&amp;" Is more than Newly Tested and/or referred for testing"&amp;CHAR(10),""),IF(S39&lt;(S75+S77)," * Initial Tests + Repeat Tests Transgender "&amp;$R$19&amp;" "&amp;$S$20&amp;" Is more than Newly Tested and/or referred for testing"&amp;CHAR(10),""),IF(T39&lt;(T75+T77)," * Initial Tests + Repeat Tests Transgender "&amp;$T$19&amp;" "&amp;$T$20&amp;" Is more than Newly Tested and/or referred for testing"&amp;CHAR(10),""),IF(U39&lt;(U75+U77)," * Initial Tests + Repeat Tests Transgender "&amp;$T$19&amp;" "&amp;$U$20&amp;" Is more than Newly Tested and/or referred for testing"&amp;CHAR(10),""),IF(V39&lt;(V75+V77)," * Initial Tests + Repeat Tests Transgender "&amp;$V$19&amp;" "&amp;$V$20&amp;" Is more than Newly Tested and/or referred for testing"&amp;CHAR(10),""),IF(W39&lt;(W75+W77)," * Initial Tests + Repeat Tests Transgender "&amp;$V$19&amp;" "&amp;$W$20&amp;" Is more than Newly Tested and/or referred for testing"&amp;CHAR(10),""),IF(X39&lt;(X75+X77)," * Initial Tests + Repeat Tests Transgender "&amp;$X$19&amp;" "&amp;$X$20&amp;" Is more than Newly Tested and/or referred for testing"&amp;CHAR(10),""),IF(Y39&lt;(Y75+Y77)," * Initial Tests + Repeat Tests Transgender "&amp;$X$19&amp;" "&amp;$Y$20&amp;" Is more than Newly Tested and/or referred for testing"&amp;CHAR(10),""),IF(Z39&lt;(Z75+Z77)," * Initial Tests + Repeat Tests Transgender "&amp;$Z$19&amp;" "&amp;$Z$20&amp;" Is more than Newly Tested and/or referred for testing"&amp;CHAR(10),""),IF(AA39&lt;(AA75+AA77)," * Initial Tests + Repeat Tests Transgender "&amp;$Z$19&amp;" "&amp;$AA$20&amp;" Is more than Newly Tested and/or referred for testing"&amp;CHAR(10),""))</f>
        <v/>
      </c>
      <c r="AD76" s="413"/>
      <c r="AE76" s="124"/>
      <c r="AF76" s="558"/>
      <c r="AG76" s="110">
        <v>55</v>
      </c>
    </row>
    <row r="77" spans="1:33" s="4" customFormat="1" ht="38.25" customHeight="1" x14ac:dyDescent="0.25">
      <c r="A77" s="370"/>
      <c r="B77" s="222" t="s">
        <v>652</v>
      </c>
      <c r="C77" s="197" t="s">
        <v>274</v>
      </c>
      <c r="D77" s="37"/>
      <c r="E77" s="28"/>
      <c r="F77" s="37"/>
      <c r="G77" s="28"/>
      <c r="H77" s="37"/>
      <c r="I77" s="28"/>
      <c r="J77" s="37"/>
      <c r="K77" s="28"/>
      <c r="L77" s="28"/>
      <c r="M77" s="29"/>
      <c r="N77" s="28"/>
      <c r="O77" s="29"/>
      <c r="P77" s="28"/>
      <c r="Q77" s="29"/>
      <c r="R77" s="28"/>
      <c r="S77" s="29"/>
      <c r="T77" s="28"/>
      <c r="U77" s="29"/>
      <c r="V77" s="28"/>
      <c r="W77" s="29"/>
      <c r="X77" s="28"/>
      <c r="Y77" s="29"/>
      <c r="Z77" s="28"/>
      <c r="AA77" s="29"/>
      <c r="AB77" s="224">
        <f t="shared" ref="AB77:AB78" si="40">SUM(J77:AA77)</f>
        <v>0</v>
      </c>
      <c r="AC77" s="230" t="str">
        <f>CONCATENATE(IF(D78&gt;D77," * Repeat Test and Turned Positive FSW "&amp;$D$19&amp;" "&amp;$D$20&amp;" is more than Repeat Test FSW"&amp;CHAR(10),""),IF(E78&gt;E77," * Repeat Test and Turned Positive FSW "&amp;$D$19&amp;" "&amp;$E$20&amp;" is more than Repeat Test FSW"&amp;CHAR(10),""),IF(F78&gt;F77," * Repeat Test and Turned Positive FSW "&amp;$F$19&amp;" "&amp;$F$20&amp;" is more than Repeat Test FSW"&amp;CHAR(10),""),IF(G78&gt;G77," * Repeat Test and Turned Positive FSW "&amp;$F$19&amp;" "&amp;$G$20&amp;" is more than Repeat Test FSW"&amp;CHAR(10),""),IF(H78&gt;H77," * Repeat Test and Turned Positive FSW "&amp;$H$19&amp;" "&amp;$H$20&amp;" is more than Repeat Test FSW"&amp;CHAR(10),""),IF(I78&gt;I77," * Repeat Test and Turned Positive FSW "&amp;$H$19&amp;" "&amp;$I$20&amp;" is more than Repeat Test FSW"&amp;CHAR(10),""),IF(J78&gt;J77," * Repeat Test and Turned Positive FSW "&amp;$J$19&amp;" "&amp;$J$20&amp;" is more than Repeat Test FSW"&amp;CHAR(10),""),IF(K78&gt;K77," * Repeat Test and Turned Positive FSW "&amp;$J$19&amp;" "&amp;$K$20&amp;" is more than Repeat Test FSW"&amp;CHAR(10),""),IF(L78&gt;L77," * Repeat Test and Turned Positive FSW "&amp;$L$19&amp;" "&amp;$L$20&amp;" is more than Repeat Test FSW"&amp;CHAR(10),""),IF(M78&gt;M77," * Repeat Test and Turned Positive FSW "&amp;$L$19&amp;" "&amp;$M$20&amp;" is more than Repeat Test FSW"&amp;CHAR(10),""),IF(N78&gt;N77," * Repeat Test and Turned Positive FSW "&amp;$N$19&amp;" "&amp;$N$20&amp;" is more than Repeat Test FSW"&amp;CHAR(10),""),IF(O78&gt;O77," * Repeat Test and Turned Positive FSW "&amp;$N$19&amp;" "&amp;$O$20&amp;" is more than Repeat Test FSW"&amp;CHAR(10),""),IF(P78&gt;P77," * Repeat Test and Turned Positive FSW "&amp;$P$19&amp;" "&amp;$P$20&amp;" is more than Repeat Test FSW"&amp;CHAR(10),""),IF(Q78&gt;Q77," * Repeat Test and Turned Positive FSW "&amp;$P$19&amp;" "&amp;$Q$20&amp;" is more than Repeat Test FSW"&amp;CHAR(10),""),IF(R78&gt;R77," * Repeat Test and Turned Positive FSW "&amp;$R$19&amp;" "&amp;$R$20&amp;" is more than Repeat Test FSW"&amp;CHAR(10),""),IF(S78&gt;S77," * Repeat Test and Turned Positive FSW "&amp;$R$19&amp;" "&amp;$S$20&amp;" is more than Repeat Test FSW"&amp;CHAR(10),""),IF(T78&gt;T77," * Repeat Test and Turned Positive FSW "&amp;$T$19&amp;" "&amp;$T$20&amp;" is more than Repeat Test FSW"&amp;CHAR(10),""),IF(U78&gt;U77," * Repeat Test and Turned Positive FSW "&amp;$T$19&amp;" "&amp;$U$20&amp;" is more than Repeat Test FSW"&amp;CHAR(10),""),IF(V78&gt;V77," * Repeat Test and Turned Positive FSW "&amp;$V$19&amp;" "&amp;$V$20&amp;" is more than Repeat Test FSW"&amp;CHAR(10),""),IF(W78&gt;W77," * Repeat Test and Turned Positive FSW "&amp;$V$19&amp;" "&amp;$W$20&amp;" is more than Repeat Test FSW"&amp;CHAR(10),""),IF(X78&gt;X77," * Repeat Test and Turned Positive FSW "&amp;$X$19&amp;" "&amp;$X$20&amp;" is more than Repeat Test FSW"&amp;CHAR(10),""),IF(Y78&gt;Y77," * Repeat Test and Turned Positive FSW "&amp;$X$19&amp;" "&amp;$Y$20&amp;" is more than Repeat Test FSW"&amp;CHAR(10),""),IF(Z78&gt;Z77," * Repeat Test and Turned Positive FSW "&amp;$Z$19&amp;" "&amp;$Z$20&amp;" is more than Repeat Test FSW"&amp;CHAR(10),""),IF(AA78&gt;AA77," * Repeat Test and Turned Positive FSW "&amp;$Z$19&amp;" "&amp;$AA$20&amp;" is more than Repeat Test FSW"&amp;CHAR(10),""))</f>
        <v/>
      </c>
      <c r="AD77" s="413"/>
      <c r="AE77" s="124"/>
      <c r="AF77" s="558"/>
      <c r="AG77" s="110">
        <v>54</v>
      </c>
    </row>
    <row r="78" spans="1:33" s="4" customFormat="1" ht="38.25" customHeight="1" thickBot="1" x14ac:dyDescent="0.3">
      <c r="A78" s="371"/>
      <c r="B78" s="223" t="s">
        <v>655</v>
      </c>
      <c r="C78" s="203" t="s">
        <v>275</v>
      </c>
      <c r="D78" s="97"/>
      <c r="E78" s="98"/>
      <c r="F78" s="97"/>
      <c r="G78" s="98"/>
      <c r="H78" s="97"/>
      <c r="I78" s="98"/>
      <c r="J78" s="97"/>
      <c r="K78" s="98"/>
      <c r="L78" s="98"/>
      <c r="M78" s="7"/>
      <c r="N78" s="98"/>
      <c r="O78" s="7"/>
      <c r="P78" s="98"/>
      <c r="Q78" s="7"/>
      <c r="R78" s="98"/>
      <c r="S78" s="7"/>
      <c r="T78" s="98"/>
      <c r="U78" s="7"/>
      <c r="V78" s="98"/>
      <c r="W78" s="7"/>
      <c r="X78" s="98"/>
      <c r="Y78" s="7"/>
      <c r="Z78" s="98"/>
      <c r="AA78" s="191"/>
      <c r="AB78" s="225">
        <f t="shared" si="40"/>
        <v>0</v>
      </c>
      <c r="AC78" s="230"/>
      <c r="AD78" s="413"/>
      <c r="AE78" s="124"/>
      <c r="AF78" s="558"/>
      <c r="AG78" s="110">
        <v>55</v>
      </c>
    </row>
    <row r="79" spans="1:33" s="4" customFormat="1" ht="38.25" customHeight="1" x14ac:dyDescent="0.25">
      <c r="A79" s="364" t="s">
        <v>167</v>
      </c>
      <c r="B79" s="205" t="s">
        <v>653</v>
      </c>
      <c r="C79" s="197" t="s">
        <v>276</v>
      </c>
      <c r="D79" s="37"/>
      <c r="E79" s="28"/>
      <c r="F79" s="37"/>
      <c r="G79" s="28"/>
      <c r="H79" s="37"/>
      <c r="I79" s="28"/>
      <c r="J79" s="37"/>
      <c r="K79" s="28"/>
      <c r="L79" s="29"/>
      <c r="M79" s="29"/>
      <c r="N79" s="29"/>
      <c r="O79" s="29"/>
      <c r="P79" s="29"/>
      <c r="Q79" s="29"/>
      <c r="R79" s="29"/>
      <c r="S79" s="29"/>
      <c r="T79" s="29"/>
      <c r="U79" s="29"/>
      <c r="V79" s="29"/>
      <c r="W79" s="29"/>
      <c r="X79" s="29"/>
      <c r="Y79" s="29"/>
      <c r="Z79" s="29"/>
      <c r="AA79" s="29"/>
      <c r="AB79" s="224">
        <f t="shared" si="39"/>
        <v>0</v>
      </c>
      <c r="AC79" s="230" t="str">
        <f>CONCATENATE(IF(D80&gt;D79," * Initial Test and Turned Positive People in prison and other closed settings "&amp;$D$19&amp;" "&amp;$D$20&amp;" is more than Initial Test People in prison and other closed settings"&amp;CHAR(10),""),IF(E80&gt;E79," * Initial Test and Turned Positive People in prison and other closed settings "&amp;$D$19&amp;" "&amp;$E$20&amp;" is more than Initial Test People in prison and other closed settings"&amp;CHAR(10),""),IF(F80&gt;F79," * Initial Test and Turned Positive People in prison and other closed settings "&amp;$F$19&amp;" "&amp;$F$20&amp;" is more than Initial Test People in prison and other closed settings"&amp;CHAR(10),""),IF(G80&gt;G79," * Initial Test and Turned Positive People in prison and other closed settings "&amp;$F$19&amp;" "&amp;$G$20&amp;" is more than Initial Test People in prison and other closed settings"&amp;CHAR(10),""),IF(H80&gt;H79," * Initial Test and Turned Positive People in prison and other closed settings "&amp;$H$19&amp;" "&amp;$H$20&amp;" is more than Initial Test People in prison and other closed settings"&amp;CHAR(10),""),IF(I80&gt;I79," * Initial Test and Turned Positive People in prison and other closed settings "&amp;$H$19&amp;" "&amp;$I$20&amp;" is more than Initial Test People in prison and other closed settings"&amp;CHAR(10),""),IF(J80&gt;J79," * Initial Test and Turned Positive People in prison and other closed settings "&amp;$J$19&amp;" "&amp;$J$20&amp;" is more than Initial Test People in prison and other closed settings"&amp;CHAR(10),""),IF(K80&gt;K79," * Initial Test and Turned Positive People in prison and other closed settings "&amp;$J$19&amp;" "&amp;$K$20&amp;" is more than Initial Test People in prison and other closed settings"&amp;CHAR(10),""),IF(L80&gt;L79," * Initial Test and Turned Positive People in prison and other closed settings "&amp;$L$19&amp;" "&amp;$L$20&amp;" is more than Initial Test People in prison and other closed settings"&amp;CHAR(10),""),IF(M80&gt;M79," * Initial Test and Turned Positive People in prison and other closed settings "&amp;$L$19&amp;" "&amp;$M$20&amp;" is more than Initial Test People in prison and other closed settings"&amp;CHAR(10),""),IF(N80&gt;N79," * Initial Test and Turned Positive People in prison and other closed settings "&amp;$N$19&amp;" "&amp;$N$20&amp;" is more than Initial Test People in prison and other closed settings"&amp;CHAR(10),""),IF(O80&gt;O79," * Initial Test and Turned Positive People in prison and other closed settings "&amp;$N$19&amp;" "&amp;$O$20&amp;" is more than Initial Test People in prison and other closed settings"&amp;CHAR(10),""),IF(P80&gt;P79," * Initial Test and Turned Positive People in prison and other closed settings "&amp;$P$19&amp;" "&amp;$P$20&amp;" is more than Initial Test People in prison and other closed settings"&amp;CHAR(10),""),IF(Q80&gt;Q79," * Initial Test and Turned Positive People in prison and other closed settings "&amp;$P$19&amp;" "&amp;$Q$20&amp;" is more than Initial Test People in prison and other closed settings"&amp;CHAR(10),""),IF(R80&gt;R79," * Initial Test and Turned Positive People in prison and other closed settings "&amp;$R$19&amp;" "&amp;$R$20&amp;" is more than Initial Test People in prison and other closed settings"&amp;CHAR(10),""),IF(S80&gt;S79," * Initial Test and Turned Positive People in prison and other closed settings "&amp;$R$19&amp;" "&amp;$S$20&amp;" is more than Initial Test People in prison and other closed settings"&amp;CHAR(10),""),IF(T80&gt;T79," * Initial Test and Turned Positive People in prison and other closed settings "&amp;$T$19&amp;" "&amp;$T$20&amp;" is more than Initial Test People in prison and other closed settings"&amp;CHAR(10),""),IF(U80&gt;U79," * Initial Test and Turned Positive People in prison and other closed settings "&amp;$T$19&amp;" "&amp;$U$20&amp;" is more than Initial Test People in prison and other closed settings"&amp;CHAR(10),""),IF(V80&gt;V79," * Initial Test and Turned Positive People in prison and other closed settings "&amp;$V$19&amp;" "&amp;$V$20&amp;" is more than Initial Test People in prison and other closed settings"&amp;CHAR(10),""),IF(W80&gt;W79," * Initial Test and Turned Positive People in prison and other closed settings "&amp;$V$19&amp;" "&amp;$W$20&amp;" is more than Initial Test People in prison and other closed settings"&amp;CHAR(10),""),IF(X80&gt;X79," * Initial Test and Turned Positive People in prison and other closed settings "&amp;$X$19&amp;" "&amp;$X$20&amp;" is more than Initial Test People in prison and other closed settings"&amp;CHAR(10),""),IF(Y80&gt;Y79," * Initial Test and Turned Positive People in prison and other closed settings "&amp;$X$19&amp;" "&amp;$Y$20&amp;" is more than Initial Test People in prison and other closed settings"&amp;CHAR(10),""),IF(Z80&gt;Z79," * Initial Test and Turned Positive People in prison and other closed settings "&amp;$Z$19&amp;" "&amp;$Z$20&amp;" is more than Initial Test People in prison and other closed settings"&amp;CHAR(10),""),IF(AA80&gt;AA79," * Initial Test and Turned Positive People in prison and other closed settings "&amp;$Z$19&amp;" "&amp;$AA$20&amp;" is more than Initial Test People in prison and other closed settings"&amp;CHAR(10),""))</f>
        <v/>
      </c>
      <c r="AD79" s="413"/>
      <c r="AE79" s="124"/>
      <c r="AF79" s="558"/>
      <c r="AG79" s="110">
        <v>56</v>
      </c>
    </row>
    <row r="80" spans="1:33" s="4" customFormat="1" ht="38.25" customHeight="1" thickBot="1" x14ac:dyDescent="0.3">
      <c r="A80" s="365"/>
      <c r="B80" s="206" t="s">
        <v>654</v>
      </c>
      <c r="C80" s="203" t="s">
        <v>277</v>
      </c>
      <c r="D80" s="97"/>
      <c r="E80" s="98"/>
      <c r="F80" s="97"/>
      <c r="G80" s="98"/>
      <c r="H80" s="97"/>
      <c r="I80" s="98"/>
      <c r="J80" s="97"/>
      <c r="K80" s="98"/>
      <c r="L80" s="7"/>
      <c r="M80" s="7"/>
      <c r="N80" s="7"/>
      <c r="O80" s="7"/>
      <c r="P80" s="7"/>
      <c r="Q80" s="7"/>
      <c r="R80" s="7"/>
      <c r="S80" s="7"/>
      <c r="T80" s="7"/>
      <c r="U80" s="7"/>
      <c r="V80" s="7"/>
      <c r="W80" s="7"/>
      <c r="X80" s="7"/>
      <c r="Y80" s="7"/>
      <c r="Z80" s="7"/>
      <c r="AA80" s="191"/>
      <c r="AB80" s="225">
        <f t="shared" si="39"/>
        <v>0</v>
      </c>
      <c r="AC80" s="230" t="str">
        <f>CONCATENATE(IF(D42&lt;(D79+D81)," * Initial Tests + Repeat Tests Transgender "&amp;$D$19&amp;" "&amp;$D$20&amp;" Is more than Newly Tested and/or referred for testing"&amp;CHAR(10),""),IF(E42&lt;(E79+E81)," * Initial Tests + Repeat Tests Transgender "&amp;$D$19&amp;" "&amp;$E$20&amp;" Is more than Newly Tested and/or referred for testing"&amp;CHAR(10),""),IF(F42&lt;(F79+F81)," * Initial Tests + Repeat Tests Transgender "&amp;$F$19&amp;" "&amp;$F$20&amp;" Is more than Newly Tested and/or referred for testing"&amp;CHAR(10),""),IF(G42&lt;(G79+G81)," * Initial Tests + Repeat Tests Transgender "&amp;$F$19&amp;" "&amp;$G$20&amp;" Is more than Newly Tested and/or referred for testing"&amp;CHAR(10),""),IF(H42&lt;(H79+H81)," * Initial Tests + Repeat Tests Transgender "&amp;$H$19&amp;" "&amp;$H$20&amp;" Is more than Newly Tested and/or referred for testing"&amp;CHAR(10),""),IF(I42&lt;(I79+I81)," * Initial Tests + Repeat Tests Transgender "&amp;$H$19&amp;" "&amp;$I$20&amp;" Is more than Newly Tested and/or referred for testing"&amp;CHAR(10),""),IF(J42&lt;(J79+J81)," * Initial Tests + Repeat Tests Transgender "&amp;$J$19&amp;" "&amp;$J$20&amp;" Is more than Newly Tested and/or referred for testing"&amp;CHAR(10),""),IF(K42&lt;(K79+K81)," * Initial Tests + Repeat Tests Transgender "&amp;$J$19&amp;" "&amp;$K$20&amp;" Is more than Newly Tested and/or referred for testing"&amp;CHAR(10),""),IF(L42&lt;(L79+L81)," * Initial Tests + Repeat Tests Transgender "&amp;$L$19&amp;" "&amp;$L$20&amp;" Is more than Newly Tested and/or referred for testing"&amp;CHAR(10),""),IF(M42&lt;(M79+M81)," * Initial Tests + Repeat Tests Transgender "&amp;$L$19&amp;" "&amp;$M$20&amp;" Is more than Newly Tested and/or referred for testing"&amp;CHAR(10),""),IF(N42&lt;(N79+N81)," * Initial Tests + Repeat Tests Transgender "&amp;$N$19&amp;" "&amp;$N$20&amp;" Is more than Newly Tested and/or referred for testing"&amp;CHAR(10),""),IF(O42&lt;(O79+O81)," * Initial Tests + Repeat Tests Transgender "&amp;$N$19&amp;" "&amp;$O$20&amp;" Is more than Newly Tested and/or referred for testing"&amp;CHAR(10),""),IF(P42&lt;(P79+P81)," * Initial Tests + Repeat Tests Transgender "&amp;$P$19&amp;" "&amp;$P$20&amp;" Is more than Newly Tested and/or referred for testing"&amp;CHAR(10),""),IF(Q42&lt;(Q79+Q81)," * Initial Tests + Repeat Tests Transgender "&amp;$P$19&amp;" "&amp;$Q$20&amp;" Is more than Newly Tested and/or referred for testing"&amp;CHAR(10),""),IF(R42&lt;(R79+R81)," * Initial Tests + Repeat Tests Transgender "&amp;$R$19&amp;" "&amp;$R$20&amp;" Is more than Newly Tested and/or referred for testing"&amp;CHAR(10),""),IF(S42&lt;(S79+S81)," * Initial Tests + Repeat Tests Transgender "&amp;$R$19&amp;" "&amp;$S$20&amp;" Is more than Newly Tested and/or referred for testing"&amp;CHAR(10),""),IF(T42&lt;(T79+T81)," * Initial Tests + Repeat Tests Transgender "&amp;$T$19&amp;" "&amp;$T$20&amp;" Is more than Newly Tested and/or referred for testing"&amp;CHAR(10),""),IF(U42&lt;(U79+U81)," * Initial Tests + Repeat Tests Transgender "&amp;$T$19&amp;" "&amp;$U$20&amp;" Is more than Newly Tested and/or referred for testing"&amp;CHAR(10),""),IF(V42&lt;(V79+V81)," * Initial Tests + Repeat Tests Transgender "&amp;$V$19&amp;" "&amp;$V$20&amp;" Is more than Newly Tested and/or referred for testing"&amp;CHAR(10),""),IF(W42&lt;(W79+W81)," * Initial Tests + Repeat Tests Transgender "&amp;$V$19&amp;" "&amp;$W$20&amp;" Is more than Newly Tested and/or referred for testing"&amp;CHAR(10),""),IF(X42&lt;(X79+X81)," * Initial Tests + Repeat Tests Transgender "&amp;$X$19&amp;" "&amp;$X$20&amp;" Is more than Newly Tested and/or referred for testing"&amp;CHAR(10),""),IF(Y42&lt;(Y79+Y81)," * Initial Tests + Repeat Tests Transgender "&amp;$X$19&amp;" "&amp;$Y$20&amp;" Is more than Newly Tested and/or referred for testing"&amp;CHAR(10),""),IF(Z42&lt;(Z79+Z81)," * Initial Tests + Repeat Tests Transgender "&amp;$Z$19&amp;" "&amp;$Z$20&amp;" Is more than Newly Tested and/or referred for testing"&amp;CHAR(10),""),IF(AA42&lt;(AA79+AA81)," * Initial Tests + Repeat Tests Transgender "&amp;$Z$19&amp;" "&amp;$AA$20&amp;" Is more than Newly Tested and/or referred for testing"&amp;CHAR(10),""),IF(AB42&lt;(AB79+AB81)," * Initial Tests + Repeat Tests People in Prison &amp; other clossed settings "&amp;$AB$19&amp;" "&amp;$AB$20&amp;" Is more than Newly Tested and/or referred for testing"&amp;CHAR(10),""))</f>
        <v/>
      </c>
      <c r="AD80" s="413"/>
      <c r="AE80" s="124"/>
      <c r="AF80" s="558"/>
      <c r="AG80" s="110">
        <v>57</v>
      </c>
    </row>
    <row r="81" spans="1:33" s="4" customFormat="1" ht="38.25" customHeight="1" x14ac:dyDescent="0.25">
      <c r="A81" s="365"/>
      <c r="B81" s="222" t="s">
        <v>652</v>
      </c>
      <c r="C81" s="197" t="s">
        <v>278</v>
      </c>
      <c r="D81" s="37"/>
      <c r="E81" s="28"/>
      <c r="F81" s="37"/>
      <c r="G81" s="28"/>
      <c r="H81" s="37"/>
      <c r="I81" s="28"/>
      <c r="J81" s="37"/>
      <c r="K81" s="28"/>
      <c r="L81" s="29"/>
      <c r="M81" s="29"/>
      <c r="N81" s="29"/>
      <c r="O81" s="29"/>
      <c r="P81" s="29"/>
      <c r="Q81" s="29"/>
      <c r="R81" s="29"/>
      <c r="S81" s="29"/>
      <c r="T81" s="29"/>
      <c r="U81" s="29"/>
      <c r="V81" s="29"/>
      <c r="W81" s="29"/>
      <c r="X81" s="29"/>
      <c r="Y81" s="29"/>
      <c r="Z81" s="29"/>
      <c r="AA81" s="29"/>
      <c r="AB81" s="224">
        <f t="shared" ref="AB81:AB82" si="41">SUM(J81:AA81)</f>
        <v>0</v>
      </c>
      <c r="AC81" s="230" t="str">
        <f>CONCATENATE(IF(D82&gt;D81," * Repeat Test and Turned Positive People in prison and other closed settings "&amp;$D$19&amp;" "&amp;$D$20&amp;" is more than Repeat Test People in prison and other closed settings"&amp;CHAR(10),""),IF(E82&gt;E81," * Repeat Test and Turned Positive People in prison and other closed settings "&amp;$D$19&amp;" "&amp;$E$20&amp;" is more than Repeat Test People in prison and other closed settings"&amp;CHAR(10),""),IF(F82&gt;F81," * Repeat Test and Turned Positive People in prison and other closed settings "&amp;$F$19&amp;" "&amp;$F$20&amp;" is more than Repeat Test People in prison and other closed settings"&amp;CHAR(10),""),IF(G82&gt;G81," * Repeat Test and Turned Positive People in prison and other closed settings "&amp;$F$19&amp;" "&amp;$G$20&amp;" is more than Repeat Test People in prison and other closed settings"&amp;CHAR(10),""),IF(H82&gt;H81," * Repeat Test and Turned Positive People in prison and other closed settings "&amp;$H$19&amp;" "&amp;$H$20&amp;" is more than Repeat Test People in prison and other closed settings"&amp;CHAR(10),""),IF(I82&gt;I81," * Repeat Test and Turned Positive People in prison and other closed settings "&amp;$H$19&amp;" "&amp;$I$20&amp;" is more than Repeat Test People in prison and other closed settings"&amp;CHAR(10),""),IF(J82&gt;J81," * Repeat Test and Turned Positive People in prison and other closed settings "&amp;$J$19&amp;" "&amp;$J$20&amp;" is more than Repeat Test People in prison and other closed settings"&amp;CHAR(10),""),IF(K82&gt;K81," * Repeat Test and Turned Positive People in prison and other closed settings "&amp;$J$19&amp;" "&amp;$K$20&amp;" is more than Repeat Test People in prison and other closed settings"&amp;CHAR(10),""),IF(L82&gt;L81," * Repeat Test and Turned Positive People in prison and other closed settings "&amp;$L$19&amp;" "&amp;$L$20&amp;" is more than Repeat Test People in prison and other closed settings"&amp;CHAR(10),""),IF(M82&gt;M81," * Repeat Test and Turned Positive People in prison and other closed settings "&amp;$L$19&amp;" "&amp;$M$20&amp;" is more than Repeat Test People in prison and other closed settings"&amp;CHAR(10),""),IF(N82&gt;N81," * Repeat Test and Turned Positive People in prison and other closed settings "&amp;$N$19&amp;" "&amp;$N$20&amp;" is more than Repeat Test People in prison and other closed settings"&amp;CHAR(10),""),IF(O82&gt;O81," * Repeat Test and Turned Positive People in prison and other closed settings "&amp;$N$19&amp;" "&amp;$O$20&amp;" is more than Repeat Test People in prison and other closed settings"&amp;CHAR(10),""),IF(P82&gt;P81," * Repeat Test and Turned Positive People in prison and other closed settings "&amp;$P$19&amp;" "&amp;$P$20&amp;" is more than Repeat Test People in prison and other closed settings"&amp;CHAR(10),""),IF(Q82&gt;Q81," * Repeat Test and Turned Positive People in prison and other closed settings "&amp;$P$19&amp;" "&amp;$Q$20&amp;" is more than Repeat Test People in prison and other closed settings"&amp;CHAR(10),""),IF(R82&gt;R81," * Repeat Test and Turned Positive People in prison and other closed settings "&amp;$R$19&amp;" "&amp;$R$20&amp;" is more than Repeat Test People in prison and other closed settings"&amp;CHAR(10),""),IF(S82&gt;S81," * Repeat Test and Turned Positive People in prison and other closed settings "&amp;$R$19&amp;" "&amp;$S$20&amp;" is more than Repeat Test People in prison and other closed settings"&amp;CHAR(10),""),IF(T82&gt;T81," * Repeat Test and Turned Positive People in prison and other closed settings "&amp;$T$19&amp;" "&amp;$T$20&amp;" is more than Repeat Test People in prison and other closed settings"&amp;CHAR(10),""),IF(U82&gt;U81," * Repeat Test and Turned Positive People in prison and other closed settings "&amp;$T$19&amp;" "&amp;$U$20&amp;" is more than Repeat Test People in prison and other closed settings"&amp;CHAR(10),""),IF(V82&gt;V81," * Repeat Test and Turned Positive People in prison and other closed settings "&amp;$V$19&amp;" "&amp;$V$20&amp;" is more than Repeat Test People in prison and other closed settings"&amp;CHAR(10),""),IF(W82&gt;W81," * Repeat Test and Turned Positive People in prison and other closed settings "&amp;$V$19&amp;" "&amp;$W$20&amp;" is more than Repeat Test People in prison and other closed settings"&amp;CHAR(10),""),IF(X82&gt;X81," * Repeat Test and Turned Positive People in prison and other closed settings "&amp;$X$19&amp;" "&amp;$X$20&amp;" is more than Repeat Test People in prison and other closed settings"&amp;CHAR(10),""),IF(Y82&gt;Y81," * Repeat Test and Turned Positive People in prison and other closed settings "&amp;$X$19&amp;" "&amp;$Y$20&amp;" is more than Repeat Test People in prison and other closed settings"&amp;CHAR(10),""),IF(Z82&gt;Z81," * Repeat Test and Turned Positive People in prison and other closed settings "&amp;$Z$19&amp;" "&amp;$Z$20&amp;" is more than Repeat Test People in prison and other closed settings"&amp;CHAR(10),""),IF(AA82&gt;AA81," * Repeat Test and Turned Positive People in prison and other closed settings "&amp;$Z$19&amp;" "&amp;$AA$20&amp;" is more than Repeat Test People in prison and other closed settings"&amp;CHAR(10),""))</f>
        <v/>
      </c>
      <c r="AD81" s="413"/>
      <c r="AE81" s="124"/>
      <c r="AF81" s="558"/>
      <c r="AG81" s="110">
        <v>56</v>
      </c>
    </row>
    <row r="82" spans="1:33" s="4" customFormat="1" ht="38.25" customHeight="1" thickBot="1" x14ac:dyDescent="0.3">
      <c r="A82" s="366"/>
      <c r="B82" s="223" t="s">
        <v>655</v>
      </c>
      <c r="C82" s="203" t="s">
        <v>279</v>
      </c>
      <c r="D82" s="97"/>
      <c r="E82" s="98"/>
      <c r="F82" s="97"/>
      <c r="G82" s="98"/>
      <c r="H82" s="97"/>
      <c r="I82" s="98"/>
      <c r="J82" s="97"/>
      <c r="K82" s="98"/>
      <c r="L82" s="7"/>
      <c r="M82" s="7"/>
      <c r="N82" s="7"/>
      <c r="O82" s="7"/>
      <c r="P82" s="7"/>
      <c r="Q82" s="7"/>
      <c r="R82" s="7"/>
      <c r="S82" s="7"/>
      <c r="T82" s="7"/>
      <c r="U82" s="7"/>
      <c r="V82" s="7"/>
      <c r="W82" s="7"/>
      <c r="X82" s="7"/>
      <c r="Y82" s="7"/>
      <c r="Z82" s="7"/>
      <c r="AA82" s="191"/>
      <c r="AB82" s="225">
        <f t="shared" si="41"/>
        <v>0</v>
      </c>
      <c r="AC82" s="230"/>
      <c r="AD82" s="413"/>
      <c r="AE82" s="124"/>
      <c r="AF82" s="558"/>
      <c r="AG82" s="110">
        <v>57</v>
      </c>
    </row>
    <row r="83" spans="1:33" s="4" customFormat="1" ht="38.25" customHeight="1" x14ac:dyDescent="0.25">
      <c r="A83" s="364" t="s">
        <v>77</v>
      </c>
      <c r="B83" s="205" t="s">
        <v>653</v>
      </c>
      <c r="C83" s="197" t="s">
        <v>280</v>
      </c>
      <c r="D83" s="37"/>
      <c r="E83" s="28"/>
      <c r="F83" s="37"/>
      <c r="G83" s="28"/>
      <c r="H83" s="37"/>
      <c r="I83" s="28"/>
      <c r="J83" s="37"/>
      <c r="K83" s="28"/>
      <c r="L83" s="29"/>
      <c r="M83" s="28"/>
      <c r="N83" s="29"/>
      <c r="O83" s="28"/>
      <c r="P83" s="29"/>
      <c r="Q83" s="28"/>
      <c r="R83" s="29"/>
      <c r="S83" s="28"/>
      <c r="T83" s="29"/>
      <c r="U83" s="28"/>
      <c r="V83" s="29"/>
      <c r="W83" s="28"/>
      <c r="X83" s="29"/>
      <c r="Y83" s="28"/>
      <c r="Z83" s="29"/>
      <c r="AA83" s="28"/>
      <c r="AB83" s="224">
        <f>SUM(J83:AA83)</f>
        <v>0</v>
      </c>
      <c r="AC83" s="230" t="str">
        <f>CONCATENATE(IF(D84&gt;D83," * Initial Test and Turned Positive MSM "&amp;$D$19&amp;" "&amp;$D$20&amp;" is more than Initial Test MSM"&amp;CHAR(10),""),IF(E84&gt;E83," * Initial Test and Turned Positive MSM "&amp;$D$19&amp;" "&amp;$E$20&amp;" is more than Initial Test MSM"&amp;CHAR(10),""),IF(F84&gt;F83," * Initial Test and Turned Positive MSM "&amp;$F$19&amp;" "&amp;$F$20&amp;" is more than Initial Test MSM"&amp;CHAR(10),""),IF(G84&gt;G83," * Initial Test and Turned Positive MSM "&amp;$F$19&amp;" "&amp;$G$20&amp;" is more than Initial Test MSM"&amp;CHAR(10),""),IF(H84&gt;H83," * Initial Test and Turned Positive MSM "&amp;$H$19&amp;" "&amp;$H$20&amp;" is more than Initial Test MSM"&amp;CHAR(10),""),IF(I84&gt;I83," * Initial Test and Turned Positive MSM "&amp;$H$19&amp;" "&amp;$I$20&amp;" is more than Initial Test MSM"&amp;CHAR(10),""),IF(J84&gt;J83," * Initial Test and Turned Positive MSM "&amp;$J$19&amp;" "&amp;$J$20&amp;" is more than Initial Test MSM"&amp;CHAR(10),""),IF(K84&gt;K83," * Initial Test and Turned Positive MSM "&amp;$J$19&amp;" "&amp;$K$20&amp;" is more than Initial Test MSM"&amp;CHAR(10),""),IF(L84&gt;L83," * Initial Test and Turned Positive MSM "&amp;$L$19&amp;" "&amp;$L$20&amp;" is more than Initial Test MSM"&amp;CHAR(10),""),IF(M84&gt;M83," * Initial Test and Turned Positive MSM "&amp;$L$19&amp;" "&amp;$M$20&amp;" is more than Initial Test MSM"&amp;CHAR(10),""),IF(N84&gt;N83," * Initial Test and Turned Positive MSM "&amp;$N$19&amp;" "&amp;$N$20&amp;" is more than Initial Test MSM"&amp;CHAR(10),""),IF(O84&gt;O83," * Initial Test and Turned Positive MSM "&amp;$N$19&amp;" "&amp;$O$20&amp;" is more than Initial Test MSM"&amp;CHAR(10),""),IF(P84&gt;P83," * Initial Test and Turned Positive MSM "&amp;$P$19&amp;" "&amp;$P$20&amp;" is more than Initial Test MSM"&amp;CHAR(10),""),IF(Q84&gt;Q83," * Initial Test and Turned Positive MSM "&amp;$P$19&amp;" "&amp;$Q$20&amp;" is more than Initial Test MSM"&amp;CHAR(10),""),IF(R84&gt;R83," * Initial Test and Turned Positive MSM "&amp;$R$19&amp;" "&amp;$R$20&amp;" is more than Initial Test MSM"&amp;CHAR(10),""),IF(S84&gt;S83," * Initial Test and Turned Positive MSM "&amp;$R$19&amp;" "&amp;$S$20&amp;" is more than Initial Test MSM"&amp;CHAR(10),""),IF(T84&gt;T83," * Initial Test and Turned Positive MSM "&amp;$T$19&amp;" "&amp;$T$20&amp;" is more than Initial Test MSM"&amp;CHAR(10),""),IF(U84&gt;U83," * Initial Test and Turned Positive MSM "&amp;$T$19&amp;" "&amp;$U$20&amp;" is more than Initial Test MSM"&amp;CHAR(10),""),IF(V84&gt;V83," * Initial Test and Turned Positive MSM "&amp;$V$19&amp;" "&amp;$V$20&amp;" is more than Initial Test MSM"&amp;CHAR(10),""),IF(W84&gt;W83," * Initial Test and Turned Positive MSM "&amp;$V$19&amp;" "&amp;$W$20&amp;" is more than Initial Test MSM"&amp;CHAR(10),""),IF(X84&gt;X83," * Initial Test and Turned Positive MSM "&amp;$X$19&amp;" "&amp;$X$20&amp;" is more than Initial Test MSM"&amp;CHAR(10),""),IF(Y84&gt;Y83," * Initial Test and Turned Positive MSM "&amp;$X$19&amp;" "&amp;$Y$20&amp;" is more than Initial Test MSM"&amp;CHAR(10),""),IF(Z84&gt;Z83," * Initial Test and Turned Positive MSM "&amp;$Z$19&amp;" "&amp;$Z$20&amp;" is more than Initial Test MSM"&amp;CHAR(10),""),IF(AA84&gt;AA83," * Initial Test and Turned Positive MSM "&amp;$Z$19&amp;" "&amp;$AA$20&amp;" is more than Initial Test MSM"&amp;CHAR(10),""))</f>
        <v/>
      </c>
      <c r="AD83" s="413"/>
      <c r="AE83" s="124"/>
      <c r="AF83" s="558"/>
      <c r="AG83" s="110">
        <v>58</v>
      </c>
    </row>
    <row r="84" spans="1:33" s="4" customFormat="1" ht="38.25" customHeight="1" thickBot="1" x14ac:dyDescent="0.3">
      <c r="A84" s="365"/>
      <c r="B84" s="206" t="s">
        <v>654</v>
      </c>
      <c r="C84" s="203" t="s">
        <v>281</v>
      </c>
      <c r="D84" s="97"/>
      <c r="E84" s="98"/>
      <c r="F84" s="97"/>
      <c r="G84" s="98"/>
      <c r="H84" s="97"/>
      <c r="I84" s="98"/>
      <c r="J84" s="97"/>
      <c r="K84" s="98"/>
      <c r="L84" s="7"/>
      <c r="M84" s="98"/>
      <c r="N84" s="7"/>
      <c r="O84" s="98"/>
      <c r="P84" s="7"/>
      <c r="Q84" s="98"/>
      <c r="R84" s="7"/>
      <c r="S84" s="98"/>
      <c r="T84" s="7"/>
      <c r="U84" s="98"/>
      <c r="V84" s="7"/>
      <c r="W84" s="98"/>
      <c r="X84" s="7"/>
      <c r="Y84" s="98"/>
      <c r="Z84" s="7"/>
      <c r="AA84" s="98"/>
      <c r="AB84" s="225">
        <f>SUM(J84:AA84)</f>
        <v>0</v>
      </c>
      <c r="AC84" s="230"/>
      <c r="AD84" s="413"/>
      <c r="AE84" s="124"/>
      <c r="AF84" s="558"/>
      <c r="AG84" s="110">
        <v>59</v>
      </c>
    </row>
    <row r="85" spans="1:33" s="4" customFormat="1" ht="38.25" customHeight="1" x14ac:dyDescent="0.25">
      <c r="A85" s="365"/>
      <c r="B85" s="222" t="s">
        <v>652</v>
      </c>
      <c r="C85" s="197" t="s">
        <v>282</v>
      </c>
      <c r="D85" s="37"/>
      <c r="E85" s="28"/>
      <c r="F85" s="37"/>
      <c r="G85" s="28"/>
      <c r="H85" s="37"/>
      <c r="I85" s="28"/>
      <c r="J85" s="37"/>
      <c r="K85" s="28"/>
      <c r="L85" s="29"/>
      <c r="M85" s="28"/>
      <c r="N85" s="29"/>
      <c r="O85" s="28"/>
      <c r="P85" s="29"/>
      <c r="Q85" s="28"/>
      <c r="R85" s="29"/>
      <c r="S85" s="28"/>
      <c r="T85" s="29"/>
      <c r="U85" s="28"/>
      <c r="V85" s="29"/>
      <c r="W85" s="28"/>
      <c r="X85" s="29"/>
      <c r="Y85" s="28"/>
      <c r="Z85" s="29"/>
      <c r="AA85" s="28"/>
      <c r="AB85" s="224">
        <f>SUM(J85:AA85)</f>
        <v>0</v>
      </c>
      <c r="AC85" s="230" t="str">
        <f>CONCATENATE(IF(D86&gt;D85," * Repeat Test and Turned Positive MSM "&amp;$D$19&amp;" "&amp;$D$20&amp;" is more than Repeat Test MSM"&amp;CHAR(10),""),IF(E86&gt;E85," * Repeat Test and Turned Positive MSM "&amp;$D$19&amp;" "&amp;$E$20&amp;" is more than Repeat Test MSM"&amp;CHAR(10),""),IF(F86&gt;F85," * Repeat Test and Turned Positive MSM "&amp;$F$19&amp;" "&amp;$F$20&amp;" is more than Repeat Test MSM"&amp;CHAR(10),""),IF(G86&gt;G85," * Repeat Test and Turned Positive MSM "&amp;$F$19&amp;" "&amp;$G$20&amp;" is more than Repeat Test MSM"&amp;CHAR(10),""),IF(H86&gt;H85," * Repeat Test and Turned Positive MSM "&amp;$H$19&amp;" "&amp;$H$20&amp;" is more than Repeat Test MSM"&amp;CHAR(10),""),IF(I86&gt;I85," * Repeat Test and Turned Positive MSM "&amp;$H$19&amp;" "&amp;$I$20&amp;" is more than Repeat Test MSM"&amp;CHAR(10),""),IF(J86&gt;J85," * Repeat Test and Turned Positive MSM "&amp;$J$19&amp;" "&amp;$J$20&amp;" is more than Repeat Test MSM"&amp;CHAR(10),""),IF(K86&gt;K85," * Repeat Test and Turned Positive MSM "&amp;$J$19&amp;" "&amp;$K$20&amp;" is more than Repeat Test MSM"&amp;CHAR(10),""),IF(L86&gt;L85," * Repeat Test and Turned Positive MSM "&amp;$L$19&amp;" "&amp;$L$20&amp;" is more than Repeat Test MSM"&amp;CHAR(10),""),IF(M86&gt;M85," * Repeat Test and Turned Positive MSM "&amp;$L$19&amp;" "&amp;$M$20&amp;" is more than Repeat Test MSM"&amp;CHAR(10),""),IF(N86&gt;N85," * Repeat Test and Turned Positive MSM "&amp;$N$19&amp;" "&amp;$N$20&amp;" is more than Repeat Test MSM"&amp;CHAR(10),""),IF(O86&gt;O85," * Repeat Test and Turned Positive MSM "&amp;$N$19&amp;" "&amp;$O$20&amp;" is more than Repeat Test MSM"&amp;CHAR(10),""),IF(P86&gt;P85," * Repeat Test and Turned Positive MSM "&amp;$P$19&amp;" "&amp;$P$20&amp;" is more than Repeat Test MSM"&amp;CHAR(10),""),IF(Q86&gt;Q85," * Repeat Test and Turned Positive MSM "&amp;$P$19&amp;" "&amp;$Q$20&amp;" is more than Repeat Test MSM"&amp;CHAR(10),""),IF(R86&gt;R85," * Repeat Test and Turned Positive MSM "&amp;$R$19&amp;" "&amp;$R$20&amp;" is more than Repeat Test MSM"&amp;CHAR(10),""),IF(S86&gt;S85," * Repeat Test and Turned Positive MSM "&amp;$R$19&amp;" "&amp;$S$20&amp;" is more than Repeat Test MSM"&amp;CHAR(10),""),IF(T86&gt;T85," * Repeat Test and Turned Positive MSM "&amp;$T$19&amp;" "&amp;$T$20&amp;" is more than Repeat Test MSM"&amp;CHAR(10),""),IF(U86&gt;U85," * Repeat Test and Turned Positive MSM "&amp;$T$19&amp;" "&amp;$U$20&amp;" is more than Repeat Test MSM"&amp;CHAR(10),""),IF(V86&gt;V85," * Repeat Test and Turned Positive MSM "&amp;$V$19&amp;" "&amp;$V$20&amp;" is more than Repeat Test MSM"&amp;CHAR(10),""),IF(W86&gt;W85," * Repeat Test and Turned Positive MSM "&amp;$V$19&amp;" "&amp;$W$20&amp;" is more than Repeat Test MSM"&amp;CHAR(10),""),IF(X86&gt;X85," * Repeat Test and Turned Positive MSM "&amp;$X$19&amp;" "&amp;$X$20&amp;" is more than Repeat Test MSM"&amp;CHAR(10),""),IF(Y86&gt;Y85," * Repeat Test and Turned Positive MSM "&amp;$X$19&amp;" "&amp;$Y$20&amp;" is more than Repeat Test MSM"&amp;CHAR(10),""),IF(Z86&gt;Z85," * Repeat Test and Turned Positive MSM "&amp;$Z$19&amp;" "&amp;$Z$20&amp;" is more than Repeat Test MSM"&amp;CHAR(10),""),IF(AA86&gt;AA85," * Repeat Test and Turned Positive MSM "&amp;$Z$19&amp;" "&amp;$AA$20&amp;" is more than Repeat Test MSM"&amp;CHAR(10),""))</f>
        <v/>
      </c>
      <c r="AD85" s="413"/>
      <c r="AE85" s="124"/>
      <c r="AF85" s="558"/>
      <c r="AG85" s="110">
        <v>58</v>
      </c>
    </row>
    <row r="86" spans="1:33" s="4" customFormat="1" ht="38.25" customHeight="1" thickBot="1" x14ac:dyDescent="0.3">
      <c r="A86" s="366"/>
      <c r="B86" s="223" t="s">
        <v>655</v>
      </c>
      <c r="C86" s="203" t="s">
        <v>283</v>
      </c>
      <c r="D86" s="97"/>
      <c r="E86" s="98"/>
      <c r="F86" s="97"/>
      <c r="G86" s="98"/>
      <c r="H86" s="97"/>
      <c r="I86" s="98"/>
      <c r="J86" s="97"/>
      <c r="K86" s="98"/>
      <c r="L86" s="7"/>
      <c r="M86" s="98"/>
      <c r="N86" s="7"/>
      <c r="O86" s="98"/>
      <c r="P86" s="7"/>
      <c r="Q86" s="98"/>
      <c r="R86" s="7"/>
      <c r="S86" s="98"/>
      <c r="T86" s="7"/>
      <c r="U86" s="98"/>
      <c r="V86" s="7"/>
      <c r="W86" s="98"/>
      <c r="X86" s="7"/>
      <c r="Y86" s="98"/>
      <c r="Z86" s="7"/>
      <c r="AA86" s="98"/>
      <c r="AB86" s="225">
        <f>SUM(J86:AA86)</f>
        <v>0</v>
      </c>
      <c r="AC86" s="230" t="str">
        <f>CONCATENATE(IF(D33&lt;(D83+D85)," * Initial Tests + Repeat Tests Transgender "&amp;$D$19&amp;" "&amp;$D$20&amp;" Is more than Newly Tested and/or referred for testing"&amp;CHAR(10),""),IF(E33&lt;(E83+E85)," * Initial Tests + Repeat Tests Transgender "&amp;$D$19&amp;" "&amp;$E$20&amp;" Is more than Newly Tested and/or referred for testing"&amp;CHAR(10),""),IF(F33&lt;(F83+F85)," * Initial Tests + Repeat Tests Transgender "&amp;$F$19&amp;" "&amp;$F$20&amp;" Is more than Newly Tested and/or referred for testing"&amp;CHAR(10),""),IF(G33&lt;(G83+G85)," * Initial Tests + Repeat Tests Transgender "&amp;$F$19&amp;" "&amp;$G$20&amp;" Is more than Newly Tested and/or referred for testing"&amp;CHAR(10),""),IF(H33&lt;(H83+H85)," * Initial Tests + Repeat Tests Transgender "&amp;$H$19&amp;" "&amp;$H$20&amp;" Is more than Newly Tested and/or referred for testing"&amp;CHAR(10),""),IF(I33&lt;(I83+I85)," * Initial Tests + Repeat Tests Transgender "&amp;$H$19&amp;" "&amp;$I$20&amp;" Is more than Newly Tested and/or referred for testing"&amp;CHAR(10),""),IF(J33&lt;(J83+J85)," * Initial Tests + Repeat Tests Transgender "&amp;$J$19&amp;" "&amp;$J$20&amp;" Is more than Newly Tested and/or referred for testing"&amp;CHAR(10),""),IF(K33&lt;(K83+K85)," * Initial Tests + Repeat Tests Transgender "&amp;$J$19&amp;" "&amp;$K$20&amp;" Is more than Newly Tested and/or referred for testing"&amp;CHAR(10),""),IF(L33&lt;(L83+L85)," * Initial Tests + Repeat Tests Transgender "&amp;$L$19&amp;" "&amp;$L$20&amp;" Is more than Newly Tested and/or referred for testing"&amp;CHAR(10),""),IF(M33&lt;(M83+M85)," * Initial Tests + Repeat Tests Transgender "&amp;$L$19&amp;" "&amp;$M$20&amp;" Is more than Newly Tested and/or referred for testing"&amp;CHAR(10),""),IF(N33&lt;(N83+N85)," * Initial Tests + Repeat Tests Transgender "&amp;$N$19&amp;" "&amp;$N$20&amp;" Is more than Newly Tested and/or referred for testing"&amp;CHAR(10),""),IF(O33&lt;(O83+O85)," * Initial Tests + Repeat Tests Transgender "&amp;$N$19&amp;" "&amp;$O$20&amp;" Is more than Newly Tested and/or referred for testing"&amp;CHAR(10),""),IF(P33&lt;(P83+P85)," * Initial Tests + Repeat Tests Transgender "&amp;$P$19&amp;" "&amp;$P$20&amp;" Is more than Newly Tested and/or referred for testing"&amp;CHAR(10),""),IF(Q33&lt;(Q83+Q85)," * Initial Tests + Repeat Tests Transgender "&amp;$P$19&amp;" "&amp;$Q$20&amp;" Is more than Newly Tested and/or referred for testing"&amp;CHAR(10),""),IF(R33&lt;(R83+R85)," * Initial Tests + Repeat Tests Transgender "&amp;$R$19&amp;" "&amp;$R$20&amp;" Is more than Newly Tested and/or referred for testing"&amp;CHAR(10),""),IF(S33&lt;(S83+S85)," * Initial Tests + Repeat Tests Transgender "&amp;$R$19&amp;" "&amp;$S$20&amp;" Is more than Newly Tested and/or referred for testing"&amp;CHAR(10),""),IF(T33&lt;(T83+T85)," * Initial Tests + Repeat Tests Transgender "&amp;$T$19&amp;" "&amp;$T$20&amp;" Is more than Newly Tested and/or referred for testing"&amp;CHAR(10),""),IF(U33&lt;(U83+U85)," * Initial Tests + Repeat Tests Transgender "&amp;$T$19&amp;" "&amp;$U$20&amp;" Is more than Newly Tested and/or referred for testing"&amp;CHAR(10),""),IF(V33&lt;(V83+V85)," * Initial Tests + Repeat Tests Transgender "&amp;$V$19&amp;" "&amp;$V$20&amp;" Is more than Newly Tested and/or referred for testing"&amp;CHAR(10),""),IF(W33&lt;(W83+W85)," * Initial Tests + Repeat Tests Transgender "&amp;$V$19&amp;" "&amp;$W$20&amp;" Is more than Newly Tested and/or referred for testing"&amp;CHAR(10),""),IF(X33&lt;(X83+X85)," * Initial Tests + Repeat Tests Transgender "&amp;$X$19&amp;" "&amp;$X$20&amp;" Is more than Newly Tested and/or referred for testing"&amp;CHAR(10),""),IF(Y33&lt;(Y83+Y85)," * Initial Tests + Repeat Tests Transgender "&amp;$X$19&amp;" "&amp;$Y$20&amp;" Is more than Newly Tested and/or referred for testing"&amp;CHAR(10),""),IF(Z33&lt;(Z83+Z85)," * Initial Tests + Repeat Tests Transgender "&amp;$Z$19&amp;" "&amp;$Z$20&amp;" Is more than Newly Tested and/or referred for testing"&amp;CHAR(10),""),IF(AA33&lt;(AA83+AA85)," * Initial Tests + Repeat Tests Transgender "&amp;$Z$19&amp;" "&amp;$AA$20&amp;" Is more than Newly Tested and/or referred for testing"&amp;CHAR(10),""))</f>
        <v/>
      </c>
      <c r="AD86" s="413"/>
      <c r="AE86" s="124"/>
      <c r="AF86" s="558"/>
      <c r="AG86" s="110">
        <v>59</v>
      </c>
    </row>
    <row r="87" spans="1:33" s="4" customFormat="1" ht="38.25" customHeight="1" x14ac:dyDescent="0.25">
      <c r="A87" s="361" t="s">
        <v>104</v>
      </c>
      <c r="B87" s="205" t="s">
        <v>653</v>
      </c>
      <c r="C87" s="197" t="s">
        <v>284</v>
      </c>
      <c r="D87" s="37"/>
      <c r="E87" s="28"/>
      <c r="F87" s="37"/>
      <c r="G87" s="28"/>
      <c r="H87" s="37"/>
      <c r="I87" s="28"/>
      <c r="J87" s="37"/>
      <c r="K87" s="28"/>
      <c r="L87" s="26"/>
      <c r="M87" s="26"/>
      <c r="N87" s="26"/>
      <c r="O87" s="26"/>
      <c r="P87" s="26"/>
      <c r="Q87" s="26"/>
      <c r="R87" s="26"/>
      <c r="S87" s="26"/>
      <c r="T87" s="26"/>
      <c r="U87" s="26"/>
      <c r="V87" s="26"/>
      <c r="W87" s="26"/>
      <c r="X87" s="26"/>
      <c r="Y87" s="26"/>
      <c r="Z87" s="26"/>
      <c r="AA87" s="107"/>
      <c r="AB87" s="226">
        <f>SUM(D87:AA87)</f>
        <v>0</v>
      </c>
      <c r="AC87" s="231" t="str">
        <f>CONCATENATE(IF(D88&gt;D87," * Initial Test and Turned Positive Mobile Service Modality "&amp;$D$19&amp;" "&amp;$D$20&amp;" is more than Initial Test Mobile Service Modality"&amp;CHAR(10),""),IF(E88&gt;E87," * Initial Test and Turned Positive Mobile Service Modality "&amp;$D$19&amp;" "&amp;$E$20&amp;" is more than Initial Test Mobile Service Modality"&amp;CHAR(10),""),IF(F88&gt;F87," * Initial Test and Turned Positive Mobile Service Modality "&amp;$F$19&amp;" "&amp;$F$20&amp;" is more than Initial Test Mobile Service Modality"&amp;CHAR(10),""),IF(G88&gt;G87," * Initial Test and Turned Positive Mobile Service Modality "&amp;$F$19&amp;" "&amp;$G$20&amp;" is more than Initial Test Mobile Service Modality"&amp;CHAR(10),""),IF(H88&gt;H87," * Initial Test and Turned Positive Mobile Service Modality "&amp;$H$19&amp;" "&amp;$H$20&amp;" is more than Initial Test Mobile Service Modality"&amp;CHAR(10),""),IF(I88&gt;I87," * Initial Test and Turned Positive Mobile Service Modality "&amp;$H$19&amp;" "&amp;$I$20&amp;" is more than Initial Test Mobile Service Modality"&amp;CHAR(10),""),IF(J88&gt;J87," * Initial Test and Turned Positive Mobile Service Modality "&amp;$J$19&amp;" "&amp;$J$20&amp;" is more than Initial Test Mobile Service Modality"&amp;CHAR(10),""),IF(K88&gt;K87," * Initial Test and Turned Positive Mobile Service Modality "&amp;$J$19&amp;" "&amp;$K$20&amp;" is more than Initial Test Mobile Service Modality"&amp;CHAR(10),""),IF(L88&gt;L87," * Initial Test and Turned Positive Mobile Service Modality "&amp;$L$19&amp;" "&amp;$L$20&amp;" is more than Initial Test Mobile Service Modality"&amp;CHAR(10),""),IF(M88&gt;M87," * Initial Test and Turned Positive Mobile Service Modality "&amp;$L$19&amp;" "&amp;$M$20&amp;" is more than Initial Test Mobile Service Modality"&amp;CHAR(10),""),IF(N88&gt;N87," * Initial Test and Turned Positive Mobile Service Modality "&amp;$N$19&amp;" "&amp;$N$20&amp;" is more than Initial Test Mobile Service Modality"&amp;CHAR(10),""),IF(O88&gt;O87," * Initial Test and Turned Positive Mobile Service Modality "&amp;$N$19&amp;" "&amp;$O$20&amp;" is more than Initial Test Mobile Service Modality"&amp;CHAR(10),""),IF(P88&gt;P87," * Initial Test and Turned Positive Mobile Service Modality "&amp;$P$19&amp;" "&amp;$P$20&amp;" is more than Initial Test Mobile Service Modality"&amp;CHAR(10),""),IF(Q88&gt;Q87," * Initial Test and Turned Positive Mobile Service Modality "&amp;$P$19&amp;" "&amp;$Q$20&amp;" is more than Initial Test Mobile Service Modality"&amp;CHAR(10),""),IF(R88&gt;R87," * Initial Test and Turned Positive Mobile Service Modality "&amp;$R$19&amp;" "&amp;$R$20&amp;" is more than Initial Test Mobile Service Modality"&amp;CHAR(10),""),IF(S88&gt;S87," * Initial Test and Turned Positive Mobile Service Modality "&amp;$R$19&amp;" "&amp;$S$20&amp;" is more than Initial Test Mobile Service Modality"&amp;CHAR(10),""),IF(T88&gt;T87," * Initial Test and Turned Positive Mobile Service Modality "&amp;$T$19&amp;" "&amp;$T$20&amp;" is more than Initial Test Mobile Service Modality"&amp;CHAR(10),""),IF(U88&gt;U87," * Initial Test and Turned Positive Mobile Service Modality "&amp;$T$19&amp;" "&amp;$U$20&amp;" is more than Initial Test Mobile Service Modality"&amp;CHAR(10),""),IF(V88&gt;V87," * Initial Test and Turned Positive Mobile Service Modality "&amp;$V$19&amp;" "&amp;$V$20&amp;" is more than Initial Test Mobile Service Modality"&amp;CHAR(10),""),IF(W88&gt;W87," * Initial Test and Turned Positive Mobile Service Modality "&amp;$V$19&amp;" "&amp;$W$20&amp;" is more than Initial Test Mobile Service Modality"&amp;CHAR(10),""),IF(X88&gt;X87," * Initial Test and Turned Positive Mobile Service Modality "&amp;$X$19&amp;" "&amp;$X$20&amp;" is more than Initial Test Mobile Service Modality"&amp;CHAR(10),""),IF(Y88&gt;Y87," * Initial Test and Turned Positive Mobile Service Modality "&amp;$X$19&amp;" "&amp;$Y$20&amp;" is more than Initial Test Mobile Service Modality"&amp;CHAR(10),""),IF(Z88&gt;Z87," * Initial Test and Turned Positive Mobile Service Modality "&amp;$Z$19&amp;" "&amp;$Z$20&amp;" is more than Initial Test Mobile Service Modality"&amp;CHAR(10),""),IF(AA88&gt;AA87," * Initial Test and Turned Positive Mobile Service Modality "&amp;$Z$19&amp;" "&amp;$AA$20&amp;" is more than Initial Test Mobile Service Modality"&amp;CHAR(10),""))</f>
        <v/>
      </c>
      <c r="AD87" s="413"/>
      <c r="AE87" s="130"/>
      <c r="AF87" s="558"/>
      <c r="AG87" s="110">
        <v>60</v>
      </c>
    </row>
    <row r="88" spans="1:33" s="4" customFormat="1" ht="38.25" customHeight="1" thickBot="1" x14ac:dyDescent="0.3">
      <c r="A88" s="362"/>
      <c r="B88" s="206" t="s">
        <v>654</v>
      </c>
      <c r="C88" s="203" t="s">
        <v>285</v>
      </c>
      <c r="D88" s="97"/>
      <c r="E88" s="98"/>
      <c r="F88" s="97"/>
      <c r="G88" s="98"/>
      <c r="H88" s="97"/>
      <c r="I88" s="98"/>
      <c r="J88" s="97"/>
      <c r="K88" s="98"/>
      <c r="L88" s="32"/>
      <c r="M88" s="32"/>
      <c r="N88" s="32"/>
      <c r="O88" s="32"/>
      <c r="P88" s="32"/>
      <c r="Q88" s="32"/>
      <c r="R88" s="32"/>
      <c r="S88" s="32"/>
      <c r="T88" s="32"/>
      <c r="U88" s="32"/>
      <c r="V88" s="32"/>
      <c r="W88" s="32"/>
      <c r="X88" s="32"/>
      <c r="Y88" s="32"/>
      <c r="Z88" s="32"/>
      <c r="AA88" s="106"/>
      <c r="AB88" s="225">
        <f t="shared" ref="AB88" si="42">SUM(D88:AA88)</f>
        <v>0</v>
      </c>
      <c r="AC88" s="230"/>
      <c r="AD88" s="413"/>
      <c r="AE88" s="126"/>
      <c r="AF88" s="558"/>
      <c r="AG88" s="110">
        <v>61</v>
      </c>
    </row>
    <row r="89" spans="1:33" s="4" customFormat="1" ht="38.25" customHeight="1" x14ac:dyDescent="0.25">
      <c r="A89" s="362"/>
      <c r="B89" s="222" t="s">
        <v>652</v>
      </c>
      <c r="C89" s="197" t="s">
        <v>286</v>
      </c>
      <c r="D89" s="37"/>
      <c r="E89" s="28"/>
      <c r="F89" s="37"/>
      <c r="G89" s="28"/>
      <c r="H89" s="37"/>
      <c r="I89" s="28"/>
      <c r="J89" s="37"/>
      <c r="K89" s="28"/>
      <c r="L89" s="26"/>
      <c r="M89" s="26"/>
      <c r="N89" s="26"/>
      <c r="O89" s="26"/>
      <c r="P89" s="26"/>
      <c r="Q89" s="26"/>
      <c r="R89" s="26"/>
      <c r="S89" s="26"/>
      <c r="T89" s="26"/>
      <c r="U89" s="26"/>
      <c r="V89" s="26"/>
      <c r="W89" s="26"/>
      <c r="X89" s="26"/>
      <c r="Y89" s="26"/>
      <c r="Z89" s="26"/>
      <c r="AA89" s="107"/>
      <c r="AB89" s="226">
        <f>SUM(D89:AA89)</f>
        <v>0</v>
      </c>
      <c r="AC89" s="231" t="str">
        <f>CONCATENATE(IF(D90&gt;D89," * Repeat Test and Turned Positive Mobile Service Modality "&amp;$D$19&amp;" "&amp;$D$20&amp;" is more than Repeat Test Mobile Service Modality"&amp;CHAR(10),""),IF(E90&gt;E89," * Repeat Test and Turned Positive Mobile Service Modality "&amp;$D$19&amp;" "&amp;$E$20&amp;" is more than Repeat Test Mobile Service Modality"&amp;CHAR(10),""),IF(F90&gt;F89," * Repeat Test and Turned Positive Mobile Service Modality "&amp;$F$19&amp;" "&amp;$F$20&amp;" is more than Repeat Test Mobile Service Modality"&amp;CHAR(10),""),IF(G90&gt;G89," * Repeat Test and Turned Positive Mobile Service Modality "&amp;$F$19&amp;" "&amp;$G$20&amp;" is more than Repeat Test Mobile Service Modality"&amp;CHAR(10),""),IF(H90&gt;H89," * Repeat Test and Turned Positive Mobile Service Modality "&amp;$H$19&amp;" "&amp;$H$20&amp;" is more than Repeat Test Mobile Service Modality"&amp;CHAR(10),""),IF(I90&gt;I89," * Repeat Test and Turned Positive Mobile Service Modality "&amp;$H$19&amp;" "&amp;$I$20&amp;" is more than Repeat Test Mobile Service Modality"&amp;CHAR(10),""),IF(J90&gt;J89," * Repeat Test and Turned Positive Mobile Service Modality "&amp;$J$19&amp;" "&amp;$J$20&amp;" is more than Repeat Test Mobile Service Modality"&amp;CHAR(10),""),IF(K90&gt;K89," * Repeat Test and Turned Positive Mobile Service Modality "&amp;$J$19&amp;" "&amp;$K$20&amp;" is more than Repeat Test Mobile Service Modality"&amp;CHAR(10),""),IF(L90&gt;L89," * Repeat Test and Turned Positive Mobile Service Modality "&amp;$L$19&amp;" "&amp;$L$20&amp;" is more than Repeat Test Mobile Service Modality"&amp;CHAR(10),""),IF(M90&gt;M89," * Repeat Test and Turned Positive Mobile Service Modality "&amp;$L$19&amp;" "&amp;$M$20&amp;" is more than Repeat Test Mobile Service Modality"&amp;CHAR(10),""),IF(N90&gt;N89," * Repeat Test and Turned Positive Mobile Service Modality "&amp;$N$19&amp;" "&amp;$N$20&amp;" is more than Repeat Test Mobile Service Modality"&amp;CHAR(10),""),IF(O90&gt;O89," * Repeat Test and Turned Positive Mobile Service Modality "&amp;$N$19&amp;" "&amp;$O$20&amp;" is more than Repeat Test Mobile Service Modality"&amp;CHAR(10),""),IF(P90&gt;P89," * Repeat Test and Turned Positive Mobile Service Modality "&amp;$P$19&amp;" "&amp;$P$20&amp;" is more than Repeat Test Mobile Service Modality"&amp;CHAR(10),""),IF(Q90&gt;Q89," * Repeat Test and Turned Positive Mobile Service Modality "&amp;$P$19&amp;" "&amp;$Q$20&amp;" is more than Repeat Test Mobile Service Modality"&amp;CHAR(10),""),IF(R90&gt;R89," * Repeat Test and Turned Positive Mobile Service Modality "&amp;$R$19&amp;" "&amp;$R$20&amp;" is more than Repeat Test Mobile Service Modality"&amp;CHAR(10),""),IF(S90&gt;S89," * Repeat Test and Turned Positive Mobile Service Modality "&amp;$R$19&amp;" "&amp;$S$20&amp;" is more than Repeat Test Mobile Service Modality"&amp;CHAR(10),""),IF(T90&gt;T89," * Repeat Test and Turned Positive Mobile Service Modality "&amp;$T$19&amp;" "&amp;$T$20&amp;" is more than Repeat Test Mobile Service Modality"&amp;CHAR(10),""),IF(U90&gt;U89," * Repeat Test and Turned Positive Mobile Service Modality "&amp;$T$19&amp;" "&amp;$U$20&amp;" is more than Repeat Test Mobile Service Modality"&amp;CHAR(10),""),IF(V90&gt;V89," * Repeat Test and Turned Positive Mobile Service Modality "&amp;$V$19&amp;" "&amp;$V$20&amp;" is more than Repeat Test Mobile Service Modality"&amp;CHAR(10),""),IF(W90&gt;W89," * Repeat Test and Turned Positive Mobile Service Modality "&amp;$V$19&amp;" "&amp;$W$20&amp;" is more than Repeat Test Mobile Service Modality"&amp;CHAR(10),""),IF(X90&gt;X89," * Repeat Test and Turned Positive Mobile Service Modality "&amp;$X$19&amp;" "&amp;$X$20&amp;" is more than Repeat Test Mobile Service Modality"&amp;CHAR(10),""),IF(Y90&gt;Y89," * Repeat Test and Turned Positive Mobile Service Modality "&amp;$X$19&amp;" "&amp;$Y$20&amp;" is more than Repeat Test Mobile Service Modality"&amp;CHAR(10),""),IF(Z90&gt;Z89," * Repeat Test and Turned Positive Mobile Service Modality "&amp;$Z$19&amp;" "&amp;$Z$20&amp;" is more than Repeat Test Mobile Service Modality"&amp;CHAR(10),""),IF(AA90&gt;AA89," * Repeat Test and Turned Positive Mobile Service Modality "&amp;$Z$19&amp;" "&amp;$AA$20&amp;" is more than Repeat Test Mobile Service Modality"&amp;CHAR(10),""))</f>
        <v/>
      </c>
      <c r="AD89" s="413"/>
      <c r="AE89" s="130"/>
      <c r="AF89" s="558"/>
      <c r="AG89" s="110">
        <v>60</v>
      </c>
    </row>
    <row r="90" spans="1:33" s="4" customFormat="1" ht="38.25" customHeight="1" thickBot="1" x14ac:dyDescent="0.3">
      <c r="A90" s="363"/>
      <c r="B90" s="223" t="s">
        <v>655</v>
      </c>
      <c r="C90" s="203" t="s">
        <v>287</v>
      </c>
      <c r="D90" s="97"/>
      <c r="E90" s="98"/>
      <c r="F90" s="97"/>
      <c r="G90" s="98"/>
      <c r="H90" s="97"/>
      <c r="I90" s="98"/>
      <c r="J90" s="97"/>
      <c r="K90" s="98"/>
      <c r="L90" s="32"/>
      <c r="M90" s="32"/>
      <c r="N90" s="32"/>
      <c r="O90" s="32"/>
      <c r="P90" s="32"/>
      <c r="Q90" s="32"/>
      <c r="R90" s="32"/>
      <c r="S90" s="32"/>
      <c r="T90" s="32"/>
      <c r="U90" s="32"/>
      <c r="V90" s="32"/>
      <c r="W90" s="32"/>
      <c r="X90" s="32"/>
      <c r="Y90" s="32"/>
      <c r="Z90" s="32"/>
      <c r="AA90" s="106"/>
      <c r="AB90" s="225">
        <f t="shared" ref="AB90:AB96" si="43">SUM(D90:AA90)</f>
        <v>0</v>
      </c>
      <c r="AC90" s="230"/>
      <c r="AD90" s="413"/>
      <c r="AE90" s="126"/>
      <c r="AF90" s="558"/>
      <c r="AG90" s="110">
        <v>61</v>
      </c>
    </row>
    <row r="91" spans="1:33" s="4" customFormat="1" ht="38.25" customHeight="1" x14ac:dyDescent="0.25">
      <c r="A91" s="361" t="s">
        <v>105</v>
      </c>
      <c r="B91" s="205" t="s">
        <v>653</v>
      </c>
      <c r="C91" s="197" t="s">
        <v>288</v>
      </c>
      <c r="D91" s="37"/>
      <c r="E91" s="28"/>
      <c r="F91" s="37"/>
      <c r="G91" s="28"/>
      <c r="H91" s="37"/>
      <c r="I91" s="28"/>
      <c r="J91" s="37"/>
      <c r="K91" s="28"/>
      <c r="L91" s="9"/>
      <c r="M91" s="9"/>
      <c r="N91" s="9"/>
      <c r="O91" s="9"/>
      <c r="P91" s="9"/>
      <c r="Q91" s="9"/>
      <c r="R91" s="9"/>
      <c r="S91" s="9"/>
      <c r="T91" s="9"/>
      <c r="U91" s="9"/>
      <c r="V91" s="9"/>
      <c r="W91" s="9"/>
      <c r="X91" s="9"/>
      <c r="Y91" s="9"/>
      <c r="Z91" s="9"/>
      <c r="AA91" s="192"/>
      <c r="AB91" s="224">
        <f t="shared" si="43"/>
        <v>0</v>
      </c>
      <c r="AC91" s="230" t="str">
        <f>CONCATENATE(IF(D92&gt;D91," * Initial Test and Turned Positive VCT Service Modality "&amp;$D$19&amp;" "&amp;$D$20&amp;" is more than Initial Test VCT Service Modality"&amp;CHAR(10),""),IF(E92&gt;E91," * Initial Test and Turned Positive VCT Service Modality "&amp;$D$19&amp;" "&amp;$E$20&amp;" is more than Initial Test VCT Service Modality"&amp;CHAR(10),""),IF(F92&gt;F91," * Initial Test and Turned Positive VCT Service Modality "&amp;$F$19&amp;" "&amp;$F$20&amp;" is more than Initial Test VCT Service Modality"&amp;CHAR(10),""),IF(G92&gt;G91," * Initial Test and Turned Positive VCT Service Modality "&amp;$F$19&amp;" "&amp;$G$20&amp;" is more than Initial Test VCT Service Modality"&amp;CHAR(10),""),IF(H92&gt;H91," * Initial Test and Turned Positive VCT Service Modality "&amp;$H$19&amp;" "&amp;$H$20&amp;" is more than Initial Test VCT Service Modality"&amp;CHAR(10),""),IF(I92&gt;I91," * Initial Test and Turned Positive VCT Service Modality "&amp;$H$19&amp;" "&amp;$I$20&amp;" is more than Initial Test VCT Service Modality"&amp;CHAR(10),""),IF(J92&gt;J91," * Initial Test and Turned Positive VCT Service Modality "&amp;$J$19&amp;" "&amp;$J$20&amp;" is more than Initial Test VCT Service Modality"&amp;CHAR(10),""),IF(K92&gt;K91," * Initial Test and Turned Positive VCT Service Modality "&amp;$J$19&amp;" "&amp;$K$20&amp;" is more than Initial Test VCT Service Modality"&amp;CHAR(10),""),IF(L92&gt;L91," * Initial Test and Turned Positive VCT Service Modality "&amp;$L$19&amp;" "&amp;$L$20&amp;" is more than Initial Test VCT Service Modality"&amp;CHAR(10),""),IF(M92&gt;M91," * Initial Test and Turned Positive VCT Service Modality "&amp;$L$19&amp;" "&amp;$M$20&amp;" is more than Initial Test VCT Service Modality"&amp;CHAR(10),""),IF(N92&gt;N91," * Initial Test and Turned Positive VCT Service Modality "&amp;$N$19&amp;" "&amp;$N$20&amp;" is more than Initial Test VCT Service Modality"&amp;CHAR(10),""),IF(O92&gt;O91," * Initial Test and Turned Positive VCT Service Modality "&amp;$N$19&amp;" "&amp;$O$20&amp;" is more than Initial Test VCT Service Modality"&amp;CHAR(10),""),IF(P92&gt;P91," * Initial Test and Turned Positive VCT Service Modality "&amp;$P$19&amp;" "&amp;$P$20&amp;" is more than Initial Test VCT Service Modality"&amp;CHAR(10),""),IF(Q92&gt;Q91," * Initial Test and Turned Positive VCT Service Modality "&amp;$P$19&amp;" "&amp;$Q$20&amp;" is more than Initial Test VCT Service Modality"&amp;CHAR(10),""),IF(R92&gt;R91," * Initial Test and Turned Positive VCT Service Modality "&amp;$R$19&amp;" "&amp;$R$20&amp;" is more than Initial Test VCT Service Modality"&amp;CHAR(10),""),IF(S92&gt;S91," * Initial Test and Turned Positive VCT Service Modality "&amp;$R$19&amp;" "&amp;$S$20&amp;" is more than Initial Test VCT Service Modality"&amp;CHAR(10),""),IF(T92&gt;T91," * Initial Test and Turned Positive VCT Service Modality "&amp;$T$19&amp;" "&amp;$T$20&amp;" is more than Initial Test VCT Service Modality"&amp;CHAR(10),""),IF(U92&gt;U91," * Initial Test and Turned Positive VCT Service Modality "&amp;$T$19&amp;" "&amp;$U$20&amp;" is more than Initial Test VCT Service Modality"&amp;CHAR(10),""),IF(V92&gt;V91," * Initial Test and Turned Positive VCT Service Modality "&amp;$V$19&amp;" "&amp;$V$20&amp;" is more than Initial Test VCT Service Modality"&amp;CHAR(10),""),IF(W92&gt;W91," * Initial Test and Turned Positive VCT Service Modality "&amp;$V$19&amp;" "&amp;$W$20&amp;" is more than Initial Test VCT Service Modality"&amp;CHAR(10),""),IF(X92&gt;X91," * Initial Test and Turned Positive VCT Service Modality "&amp;$X$19&amp;" "&amp;$X$20&amp;" is more than Initial Test VCT Service Modality"&amp;CHAR(10),""),IF(Y92&gt;Y91," * Initial Test and Turned Positive VCT Service Modality "&amp;$X$19&amp;" "&amp;$Y$20&amp;" is more than Initial Test VCT Service Modality"&amp;CHAR(10),""),IF(Z92&gt;Z91," * Initial Test and Turned Positive VCT Service Modality "&amp;$Z$19&amp;" "&amp;$Z$20&amp;" is more than Initial Test VCT Service Modality"&amp;CHAR(10),""),IF(AA92&gt;AA91," * Initial Test and Turned Positive VCT Service Modality "&amp;$Z$19&amp;" "&amp;$AA$20&amp;" is more than Initial Test VCT Service Modality"&amp;CHAR(10),""))</f>
        <v/>
      </c>
      <c r="AD91" s="413"/>
      <c r="AE91" s="124"/>
      <c r="AF91" s="558"/>
      <c r="AG91" s="110">
        <v>62</v>
      </c>
    </row>
    <row r="92" spans="1:33" s="4" customFormat="1" ht="38.25" customHeight="1" thickBot="1" x14ac:dyDescent="0.3">
      <c r="A92" s="362"/>
      <c r="B92" s="206" t="s">
        <v>654</v>
      </c>
      <c r="C92" s="203" t="s">
        <v>289</v>
      </c>
      <c r="D92" s="97"/>
      <c r="E92" s="98"/>
      <c r="F92" s="97"/>
      <c r="G92" s="98"/>
      <c r="H92" s="97"/>
      <c r="I92" s="98"/>
      <c r="J92" s="97"/>
      <c r="K92" s="98"/>
      <c r="L92" s="10"/>
      <c r="M92" s="10"/>
      <c r="N92" s="10"/>
      <c r="O92" s="10"/>
      <c r="P92" s="10"/>
      <c r="Q92" s="10"/>
      <c r="R92" s="10"/>
      <c r="S92" s="10"/>
      <c r="T92" s="10"/>
      <c r="U92" s="10"/>
      <c r="V92" s="10"/>
      <c r="W92" s="10"/>
      <c r="X92" s="10"/>
      <c r="Y92" s="10"/>
      <c r="Z92" s="10"/>
      <c r="AA92" s="193"/>
      <c r="AB92" s="225">
        <f t="shared" si="43"/>
        <v>0</v>
      </c>
      <c r="AC92" s="230"/>
      <c r="AD92" s="413"/>
      <c r="AE92" s="124"/>
      <c r="AF92" s="558"/>
      <c r="AG92" s="110">
        <v>63</v>
      </c>
    </row>
    <row r="93" spans="1:33" s="4" customFormat="1" ht="38.25" customHeight="1" x14ac:dyDescent="0.25">
      <c r="A93" s="362"/>
      <c r="B93" s="222" t="s">
        <v>652</v>
      </c>
      <c r="C93" s="197" t="s">
        <v>290</v>
      </c>
      <c r="D93" s="37"/>
      <c r="E93" s="28"/>
      <c r="F93" s="37"/>
      <c r="G93" s="28"/>
      <c r="H93" s="37"/>
      <c r="I93" s="28"/>
      <c r="J93" s="37"/>
      <c r="K93" s="28"/>
      <c r="L93" s="9"/>
      <c r="M93" s="9"/>
      <c r="N93" s="9"/>
      <c r="O93" s="9"/>
      <c r="P93" s="9"/>
      <c r="Q93" s="9"/>
      <c r="R93" s="9"/>
      <c r="S93" s="9"/>
      <c r="T93" s="9"/>
      <c r="U93" s="9"/>
      <c r="V93" s="9"/>
      <c r="W93" s="9"/>
      <c r="X93" s="9"/>
      <c r="Y93" s="9"/>
      <c r="Z93" s="9"/>
      <c r="AA93" s="192"/>
      <c r="AB93" s="224">
        <f t="shared" ref="AB93:AB94" si="44">SUM(D93:AA93)</f>
        <v>0</v>
      </c>
      <c r="AC93" s="230" t="str">
        <f>CONCATENATE(IF(D94&gt;D93," * Repeat Test and Turned Positive VCT Service Modality "&amp;$D$19&amp;" "&amp;$D$20&amp;" is more than Repeat Test VCT Service Modality"&amp;CHAR(10),""),IF(E94&gt;E93," * Repeat Test and Turned Positive VCT Service Modality "&amp;$D$19&amp;" "&amp;$E$20&amp;" is more than Repeat Test VCT Service Modality"&amp;CHAR(10),""),IF(F94&gt;F93," * Repeat Test and Turned Positive VCT Service Modality "&amp;$F$19&amp;" "&amp;$F$20&amp;" is more than Repeat Test VCT Service Modality"&amp;CHAR(10),""),IF(G94&gt;G93," * Repeat Test and Turned Positive VCT Service Modality "&amp;$F$19&amp;" "&amp;$G$20&amp;" is more than Repeat Test VCT Service Modality"&amp;CHAR(10),""),IF(H94&gt;H93," * Repeat Test and Turned Positive VCT Service Modality "&amp;$H$19&amp;" "&amp;$H$20&amp;" is more than Repeat Test VCT Service Modality"&amp;CHAR(10),""),IF(I94&gt;I93," * Repeat Test and Turned Positive VCT Service Modality "&amp;$H$19&amp;" "&amp;$I$20&amp;" is more than Repeat Test VCT Service Modality"&amp;CHAR(10),""),IF(J94&gt;J93," * Repeat Test and Turned Positive VCT Service Modality "&amp;$J$19&amp;" "&amp;$J$20&amp;" is more than Repeat Test VCT Service Modality"&amp;CHAR(10),""),IF(K94&gt;K93," * Repeat Test and Turned Positive VCT Service Modality "&amp;$J$19&amp;" "&amp;$K$20&amp;" is more than Repeat Test VCT Service Modality"&amp;CHAR(10),""),IF(L94&gt;L93," * Repeat Test and Turned Positive VCT Service Modality "&amp;$L$19&amp;" "&amp;$L$20&amp;" is more than Repeat Test VCT Service Modality"&amp;CHAR(10),""),IF(M94&gt;M93," * Repeat Test and Turned Positive VCT Service Modality "&amp;$L$19&amp;" "&amp;$M$20&amp;" is more than Repeat Test VCT Service Modality"&amp;CHAR(10),""),IF(N94&gt;N93," * Repeat Test and Turned Positive VCT Service Modality "&amp;$N$19&amp;" "&amp;$N$20&amp;" is more than Repeat Test VCT Service Modality"&amp;CHAR(10),""),IF(O94&gt;O93," * Repeat Test and Turned Positive VCT Service Modality "&amp;$N$19&amp;" "&amp;$O$20&amp;" is more than Repeat Test VCT Service Modality"&amp;CHAR(10),""),IF(P94&gt;P93," * Repeat Test and Turned Positive VCT Service Modality "&amp;$P$19&amp;" "&amp;$P$20&amp;" is more than Repeat Test VCT Service Modality"&amp;CHAR(10),""),IF(Q94&gt;Q93," * Repeat Test and Turned Positive VCT Service Modality "&amp;$P$19&amp;" "&amp;$Q$20&amp;" is more than Repeat Test VCT Service Modality"&amp;CHAR(10),""),IF(R94&gt;R93," * Repeat Test and Turned Positive VCT Service Modality "&amp;$R$19&amp;" "&amp;$R$20&amp;" is more than Repeat Test VCT Service Modality"&amp;CHAR(10),""),IF(S94&gt;S93," * Repeat Test and Turned Positive VCT Service Modality "&amp;$R$19&amp;" "&amp;$S$20&amp;" is more than Repeat Test VCT Service Modality"&amp;CHAR(10),""),IF(T94&gt;T93," * Repeat Test and Turned Positive VCT Service Modality "&amp;$T$19&amp;" "&amp;$T$20&amp;" is more than Repeat Test VCT Service Modality"&amp;CHAR(10),""),IF(U94&gt;U93," * Repeat Test and Turned Positive VCT Service Modality "&amp;$T$19&amp;" "&amp;$U$20&amp;" is more than Repeat Test VCT Service Modality"&amp;CHAR(10),""),IF(V94&gt;V93," * Repeat Test and Turned Positive VCT Service Modality "&amp;$V$19&amp;" "&amp;$V$20&amp;" is more than Repeat Test VCT Service Modality"&amp;CHAR(10),""),IF(W94&gt;W93," * Repeat Test and Turned Positive VCT Service Modality "&amp;$V$19&amp;" "&amp;$W$20&amp;" is more than Repeat Test VCT Service Modality"&amp;CHAR(10),""),IF(X94&gt;X93," * Repeat Test and Turned Positive VCT Service Modality "&amp;$X$19&amp;" "&amp;$X$20&amp;" is more than Repeat Test VCT Service Modality"&amp;CHAR(10),""),IF(Y94&gt;Y93," * Repeat Test and Turned Positive VCT Service Modality "&amp;$X$19&amp;" "&amp;$Y$20&amp;" is more than Repeat Test VCT Service Modality"&amp;CHAR(10),""),IF(Z94&gt;Z93," * Repeat Test and Turned Positive VCT Service Modality "&amp;$Z$19&amp;" "&amp;$Z$20&amp;" is more than Repeat Test VCT Service Modality"&amp;CHAR(10),""),IF(AA94&gt;AA93," * Repeat Test and Turned Positive VCT Service Modality "&amp;$Z$19&amp;" "&amp;$AA$20&amp;" is more than Repeat Test VCT Service Modality"&amp;CHAR(10),""))</f>
        <v/>
      </c>
      <c r="AD93" s="413"/>
      <c r="AE93" s="124"/>
      <c r="AF93" s="558"/>
      <c r="AG93" s="110">
        <v>62</v>
      </c>
    </row>
    <row r="94" spans="1:33" s="4" customFormat="1" ht="38.25" customHeight="1" thickBot="1" x14ac:dyDescent="0.3">
      <c r="A94" s="363"/>
      <c r="B94" s="223" t="s">
        <v>655</v>
      </c>
      <c r="C94" s="203" t="s">
        <v>291</v>
      </c>
      <c r="D94" s="97"/>
      <c r="E94" s="98"/>
      <c r="F94" s="97"/>
      <c r="G94" s="98"/>
      <c r="H94" s="97"/>
      <c r="I94" s="98"/>
      <c r="J94" s="97"/>
      <c r="K94" s="98"/>
      <c r="L94" s="10"/>
      <c r="M94" s="10"/>
      <c r="N94" s="10"/>
      <c r="O94" s="10"/>
      <c r="P94" s="10"/>
      <c r="Q94" s="10"/>
      <c r="R94" s="10"/>
      <c r="S94" s="10"/>
      <c r="T94" s="10"/>
      <c r="U94" s="10"/>
      <c r="V94" s="10"/>
      <c r="W94" s="10"/>
      <c r="X94" s="10"/>
      <c r="Y94" s="10"/>
      <c r="Z94" s="10"/>
      <c r="AA94" s="193"/>
      <c r="AB94" s="225">
        <f t="shared" si="44"/>
        <v>0</v>
      </c>
      <c r="AC94" s="230"/>
      <c r="AD94" s="413"/>
      <c r="AE94" s="124"/>
      <c r="AF94" s="558"/>
      <c r="AG94" s="110">
        <v>63</v>
      </c>
    </row>
    <row r="95" spans="1:33" s="131" customFormat="1" ht="38.25" customHeight="1" x14ac:dyDescent="0.25">
      <c r="A95" s="361" t="s">
        <v>106</v>
      </c>
      <c r="B95" s="205" t="s">
        <v>653</v>
      </c>
      <c r="C95" s="197" t="s">
        <v>292</v>
      </c>
      <c r="D95" s="37"/>
      <c r="E95" s="28"/>
      <c r="F95" s="37"/>
      <c r="G95" s="28"/>
      <c r="H95" s="37"/>
      <c r="I95" s="28"/>
      <c r="J95" s="37"/>
      <c r="K95" s="28"/>
      <c r="L95" s="8"/>
      <c r="M95" s="8"/>
      <c r="N95" s="8"/>
      <c r="O95" s="8"/>
      <c r="P95" s="8"/>
      <c r="Q95" s="8"/>
      <c r="R95" s="8"/>
      <c r="S95" s="8"/>
      <c r="T95" s="8"/>
      <c r="U95" s="8"/>
      <c r="V95" s="8"/>
      <c r="W95" s="8"/>
      <c r="X95" s="8"/>
      <c r="Y95" s="8"/>
      <c r="Z95" s="8"/>
      <c r="AA95" s="194"/>
      <c r="AB95" s="224">
        <f t="shared" si="43"/>
        <v>0</v>
      </c>
      <c r="AC95" s="230" t="str">
        <f>CONCATENATE(IF(D96&gt;D95," *Initial Test and Turned Positive  Other Service Modality "&amp;$D$19&amp;" "&amp;$D$20&amp;" is more than Initial Test Other Service Modality"&amp;CHAR(10),""),IF(E96&gt;E95," *Initial Test and Turned Positive  Other Service Modality "&amp;$D$19&amp;" "&amp;$E$20&amp;" is more than Initial Test Other Service Modality"&amp;CHAR(10),""),IF(F96&gt;F95," *Initial Test and Turned Positive  Other Service Modality "&amp;$F$19&amp;" "&amp;$F$20&amp;" is more than Initial Test Other Service Modality"&amp;CHAR(10),""),IF(G96&gt;G95," *Initial Test and Turned Positive  Other Service Modality "&amp;$F$19&amp;" "&amp;$G$20&amp;" is more than Initial Test Other Service Modality"&amp;CHAR(10),""),IF(H96&gt;H95," *Initial Test and Turned Positive  Other Service Modality "&amp;$H$19&amp;" "&amp;$H$20&amp;" is more than Initial Test Other Service Modality"&amp;CHAR(10),""),IF(I96&gt;I95," *Initial Test and Turned Positive  Other Service Modality "&amp;$H$19&amp;" "&amp;$I$20&amp;" is more than Initial Test Other Service Modality"&amp;CHAR(10),""),IF(J96&gt;J95," *Initial Test and Turned Positive  Other Service Modality "&amp;$J$19&amp;" "&amp;$J$20&amp;" is more than Initial Test Other Service Modality"&amp;CHAR(10),""),IF(K96&gt;K95," *Initial Test and Turned Positive  Other Service Modality "&amp;$J$19&amp;" "&amp;$K$20&amp;" is more than Initial Test Other Service Modality"&amp;CHAR(10),""),IF(L96&gt;L95," *Initial Test and Turned Positive  Other Service Modality "&amp;$L$19&amp;" "&amp;$L$20&amp;" is more than Initial Test Other Service Modality"&amp;CHAR(10),""),IF(M96&gt;M95," *Initial Test and Turned Positive  Other Service Modality "&amp;$L$19&amp;" "&amp;$M$20&amp;" is more than Initial Test Other Service Modality"&amp;CHAR(10),""),IF(N96&gt;N95," *Initial Test and Turned Positive  Other Service Modality "&amp;$N$19&amp;" "&amp;$N$20&amp;" is more than Initial Test Other Service Modality"&amp;CHAR(10),""),IF(O96&gt;O95," *Initial Test and Turned Positive  Other Service Modality "&amp;$N$19&amp;" "&amp;$O$20&amp;" is more than Initial Test Other Service Modality"&amp;CHAR(10),""),IF(P96&gt;P95," *Initial Test and Turned Positive  Other Service Modality "&amp;$P$19&amp;" "&amp;$P$20&amp;" is more than Initial Test Other Service Modality"&amp;CHAR(10),""),IF(Q96&gt;Q95," *Initial Test and Turned Positive  Other Service Modality "&amp;$P$19&amp;" "&amp;$Q$20&amp;" is more than Initial Test Other Service Modality"&amp;CHAR(10),""),IF(R96&gt;R95," *Initial Test and Turned Positive  Other Service Modality "&amp;$R$19&amp;" "&amp;$R$20&amp;" is more than Initial Test Other Service Modality"&amp;CHAR(10),""),IF(S96&gt;S95," *Initial Test and Turned Positive  Other Service Modality "&amp;$R$19&amp;" "&amp;$S$20&amp;" is more than Initial Test Other Service Modality"&amp;CHAR(10),""),IF(T96&gt;T95," *Initial Test and Turned Positive  Other Service Modality "&amp;$T$19&amp;" "&amp;$T$20&amp;" is more than Initial Test Other Service Modality"&amp;CHAR(10),""),IF(U96&gt;U95," *Initial Test and Turned Positive  Other Service Modality "&amp;$T$19&amp;" "&amp;$U$20&amp;" is more than Initial Test Other Service Modality"&amp;CHAR(10),""),IF(V96&gt;V95," *Initial Test and Turned Positive  Other Service Modality "&amp;$V$19&amp;" "&amp;$V$20&amp;" is more than Initial Test Other Service Modality"&amp;CHAR(10),""),IF(W96&gt;W95," *Initial Test and Turned Positive  Other Service Modality "&amp;$V$19&amp;" "&amp;$W$20&amp;" is more than Initial Test Other Service Modality"&amp;CHAR(10),""),IF(X96&gt;X95," *Initial Test and Turned Positive  Other Service Modality "&amp;$X$19&amp;" "&amp;$X$20&amp;" is more than Initial Test Other Service Modality"&amp;CHAR(10),""),IF(Y96&gt;Y95," *Initial Test and Turned Positive  Other Service Modality "&amp;$X$19&amp;" "&amp;$Y$20&amp;" is more than Initial Test Other Service Modality"&amp;CHAR(10),""),IF(Z96&gt;Z95," *Initial Test and Turned Positive  Other Service Modality "&amp;$Z$19&amp;" "&amp;$Z$20&amp;" is more than Initial Test Other Service Modality"&amp;CHAR(10),""),IF(AA96&gt;AA95," *Initial Test and Turned Positive  Other Service Modality "&amp;$Z$19&amp;" "&amp;$AA$20&amp;" is more than Initial Test Other Service Modality"&amp;CHAR(10),""))</f>
        <v/>
      </c>
      <c r="AD95" s="413"/>
      <c r="AE95" s="124"/>
      <c r="AF95" s="558"/>
      <c r="AG95" s="110">
        <v>64</v>
      </c>
    </row>
    <row r="96" spans="1:33" s="131" customFormat="1" ht="38.25" customHeight="1" thickBot="1" x14ac:dyDescent="0.3">
      <c r="A96" s="362"/>
      <c r="B96" s="206" t="s">
        <v>654</v>
      </c>
      <c r="C96" s="203" t="s">
        <v>293</v>
      </c>
      <c r="D96" s="97"/>
      <c r="E96" s="98"/>
      <c r="F96" s="97"/>
      <c r="G96" s="98"/>
      <c r="H96" s="97"/>
      <c r="I96" s="98"/>
      <c r="J96" s="97"/>
      <c r="K96" s="98"/>
      <c r="L96" s="11"/>
      <c r="M96" s="11"/>
      <c r="N96" s="11"/>
      <c r="O96" s="11"/>
      <c r="P96" s="11"/>
      <c r="Q96" s="11"/>
      <c r="R96" s="11"/>
      <c r="S96" s="11"/>
      <c r="T96" s="11"/>
      <c r="U96" s="11"/>
      <c r="V96" s="11"/>
      <c r="W96" s="11"/>
      <c r="X96" s="11"/>
      <c r="Y96" s="11"/>
      <c r="Z96" s="11"/>
      <c r="AA96" s="195"/>
      <c r="AB96" s="225">
        <f t="shared" si="43"/>
        <v>0</v>
      </c>
      <c r="AC96" s="230"/>
      <c r="AD96" s="413"/>
      <c r="AE96" s="124"/>
      <c r="AF96" s="558"/>
      <c r="AG96" s="110">
        <v>65</v>
      </c>
    </row>
    <row r="97" spans="1:33" s="131" customFormat="1" ht="38.25" customHeight="1" x14ac:dyDescent="0.25">
      <c r="A97" s="362"/>
      <c r="B97" s="222" t="s">
        <v>652</v>
      </c>
      <c r="C97" s="197" t="s">
        <v>294</v>
      </c>
      <c r="D97" s="37"/>
      <c r="E97" s="28"/>
      <c r="F97" s="37"/>
      <c r="G97" s="28"/>
      <c r="H97" s="37"/>
      <c r="I97" s="28"/>
      <c r="J97" s="37"/>
      <c r="K97" s="28"/>
      <c r="L97" s="8"/>
      <c r="M97" s="8"/>
      <c r="N97" s="8"/>
      <c r="O97" s="8"/>
      <c r="P97" s="8"/>
      <c r="Q97" s="8"/>
      <c r="R97" s="8"/>
      <c r="S97" s="8"/>
      <c r="T97" s="8"/>
      <c r="U97" s="8"/>
      <c r="V97" s="8"/>
      <c r="W97" s="8"/>
      <c r="X97" s="8"/>
      <c r="Y97" s="8"/>
      <c r="Z97" s="8"/>
      <c r="AA97" s="194"/>
      <c r="AB97" s="224">
        <f t="shared" ref="AB97:AB98" si="45">SUM(D97:AA97)</f>
        <v>0</v>
      </c>
      <c r="AC97" s="230" t="str">
        <f>CONCATENATE(IF(D98&gt;D97," *Repeat Test and Turned Positive  Other Service Modality "&amp;$D$19&amp;" "&amp;$D$20&amp;" is more than Repeat Test Other Service Modality"&amp;CHAR(10),""),IF(E98&gt;E97," *Repeat Test and Turned Positive  Other Service Modality "&amp;$D$19&amp;" "&amp;$E$20&amp;" is more than Repeat Test Other Service Modality"&amp;CHAR(10),""),IF(F98&gt;F97," *Repeat Test and Turned Positive  Other Service Modality "&amp;$F$19&amp;" "&amp;$F$20&amp;" is more than Repeat Test Other Service Modality"&amp;CHAR(10),""),IF(G98&gt;G97," *Repeat Test and Turned Positive  Other Service Modality "&amp;$F$19&amp;" "&amp;$G$20&amp;" is more than Repeat Test Other Service Modality"&amp;CHAR(10),""),IF(H98&gt;H97," *Repeat Test and Turned Positive  Other Service Modality "&amp;$H$19&amp;" "&amp;$H$20&amp;" is more than Repeat Test Other Service Modality"&amp;CHAR(10),""),IF(I98&gt;I97," *Repeat Test and Turned Positive  Other Service Modality "&amp;$H$19&amp;" "&amp;$I$20&amp;" is more than Repeat Test Other Service Modality"&amp;CHAR(10),""),IF(J98&gt;J97," *Repeat Test and Turned Positive  Other Service Modality "&amp;$J$19&amp;" "&amp;$J$20&amp;" is more than Repeat Test Other Service Modality"&amp;CHAR(10),""),IF(K98&gt;K97," *Repeat Test and Turned Positive  Other Service Modality "&amp;$J$19&amp;" "&amp;$K$20&amp;" is more than Repeat Test Other Service Modality"&amp;CHAR(10),""),IF(L98&gt;L97," *Repeat Test and Turned Positive  Other Service Modality "&amp;$L$19&amp;" "&amp;$L$20&amp;" is more than Repeat Test Other Service Modality"&amp;CHAR(10),""),IF(M98&gt;M97," *Repeat Test and Turned Positive  Other Service Modality "&amp;$L$19&amp;" "&amp;$M$20&amp;" is more than Repeat Test Other Service Modality"&amp;CHAR(10),""),IF(N98&gt;N97," *Repeat Test and Turned Positive  Other Service Modality "&amp;$N$19&amp;" "&amp;$N$20&amp;" is more than Repeat Test Other Service Modality"&amp;CHAR(10),""),IF(O98&gt;O97," *Repeat Test and Turned Positive  Other Service Modality "&amp;$N$19&amp;" "&amp;$O$20&amp;" is more than Repeat Test Other Service Modality"&amp;CHAR(10),""),IF(P98&gt;P97," *Repeat Test and Turned Positive  Other Service Modality "&amp;$P$19&amp;" "&amp;$P$20&amp;" is more than Repeat Test Other Service Modality"&amp;CHAR(10),""),IF(Q98&gt;Q97," *Repeat Test and Turned Positive  Other Service Modality "&amp;$P$19&amp;" "&amp;$Q$20&amp;" is more than Repeat Test Other Service Modality"&amp;CHAR(10),""),IF(R98&gt;R97," *Repeat Test and Turned Positive  Other Service Modality "&amp;$R$19&amp;" "&amp;$R$20&amp;" is more than Repeat Test Other Service Modality"&amp;CHAR(10),""),IF(S98&gt;S97," *Repeat Test and Turned Positive  Other Service Modality "&amp;$R$19&amp;" "&amp;$S$20&amp;" is more than Repeat Test Other Service Modality"&amp;CHAR(10),""),IF(T98&gt;T97," *Repeat Test and Turned Positive  Other Service Modality "&amp;$T$19&amp;" "&amp;$T$20&amp;" is more than Repeat Test Other Service Modality"&amp;CHAR(10),""),IF(U98&gt;U97," *Repeat Test and Turned Positive  Other Service Modality "&amp;$T$19&amp;" "&amp;$U$20&amp;" is more than Repeat Test Other Service Modality"&amp;CHAR(10),""),IF(V98&gt;V97," *Repeat Test and Turned Positive  Other Service Modality "&amp;$V$19&amp;" "&amp;$V$20&amp;" is more than Repeat Test Other Service Modality"&amp;CHAR(10),""),IF(W98&gt;W97," *Repeat Test and Turned Positive  Other Service Modality "&amp;$V$19&amp;" "&amp;$W$20&amp;" is more than Repeat Test Other Service Modality"&amp;CHAR(10),""),IF(X98&gt;X97," *Repeat Test and Turned Positive  Other Service Modality "&amp;$X$19&amp;" "&amp;$X$20&amp;" is more than Repeat Test Other Service Modality"&amp;CHAR(10),""),IF(Y98&gt;Y97," *Repeat Test and Turned Positive  Other Service Modality "&amp;$X$19&amp;" "&amp;$Y$20&amp;" is more than Repeat Test Other Service Modality"&amp;CHAR(10),""),IF(Z98&gt;Z97," *Repeat Test and Turned Positive  Other Service Modality "&amp;$Z$19&amp;" "&amp;$Z$20&amp;" is more than Repeat Test Other Service Modality"&amp;CHAR(10),""),IF(AA98&gt;AA97," *Repeat Test and Turned Positive  Other Service Modality "&amp;$Z$19&amp;" "&amp;$AA$20&amp;" is more than Repeat Test Other Service Modality"&amp;CHAR(10),""))</f>
        <v/>
      </c>
      <c r="AD97" s="413"/>
      <c r="AE97" s="124"/>
      <c r="AF97" s="558"/>
      <c r="AG97" s="110">
        <v>64</v>
      </c>
    </row>
    <row r="98" spans="1:33" s="131" customFormat="1" ht="38.25" customHeight="1" thickBot="1" x14ac:dyDescent="0.3">
      <c r="A98" s="363"/>
      <c r="B98" s="223" t="s">
        <v>655</v>
      </c>
      <c r="C98" s="203" t="s">
        <v>295</v>
      </c>
      <c r="D98" s="95"/>
      <c r="E98" s="96"/>
      <c r="F98" s="95"/>
      <c r="G98" s="96"/>
      <c r="H98" s="95"/>
      <c r="I98" s="96"/>
      <c r="J98" s="95"/>
      <c r="K98" s="96"/>
      <c r="L98" s="314"/>
      <c r="M98" s="314"/>
      <c r="N98" s="314"/>
      <c r="O98" s="314"/>
      <c r="P98" s="314"/>
      <c r="Q98" s="314"/>
      <c r="R98" s="314"/>
      <c r="S98" s="314"/>
      <c r="T98" s="314"/>
      <c r="U98" s="314"/>
      <c r="V98" s="314"/>
      <c r="W98" s="314"/>
      <c r="X98" s="314"/>
      <c r="Y98" s="314"/>
      <c r="Z98" s="314"/>
      <c r="AA98" s="315"/>
      <c r="AB98" s="316">
        <f t="shared" si="45"/>
        <v>0</v>
      </c>
      <c r="AC98" s="230"/>
      <c r="AD98" s="413"/>
      <c r="AE98" s="124"/>
      <c r="AF98" s="558"/>
      <c r="AG98" s="110">
        <v>65</v>
      </c>
    </row>
    <row r="99" spans="1:33" s="131" customFormat="1" ht="38.25" customHeight="1" x14ac:dyDescent="0.25">
      <c r="A99" s="361" t="s">
        <v>656</v>
      </c>
      <c r="B99" s="251" t="s">
        <v>653</v>
      </c>
      <c r="C99" s="272" t="s">
        <v>296</v>
      </c>
      <c r="D99" s="317">
        <f>SUM(D83,D79,D75,D71,D67)</f>
        <v>0</v>
      </c>
      <c r="E99" s="318">
        <f t="shared" ref="E99:AB99" si="46">SUM(E83,E79,E75,E71,E67)</f>
        <v>0</v>
      </c>
      <c r="F99" s="318">
        <f t="shared" si="46"/>
        <v>0</v>
      </c>
      <c r="G99" s="318">
        <f t="shared" si="46"/>
        <v>0</v>
      </c>
      <c r="H99" s="318">
        <f t="shared" si="46"/>
        <v>0</v>
      </c>
      <c r="I99" s="318">
        <f t="shared" si="46"/>
        <v>0</v>
      </c>
      <c r="J99" s="318">
        <f t="shared" si="46"/>
        <v>0</v>
      </c>
      <c r="K99" s="318">
        <f t="shared" si="46"/>
        <v>0</v>
      </c>
      <c r="L99" s="318">
        <f t="shared" si="46"/>
        <v>0</v>
      </c>
      <c r="M99" s="318">
        <f t="shared" si="46"/>
        <v>0</v>
      </c>
      <c r="N99" s="318">
        <f t="shared" si="46"/>
        <v>0</v>
      </c>
      <c r="O99" s="318">
        <f t="shared" si="46"/>
        <v>0</v>
      </c>
      <c r="P99" s="318">
        <f t="shared" si="46"/>
        <v>0</v>
      </c>
      <c r="Q99" s="318">
        <f t="shared" si="46"/>
        <v>0</v>
      </c>
      <c r="R99" s="318">
        <f t="shared" si="46"/>
        <v>0</v>
      </c>
      <c r="S99" s="318">
        <f t="shared" si="46"/>
        <v>0</v>
      </c>
      <c r="T99" s="318">
        <f t="shared" si="46"/>
        <v>0</v>
      </c>
      <c r="U99" s="318">
        <f t="shared" si="46"/>
        <v>0</v>
      </c>
      <c r="V99" s="318">
        <f t="shared" si="46"/>
        <v>0</v>
      </c>
      <c r="W99" s="318">
        <f t="shared" si="46"/>
        <v>0</v>
      </c>
      <c r="X99" s="318">
        <f t="shared" si="46"/>
        <v>0</v>
      </c>
      <c r="Y99" s="318">
        <f t="shared" si="46"/>
        <v>0</v>
      </c>
      <c r="Z99" s="318">
        <f t="shared" si="46"/>
        <v>0</v>
      </c>
      <c r="AA99" s="319">
        <f t="shared" si="46"/>
        <v>0</v>
      </c>
      <c r="AB99" s="324">
        <f t="shared" si="46"/>
        <v>0</v>
      </c>
      <c r="AC99" s="134" t="str">
        <f>CONCATENATE(IF(D103&lt;&gt;D99," *Initial Test by KP Type "&amp;$D$19&amp;" "&amp;$D$20&amp;" is more than Initial Test by Modality"&amp;CHAR(10),""),IF(E103&lt;&gt;E99," *Initial Test by KP Type "&amp;$D$19&amp;" "&amp;$E$20&amp;" is more than Initial Test by Modality"&amp;CHAR(10),""),IF(F103&lt;&gt;F99," *Initial Test by KP Type "&amp;$F$19&amp;" "&amp;$F$20&amp;" is more than Initial Test by Modality"&amp;CHAR(10),""),IF(G103&lt;&gt;G99," *Initial Test by KP Type "&amp;$F$19&amp;" "&amp;$G$20&amp;" is more than Initial Test by Modality"&amp;CHAR(10),""),IF(H103&lt;&gt;H99," *Initial Test by KP Type "&amp;$H$19&amp;" "&amp;$H$20&amp;" is more than Initial Test by Modality"&amp;CHAR(10),""),IF(I103&lt;&gt;I99," *Initial Test by KP Type "&amp;$H$19&amp;" "&amp;$I$20&amp;" is more than Initial Test by Modality"&amp;CHAR(10),""),IF(J103&lt;&gt;J99," *Initial Test by KP Type "&amp;$J$19&amp;" "&amp;$J$20&amp;" is more than Initial Test by Modality"&amp;CHAR(10),""),IF(K103&lt;&gt;K99," *Initial Test by KP Type "&amp;$J$19&amp;" "&amp;$K$20&amp;" is more than Initial Test by Modality"&amp;CHAR(10),""),IF(L103&lt;&gt;L99," *Initial Test by KP Type "&amp;$L$19&amp;" "&amp;$L$20&amp;" is more than Initial Test by Modality"&amp;CHAR(10),""),IF(M103&lt;&gt;M99," *Initial Test by KP Type "&amp;$L$19&amp;" "&amp;$M$20&amp;" is more than Initial Test by Modality"&amp;CHAR(10),""),IF(N103&lt;&gt;N99," *Initial Test by KP Type "&amp;$N$19&amp;" "&amp;$N$20&amp;" is more than Initial Test by Modality"&amp;CHAR(10),""),IF(O103&lt;&gt;O99," *Initial Test by KP Type "&amp;$N$19&amp;" "&amp;$O$20&amp;" is more than Initial Test by Modality"&amp;CHAR(10),""),IF(P103&lt;&gt;P99," *Initial Test by KP Type "&amp;$P$19&amp;" "&amp;$P$20&amp;" is more than Initial Test by Modality"&amp;CHAR(10),""),IF(Q103&lt;&gt;Q99," *Initial Test by KP Type "&amp;$P$19&amp;" "&amp;$Q$20&amp;" is more than Initial Test by Modality"&amp;CHAR(10),""),IF(R103&lt;&gt;R99," *Initial Test by KP Type "&amp;$R$19&amp;" "&amp;$R$20&amp;" is more than Initial Test by Modality"&amp;CHAR(10),""),IF(S103&lt;&gt;S99," *Initial Test by KP Type "&amp;$R$19&amp;" "&amp;$S$20&amp;" is more than Initial Test by Modality"&amp;CHAR(10),""),IF(T103&lt;&gt;T99," *Initial Test by KP Type "&amp;$T$19&amp;" "&amp;$T$20&amp;" is more than Initial Test by Modality"&amp;CHAR(10),""),IF(U103&lt;&gt;U99," *Initial Test by KP Type "&amp;$T$19&amp;" "&amp;$U$20&amp;" is more than Initial Test by Modality"&amp;CHAR(10),""),IF(V103&lt;&gt;V99," *Initial Test by KP Type "&amp;$V$19&amp;" "&amp;$V$20&amp;" is more than Initial Test by Modality"&amp;CHAR(10),""),IF(W103&lt;&gt;W99," *Initial Test by KP Type "&amp;$V$19&amp;" "&amp;$W$20&amp;" is more than Initial Test by Modality"&amp;CHAR(10),""),IF(X103&lt;&gt;X99," *Initial Test by KP Type "&amp;$X$19&amp;" "&amp;$X$20&amp;" is more than Initial Test by Modality"&amp;CHAR(10),""),IF(Y103&lt;&gt;Y99," *Initial Test by KP Type "&amp;$X$19&amp;" "&amp;$Y$20&amp;" is more than Initial Test by Modality"&amp;CHAR(10),""),IF(Z103&lt;&gt;Z99," *Initial Test by KP Type "&amp;$Z$19&amp;" "&amp;$Z$20&amp;" is more than Initial Test by Modality"&amp;CHAR(10),""),IF(AA103&lt;&gt;AA99," *Initial Test by KP Type "&amp;$Z$19&amp;" "&amp;$AA$20&amp;" is more than Initial Test by Modality"&amp;CHAR(10),""))</f>
        <v/>
      </c>
      <c r="AD99" s="413"/>
      <c r="AE99" s="124"/>
      <c r="AF99" s="558"/>
      <c r="AG99" s="110">
        <v>64</v>
      </c>
    </row>
    <row r="100" spans="1:33" s="131" customFormat="1" ht="38.25" customHeight="1" thickBot="1" x14ac:dyDescent="0.3">
      <c r="A100" s="362"/>
      <c r="B100" s="252" t="s">
        <v>654</v>
      </c>
      <c r="C100" s="313" t="s">
        <v>297</v>
      </c>
      <c r="D100" s="320">
        <f>SUM(D84,D80,D76,D72,D68)</f>
        <v>0</v>
      </c>
      <c r="E100" s="321">
        <f t="shared" ref="E100:AB100" si="47">SUM(E84,E80,E76,E72,E68)</f>
        <v>0</v>
      </c>
      <c r="F100" s="321">
        <f t="shared" si="47"/>
        <v>0</v>
      </c>
      <c r="G100" s="321">
        <f t="shared" si="47"/>
        <v>0</v>
      </c>
      <c r="H100" s="321">
        <f t="shared" si="47"/>
        <v>0</v>
      </c>
      <c r="I100" s="321">
        <f t="shared" si="47"/>
        <v>0</v>
      </c>
      <c r="J100" s="321">
        <f t="shared" si="47"/>
        <v>0</v>
      </c>
      <c r="K100" s="321">
        <f t="shared" si="47"/>
        <v>0</v>
      </c>
      <c r="L100" s="321">
        <f t="shared" si="47"/>
        <v>0</v>
      </c>
      <c r="M100" s="321">
        <f t="shared" si="47"/>
        <v>0</v>
      </c>
      <c r="N100" s="321">
        <f t="shared" si="47"/>
        <v>0</v>
      </c>
      <c r="O100" s="321">
        <f t="shared" si="47"/>
        <v>0</v>
      </c>
      <c r="P100" s="321">
        <f t="shared" si="47"/>
        <v>0</v>
      </c>
      <c r="Q100" s="321">
        <f t="shared" si="47"/>
        <v>0</v>
      </c>
      <c r="R100" s="321">
        <f t="shared" si="47"/>
        <v>0</v>
      </c>
      <c r="S100" s="321">
        <f t="shared" si="47"/>
        <v>0</v>
      </c>
      <c r="T100" s="321">
        <f t="shared" si="47"/>
        <v>0</v>
      </c>
      <c r="U100" s="321">
        <f t="shared" si="47"/>
        <v>0</v>
      </c>
      <c r="V100" s="321">
        <f t="shared" si="47"/>
        <v>0</v>
      </c>
      <c r="W100" s="321">
        <f t="shared" si="47"/>
        <v>0</v>
      </c>
      <c r="X100" s="321">
        <f t="shared" si="47"/>
        <v>0</v>
      </c>
      <c r="Y100" s="321">
        <f t="shared" si="47"/>
        <v>0</v>
      </c>
      <c r="Z100" s="321">
        <f t="shared" si="47"/>
        <v>0</v>
      </c>
      <c r="AA100" s="322">
        <f t="shared" si="47"/>
        <v>0</v>
      </c>
      <c r="AB100" s="324">
        <f t="shared" si="47"/>
        <v>0</v>
      </c>
      <c r="AC100" s="134" t="str">
        <f>CONCATENATE(IF(D104&lt;&gt;D100," *Initial Test and turned positive by KP Type "&amp;$D$19&amp;" "&amp;$D$20&amp;" is more than Initial Test and turned positive by Modality"&amp;CHAR(10),""),IF(E104&lt;&gt;E100," *Initial Test and turned positive by KP Type "&amp;$D$19&amp;" "&amp;$E$20&amp;" is more than Initial Test and turned positive by Modality"&amp;CHAR(10),""),IF(F104&lt;&gt;F100," *Initial Test and turned positive by KP Type "&amp;$F$19&amp;" "&amp;$F$20&amp;" is more than Initial Test and turned positive by Modality"&amp;CHAR(10),""),IF(G104&lt;&gt;G100," *Initial Test and turned positive by KP Type "&amp;$F$19&amp;" "&amp;$G$20&amp;" is more than Initial Test and turned positive by Modality"&amp;CHAR(10),""),IF(H104&lt;&gt;H100," *Initial Test and turned positive by KP Type "&amp;$H$19&amp;" "&amp;$H$20&amp;" is more than Initial Test and turned positive by Modality"&amp;CHAR(10),""),IF(I104&lt;&gt;I100," *Initial Test and turned positive by KP Type "&amp;$H$19&amp;" "&amp;$I$20&amp;" is more than Initial Test and turned positive by Modality"&amp;CHAR(10),""),IF(J104&lt;&gt;J100," *Initial Test and turned positive by KP Type "&amp;$J$19&amp;" "&amp;$J$20&amp;" is more than Initial Test and turned positive by Modality"&amp;CHAR(10),""),IF(K104&lt;&gt;K100," *Initial Test and turned positive by KP Type "&amp;$J$19&amp;" "&amp;$K$20&amp;" is more than Initial Test and turned positive by Modality"&amp;CHAR(10),""),IF(L104&lt;&gt;L100," *Initial Test and turned positive by KP Type "&amp;$L$19&amp;" "&amp;$L$20&amp;" is more than Initial Test and turned positive by Modality"&amp;CHAR(10),""),IF(M104&lt;&gt;M100," *Initial Test and turned positive by KP Type "&amp;$L$19&amp;" "&amp;$M$20&amp;" is more than Initial Test and turned positive by Modality"&amp;CHAR(10),""),IF(N104&lt;&gt;N100," *Initial Test and turned positive by KP Type "&amp;$N$19&amp;" "&amp;$N$20&amp;" is more than Initial Test and turned positive by Modality"&amp;CHAR(10),""),IF(O104&lt;&gt;O100," *Initial Test and turned positive by KP Type "&amp;$N$19&amp;" "&amp;$O$20&amp;" is more than Initial Test and turned positive by Modality"&amp;CHAR(10),""),IF(P104&lt;&gt;P100," *Initial Test and turned positive by KP Type "&amp;$P$19&amp;" "&amp;$P$20&amp;" is more than Initial Test and turned positive by Modality"&amp;CHAR(10),""),IF(Q104&lt;&gt;Q100," *Initial Test and turned positive by KP Type "&amp;$P$19&amp;" "&amp;$Q$20&amp;" is more than Initial Test and turned positive by Modality"&amp;CHAR(10),""),IF(R104&lt;&gt;R100," *Initial Test and turned positive by KP Type "&amp;$R$19&amp;" "&amp;$R$20&amp;" is more than Initial Test and turned positive by Modality"&amp;CHAR(10),""),IF(S104&lt;&gt;S100," *Initial Test and turned positive by KP Type "&amp;$R$19&amp;" "&amp;$S$20&amp;" is more than Initial Test and turned positive by Modality"&amp;CHAR(10),""),IF(T104&lt;&gt;T100," *Initial Test and turned positive by KP Type "&amp;$T$19&amp;" "&amp;$T$20&amp;" is more than Initial Test and turned positive by Modality"&amp;CHAR(10),""),IF(U104&lt;&gt;U100," *Initial Test and turned positive by KP Type "&amp;$T$19&amp;" "&amp;$U$20&amp;" is more than Initial Test and turned positive by Modality"&amp;CHAR(10),""),IF(V104&lt;&gt;V100," *Initial Test and turned positive by KP Type "&amp;$V$19&amp;" "&amp;$V$20&amp;" is more than Initial Test and turned positive by Modality"&amp;CHAR(10),""),IF(W104&lt;&gt;W100," *Initial Test and turned positive by KP Type "&amp;$V$19&amp;" "&amp;$W$20&amp;" is more than Initial Test and turned positive by Modality"&amp;CHAR(10),""),IF(X104&lt;&gt;X100," *Initial Test and turned positive by KP Type "&amp;$X$19&amp;" "&amp;$X$20&amp;" is more than Initial Test and turned positive by Modality"&amp;CHAR(10),""),IF(Y104&lt;&gt;Y100," *Initial Test and turned positive by KP Type "&amp;$X$19&amp;" "&amp;$Y$20&amp;" is more than Initial Test and turned positive by Modality"&amp;CHAR(10),""),IF(Z104&lt;&gt;Z100," *Initial Test and turned positive by KP Type "&amp;$Z$19&amp;" "&amp;$Z$20&amp;" is more than Initial Test and turned positive by Modality"&amp;CHAR(10),""),IF(AA104&lt;&gt;AA100," *Initial Test and turned positive by KP Type "&amp;$Z$19&amp;" "&amp;$AA$20&amp;" is more than Initial Test and turned positive by Modality"&amp;CHAR(10),""))</f>
        <v/>
      </c>
      <c r="AD100" s="413"/>
      <c r="AE100" s="124"/>
      <c r="AF100" s="558"/>
      <c r="AG100" s="110">
        <v>65</v>
      </c>
    </row>
    <row r="101" spans="1:33" s="131" customFormat="1" ht="38.25" customHeight="1" x14ac:dyDescent="0.25">
      <c r="A101" s="362"/>
      <c r="B101" s="251" t="s">
        <v>652</v>
      </c>
      <c r="C101" s="272" t="s">
        <v>298</v>
      </c>
      <c r="D101" s="317">
        <f>SUM(D85,D81,D77,D73,D69)</f>
        <v>0</v>
      </c>
      <c r="E101" s="318">
        <f t="shared" ref="E101:AB101" si="48">SUM(E85,E81,E77,E73,E69)</f>
        <v>0</v>
      </c>
      <c r="F101" s="318">
        <f t="shared" si="48"/>
        <v>0</v>
      </c>
      <c r="G101" s="318">
        <f t="shared" si="48"/>
        <v>0</v>
      </c>
      <c r="H101" s="318">
        <f t="shared" si="48"/>
        <v>0</v>
      </c>
      <c r="I101" s="318">
        <f t="shared" si="48"/>
        <v>0</v>
      </c>
      <c r="J101" s="318">
        <f t="shared" si="48"/>
        <v>0</v>
      </c>
      <c r="K101" s="318">
        <f t="shared" si="48"/>
        <v>0</v>
      </c>
      <c r="L101" s="318">
        <f t="shared" si="48"/>
        <v>0</v>
      </c>
      <c r="M101" s="318">
        <f t="shared" si="48"/>
        <v>0</v>
      </c>
      <c r="N101" s="318">
        <f t="shared" si="48"/>
        <v>0</v>
      </c>
      <c r="O101" s="318">
        <f t="shared" si="48"/>
        <v>0</v>
      </c>
      <c r="P101" s="318">
        <f t="shared" si="48"/>
        <v>0</v>
      </c>
      <c r="Q101" s="318">
        <f t="shared" si="48"/>
        <v>0</v>
      </c>
      <c r="R101" s="318">
        <f t="shared" si="48"/>
        <v>0</v>
      </c>
      <c r="S101" s="318">
        <f t="shared" si="48"/>
        <v>0</v>
      </c>
      <c r="T101" s="318">
        <f t="shared" si="48"/>
        <v>0</v>
      </c>
      <c r="U101" s="318">
        <f t="shared" si="48"/>
        <v>0</v>
      </c>
      <c r="V101" s="318">
        <f t="shared" si="48"/>
        <v>0</v>
      </c>
      <c r="W101" s="318">
        <f t="shared" si="48"/>
        <v>0</v>
      </c>
      <c r="X101" s="318">
        <f t="shared" si="48"/>
        <v>0</v>
      </c>
      <c r="Y101" s="318">
        <f t="shared" si="48"/>
        <v>0</v>
      </c>
      <c r="Z101" s="318">
        <f t="shared" si="48"/>
        <v>0</v>
      </c>
      <c r="AA101" s="319">
        <f t="shared" si="48"/>
        <v>0</v>
      </c>
      <c r="AB101" s="324">
        <f t="shared" si="48"/>
        <v>0</v>
      </c>
      <c r="AC101" s="134" t="str">
        <f>CONCATENATE(IF(D105&lt;&gt;D101," *Repeat Test by KP Type "&amp;$D$19&amp;" "&amp;$D$20&amp;" is more than Repeat Test by Modality"&amp;CHAR(10),""),IF(E105&lt;&gt;E101," *Repeat Test by KP Type "&amp;$D$19&amp;" "&amp;$E$20&amp;" is more than Repeat Test by Modality"&amp;CHAR(10),""),IF(F105&lt;&gt;F101," *Repeat Test by KP Type "&amp;$F$19&amp;" "&amp;$F$20&amp;" is more than Repeat Test by Modality"&amp;CHAR(10),""),IF(G105&lt;&gt;G101," *Repeat Test by KP Type "&amp;$F$19&amp;" "&amp;$G$20&amp;" is more than Repeat Test by Modality"&amp;CHAR(10),""),IF(H105&lt;&gt;H101," *Repeat Test by KP Type "&amp;$H$19&amp;" "&amp;$H$20&amp;" is more than Repeat Test by Modality"&amp;CHAR(10),""),IF(I105&lt;&gt;I101," *Repeat Test by KP Type "&amp;$H$19&amp;" "&amp;$I$20&amp;" is more than Repeat Test by Modality"&amp;CHAR(10),""),IF(J105&lt;&gt;J101," *Repeat Test by KP Type "&amp;$J$19&amp;" "&amp;$J$20&amp;" is more than Repeat Test by Modality"&amp;CHAR(10),""),IF(K105&lt;&gt;K101," *Repeat Test by KP Type "&amp;$J$19&amp;" "&amp;$K$20&amp;" is more than Repeat Test by Modality"&amp;CHAR(10),""),IF(L105&lt;&gt;L101," *Repeat Test by KP Type "&amp;$L$19&amp;" "&amp;$L$20&amp;" is more than Repeat Test by Modality"&amp;CHAR(10),""),IF(M105&lt;&gt;M101," *Repeat Test by KP Type "&amp;$L$19&amp;" "&amp;$M$20&amp;" is more than Repeat Test by Modality"&amp;CHAR(10),""),IF(N105&lt;&gt;N101," *Repeat Test by KP Type "&amp;$N$19&amp;" "&amp;$N$20&amp;" is more than Repeat Test by Modality"&amp;CHAR(10),""),IF(O105&lt;&gt;O101," *Repeat Test by KP Type "&amp;$N$19&amp;" "&amp;$O$20&amp;" is more than Repeat Test by Modality"&amp;CHAR(10),""),IF(P105&lt;&gt;P101," *Repeat Test by KP Type "&amp;$P$19&amp;" "&amp;$P$20&amp;" is more than Repeat Test by Modality"&amp;CHAR(10),""),IF(Q105&lt;&gt;Q101," *Repeat Test by KP Type "&amp;$P$19&amp;" "&amp;$Q$20&amp;" is more than Repeat Test by Modality"&amp;CHAR(10),""),IF(R105&lt;&gt;R101," *Repeat Test by KP Type "&amp;$R$19&amp;" "&amp;$R$20&amp;" is more than Repeat Test by Modality"&amp;CHAR(10),""),IF(S105&lt;&gt;S101," *Repeat Test by KP Type "&amp;$R$19&amp;" "&amp;$S$20&amp;" is more than Repeat Test by Modality"&amp;CHAR(10),""),IF(T105&lt;&gt;T101," *Repeat Test by KP Type "&amp;$T$19&amp;" "&amp;$T$20&amp;" is more than Repeat Test by Modality"&amp;CHAR(10),""),IF(U105&lt;&gt;U101," *Repeat Test by KP Type "&amp;$T$19&amp;" "&amp;$U$20&amp;" is more than Repeat Test by Modality"&amp;CHAR(10),""),IF(V105&lt;&gt;V101," *Repeat Test by KP Type "&amp;$V$19&amp;" "&amp;$V$20&amp;" is more than Repeat Test by Modality"&amp;CHAR(10),""),IF(W105&lt;&gt;W101," *Repeat Test by KP Type "&amp;$V$19&amp;" "&amp;$W$20&amp;" is more than Repeat Test by Modality"&amp;CHAR(10),""),IF(X105&lt;&gt;X101," *Repeat Test by KP Type "&amp;$X$19&amp;" "&amp;$X$20&amp;" is more than Repeat Test by Modality"&amp;CHAR(10),""),IF(Y105&lt;&gt;Y101," *Repeat Test by KP Type "&amp;$X$19&amp;" "&amp;$Y$20&amp;" is more than Repeat Test by Modality"&amp;CHAR(10),""),IF(Z105&lt;&gt;Z101," *Repeat Test by KP Type "&amp;$Z$19&amp;" "&amp;$Z$20&amp;" is more than Repeat Test by Modality"&amp;CHAR(10),""),IF(AA105&lt;&gt;AA101," *Repeat Test by KP Type "&amp;$Z$19&amp;" "&amp;$AA$20&amp;" is more than Repeat Test by Modality"&amp;CHAR(10),""))</f>
        <v/>
      </c>
      <c r="AD101" s="413"/>
      <c r="AE101" s="124"/>
      <c r="AF101" s="558"/>
      <c r="AG101" s="110">
        <v>64</v>
      </c>
    </row>
    <row r="102" spans="1:33" s="131" customFormat="1" ht="38.25" customHeight="1" thickBot="1" x14ac:dyDescent="0.3">
      <c r="A102" s="363"/>
      <c r="B102" s="252" t="s">
        <v>655</v>
      </c>
      <c r="C102" s="313" t="s">
        <v>299</v>
      </c>
      <c r="D102" s="320">
        <f t="shared" ref="D102:AB102" si="49">SUM(D86,D82,D78,D74,D70)</f>
        <v>0</v>
      </c>
      <c r="E102" s="321">
        <f t="shared" si="49"/>
        <v>0</v>
      </c>
      <c r="F102" s="321">
        <f t="shared" si="49"/>
        <v>0</v>
      </c>
      <c r="G102" s="321">
        <f t="shared" si="49"/>
        <v>0</v>
      </c>
      <c r="H102" s="321">
        <f t="shared" si="49"/>
        <v>0</v>
      </c>
      <c r="I102" s="321">
        <f t="shared" si="49"/>
        <v>0</v>
      </c>
      <c r="J102" s="321">
        <f t="shared" si="49"/>
        <v>0</v>
      </c>
      <c r="K102" s="321">
        <f t="shared" si="49"/>
        <v>0</v>
      </c>
      <c r="L102" s="321">
        <f t="shared" si="49"/>
        <v>0</v>
      </c>
      <c r="M102" s="321">
        <f t="shared" si="49"/>
        <v>0</v>
      </c>
      <c r="N102" s="321">
        <f t="shared" si="49"/>
        <v>0</v>
      </c>
      <c r="O102" s="321">
        <f t="shared" si="49"/>
        <v>0</v>
      </c>
      <c r="P102" s="321">
        <f t="shared" si="49"/>
        <v>0</v>
      </c>
      <c r="Q102" s="321">
        <f t="shared" si="49"/>
        <v>0</v>
      </c>
      <c r="R102" s="321">
        <f t="shared" si="49"/>
        <v>0</v>
      </c>
      <c r="S102" s="321">
        <f t="shared" si="49"/>
        <v>0</v>
      </c>
      <c r="T102" s="321">
        <f t="shared" si="49"/>
        <v>0</v>
      </c>
      <c r="U102" s="321">
        <f t="shared" si="49"/>
        <v>0</v>
      </c>
      <c r="V102" s="321">
        <f t="shared" si="49"/>
        <v>0</v>
      </c>
      <c r="W102" s="321">
        <f t="shared" si="49"/>
        <v>0</v>
      </c>
      <c r="X102" s="321">
        <f t="shared" si="49"/>
        <v>0</v>
      </c>
      <c r="Y102" s="321">
        <f t="shared" si="49"/>
        <v>0</v>
      </c>
      <c r="Z102" s="321">
        <f t="shared" si="49"/>
        <v>0</v>
      </c>
      <c r="AA102" s="322">
        <f t="shared" si="49"/>
        <v>0</v>
      </c>
      <c r="AB102" s="325">
        <f t="shared" si="49"/>
        <v>0</v>
      </c>
      <c r="AC102" s="134" t="str">
        <f>CONCATENATE(IF(D106&lt;&gt;D102," *Repeat Test and turned positive by KP Type "&amp;$D$19&amp;" "&amp;$D$20&amp;" is more than Repeat Test and turned positive by Modality"&amp;CHAR(10),""),IF(E106&lt;&gt;E102," *Repeat Test and turned positive by KP Type "&amp;$D$19&amp;" "&amp;$E$20&amp;" is more than Repeat Test and turned positive by Modality"&amp;CHAR(10),""),IF(F106&lt;&gt;F102," *Repeat Test and turned positive by KP Type "&amp;$F$19&amp;" "&amp;$F$20&amp;" is more than Repeat Test and turned positive by Modality"&amp;CHAR(10),""),IF(G106&lt;&gt;G102," *Repeat Test and turned positive by KP Type "&amp;$F$19&amp;" "&amp;$G$20&amp;" is more than Repeat Test and turned positive by Modality"&amp;CHAR(10),""),IF(H106&lt;&gt;H102," *Repeat Test and turned positive by KP Type "&amp;$H$19&amp;" "&amp;$H$20&amp;" is more than Repeat Test and turned positive by Modality"&amp;CHAR(10),""),IF(I106&lt;&gt;I102," *Repeat Test and turned positive by KP Type "&amp;$H$19&amp;" "&amp;$I$20&amp;" is more than Repeat Test and turned positive by Modality"&amp;CHAR(10),""),IF(J106&lt;&gt;J102," *Repeat Test and turned positive by KP Type "&amp;$J$19&amp;" "&amp;$J$20&amp;" is more than Repeat Test and turned positive by Modality"&amp;CHAR(10),""),IF(K106&lt;&gt;K102," *Repeat Test and turned positive by KP Type "&amp;$J$19&amp;" "&amp;$K$20&amp;" is more than Repeat Test and turned positive by Modality"&amp;CHAR(10),""),IF(L106&lt;&gt;L102," *Repeat Test and turned positive by KP Type "&amp;$L$19&amp;" "&amp;$L$20&amp;" is more than Repeat Test and turned positive by Modality"&amp;CHAR(10),""),IF(M106&lt;&gt;M102," *Repeat Test and turned positive by KP Type "&amp;$L$19&amp;" "&amp;$M$20&amp;" is more than Repeat Test and turned positive by Modality"&amp;CHAR(10),""),IF(N106&lt;&gt;N102," *Repeat Test and turned positive by KP Type "&amp;$N$19&amp;" "&amp;$N$20&amp;" is more than Repeat Test and turned positive by Modality"&amp;CHAR(10),""),IF(O106&lt;&gt;O102," *Repeat Test and turned positive by KP Type "&amp;$N$19&amp;" "&amp;$O$20&amp;" is more than Repeat Test and turned positive by Modality"&amp;CHAR(10),""),IF(P106&lt;&gt;P102," *Repeat Test and turned positive by KP Type "&amp;$P$19&amp;" "&amp;$P$20&amp;" is more than Repeat Test and turned positive by Modality"&amp;CHAR(10),""),IF(Q106&lt;&gt;Q102," *Repeat Test and turned positive by KP Type "&amp;$P$19&amp;" "&amp;$Q$20&amp;" is more than Repeat Test and turned positive by Modality"&amp;CHAR(10),""),IF(R106&lt;&gt;R102," *Repeat Test and turned positive by KP Type "&amp;$R$19&amp;" "&amp;$R$20&amp;" is more than Repeat Test and turned positive by Modality"&amp;CHAR(10),""),IF(S106&lt;&gt;S102," *Repeat Test and turned positive by KP Type "&amp;$R$19&amp;" "&amp;$S$20&amp;" is more than Repeat Test and turned positive by Modality"&amp;CHAR(10),""),IF(T106&lt;&gt;T102," *Repeat Test and turned positive by KP Type "&amp;$T$19&amp;" "&amp;$T$20&amp;" is more than Repeat Test and turned positive by Modality"&amp;CHAR(10),""),IF(U106&lt;&gt;U102," *Repeat Test and turned positive by KP Type "&amp;$T$19&amp;" "&amp;$U$20&amp;" is more than Repeat Test and turned positive by Modality"&amp;CHAR(10),""),IF(V106&lt;&gt;V102," *Repeat Test and turned positive by KP Type "&amp;$V$19&amp;" "&amp;$V$20&amp;" is more than Repeat Test and turned positive by Modality"&amp;CHAR(10),""),IF(W106&lt;&gt;W102," *Repeat Test and turned positive by KP Type "&amp;$V$19&amp;" "&amp;$W$20&amp;" is more than Repeat Test and turned positive by Modality"&amp;CHAR(10),""),IF(X106&lt;&gt;X102," *Repeat Test and turned positive by KP Type "&amp;$X$19&amp;" "&amp;$X$20&amp;" is more than Repeat Test and turned positive by Modality"&amp;CHAR(10),""),IF(Y106&lt;&gt;Y102," *Repeat Test and turned positive by KP Type "&amp;$X$19&amp;" "&amp;$Y$20&amp;" is more than Repeat Test and turned positive by Modality"&amp;CHAR(10),""),IF(Z106&lt;&gt;Z102," *Repeat Test and turned positive by KP Type "&amp;$Z$19&amp;" "&amp;$Z$20&amp;" is more than Repeat Test and turned positive by Modality"&amp;CHAR(10),""),IF(AA106&lt;&gt;AA102," *Repeat Test and turned positive by KP Type "&amp;$Z$19&amp;" "&amp;$AA$20&amp;" is more than Repeat Test and turned positive by Modality"&amp;CHAR(10),""))</f>
        <v/>
      </c>
      <c r="AD102" s="413"/>
      <c r="AE102" s="124"/>
      <c r="AF102" s="558"/>
      <c r="AG102" s="110">
        <v>65</v>
      </c>
    </row>
    <row r="103" spans="1:33" s="131" customFormat="1" ht="38.25" customHeight="1" x14ac:dyDescent="0.25">
      <c r="A103" s="361" t="s">
        <v>657</v>
      </c>
      <c r="B103" s="251" t="s">
        <v>653</v>
      </c>
      <c r="C103" s="197" t="s">
        <v>713</v>
      </c>
      <c r="D103" s="327">
        <f t="shared" ref="D103:AB103" si="50">SUM(D95,D91,D87,D114)</f>
        <v>0</v>
      </c>
      <c r="E103" s="328">
        <f t="shared" si="50"/>
        <v>0</v>
      </c>
      <c r="F103" s="328">
        <f t="shared" si="50"/>
        <v>0</v>
      </c>
      <c r="G103" s="328">
        <f t="shared" si="50"/>
        <v>0</v>
      </c>
      <c r="H103" s="328">
        <f t="shared" si="50"/>
        <v>0</v>
      </c>
      <c r="I103" s="328">
        <f t="shared" si="50"/>
        <v>0</v>
      </c>
      <c r="J103" s="328">
        <f t="shared" si="50"/>
        <v>0</v>
      </c>
      <c r="K103" s="328">
        <f t="shared" si="50"/>
        <v>0</v>
      </c>
      <c r="L103" s="259">
        <f t="shared" si="50"/>
        <v>0</v>
      </c>
      <c r="M103" s="259">
        <f t="shared" si="50"/>
        <v>0</v>
      </c>
      <c r="N103" s="259">
        <f t="shared" si="50"/>
        <v>0</v>
      </c>
      <c r="O103" s="259">
        <f t="shared" si="50"/>
        <v>0</v>
      </c>
      <c r="P103" s="259">
        <f t="shared" si="50"/>
        <v>0</v>
      </c>
      <c r="Q103" s="259">
        <f t="shared" si="50"/>
        <v>0</v>
      </c>
      <c r="R103" s="259">
        <f t="shared" si="50"/>
        <v>0</v>
      </c>
      <c r="S103" s="259">
        <f t="shared" si="50"/>
        <v>0</v>
      </c>
      <c r="T103" s="259">
        <f t="shared" si="50"/>
        <v>0</v>
      </c>
      <c r="U103" s="259">
        <f t="shared" si="50"/>
        <v>0</v>
      </c>
      <c r="V103" s="259">
        <f t="shared" si="50"/>
        <v>0</v>
      </c>
      <c r="W103" s="259">
        <f t="shared" si="50"/>
        <v>0</v>
      </c>
      <c r="X103" s="259">
        <f t="shared" si="50"/>
        <v>0</v>
      </c>
      <c r="Y103" s="259">
        <f t="shared" si="50"/>
        <v>0</v>
      </c>
      <c r="Z103" s="259">
        <f t="shared" si="50"/>
        <v>0</v>
      </c>
      <c r="AA103" s="326">
        <f t="shared" si="50"/>
        <v>0</v>
      </c>
      <c r="AB103" s="259">
        <f t="shared" si="50"/>
        <v>0</v>
      </c>
      <c r="AC103" s="230" t="str">
        <f>CONCATENATE(IF(D104&gt;D103," *Initial Test and Turned Positive  Other Service Modality "&amp;$D$19&amp;" "&amp;$D$20&amp;" is more than Initial Test Other Service Modality"&amp;CHAR(10),""),IF(E104&gt;E103," *Initial Test and Turned Positive  Other Service Modality "&amp;$D$19&amp;" "&amp;$E$20&amp;" is more than Initial Test Other Service Modality"&amp;CHAR(10),""),IF(F104&gt;F103," *Initial Test and Turned Positive  Other Service Modality "&amp;$F$19&amp;" "&amp;$F$20&amp;" is more than Initial Test Other Service Modality"&amp;CHAR(10),""),IF(G104&gt;G103," *Initial Test and Turned Positive  Other Service Modality "&amp;$F$19&amp;" "&amp;$G$20&amp;" is more than Initial Test Other Service Modality"&amp;CHAR(10),""),IF(H104&gt;H103," *Initial Test and Turned Positive  Other Service Modality "&amp;$H$19&amp;" "&amp;$H$20&amp;" is more than Initial Test Other Service Modality"&amp;CHAR(10),""),IF(I104&gt;I103," *Initial Test and Turned Positive  Other Service Modality "&amp;$H$19&amp;" "&amp;$I$20&amp;" is more than Initial Test Other Service Modality"&amp;CHAR(10),""),IF(J104&gt;J103," *Initial Test and Turned Positive  Other Service Modality "&amp;$J$19&amp;" "&amp;$J$20&amp;" is more than Initial Test Other Service Modality"&amp;CHAR(10),""),IF(K104&gt;K103," *Initial Test and Turned Positive  Other Service Modality "&amp;$J$19&amp;" "&amp;$K$20&amp;" is more than Initial Test Other Service Modality"&amp;CHAR(10),""),IF(L104&gt;L103," *Initial Test and Turned Positive  Other Service Modality "&amp;$L$19&amp;" "&amp;$L$20&amp;" is more than Initial Test Other Service Modality"&amp;CHAR(10),""),IF(M104&gt;M103," *Initial Test and Turned Positive  Other Service Modality "&amp;$L$19&amp;" "&amp;$M$20&amp;" is more than Initial Test Other Service Modality"&amp;CHAR(10),""),IF(N104&gt;N103," *Initial Test and Turned Positive  Other Service Modality "&amp;$N$19&amp;" "&amp;$N$20&amp;" is more than Initial Test Other Service Modality"&amp;CHAR(10),""),IF(O104&gt;O103," *Initial Test and Turned Positive  Other Service Modality "&amp;$N$19&amp;" "&amp;$O$20&amp;" is more than Initial Test Other Service Modality"&amp;CHAR(10),""),IF(P104&gt;P103," *Initial Test and Turned Positive  Other Service Modality "&amp;$P$19&amp;" "&amp;$P$20&amp;" is more than Initial Test Other Service Modality"&amp;CHAR(10),""),IF(Q104&gt;Q103," *Initial Test and Turned Positive  Other Service Modality "&amp;$P$19&amp;" "&amp;$Q$20&amp;" is more than Initial Test Other Service Modality"&amp;CHAR(10),""),IF(R104&gt;R103," *Initial Test and Turned Positive  Other Service Modality "&amp;$R$19&amp;" "&amp;$R$20&amp;" is more than Initial Test Other Service Modality"&amp;CHAR(10),""),IF(S104&gt;S103," *Initial Test and Turned Positive  Other Service Modality "&amp;$R$19&amp;" "&amp;$S$20&amp;" is more than Initial Test Other Service Modality"&amp;CHAR(10),""),IF(T104&gt;T103," *Initial Test and Turned Positive  Other Service Modality "&amp;$T$19&amp;" "&amp;$T$20&amp;" is more than Initial Test Other Service Modality"&amp;CHAR(10),""),IF(U104&gt;U103," *Initial Test and Turned Positive  Other Service Modality "&amp;$T$19&amp;" "&amp;$U$20&amp;" is more than Initial Test Other Service Modality"&amp;CHAR(10),""),IF(V104&gt;V103," *Initial Test and Turned Positive  Other Service Modality "&amp;$V$19&amp;" "&amp;$V$20&amp;" is more than Initial Test Other Service Modality"&amp;CHAR(10),""),IF(W104&gt;W103," *Initial Test and Turned Positive  Other Service Modality "&amp;$V$19&amp;" "&amp;$W$20&amp;" is more than Initial Test Other Service Modality"&amp;CHAR(10),""),IF(X104&gt;X103," *Initial Test and Turned Positive  Other Service Modality "&amp;$X$19&amp;" "&amp;$X$20&amp;" is more than Initial Test Other Service Modality"&amp;CHAR(10),""),IF(Y104&gt;Y103," *Initial Test and Turned Positive  Other Service Modality "&amp;$X$19&amp;" "&amp;$Y$20&amp;" is more than Initial Test Other Service Modality"&amp;CHAR(10),""),IF(Z104&gt;Z103," *Initial Test and Turned Positive  Other Service Modality "&amp;$Z$19&amp;" "&amp;$Z$20&amp;" is more than Initial Test Other Service Modality"&amp;CHAR(10),""),IF(AA104&gt;AA103," *Initial Test and Turned Positive  Other Service Modality "&amp;$Z$19&amp;" "&amp;$AA$20&amp;" is more than Initial Test Other Service Modality"&amp;CHAR(10),""))</f>
        <v/>
      </c>
      <c r="AD103" s="413"/>
      <c r="AE103" s="124"/>
      <c r="AF103" s="558"/>
      <c r="AG103" s="110">
        <v>64</v>
      </c>
    </row>
    <row r="104" spans="1:33" s="131" customFormat="1" ht="38.25" customHeight="1" thickBot="1" x14ac:dyDescent="0.3">
      <c r="A104" s="362"/>
      <c r="B104" s="252" t="s">
        <v>654</v>
      </c>
      <c r="C104" s="313" t="s">
        <v>714</v>
      </c>
      <c r="D104" s="330">
        <f t="shared" ref="D104:AB104" si="51">SUM(D96,D92,D88,D115)</f>
        <v>0</v>
      </c>
      <c r="E104" s="330">
        <f t="shared" si="51"/>
        <v>0</v>
      </c>
      <c r="F104" s="330">
        <f t="shared" si="51"/>
        <v>0</v>
      </c>
      <c r="G104" s="330">
        <f t="shared" si="51"/>
        <v>0</v>
      </c>
      <c r="H104" s="330">
        <f t="shared" si="51"/>
        <v>0</v>
      </c>
      <c r="I104" s="330">
        <f t="shared" si="51"/>
        <v>0</v>
      </c>
      <c r="J104" s="330">
        <f t="shared" si="51"/>
        <v>0</v>
      </c>
      <c r="K104" s="330">
        <f t="shared" si="51"/>
        <v>0</v>
      </c>
      <c r="L104" s="330">
        <f t="shared" si="51"/>
        <v>0</v>
      </c>
      <c r="M104" s="330">
        <f t="shared" si="51"/>
        <v>0</v>
      </c>
      <c r="N104" s="330">
        <f t="shared" si="51"/>
        <v>0</v>
      </c>
      <c r="O104" s="330">
        <f t="shared" si="51"/>
        <v>0</v>
      </c>
      <c r="P104" s="330">
        <f t="shared" si="51"/>
        <v>0</v>
      </c>
      <c r="Q104" s="330">
        <f t="shared" si="51"/>
        <v>0</v>
      </c>
      <c r="R104" s="330">
        <f t="shared" si="51"/>
        <v>0</v>
      </c>
      <c r="S104" s="330">
        <f t="shared" si="51"/>
        <v>0</v>
      </c>
      <c r="T104" s="330">
        <f t="shared" si="51"/>
        <v>0</v>
      </c>
      <c r="U104" s="330">
        <f t="shared" si="51"/>
        <v>0</v>
      </c>
      <c r="V104" s="330">
        <f t="shared" si="51"/>
        <v>0</v>
      </c>
      <c r="W104" s="330">
        <f t="shared" si="51"/>
        <v>0</v>
      </c>
      <c r="X104" s="330">
        <f t="shared" si="51"/>
        <v>0</v>
      </c>
      <c r="Y104" s="330">
        <f t="shared" si="51"/>
        <v>0</v>
      </c>
      <c r="Z104" s="330">
        <f t="shared" si="51"/>
        <v>0</v>
      </c>
      <c r="AA104" s="330">
        <f t="shared" si="51"/>
        <v>0</v>
      </c>
      <c r="AB104" s="323">
        <f t="shared" si="51"/>
        <v>0</v>
      </c>
      <c r="AC104" s="134"/>
      <c r="AD104" s="413"/>
      <c r="AE104" s="124"/>
      <c r="AF104" s="558"/>
      <c r="AG104" s="110">
        <v>65</v>
      </c>
    </row>
    <row r="105" spans="1:33" s="131" customFormat="1" ht="38.25" customHeight="1" x14ac:dyDescent="0.25">
      <c r="A105" s="362"/>
      <c r="B105" s="251" t="s">
        <v>652</v>
      </c>
      <c r="C105" s="272" t="s">
        <v>715</v>
      </c>
      <c r="D105" s="323">
        <f t="shared" ref="D105:K105" si="52">SUM(D97,D93,D89)</f>
        <v>0</v>
      </c>
      <c r="E105" s="323">
        <f t="shared" si="52"/>
        <v>0</v>
      </c>
      <c r="F105" s="323">
        <f t="shared" si="52"/>
        <v>0</v>
      </c>
      <c r="G105" s="323">
        <f t="shared" si="52"/>
        <v>0</v>
      </c>
      <c r="H105" s="323">
        <f t="shared" si="52"/>
        <v>0</v>
      </c>
      <c r="I105" s="323">
        <f t="shared" si="52"/>
        <v>0</v>
      </c>
      <c r="J105" s="323">
        <f t="shared" si="52"/>
        <v>0</v>
      </c>
      <c r="K105" s="323">
        <f t="shared" si="52"/>
        <v>0</v>
      </c>
      <c r="L105" s="323">
        <f>SUM(L97,L93,L89)</f>
        <v>0</v>
      </c>
      <c r="M105" s="323">
        <f t="shared" ref="M105:AB105" si="53">SUM(M97,M93,M89)</f>
        <v>0</v>
      </c>
      <c r="N105" s="323">
        <f t="shared" si="53"/>
        <v>0</v>
      </c>
      <c r="O105" s="323">
        <f t="shared" si="53"/>
        <v>0</v>
      </c>
      <c r="P105" s="323">
        <f t="shared" si="53"/>
        <v>0</v>
      </c>
      <c r="Q105" s="323">
        <f t="shared" si="53"/>
        <v>0</v>
      </c>
      <c r="R105" s="323">
        <f t="shared" si="53"/>
        <v>0</v>
      </c>
      <c r="S105" s="323">
        <f t="shared" si="53"/>
        <v>0</v>
      </c>
      <c r="T105" s="323">
        <f t="shared" si="53"/>
        <v>0</v>
      </c>
      <c r="U105" s="323">
        <f t="shared" si="53"/>
        <v>0</v>
      </c>
      <c r="V105" s="323">
        <f t="shared" si="53"/>
        <v>0</v>
      </c>
      <c r="W105" s="323">
        <f t="shared" si="53"/>
        <v>0</v>
      </c>
      <c r="X105" s="323">
        <f t="shared" si="53"/>
        <v>0</v>
      </c>
      <c r="Y105" s="323">
        <f t="shared" si="53"/>
        <v>0</v>
      </c>
      <c r="Z105" s="323">
        <f t="shared" si="53"/>
        <v>0</v>
      </c>
      <c r="AA105" s="323">
        <f t="shared" si="53"/>
        <v>0</v>
      </c>
      <c r="AB105" s="329">
        <f t="shared" si="53"/>
        <v>0</v>
      </c>
      <c r="AC105" s="230" t="str">
        <f>CONCATENATE(IF(D106&gt;D105," *Repeat Test and Turned Positive  Other Service Modality "&amp;$D$19&amp;" "&amp;$D$20&amp;" is more than Repeat Test Other Service Modality"&amp;CHAR(10),""),IF(E106&gt;E105," *Repeat Test and Turned Positive  Other Service Modality "&amp;$D$19&amp;" "&amp;$E$20&amp;" is more than Repeat Test Other Service Modality"&amp;CHAR(10),""),IF(F106&gt;F105," *Repeat Test and Turned Positive  Other Service Modality "&amp;$F$19&amp;" "&amp;$F$20&amp;" is more than Repeat Test Other Service Modality"&amp;CHAR(10),""),IF(G106&gt;G105," *Repeat Test and Turned Positive  Other Service Modality "&amp;$F$19&amp;" "&amp;$G$20&amp;" is more than Repeat Test Other Service Modality"&amp;CHAR(10),""),IF(H106&gt;H105," *Repeat Test and Turned Positive  Other Service Modality "&amp;$H$19&amp;" "&amp;$H$20&amp;" is more than Repeat Test Other Service Modality"&amp;CHAR(10),""),IF(I106&gt;I105," *Repeat Test and Turned Positive  Other Service Modality "&amp;$H$19&amp;" "&amp;$I$20&amp;" is more than Repeat Test Other Service Modality"&amp;CHAR(10),""),IF(J106&gt;J105," *Repeat Test and Turned Positive  Other Service Modality "&amp;$J$19&amp;" "&amp;$J$20&amp;" is more than Repeat Test Other Service Modality"&amp;CHAR(10),""),IF(K106&gt;K105," *Repeat Test and Turned Positive  Other Service Modality "&amp;$J$19&amp;" "&amp;$K$20&amp;" is more than Repeat Test Other Service Modality"&amp;CHAR(10),""),IF(L106&gt;L105," *Repeat Test and Turned Positive  Other Service Modality "&amp;$L$19&amp;" "&amp;$L$20&amp;" is more than Repeat Test Other Service Modality"&amp;CHAR(10),""),IF(M106&gt;M105," *Repeat Test and Turned Positive  Other Service Modality "&amp;$L$19&amp;" "&amp;$M$20&amp;" is more than Repeat Test Other Service Modality"&amp;CHAR(10),""),IF(N106&gt;N105," *Repeat Test and Turned Positive  Other Service Modality "&amp;$N$19&amp;" "&amp;$N$20&amp;" is more than Repeat Test Other Service Modality"&amp;CHAR(10),""),IF(O106&gt;O105," *Repeat Test and Turned Positive  Other Service Modality "&amp;$N$19&amp;" "&amp;$O$20&amp;" is more than Repeat Test Other Service Modality"&amp;CHAR(10),""),IF(P106&gt;P105," *Repeat Test and Turned Positive  Other Service Modality "&amp;$P$19&amp;" "&amp;$P$20&amp;" is more than Repeat Test Other Service Modality"&amp;CHAR(10),""),IF(Q106&gt;Q105," *Repeat Test and Turned Positive  Other Service Modality "&amp;$P$19&amp;" "&amp;$Q$20&amp;" is more than Repeat Test Other Service Modality"&amp;CHAR(10),""),IF(R106&gt;R105," *Repeat Test and Turned Positive  Other Service Modality "&amp;$R$19&amp;" "&amp;$R$20&amp;" is more than Repeat Test Other Service Modality"&amp;CHAR(10),""),IF(S106&gt;S105," *Repeat Test and Turned Positive  Other Service Modality "&amp;$R$19&amp;" "&amp;$S$20&amp;" is more than Repeat Test Other Service Modality"&amp;CHAR(10),""),IF(T106&gt;T105," *Repeat Test and Turned Positive  Other Service Modality "&amp;$T$19&amp;" "&amp;$T$20&amp;" is more than Repeat Test Other Service Modality"&amp;CHAR(10),""),IF(U106&gt;U105," *Repeat Test and Turned Positive  Other Service Modality "&amp;$T$19&amp;" "&amp;$U$20&amp;" is more than Repeat Test Other Service Modality"&amp;CHAR(10),""),IF(V106&gt;V105," *Repeat Test and Turned Positive  Other Service Modality "&amp;$V$19&amp;" "&amp;$V$20&amp;" is more than Repeat Test Other Service Modality"&amp;CHAR(10),""),IF(W106&gt;W105," *Repeat Test and Turned Positive  Other Service Modality "&amp;$V$19&amp;" "&amp;$W$20&amp;" is more than Repeat Test Other Service Modality"&amp;CHAR(10),""),IF(X106&gt;X105," *Repeat Test and Turned Positive  Other Service Modality "&amp;$X$19&amp;" "&amp;$X$20&amp;" is more than Repeat Test Other Service Modality"&amp;CHAR(10),""),IF(Y106&gt;Y105," *Repeat Test and Turned Positive  Other Service Modality "&amp;$X$19&amp;" "&amp;$Y$20&amp;" is more than Repeat Test Other Service Modality"&amp;CHAR(10),""),IF(Z106&gt;Z105," *Repeat Test and Turned Positive  Other Service Modality "&amp;$Z$19&amp;" "&amp;$Z$20&amp;" is more than Repeat Test Other Service Modality"&amp;CHAR(10),""),IF(AA106&gt;AA105," *Repeat Test and Turned Positive  Other Service Modality "&amp;$Z$19&amp;" "&amp;$AA$20&amp;" is more than Repeat Test Other Service Modality"&amp;CHAR(10),""))</f>
        <v/>
      </c>
      <c r="AD105" s="413"/>
      <c r="AE105" s="124"/>
      <c r="AF105" s="558"/>
      <c r="AG105" s="110">
        <v>64</v>
      </c>
    </row>
    <row r="106" spans="1:33" s="131" customFormat="1" ht="38.25" customHeight="1" thickBot="1" x14ac:dyDescent="0.3">
      <c r="A106" s="363"/>
      <c r="B106" s="252" t="s">
        <v>655</v>
      </c>
      <c r="C106" s="313" t="s">
        <v>716</v>
      </c>
      <c r="D106" s="323">
        <f t="shared" ref="D106:AB106" si="54">SUM(D98,D94,D90)</f>
        <v>0</v>
      </c>
      <c r="E106" s="323">
        <f t="shared" si="54"/>
        <v>0</v>
      </c>
      <c r="F106" s="323">
        <f t="shared" si="54"/>
        <v>0</v>
      </c>
      <c r="G106" s="323">
        <f t="shared" si="54"/>
        <v>0</v>
      </c>
      <c r="H106" s="323">
        <f t="shared" si="54"/>
        <v>0</v>
      </c>
      <c r="I106" s="323">
        <f t="shared" si="54"/>
        <v>0</v>
      </c>
      <c r="J106" s="323">
        <f t="shared" si="54"/>
        <v>0</v>
      </c>
      <c r="K106" s="323">
        <f t="shared" si="54"/>
        <v>0</v>
      </c>
      <c r="L106" s="323">
        <f t="shared" si="54"/>
        <v>0</v>
      </c>
      <c r="M106" s="323">
        <f t="shared" si="54"/>
        <v>0</v>
      </c>
      <c r="N106" s="323">
        <f t="shared" si="54"/>
        <v>0</v>
      </c>
      <c r="O106" s="323">
        <f t="shared" si="54"/>
        <v>0</v>
      </c>
      <c r="P106" s="323">
        <f t="shared" si="54"/>
        <v>0</v>
      </c>
      <c r="Q106" s="323">
        <f t="shared" si="54"/>
        <v>0</v>
      </c>
      <c r="R106" s="323">
        <f t="shared" si="54"/>
        <v>0</v>
      </c>
      <c r="S106" s="323">
        <f t="shared" si="54"/>
        <v>0</v>
      </c>
      <c r="T106" s="323">
        <f t="shared" si="54"/>
        <v>0</v>
      </c>
      <c r="U106" s="323">
        <f t="shared" si="54"/>
        <v>0</v>
      </c>
      <c r="V106" s="323">
        <f t="shared" si="54"/>
        <v>0</v>
      </c>
      <c r="W106" s="323">
        <f t="shared" si="54"/>
        <v>0</v>
      </c>
      <c r="X106" s="323">
        <f t="shared" si="54"/>
        <v>0</v>
      </c>
      <c r="Y106" s="323">
        <f t="shared" si="54"/>
        <v>0</v>
      </c>
      <c r="Z106" s="323">
        <f t="shared" si="54"/>
        <v>0</v>
      </c>
      <c r="AA106" s="323">
        <f t="shared" si="54"/>
        <v>0</v>
      </c>
      <c r="AB106" s="323">
        <f t="shared" si="54"/>
        <v>0</v>
      </c>
      <c r="AC106" s="135"/>
      <c r="AD106" s="414"/>
      <c r="AE106" s="124"/>
      <c r="AF106" s="559"/>
      <c r="AG106" s="110">
        <v>65</v>
      </c>
    </row>
    <row r="107" spans="1:33" s="4" customFormat="1" ht="38.25" customHeight="1" thickBot="1" x14ac:dyDescent="0.3">
      <c r="A107" s="429" t="s">
        <v>237</v>
      </c>
      <c r="B107" s="430"/>
      <c r="C107" s="430"/>
      <c r="D107" s="378"/>
      <c r="E107" s="378"/>
      <c r="F107" s="378"/>
      <c r="G107" s="378"/>
      <c r="H107" s="378"/>
      <c r="I107" s="378"/>
      <c r="J107" s="378"/>
      <c r="K107" s="378"/>
      <c r="L107" s="378"/>
      <c r="M107" s="378"/>
      <c r="N107" s="378"/>
      <c r="O107" s="378"/>
      <c r="P107" s="378"/>
      <c r="Q107" s="378"/>
      <c r="R107" s="378"/>
      <c r="S107" s="378"/>
      <c r="T107" s="378"/>
      <c r="U107" s="378"/>
      <c r="V107" s="378"/>
      <c r="W107" s="378"/>
      <c r="X107" s="378"/>
      <c r="Y107" s="378"/>
      <c r="Z107" s="378"/>
      <c r="AA107" s="378"/>
      <c r="AB107" s="378"/>
      <c r="AC107" s="430"/>
      <c r="AD107" s="430"/>
      <c r="AE107" s="430"/>
      <c r="AF107" s="380"/>
      <c r="AG107" s="110">
        <v>66</v>
      </c>
    </row>
    <row r="108" spans="1:33" s="4" customFormat="1" ht="27" hidden="1" customHeight="1" thickBot="1" x14ac:dyDescent="0.3">
      <c r="A108" s="397" t="s">
        <v>17</v>
      </c>
      <c r="B108" s="395" t="s">
        <v>25</v>
      </c>
      <c r="C108" s="476" t="s">
        <v>24</v>
      </c>
      <c r="D108" s="408" t="s">
        <v>0</v>
      </c>
      <c r="E108" s="408"/>
      <c r="F108" s="408" t="s">
        <v>1</v>
      </c>
      <c r="G108" s="408"/>
      <c r="H108" s="408" t="s">
        <v>2</v>
      </c>
      <c r="I108" s="408"/>
      <c r="J108" s="408" t="s">
        <v>3</v>
      </c>
      <c r="K108" s="408"/>
      <c r="L108" s="391" t="s">
        <v>4</v>
      </c>
      <c r="M108" s="392"/>
      <c r="N108" s="391" t="s">
        <v>5</v>
      </c>
      <c r="O108" s="392"/>
      <c r="P108" s="391" t="s">
        <v>6</v>
      </c>
      <c r="Q108" s="392"/>
      <c r="R108" s="391" t="s">
        <v>7</v>
      </c>
      <c r="S108" s="392"/>
      <c r="T108" s="391" t="s">
        <v>8</v>
      </c>
      <c r="U108" s="392"/>
      <c r="V108" s="391" t="s">
        <v>14</v>
      </c>
      <c r="W108" s="392"/>
      <c r="X108" s="391" t="s">
        <v>15</v>
      </c>
      <c r="Y108" s="392"/>
      <c r="Z108" s="391" t="s">
        <v>9</v>
      </c>
      <c r="AA108" s="392"/>
      <c r="AB108" s="441" t="s">
        <v>12</v>
      </c>
      <c r="AC108" s="428" t="s">
        <v>26</v>
      </c>
      <c r="AD108" s="437" t="s">
        <v>31</v>
      </c>
      <c r="AE108" s="435" t="s">
        <v>32</v>
      </c>
      <c r="AF108" s="435" t="s">
        <v>32</v>
      </c>
      <c r="AG108" s="110">
        <v>67</v>
      </c>
    </row>
    <row r="109" spans="1:33" s="4" customFormat="1" ht="27" hidden="1" customHeight="1" thickBot="1" x14ac:dyDescent="0.3">
      <c r="A109" s="398"/>
      <c r="B109" s="396"/>
      <c r="C109" s="404"/>
      <c r="D109" s="12" t="s">
        <v>10</v>
      </c>
      <c r="E109" s="12" t="s">
        <v>11</v>
      </c>
      <c r="F109" s="12" t="s">
        <v>10</v>
      </c>
      <c r="G109" s="12" t="s">
        <v>11</v>
      </c>
      <c r="H109" s="12" t="s">
        <v>10</v>
      </c>
      <c r="I109" s="12" t="s">
        <v>11</v>
      </c>
      <c r="J109" s="12" t="s">
        <v>10</v>
      </c>
      <c r="K109" s="12" t="s">
        <v>11</v>
      </c>
      <c r="L109" s="12" t="s">
        <v>10</v>
      </c>
      <c r="M109" s="12" t="s">
        <v>11</v>
      </c>
      <c r="N109" s="12" t="s">
        <v>10</v>
      </c>
      <c r="O109" s="12" t="s">
        <v>11</v>
      </c>
      <c r="P109" s="12" t="s">
        <v>10</v>
      </c>
      <c r="Q109" s="12" t="s">
        <v>11</v>
      </c>
      <c r="R109" s="12" t="s">
        <v>10</v>
      </c>
      <c r="S109" s="12" t="s">
        <v>11</v>
      </c>
      <c r="T109" s="12" t="s">
        <v>10</v>
      </c>
      <c r="U109" s="12" t="s">
        <v>11</v>
      </c>
      <c r="V109" s="12" t="s">
        <v>10</v>
      </c>
      <c r="W109" s="12" t="s">
        <v>11</v>
      </c>
      <c r="X109" s="12" t="s">
        <v>10</v>
      </c>
      <c r="Y109" s="12" t="s">
        <v>11</v>
      </c>
      <c r="Z109" s="12" t="s">
        <v>10</v>
      </c>
      <c r="AA109" s="12" t="s">
        <v>11</v>
      </c>
      <c r="AB109" s="442"/>
      <c r="AC109" s="402"/>
      <c r="AD109" s="438"/>
      <c r="AE109" s="424"/>
      <c r="AF109" s="436"/>
      <c r="AG109" s="110">
        <v>68</v>
      </c>
    </row>
    <row r="110" spans="1:33" s="4" customFormat="1" ht="38.25" customHeight="1" x14ac:dyDescent="0.25">
      <c r="A110" s="361" t="s">
        <v>107</v>
      </c>
      <c r="B110" s="148" t="s">
        <v>117</v>
      </c>
      <c r="C110" s="197" t="s">
        <v>301</v>
      </c>
      <c r="D110" s="37"/>
      <c r="E110" s="28"/>
      <c r="F110" s="37"/>
      <c r="G110" s="28"/>
      <c r="H110" s="37"/>
      <c r="I110" s="28"/>
      <c r="J110" s="37"/>
      <c r="K110" s="28"/>
      <c r="L110" s="29"/>
      <c r="M110" s="29"/>
      <c r="N110" s="29"/>
      <c r="O110" s="29"/>
      <c r="P110" s="29"/>
      <c r="Q110" s="29"/>
      <c r="R110" s="29"/>
      <c r="S110" s="29"/>
      <c r="T110" s="29"/>
      <c r="U110" s="29"/>
      <c r="V110" s="29"/>
      <c r="W110" s="29"/>
      <c r="X110" s="29"/>
      <c r="Y110" s="29"/>
      <c r="Z110" s="29"/>
      <c r="AA110" s="104"/>
      <c r="AB110" s="100">
        <f>SUM(D110:AA110)</f>
        <v>0</v>
      </c>
      <c r="AC110" s="129" t="str">
        <f>CONCATENATE(IF(D111&gt;D110," * Accepted Index Testing "&amp;$D$19&amp;" "&amp;$D$20&amp;" is more than Offered Index Testing"&amp;CHAR(10),""),IF(E111&gt;E110," * Accepted Index Testing "&amp;$D$19&amp;" "&amp;$E$20&amp;" is more than Offered Index Testing"&amp;CHAR(10),""),IF(F111&gt;F110," * Accepted Index Testing "&amp;$F$19&amp;" "&amp;$F$20&amp;" is more than Offered Index Testing"&amp;CHAR(10),""),IF(G111&gt;G110," * Accepted Index Testing "&amp;$F$19&amp;" "&amp;$G$20&amp;" is more than Offered Index Testing"&amp;CHAR(10),""),IF(H111&gt;H110," * Accepted Index Testing "&amp;$H$19&amp;" "&amp;$H$20&amp;" is more than Offered Index Testing"&amp;CHAR(10),""),IF(I111&gt;I110," * Accepted Index Testing "&amp;$H$19&amp;" "&amp;$I$20&amp;" is more than Offered Index Testing"&amp;CHAR(10),""),IF(J111&gt;J110," * Accepted Index Testing "&amp;$J$19&amp;" "&amp;$J$20&amp;" is more than Offered Index Testing"&amp;CHAR(10),""),IF(K111&gt;K110," * Accepted Index Testing "&amp;$J$19&amp;" "&amp;$K$20&amp;" is more than Offered Index Testing"&amp;CHAR(10),""),IF(L111&gt;L110," * Accepted Index Testing "&amp;$L$19&amp;" "&amp;$L$20&amp;" is more than Offered Index Testing"&amp;CHAR(10),""),IF(M111&gt;M110," * Accepted Index Testing "&amp;$L$19&amp;" "&amp;$M$20&amp;" is more than Offered Index Testing"&amp;CHAR(10),""),IF(N111&gt;N110," * Accepted Index Testing "&amp;$N$19&amp;" "&amp;$N$20&amp;" is more than Offered Index Testing"&amp;CHAR(10),""),IF(O111&gt;O110," * Accepted Index Testing "&amp;$N$19&amp;" "&amp;$O$20&amp;" is more than Offered Index Testing"&amp;CHAR(10),""),IF(P111&gt;P110," * Accepted Index Testing "&amp;$P$19&amp;" "&amp;$P$20&amp;" is more than Offered Index Testing"&amp;CHAR(10),""),IF(Q111&gt;Q110," * Accepted Index Testing "&amp;$P$19&amp;" "&amp;$Q$20&amp;" is more than Offered Index Testing"&amp;CHAR(10),""),IF(R111&gt;R110," * Accepted Index Testing "&amp;$R$19&amp;" "&amp;$R$20&amp;" is more than Offered Index Testing"&amp;CHAR(10),""),IF(S111&gt;S110," * Accepted Index Testing "&amp;$R$19&amp;" "&amp;$S$20&amp;" is more than Offered Index Testing"&amp;CHAR(10),""),IF(T111&gt;T110," * Accepted Index Testing "&amp;$T$19&amp;" "&amp;$T$20&amp;" is more than Offered Index Testing"&amp;CHAR(10),""),IF(U111&gt;U110," * Accepted Index Testing "&amp;$T$19&amp;" "&amp;$U$20&amp;" is more than Offered Index Testing"&amp;CHAR(10),""),IF(V111&gt;V110," * Accepted Index Testing "&amp;$V$19&amp;" "&amp;$V$20&amp;" is more than Offered Index Testing"&amp;CHAR(10),""),IF(W111&gt;W110," * Accepted Index Testing "&amp;$V$19&amp;" "&amp;$W$20&amp;" is more than Offered Index Testing"&amp;CHAR(10),""),IF(X111&gt;X110," * Accepted Index Testing "&amp;$X$19&amp;" "&amp;$X$20&amp;" is more than Offered Index Testing"&amp;CHAR(10),""),IF(Y111&gt;Y110," * Accepted Index Testing "&amp;$X$19&amp;" "&amp;$Y$20&amp;" is more than Offered Index Testing"&amp;CHAR(10),""),IF(Z111&gt;Z110," * Accepted Index Testing "&amp;$Z$19&amp;" "&amp;$Z$20&amp;" is more than Offered Index Testing"&amp;CHAR(10),""),IF(AA111&gt;AA110," * Accepted Index Testing "&amp;$Z$19&amp;" "&amp;$AA$20&amp;" is more than Offered Index Testing"&amp;CHAR(10),""))</f>
        <v/>
      </c>
      <c r="AD110" s="412" t="str">
        <f>CONCATENATE(AC110,AC111,AC112,AC113,AC114,AC115)</f>
        <v/>
      </c>
      <c r="AE110" s="123"/>
      <c r="AF110" s="557" t="str">
        <f>CONCATENATE(AE115,AE114,AE113,AE112,AE111,AE110)</f>
        <v/>
      </c>
      <c r="AG110" s="110">
        <v>69</v>
      </c>
    </row>
    <row r="111" spans="1:33" s="4" customFormat="1" ht="38.25" customHeight="1" x14ac:dyDescent="0.25">
      <c r="A111" s="362"/>
      <c r="B111" s="149" t="s">
        <v>116</v>
      </c>
      <c r="C111" s="198" t="s">
        <v>302</v>
      </c>
      <c r="D111" s="36"/>
      <c r="E111" s="27"/>
      <c r="F111" s="36"/>
      <c r="G111" s="27"/>
      <c r="H111" s="36"/>
      <c r="I111" s="27"/>
      <c r="J111" s="36"/>
      <c r="K111" s="27"/>
      <c r="L111" s="25"/>
      <c r="M111" s="25"/>
      <c r="N111" s="25"/>
      <c r="O111" s="25"/>
      <c r="P111" s="25"/>
      <c r="Q111" s="25"/>
      <c r="R111" s="25"/>
      <c r="S111" s="25"/>
      <c r="T111" s="25"/>
      <c r="U111" s="25"/>
      <c r="V111" s="25"/>
      <c r="W111" s="25"/>
      <c r="X111" s="25"/>
      <c r="Y111" s="25"/>
      <c r="Z111" s="25"/>
      <c r="AA111" s="105"/>
      <c r="AB111" s="101">
        <f t="shared" ref="AB111:AB133" si="55">SUM(D111:AA111)</f>
        <v>0</v>
      </c>
      <c r="AC111" s="128"/>
      <c r="AD111" s="413"/>
      <c r="AE111" s="124"/>
      <c r="AF111" s="558"/>
      <c r="AG111" s="110">
        <v>70</v>
      </c>
    </row>
    <row r="112" spans="1:33" s="4" customFormat="1" ht="38.25" customHeight="1" x14ac:dyDescent="0.25">
      <c r="A112" s="362"/>
      <c r="B112" s="149" t="s">
        <v>109</v>
      </c>
      <c r="C112" s="198" t="s">
        <v>303</v>
      </c>
      <c r="D112" s="36"/>
      <c r="E112" s="27"/>
      <c r="F112" s="36"/>
      <c r="G112" s="27"/>
      <c r="H112" s="36"/>
      <c r="I112" s="27"/>
      <c r="J112" s="36"/>
      <c r="K112" s="27"/>
      <c r="L112" s="25"/>
      <c r="M112" s="25"/>
      <c r="N112" s="25"/>
      <c r="O112" s="25"/>
      <c r="P112" s="25"/>
      <c r="Q112" s="25"/>
      <c r="R112" s="25"/>
      <c r="S112" s="25"/>
      <c r="T112" s="25"/>
      <c r="U112" s="25"/>
      <c r="V112" s="25"/>
      <c r="W112" s="25"/>
      <c r="X112" s="25"/>
      <c r="Y112" s="25"/>
      <c r="Z112" s="25"/>
      <c r="AA112" s="105"/>
      <c r="AB112" s="101">
        <f t="shared" si="55"/>
        <v>0</v>
      </c>
      <c r="AC112" s="128"/>
      <c r="AD112" s="413"/>
      <c r="AE112" s="124"/>
      <c r="AF112" s="558"/>
      <c r="AG112" s="110">
        <v>71</v>
      </c>
    </row>
    <row r="113" spans="1:33" s="4" customFormat="1" ht="38.25" customHeight="1" x14ac:dyDescent="0.25">
      <c r="A113" s="362"/>
      <c r="B113" s="149" t="s">
        <v>108</v>
      </c>
      <c r="C113" s="198" t="s">
        <v>304</v>
      </c>
      <c r="D113" s="36"/>
      <c r="E113" s="27"/>
      <c r="F113" s="36"/>
      <c r="G113" s="27"/>
      <c r="H113" s="36"/>
      <c r="I113" s="27"/>
      <c r="J113" s="36"/>
      <c r="K113" s="27"/>
      <c r="L113" s="25"/>
      <c r="M113" s="25"/>
      <c r="N113" s="25"/>
      <c r="O113" s="25"/>
      <c r="P113" s="25"/>
      <c r="Q113" s="25"/>
      <c r="R113" s="25"/>
      <c r="S113" s="25"/>
      <c r="T113" s="25"/>
      <c r="U113" s="25"/>
      <c r="V113" s="25"/>
      <c r="W113" s="25"/>
      <c r="X113" s="25"/>
      <c r="Y113" s="25"/>
      <c r="Z113" s="25"/>
      <c r="AA113" s="105"/>
      <c r="AB113" s="101">
        <f t="shared" si="55"/>
        <v>0</v>
      </c>
      <c r="AC113" s="128"/>
      <c r="AD113" s="413"/>
      <c r="AE113" s="124"/>
      <c r="AF113" s="558"/>
      <c r="AG113" s="110">
        <v>72</v>
      </c>
    </row>
    <row r="114" spans="1:33" s="4" customFormat="1" ht="38.25" customHeight="1" x14ac:dyDescent="0.25">
      <c r="A114" s="362"/>
      <c r="B114" s="149" t="s">
        <v>23</v>
      </c>
      <c r="C114" s="198" t="s">
        <v>305</v>
      </c>
      <c r="D114" s="36"/>
      <c r="E114" s="27"/>
      <c r="F114" s="36"/>
      <c r="G114" s="27"/>
      <c r="H114" s="36"/>
      <c r="I114" s="27"/>
      <c r="J114" s="36"/>
      <c r="K114" s="27"/>
      <c r="L114" s="25"/>
      <c r="M114" s="25"/>
      <c r="N114" s="25"/>
      <c r="O114" s="25"/>
      <c r="P114" s="25"/>
      <c r="Q114" s="25"/>
      <c r="R114" s="25"/>
      <c r="S114" s="25"/>
      <c r="T114" s="25"/>
      <c r="U114" s="25"/>
      <c r="V114" s="25"/>
      <c r="W114" s="25"/>
      <c r="X114" s="25"/>
      <c r="Y114" s="25"/>
      <c r="Z114" s="25"/>
      <c r="AA114" s="105"/>
      <c r="AB114" s="101">
        <f t="shared" si="55"/>
        <v>0</v>
      </c>
      <c r="AC114" s="128" t="str">
        <f>CONCATENATE(IF(D115&gt;D114," * Positive HTS_INDEX "&amp;$D$19&amp;" "&amp;$D$20&amp;" is more than Tested HTS_INDEX"&amp;CHAR(10),""),IF(E115&gt;E114," * Positive HTS_INDEX "&amp;$D$19&amp;" "&amp;$E$20&amp;" is more than Tested HTS_INDEX"&amp;CHAR(10),""),IF(F115&gt;F114," * Positive HTS_INDEX "&amp;$F$19&amp;" "&amp;$F$20&amp;" is more than Tested HTS_INDEX"&amp;CHAR(10),""),IF(G115&gt;G114," * Positive HTS_INDEX "&amp;$F$19&amp;" "&amp;$G$20&amp;" is more than Tested HTS_INDEX"&amp;CHAR(10),""),IF(H115&gt;H114," * Positive HTS_INDEX "&amp;$H$19&amp;" "&amp;$H$20&amp;" is more than Tested HTS_INDEX"&amp;CHAR(10),""),IF(I115&gt;I114," * Positive HTS_INDEX "&amp;$H$19&amp;" "&amp;$I$20&amp;" is more than Tested HTS_INDEX"&amp;CHAR(10),""),IF(J115&gt;J114," * Positive HTS_INDEX "&amp;$J$19&amp;" "&amp;$J$20&amp;" is more than Tested HTS_INDEX"&amp;CHAR(10),""),IF(K115&gt;K114," * Positive HTS_INDEX "&amp;$J$19&amp;" "&amp;$K$20&amp;" is more than Tested HTS_INDEX"&amp;CHAR(10),""),IF(L115&gt;L114," * Positive HTS_INDEX "&amp;$L$19&amp;" "&amp;$L$20&amp;" is more than Tested HTS_INDEX"&amp;CHAR(10),""),IF(M115&gt;M114," * Positive HTS_INDEX "&amp;$L$19&amp;" "&amp;$M$20&amp;" is more than Tested HTS_INDEX"&amp;CHAR(10),""),IF(N115&gt;N114," * Positive HTS_INDEX "&amp;$N$19&amp;" "&amp;$N$20&amp;" is more than Tested HTS_INDEX"&amp;CHAR(10),""),IF(O115&gt;O114," * Positive HTS_INDEX "&amp;$N$19&amp;" "&amp;$O$20&amp;" is more than Tested HTS_INDEX"&amp;CHAR(10),""),IF(P115&gt;P114," * Positive HTS_INDEX "&amp;$P$19&amp;" "&amp;$P$20&amp;" is more than Tested HTS_INDEX"&amp;CHAR(10),""),IF(Q115&gt;Q114," * Positive HTS_INDEX "&amp;$P$19&amp;" "&amp;$Q$20&amp;" is more than Tested HTS_INDEX"&amp;CHAR(10),""),IF(R115&gt;R114," * Positive HTS_INDEX "&amp;$R$19&amp;" "&amp;$R$20&amp;" is more than Tested HTS_INDEX"&amp;CHAR(10),""),IF(S115&gt;S114," * Positive HTS_INDEX "&amp;$R$19&amp;" "&amp;$S$20&amp;" is more than Tested HTS_INDEX"&amp;CHAR(10),""),IF(T115&gt;T114," * Positive HTS_INDEX "&amp;$T$19&amp;" "&amp;$T$20&amp;" is more than Tested HTS_INDEX"&amp;CHAR(10),""),IF(U115&gt;U114," * Positive HTS_INDEX "&amp;$T$19&amp;" "&amp;$U$20&amp;" is more than Tested HTS_INDEX"&amp;CHAR(10),""),IF(V115&gt;V114," * Positive HTS_INDEX "&amp;$V$19&amp;" "&amp;$V$20&amp;" is more than Tested HTS_INDEX"&amp;CHAR(10),""),IF(W115&gt;W114," * Positive HTS_INDEX "&amp;$V$19&amp;" "&amp;$W$20&amp;" is more than Tested HTS_INDEX"&amp;CHAR(10),""),IF(X115&gt;X114," * Positive HTS_INDEX "&amp;$X$19&amp;" "&amp;$X$20&amp;" is more than Tested HTS_INDEX"&amp;CHAR(10),""),IF(Y115&gt;Y114," * Positive HTS_INDEX "&amp;$X$19&amp;" "&amp;$Y$20&amp;" is more than Tested HTS_INDEX"&amp;CHAR(10),""),IF(Z115&gt;Z114," * Positive HTS_INDEX "&amp;$Z$19&amp;" "&amp;$Z$20&amp;" is more than Tested HTS_INDEX"&amp;CHAR(10),""),IF(AA115&gt;AA114," * Positive HTS_INDEX "&amp;$Z$19&amp;" "&amp;$AA$20&amp;" is more than Tested HTS_INDEX"&amp;CHAR(10),""))</f>
        <v/>
      </c>
      <c r="AD114" s="413"/>
      <c r="AE114" s="124"/>
      <c r="AF114" s="558"/>
      <c r="AG114" s="110">
        <v>73</v>
      </c>
    </row>
    <row r="115" spans="1:33" s="4" customFormat="1" ht="38.25" customHeight="1" thickBot="1" x14ac:dyDescent="0.3">
      <c r="A115" s="363"/>
      <c r="B115" s="189" t="s">
        <v>22</v>
      </c>
      <c r="C115" s="203" t="s">
        <v>306</v>
      </c>
      <c r="D115" s="97"/>
      <c r="E115" s="98"/>
      <c r="F115" s="97"/>
      <c r="G115" s="98"/>
      <c r="H115" s="97"/>
      <c r="I115" s="98"/>
      <c r="J115" s="97"/>
      <c r="K115" s="98"/>
      <c r="L115" s="32"/>
      <c r="M115" s="32"/>
      <c r="N115" s="32"/>
      <c r="O115" s="32"/>
      <c r="P115" s="32"/>
      <c r="Q115" s="32"/>
      <c r="R115" s="32"/>
      <c r="S115" s="32"/>
      <c r="T115" s="32"/>
      <c r="U115" s="32"/>
      <c r="V115" s="32"/>
      <c r="W115" s="32"/>
      <c r="X115" s="32"/>
      <c r="Y115" s="32"/>
      <c r="Z115" s="32"/>
      <c r="AA115" s="106"/>
      <c r="AB115" s="102">
        <f t="shared" si="55"/>
        <v>0</v>
      </c>
      <c r="AC115" s="128"/>
      <c r="AD115" s="414"/>
      <c r="AE115" s="124"/>
      <c r="AF115" s="559"/>
      <c r="AG115" s="110">
        <v>74</v>
      </c>
    </row>
    <row r="116" spans="1:33" s="4" customFormat="1" ht="38.25" customHeight="1" thickBot="1" x14ac:dyDescent="0.3">
      <c r="A116" s="376" t="s">
        <v>238</v>
      </c>
      <c r="B116" s="377"/>
      <c r="C116" s="379"/>
      <c r="D116" s="377"/>
      <c r="E116" s="377"/>
      <c r="F116" s="377"/>
      <c r="G116" s="377"/>
      <c r="H116" s="377"/>
      <c r="I116" s="377"/>
      <c r="J116" s="377"/>
      <c r="K116" s="377"/>
      <c r="L116" s="377"/>
      <c r="M116" s="377"/>
      <c r="N116" s="377"/>
      <c r="O116" s="377"/>
      <c r="P116" s="377"/>
      <c r="Q116" s="377"/>
      <c r="R116" s="377"/>
      <c r="S116" s="377"/>
      <c r="T116" s="377"/>
      <c r="U116" s="377"/>
      <c r="V116" s="377"/>
      <c r="W116" s="377"/>
      <c r="X116" s="377"/>
      <c r="Y116" s="377"/>
      <c r="Z116" s="377"/>
      <c r="AA116" s="377"/>
      <c r="AB116" s="377"/>
      <c r="AC116" s="377"/>
      <c r="AD116" s="377"/>
      <c r="AE116" s="377"/>
      <c r="AF116" s="390"/>
      <c r="AG116" s="110">
        <v>75</v>
      </c>
    </row>
    <row r="117" spans="1:33" s="4" customFormat="1" ht="30.75" hidden="1" customHeight="1" thickBot="1" x14ac:dyDescent="0.3">
      <c r="A117" s="421" t="s">
        <v>17</v>
      </c>
      <c r="B117" s="403" t="s">
        <v>25</v>
      </c>
      <c r="C117" s="404" t="s">
        <v>24</v>
      </c>
      <c r="D117" s="405" t="s">
        <v>0</v>
      </c>
      <c r="E117" s="405"/>
      <c r="F117" s="405" t="s">
        <v>1</v>
      </c>
      <c r="G117" s="405"/>
      <c r="H117" s="405" t="s">
        <v>2</v>
      </c>
      <c r="I117" s="405"/>
      <c r="J117" s="405" t="s">
        <v>3</v>
      </c>
      <c r="K117" s="405"/>
      <c r="L117" s="406" t="s">
        <v>4</v>
      </c>
      <c r="M117" s="407"/>
      <c r="N117" s="406" t="s">
        <v>5</v>
      </c>
      <c r="O117" s="407"/>
      <c r="P117" s="406" t="s">
        <v>6</v>
      </c>
      <c r="Q117" s="407"/>
      <c r="R117" s="406" t="s">
        <v>7</v>
      </c>
      <c r="S117" s="407"/>
      <c r="T117" s="406" t="s">
        <v>8</v>
      </c>
      <c r="U117" s="407"/>
      <c r="V117" s="406" t="s">
        <v>14</v>
      </c>
      <c r="W117" s="407"/>
      <c r="X117" s="406" t="s">
        <v>15</v>
      </c>
      <c r="Y117" s="407"/>
      <c r="Z117" s="406" t="s">
        <v>9</v>
      </c>
      <c r="AA117" s="407"/>
      <c r="AB117" s="399" t="s">
        <v>12</v>
      </c>
      <c r="AC117" s="401" t="s">
        <v>26</v>
      </c>
      <c r="AD117" s="115"/>
      <c r="AE117" s="423" t="s">
        <v>32</v>
      </c>
      <c r="AF117" s="116"/>
      <c r="AG117" s="110">
        <v>76</v>
      </c>
    </row>
    <row r="118" spans="1:33" s="4" customFormat="1" ht="30.75" hidden="1" customHeight="1" thickBot="1" x14ac:dyDescent="0.3">
      <c r="A118" s="398"/>
      <c r="B118" s="396"/>
      <c r="C118" s="404"/>
      <c r="D118" s="12" t="s">
        <v>10</v>
      </c>
      <c r="E118" s="12" t="s">
        <v>11</v>
      </c>
      <c r="F118" s="12" t="s">
        <v>10</v>
      </c>
      <c r="G118" s="12" t="s">
        <v>11</v>
      </c>
      <c r="H118" s="12" t="s">
        <v>10</v>
      </c>
      <c r="I118" s="12" t="s">
        <v>11</v>
      </c>
      <c r="J118" s="12" t="s">
        <v>10</v>
      </c>
      <c r="K118" s="12" t="s">
        <v>11</v>
      </c>
      <c r="L118" s="12" t="s">
        <v>10</v>
      </c>
      <c r="M118" s="12" t="s">
        <v>11</v>
      </c>
      <c r="N118" s="12" t="s">
        <v>10</v>
      </c>
      <c r="O118" s="12" t="s">
        <v>11</v>
      </c>
      <c r="P118" s="12" t="s">
        <v>10</v>
      </c>
      <c r="Q118" s="12" t="s">
        <v>11</v>
      </c>
      <c r="R118" s="12" t="s">
        <v>10</v>
      </c>
      <c r="S118" s="12" t="s">
        <v>11</v>
      </c>
      <c r="T118" s="12" t="s">
        <v>10</v>
      </c>
      <c r="U118" s="12" t="s">
        <v>11</v>
      </c>
      <c r="V118" s="12" t="s">
        <v>10</v>
      </c>
      <c r="W118" s="12" t="s">
        <v>11</v>
      </c>
      <c r="X118" s="12" t="s">
        <v>10</v>
      </c>
      <c r="Y118" s="12" t="s">
        <v>11</v>
      </c>
      <c r="Z118" s="12" t="s">
        <v>10</v>
      </c>
      <c r="AA118" s="12" t="s">
        <v>11</v>
      </c>
      <c r="AB118" s="400"/>
      <c r="AC118" s="402"/>
      <c r="AD118" s="115"/>
      <c r="AE118" s="424"/>
      <c r="AF118" s="116"/>
      <c r="AG118" s="110">
        <v>77</v>
      </c>
    </row>
    <row r="119" spans="1:33" s="4" customFormat="1" ht="38.25" customHeight="1" x14ac:dyDescent="0.25">
      <c r="A119" s="415" t="s">
        <v>110</v>
      </c>
      <c r="B119" s="249" t="s">
        <v>118</v>
      </c>
      <c r="C119" s="197" t="s">
        <v>307</v>
      </c>
      <c r="D119" s="190">
        <f t="shared" ref="D119:K119" si="56">SUM(D121:D125)</f>
        <v>0</v>
      </c>
      <c r="E119" s="117">
        <f t="shared" si="56"/>
        <v>0</v>
      </c>
      <c r="F119" s="117">
        <f t="shared" si="56"/>
        <v>0</v>
      </c>
      <c r="G119" s="117">
        <f t="shared" si="56"/>
        <v>0</v>
      </c>
      <c r="H119" s="117">
        <f t="shared" si="56"/>
        <v>0</v>
      </c>
      <c r="I119" s="117">
        <f t="shared" si="56"/>
        <v>0</v>
      </c>
      <c r="J119" s="117">
        <f t="shared" si="56"/>
        <v>0</v>
      </c>
      <c r="K119" s="117">
        <f t="shared" si="56"/>
        <v>0</v>
      </c>
      <c r="L119" s="117">
        <f>SUM(L121:L125)</f>
        <v>0</v>
      </c>
      <c r="M119" s="117">
        <f t="shared" ref="M119:AB119" si="57">SUM(M121:M125)</f>
        <v>0</v>
      </c>
      <c r="N119" s="117">
        <f t="shared" si="57"/>
        <v>0</v>
      </c>
      <c r="O119" s="117">
        <f t="shared" si="57"/>
        <v>0</v>
      </c>
      <c r="P119" s="117">
        <f t="shared" si="57"/>
        <v>0</v>
      </c>
      <c r="Q119" s="117">
        <f t="shared" si="57"/>
        <v>0</v>
      </c>
      <c r="R119" s="117">
        <f t="shared" si="57"/>
        <v>0</v>
      </c>
      <c r="S119" s="117">
        <f t="shared" si="57"/>
        <v>0</v>
      </c>
      <c r="T119" s="117">
        <f t="shared" si="57"/>
        <v>0</v>
      </c>
      <c r="U119" s="117">
        <f t="shared" si="57"/>
        <v>0</v>
      </c>
      <c r="V119" s="117">
        <f t="shared" si="57"/>
        <v>0</v>
      </c>
      <c r="W119" s="117">
        <f t="shared" si="57"/>
        <v>0</v>
      </c>
      <c r="X119" s="117">
        <f t="shared" si="57"/>
        <v>0</v>
      </c>
      <c r="Y119" s="117">
        <f t="shared" si="57"/>
        <v>0</v>
      </c>
      <c r="Z119" s="117">
        <f t="shared" si="57"/>
        <v>0</v>
      </c>
      <c r="AA119" s="118">
        <f t="shared" si="57"/>
        <v>0</v>
      </c>
      <c r="AB119" s="242">
        <f t="shared" si="57"/>
        <v>0</v>
      </c>
      <c r="AC119" s="129"/>
      <c r="AD119" s="413" t="str">
        <f>CONCATENATE(AC119,AC120,AC121,AC122,AC123,AC124,AC125,AC126,AC127,AC128,AC129,AC130,AC131,AC132,AC133)</f>
        <v/>
      </c>
      <c r="AE119" s="124"/>
      <c r="AF119" s="558" t="str">
        <f>CONCATENATE(AE119,AE120,AE121,AE122,AE123,AE124,AE125,AE126,AE127,AE128,AE129,AE130,AE131,AE132,AE133)</f>
        <v/>
      </c>
      <c r="AG119" s="110">
        <v>78</v>
      </c>
    </row>
    <row r="120" spans="1:33" s="4" customFormat="1" ht="38.25" customHeight="1" thickBot="1" x14ac:dyDescent="0.3">
      <c r="A120" s="416"/>
      <c r="B120" s="250" t="s">
        <v>119</v>
      </c>
      <c r="C120" s="198" t="s">
        <v>308</v>
      </c>
      <c r="D120" s="64">
        <f t="shared" ref="D120:K120" si="58">SUM(D126:D130)</f>
        <v>0</v>
      </c>
      <c r="E120" s="64">
        <f t="shared" si="58"/>
        <v>0</v>
      </c>
      <c r="F120" s="64">
        <f t="shared" si="58"/>
        <v>0</v>
      </c>
      <c r="G120" s="64">
        <f t="shared" si="58"/>
        <v>0</v>
      </c>
      <c r="H120" s="64">
        <f t="shared" si="58"/>
        <v>0</v>
      </c>
      <c r="I120" s="64">
        <f t="shared" si="58"/>
        <v>0</v>
      </c>
      <c r="J120" s="64">
        <f t="shared" si="58"/>
        <v>0</v>
      </c>
      <c r="K120" s="64">
        <f t="shared" si="58"/>
        <v>0</v>
      </c>
      <c r="L120" s="64">
        <f>SUM(L126:L130)</f>
        <v>0</v>
      </c>
      <c r="M120" s="64">
        <f t="shared" ref="M120:AA120" si="59">SUM(M126:M130)</f>
        <v>0</v>
      </c>
      <c r="N120" s="64">
        <f t="shared" si="59"/>
        <v>0</v>
      </c>
      <c r="O120" s="64">
        <f t="shared" si="59"/>
        <v>0</v>
      </c>
      <c r="P120" s="64">
        <f t="shared" si="59"/>
        <v>0</v>
      </c>
      <c r="Q120" s="64">
        <f t="shared" si="59"/>
        <v>0</v>
      </c>
      <c r="R120" s="64">
        <f t="shared" si="59"/>
        <v>0</v>
      </c>
      <c r="S120" s="64">
        <f t="shared" si="59"/>
        <v>0</v>
      </c>
      <c r="T120" s="64">
        <f t="shared" si="59"/>
        <v>0</v>
      </c>
      <c r="U120" s="64">
        <f t="shared" si="59"/>
        <v>0</v>
      </c>
      <c r="V120" s="64">
        <f t="shared" si="59"/>
        <v>0</v>
      </c>
      <c r="W120" s="64">
        <f t="shared" si="59"/>
        <v>0</v>
      </c>
      <c r="X120" s="64">
        <f t="shared" si="59"/>
        <v>0</v>
      </c>
      <c r="Y120" s="64">
        <f t="shared" si="59"/>
        <v>0</v>
      </c>
      <c r="Z120" s="64">
        <f t="shared" si="59"/>
        <v>0</v>
      </c>
      <c r="AA120" s="64">
        <f t="shared" si="59"/>
        <v>0</v>
      </c>
      <c r="AB120" s="244">
        <f t="shared" ref="AB120" si="60">SUM(AB126:AB130)</f>
        <v>0</v>
      </c>
      <c r="AC120" s="132"/>
      <c r="AD120" s="413"/>
      <c r="AE120" s="124"/>
      <c r="AF120" s="558"/>
      <c r="AG120" s="110">
        <v>79</v>
      </c>
    </row>
    <row r="121" spans="1:33" s="4" customFormat="1" ht="38.25" customHeight="1" x14ac:dyDescent="0.25">
      <c r="A121" s="212" t="s">
        <v>76</v>
      </c>
      <c r="B121" s="148" t="s">
        <v>112</v>
      </c>
      <c r="C121" s="197" t="s">
        <v>309</v>
      </c>
      <c r="D121" s="37"/>
      <c r="E121" s="28"/>
      <c r="F121" s="37"/>
      <c r="G121" s="28"/>
      <c r="H121" s="37"/>
      <c r="I121" s="28"/>
      <c r="J121" s="37"/>
      <c r="K121" s="28"/>
      <c r="L121" s="29"/>
      <c r="M121" s="29"/>
      <c r="N121" s="29"/>
      <c r="O121" s="29"/>
      <c r="P121" s="29"/>
      <c r="Q121" s="29"/>
      <c r="R121" s="29"/>
      <c r="S121" s="29"/>
      <c r="T121" s="29"/>
      <c r="U121" s="29"/>
      <c r="V121" s="29"/>
      <c r="W121" s="29"/>
      <c r="X121" s="29"/>
      <c r="Y121" s="29"/>
      <c r="Z121" s="29"/>
      <c r="AA121" s="104"/>
      <c r="AB121" s="100">
        <f t="shared" si="55"/>
        <v>0</v>
      </c>
      <c r="AC121" s="133"/>
      <c r="AD121" s="413"/>
      <c r="AE121" s="124"/>
      <c r="AF121" s="558"/>
      <c r="AG121" s="110">
        <v>80</v>
      </c>
    </row>
    <row r="122" spans="1:33" s="4" customFormat="1" ht="38.25" customHeight="1" thickBot="1" x14ac:dyDescent="0.3">
      <c r="A122" s="213" t="s">
        <v>77</v>
      </c>
      <c r="B122" s="149" t="s">
        <v>112</v>
      </c>
      <c r="C122" s="198" t="s">
        <v>310</v>
      </c>
      <c r="D122" s="36"/>
      <c r="E122" s="27"/>
      <c r="F122" s="36"/>
      <c r="G122" s="27"/>
      <c r="H122" s="36"/>
      <c r="I122" s="27"/>
      <c r="J122" s="36"/>
      <c r="K122" s="27"/>
      <c r="L122" s="25"/>
      <c r="M122" s="27"/>
      <c r="N122" s="25"/>
      <c r="O122" s="27"/>
      <c r="P122" s="25"/>
      <c r="Q122" s="27"/>
      <c r="R122" s="25"/>
      <c r="S122" s="27"/>
      <c r="T122" s="25"/>
      <c r="U122" s="27"/>
      <c r="V122" s="25"/>
      <c r="W122" s="27"/>
      <c r="X122" s="25"/>
      <c r="Y122" s="27"/>
      <c r="Z122" s="25"/>
      <c r="AA122" s="27"/>
      <c r="AB122" s="119">
        <f t="shared" si="55"/>
        <v>0</v>
      </c>
      <c r="AC122" s="134"/>
      <c r="AD122" s="413"/>
      <c r="AE122" s="124"/>
      <c r="AF122" s="558"/>
      <c r="AG122" s="110">
        <v>81</v>
      </c>
    </row>
    <row r="123" spans="1:33" s="4" customFormat="1" ht="38.25" customHeight="1" thickBot="1" x14ac:dyDescent="0.3">
      <c r="A123" s="213" t="s">
        <v>435</v>
      </c>
      <c r="B123" s="149" t="s">
        <v>112</v>
      </c>
      <c r="C123" s="198" t="s">
        <v>311</v>
      </c>
      <c r="D123" s="36"/>
      <c r="E123" s="27"/>
      <c r="F123" s="36"/>
      <c r="G123" s="27"/>
      <c r="H123" s="36"/>
      <c r="I123" s="27"/>
      <c r="J123" s="36"/>
      <c r="K123" s="27"/>
      <c r="L123" s="27"/>
      <c r="M123" s="27"/>
      <c r="N123" s="27"/>
      <c r="O123" s="27"/>
      <c r="P123" s="27"/>
      <c r="Q123" s="27"/>
      <c r="R123" s="27"/>
      <c r="S123" s="27"/>
      <c r="T123" s="27"/>
      <c r="U123" s="27"/>
      <c r="V123" s="27"/>
      <c r="W123" s="27"/>
      <c r="X123" s="27"/>
      <c r="Y123" s="27"/>
      <c r="Z123" s="27"/>
      <c r="AA123" s="237"/>
      <c r="AB123" s="238"/>
      <c r="AC123" s="134"/>
      <c r="AD123" s="413"/>
      <c r="AE123" s="124"/>
      <c r="AF123" s="558"/>
      <c r="AG123" s="110">
        <v>82</v>
      </c>
    </row>
    <row r="124" spans="1:33" s="4" customFormat="1" ht="38.25" customHeight="1" x14ac:dyDescent="0.25">
      <c r="A124" s="213" t="s">
        <v>79</v>
      </c>
      <c r="B124" s="149" t="s">
        <v>112</v>
      </c>
      <c r="C124" s="198" t="s">
        <v>312</v>
      </c>
      <c r="D124" s="36"/>
      <c r="E124" s="27"/>
      <c r="F124" s="36"/>
      <c r="G124" s="27"/>
      <c r="H124" s="36"/>
      <c r="I124" s="27"/>
      <c r="J124" s="36"/>
      <c r="K124" s="27"/>
      <c r="L124" s="27"/>
      <c r="M124" s="25"/>
      <c r="N124" s="27"/>
      <c r="O124" s="25"/>
      <c r="P124" s="27"/>
      <c r="Q124" s="25"/>
      <c r="R124" s="27"/>
      <c r="S124" s="25"/>
      <c r="T124" s="27"/>
      <c r="U124" s="25"/>
      <c r="V124" s="27"/>
      <c r="W124" s="25"/>
      <c r="X124" s="27"/>
      <c r="Y124" s="25"/>
      <c r="Z124" s="27"/>
      <c r="AA124" s="105"/>
      <c r="AB124" s="108">
        <f t="shared" si="55"/>
        <v>0</v>
      </c>
      <c r="AC124" s="134"/>
      <c r="AD124" s="413"/>
      <c r="AE124" s="124"/>
      <c r="AF124" s="558"/>
      <c r="AG124" s="110">
        <v>83</v>
      </c>
    </row>
    <row r="125" spans="1:33" s="4" customFormat="1" ht="38.25" customHeight="1" thickBot="1" x14ac:dyDescent="0.3">
      <c r="A125" s="214" t="s">
        <v>167</v>
      </c>
      <c r="B125" s="150" t="s">
        <v>112</v>
      </c>
      <c r="C125" s="203" t="s">
        <v>313</v>
      </c>
      <c r="D125" s="97"/>
      <c r="E125" s="98"/>
      <c r="F125" s="97"/>
      <c r="G125" s="98"/>
      <c r="H125" s="97"/>
      <c r="I125" s="98"/>
      <c r="J125" s="97"/>
      <c r="K125" s="98"/>
      <c r="L125" s="32"/>
      <c r="M125" s="32"/>
      <c r="N125" s="32"/>
      <c r="O125" s="32"/>
      <c r="P125" s="32"/>
      <c r="Q125" s="32"/>
      <c r="R125" s="32"/>
      <c r="S125" s="32"/>
      <c r="T125" s="32"/>
      <c r="U125" s="32"/>
      <c r="V125" s="32"/>
      <c r="W125" s="32"/>
      <c r="X125" s="32"/>
      <c r="Y125" s="32"/>
      <c r="Z125" s="32"/>
      <c r="AA125" s="106"/>
      <c r="AB125" s="102">
        <f t="shared" si="55"/>
        <v>0</v>
      </c>
      <c r="AC125" s="135"/>
      <c r="AD125" s="413"/>
      <c r="AE125" s="124"/>
      <c r="AF125" s="558"/>
      <c r="AG125" s="110">
        <v>84</v>
      </c>
    </row>
    <row r="126" spans="1:33" s="4" customFormat="1" ht="38.25" customHeight="1" x14ac:dyDescent="0.25">
      <c r="A126" s="212" t="s">
        <v>76</v>
      </c>
      <c r="B126" s="148" t="s">
        <v>113</v>
      </c>
      <c r="C126" s="197" t="s">
        <v>314</v>
      </c>
      <c r="D126" s="37"/>
      <c r="E126" s="28"/>
      <c r="F126" s="37"/>
      <c r="G126" s="28"/>
      <c r="H126" s="37"/>
      <c r="I126" s="28"/>
      <c r="J126" s="37"/>
      <c r="K126" s="28"/>
      <c r="L126" s="29"/>
      <c r="M126" s="29"/>
      <c r="N126" s="29"/>
      <c r="O126" s="29"/>
      <c r="P126" s="29"/>
      <c r="Q126" s="29"/>
      <c r="R126" s="29"/>
      <c r="S126" s="29"/>
      <c r="T126" s="29"/>
      <c r="U126" s="29"/>
      <c r="V126" s="29"/>
      <c r="W126" s="29"/>
      <c r="X126" s="29"/>
      <c r="Y126" s="29"/>
      <c r="Z126" s="29"/>
      <c r="AA126" s="104"/>
      <c r="AB126" s="101">
        <f t="shared" si="55"/>
        <v>0</v>
      </c>
      <c r="AC126" s="133"/>
      <c r="AD126" s="413"/>
      <c r="AE126" s="124"/>
      <c r="AF126" s="558"/>
      <c r="AG126" s="110">
        <v>85</v>
      </c>
    </row>
    <row r="127" spans="1:33" s="4" customFormat="1" ht="38.25" customHeight="1" thickBot="1" x14ac:dyDescent="0.3">
      <c r="A127" s="213" t="s">
        <v>77</v>
      </c>
      <c r="B127" s="149" t="s">
        <v>113</v>
      </c>
      <c r="C127" s="198" t="s">
        <v>315</v>
      </c>
      <c r="D127" s="36"/>
      <c r="E127" s="27"/>
      <c r="F127" s="36"/>
      <c r="G127" s="27"/>
      <c r="H127" s="36"/>
      <c r="I127" s="27"/>
      <c r="J127" s="36"/>
      <c r="K127" s="27"/>
      <c r="L127" s="25"/>
      <c r="M127" s="27"/>
      <c r="N127" s="25"/>
      <c r="O127" s="27"/>
      <c r="P127" s="25"/>
      <c r="Q127" s="27"/>
      <c r="R127" s="25"/>
      <c r="S127" s="27"/>
      <c r="T127" s="25"/>
      <c r="U127" s="27"/>
      <c r="V127" s="25"/>
      <c r="W127" s="27"/>
      <c r="X127" s="25"/>
      <c r="Y127" s="27"/>
      <c r="Z127" s="25"/>
      <c r="AA127" s="27"/>
      <c r="AB127" s="119">
        <f t="shared" si="55"/>
        <v>0</v>
      </c>
      <c r="AC127" s="134"/>
      <c r="AD127" s="413"/>
      <c r="AE127" s="124"/>
      <c r="AF127" s="558"/>
      <c r="AG127" s="110">
        <v>86</v>
      </c>
    </row>
    <row r="128" spans="1:33" s="4" customFormat="1" ht="38.25" customHeight="1" thickBot="1" x14ac:dyDescent="0.3">
      <c r="A128" s="213" t="s">
        <v>435</v>
      </c>
      <c r="B128" s="149" t="s">
        <v>113</v>
      </c>
      <c r="C128" s="198" t="s">
        <v>316</v>
      </c>
      <c r="D128" s="36"/>
      <c r="E128" s="27"/>
      <c r="F128" s="36"/>
      <c r="G128" s="27"/>
      <c r="H128" s="36"/>
      <c r="I128" s="27"/>
      <c r="J128" s="36"/>
      <c r="K128" s="27"/>
      <c r="L128" s="27"/>
      <c r="M128" s="27"/>
      <c r="N128" s="27"/>
      <c r="O128" s="27"/>
      <c r="P128" s="27"/>
      <c r="Q128" s="27"/>
      <c r="R128" s="27"/>
      <c r="S128" s="27"/>
      <c r="T128" s="27"/>
      <c r="U128" s="27"/>
      <c r="V128" s="27"/>
      <c r="W128" s="27"/>
      <c r="X128" s="27"/>
      <c r="Y128" s="27"/>
      <c r="Z128" s="27"/>
      <c r="AA128" s="237"/>
      <c r="AB128" s="233"/>
      <c r="AC128" s="134"/>
      <c r="AD128" s="413"/>
      <c r="AE128" s="124"/>
      <c r="AF128" s="558"/>
      <c r="AG128" s="110">
        <v>87</v>
      </c>
    </row>
    <row r="129" spans="1:33" s="4" customFormat="1" ht="38.25" customHeight="1" x14ac:dyDescent="0.25">
      <c r="A129" s="213" t="s">
        <v>79</v>
      </c>
      <c r="B129" s="149" t="s">
        <v>113</v>
      </c>
      <c r="C129" s="198" t="s">
        <v>317</v>
      </c>
      <c r="D129" s="36"/>
      <c r="E129" s="27"/>
      <c r="F129" s="36"/>
      <c r="G129" s="27"/>
      <c r="H129" s="36"/>
      <c r="I129" s="27"/>
      <c r="J129" s="36"/>
      <c r="K129" s="27"/>
      <c r="L129" s="27"/>
      <c r="M129" s="25"/>
      <c r="N129" s="27"/>
      <c r="O129" s="25"/>
      <c r="P129" s="27"/>
      <c r="Q129" s="25"/>
      <c r="R129" s="27"/>
      <c r="S129" s="25"/>
      <c r="T129" s="27"/>
      <c r="U129" s="25"/>
      <c r="V129" s="27"/>
      <c r="W129" s="25"/>
      <c r="X129" s="27"/>
      <c r="Y129" s="25"/>
      <c r="Z129" s="27"/>
      <c r="AA129" s="105"/>
      <c r="AB129" s="101">
        <f t="shared" si="55"/>
        <v>0</v>
      </c>
      <c r="AC129" s="134"/>
      <c r="AD129" s="413"/>
      <c r="AE129" s="124"/>
      <c r="AF129" s="558"/>
      <c r="AG129" s="110">
        <v>88</v>
      </c>
    </row>
    <row r="130" spans="1:33" s="4" customFormat="1" ht="38.25" customHeight="1" thickBot="1" x14ac:dyDescent="0.3">
      <c r="A130" s="214" t="s">
        <v>167</v>
      </c>
      <c r="B130" s="150" t="s">
        <v>113</v>
      </c>
      <c r="C130" s="203" t="s">
        <v>318</v>
      </c>
      <c r="D130" s="97"/>
      <c r="E130" s="98"/>
      <c r="F130" s="97"/>
      <c r="G130" s="98"/>
      <c r="H130" s="97"/>
      <c r="I130" s="98"/>
      <c r="J130" s="97"/>
      <c r="K130" s="98"/>
      <c r="L130" s="32"/>
      <c r="M130" s="32"/>
      <c r="N130" s="32"/>
      <c r="O130" s="32"/>
      <c r="P130" s="32"/>
      <c r="Q130" s="32"/>
      <c r="R130" s="32"/>
      <c r="S130" s="32"/>
      <c r="T130" s="32"/>
      <c r="U130" s="32"/>
      <c r="V130" s="32"/>
      <c r="W130" s="32"/>
      <c r="X130" s="32"/>
      <c r="Y130" s="32"/>
      <c r="Z130" s="32"/>
      <c r="AA130" s="106"/>
      <c r="AB130" s="102">
        <f t="shared" si="55"/>
        <v>0</v>
      </c>
      <c r="AC130" s="135"/>
      <c r="AD130" s="413"/>
      <c r="AE130" s="124"/>
      <c r="AF130" s="558"/>
      <c r="AG130" s="110">
        <v>89</v>
      </c>
    </row>
    <row r="131" spans="1:33" s="4" customFormat="1" ht="38.25" customHeight="1" x14ac:dyDescent="0.25">
      <c r="A131" s="417" t="s">
        <v>111</v>
      </c>
      <c r="B131" s="148" t="s">
        <v>114</v>
      </c>
      <c r="C131" s="198" t="s">
        <v>319</v>
      </c>
      <c r="D131" s="36"/>
      <c r="E131" s="27"/>
      <c r="F131" s="36"/>
      <c r="G131" s="27"/>
      <c r="H131" s="36"/>
      <c r="I131" s="27"/>
      <c r="J131" s="36"/>
      <c r="K131" s="27"/>
      <c r="L131" s="26"/>
      <c r="M131" s="26"/>
      <c r="N131" s="26"/>
      <c r="O131" s="26"/>
      <c r="P131" s="26"/>
      <c r="Q131" s="26"/>
      <c r="R131" s="26"/>
      <c r="S131" s="26"/>
      <c r="T131" s="26"/>
      <c r="U131" s="26"/>
      <c r="V131" s="26"/>
      <c r="W131" s="26"/>
      <c r="X131" s="26"/>
      <c r="Y131" s="26"/>
      <c r="Z131" s="26"/>
      <c r="AA131" s="26"/>
      <c r="AB131" s="101">
        <f t="shared" si="55"/>
        <v>0</v>
      </c>
      <c r="AC131" s="129" t="str">
        <f>CONCATENATE(IF(D120&lt;&gt;(D131+D132+D133)," * Total Hts Self by KP_Type  "&amp;$D$19&amp;" "&amp;$D$20&amp;" Is more than Total Hts Self by Self + Sex partner + Other"&amp;CHAR(10),""),IF(E120&lt;&gt;(E131+E132+E133)," * Total Hts Self by KP_Type  "&amp;$D$19&amp;" "&amp;$E$20&amp;" Is more than Total Hts Self by Self + Sex partner + Other"&amp;CHAR(10),""),IF(F120&lt;&gt;(F131+F132+F133)," * Total Hts Self by KP_Type  "&amp;$F$19&amp;" "&amp;$F$20&amp;" Is more than Total Hts Self by Self + Sex partner + Other"&amp;CHAR(10),""),IF(G120&lt;&gt;(G131+G132+G133)," * Total Hts Self by KP_Type  "&amp;$F$19&amp;" "&amp;$G$20&amp;" Is more than Total Hts Self by Self + Sex partner + Other"&amp;CHAR(10),""),IF(H120&lt;&gt;(H131+H132+H133)," * Total Hts Self by KP_Type  "&amp;$H$19&amp;" "&amp;$H$20&amp;" Is more than Total Hts Self by Self + Sex partner + Other"&amp;CHAR(10),""),IF(I120&lt;&gt;(I131+I132+I133)," * Total Hts Self by KP_Type  "&amp;$H$19&amp;" "&amp;$I$20&amp;" Is more than Total Hts Self by Self + Sex partner + Other"&amp;CHAR(10),""),IF(J120&lt;&gt;(J131+J132+J133)," * Total Hts Self by KP_Type  "&amp;$J$19&amp;" "&amp;$J$20&amp;" Is more than Total Hts Self by Self + Sex partner + Other"&amp;CHAR(10),""),IF(K120&lt;&gt;(K131+K132+K133)," * Total Hts Self by KP_Type  "&amp;$J$19&amp;" "&amp;$K$20&amp;" Is more than Total Hts Self by Self + Sex partner + Other"&amp;CHAR(10),""),IF(L120&lt;&gt;(L131+L132+L133)," * Total Hts Self by KP_Type  "&amp;$L$19&amp;" "&amp;$L$20&amp;" Is more than Total Hts Self by Self + Sex partner + Other"&amp;CHAR(10),""),IF(M120&lt;&gt;(M131+M132+M133)," * Total Hts Self by KP_Type  "&amp;$L$19&amp;" "&amp;$M$20&amp;" Is more than Total Hts Self by Self + Sex partner + Other"&amp;CHAR(10),""),IF(N120&lt;&gt;(N131+N132+N133)," * Total Hts Self by KP_Type  "&amp;$N$19&amp;" "&amp;$N$20&amp;" Is more than Total Hts Self by Self + Sex partner + Other"&amp;CHAR(10),""),IF(O120&lt;&gt;(O131+O132+O133)," * Total Hts Self by KP_Type  "&amp;$N$19&amp;" "&amp;$O$20&amp;" Is more than Total Hts Self by Self + Sex partner + Other"&amp;CHAR(10),""),IF(P120&lt;&gt;(P131+P132+P133)," * Total Hts Self by KP_Type  "&amp;$P$19&amp;" "&amp;$P$20&amp;" Is more than Total Hts Self by Self + Sex partner + Other"&amp;CHAR(10),""),IF(Q120&lt;&gt;(Q131+Q132+Q133)," * Total Hts Self by KP_Type  "&amp;$P$19&amp;" "&amp;$Q$20&amp;" Is more than Total Hts Self by Self + Sex partner + Other"&amp;CHAR(10),""),IF(R120&lt;&gt;(R131+R132+R133)," * Total Hts Self by KP_Type  "&amp;$R$19&amp;" "&amp;$R$20&amp;" Is more than Total Hts Self by Self + Sex partner + Other"&amp;CHAR(10),""),IF(S120&lt;&gt;(S131+S132+S133)," * Total Hts Self by KP_Type  "&amp;$R$19&amp;" "&amp;$S$20&amp;" Is more than Total Hts Self by Self + Sex partner + Other"&amp;CHAR(10),""),IF(T120&lt;&gt;(T131+T132+T133)," * Total Hts Self by KP_Type  "&amp;$T$19&amp;" "&amp;$T$20&amp;" Is more than Total Hts Self by Self + Sex partner + Other"&amp;CHAR(10),""),IF(U120&lt;&gt;(U131+U132+U133)," * Total Hts Self by KP_Type  "&amp;$T$19&amp;" "&amp;$U$20&amp;" Is more than Total Hts Self by Self + Sex partner + Other"&amp;CHAR(10),""),IF(V120&lt;&gt;(V131+V132+V133)," * Total Hts Self by KP_Type  "&amp;$V$19&amp;" "&amp;$V$20&amp;" Is more than Total Hts Self by Self + Sex partner + Other"&amp;CHAR(10),""),IF(W120&lt;&gt;(W131+W132+W133)," * Total Hts Self by KP_Type  "&amp;$V$19&amp;" "&amp;$W$20&amp;" Is more than Total Hts Self by Self + Sex partner + Other"&amp;CHAR(10),""),IF(X120&lt;&gt;(X131+X132+X133)," * Total Hts Self by KP_Type  "&amp;$X$19&amp;" "&amp;$X$20&amp;" Is more than Total Hts Self by Self + Sex partner + Other"&amp;CHAR(10),""),IF(Y120&lt;&gt;(Y131+Y132+Y133)," * Total Hts Self by KP_Type  "&amp;$X$19&amp;" "&amp;$Y$20&amp;" Is more than Total Hts Self by Self + Sex partner + Other"&amp;CHAR(10),""),IF(Z120&lt;&gt;(Z131+Z132+Z133)," * Total Hts Self by KP_Type  "&amp;$Z$19&amp;" "&amp;$Z$20&amp;" Is more than Total Hts Self by Self + Sex partner + Other"&amp;CHAR(10),""),IF(AA120&lt;&gt;(AA131+AA132+AA133)," * Total Hts Self by KP_Type  "&amp;$Z$19&amp;" "&amp;$AA$20&amp;" Is more than Total Hts Self by Self + Sex partner + Other"&amp;CHAR(10),""))</f>
        <v/>
      </c>
      <c r="AD131" s="413"/>
      <c r="AE131" s="124"/>
      <c r="AF131" s="558"/>
      <c r="AG131" s="110">
        <v>90</v>
      </c>
    </row>
    <row r="132" spans="1:33" s="4" customFormat="1" ht="38.25" customHeight="1" x14ac:dyDescent="0.25">
      <c r="A132" s="418"/>
      <c r="B132" s="149" t="s">
        <v>115</v>
      </c>
      <c r="C132" s="198" t="s">
        <v>320</v>
      </c>
      <c r="D132" s="36"/>
      <c r="E132" s="27"/>
      <c r="F132" s="36"/>
      <c r="G132" s="27"/>
      <c r="H132" s="36"/>
      <c r="I132" s="27"/>
      <c r="J132" s="36"/>
      <c r="K132" s="27"/>
      <c r="L132" s="25"/>
      <c r="M132" s="25"/>
      <c r="N132" s="25"/>
      <c r="O132" s="25"/>
      <c r="P132" s="25"/>
      <c r="Q132" s="25"/>
      <c r="R132" s="25"/>
      <c r="S132" s="25"/>
      <c r="T132" s="25"/>
      <c r="U132" s="25"/>
      <c r="V132" s="25"/>
      <c r="W132" s="25"/>
      <c r="X132" s="25"/>
      <c r="Y132" s="25"/>
      <c r="Z132" s="25"/>
      <c r="AA132" s="25"/>
      <c r="AB132" s="101">
        <f t="shared" si="55"/>
        <v>0</v>
      </c>
      <c r="AC132" s="128"/>
      <c r="AD132" s="413"/>
      <c r="AE132" s="124"/>
      <c r="AF132" s="558"/>
      <c r="AG132" s="110">
        <v>91</v>
      </c>
    </row>
    <row r="133" spans="1:33" s="4" customFormat="1" ht="38.25" customHeight="1" thickBot="1" x14ac:dyDescent="0.3">
      <c r="A133" s="419"/>
      <c r="B133" s="150" t="s">
        <v>13</v>
      </c>
      <c r="C133" s="203" t="s">
        <v>321</v>
      </c>
      <c r="D133" s="97"/>
      <c r="E133" s="98"/>
      <c r="F133" s="97"/>
      <c r="G133" s="98"/>
      <c r="H133" s="97"/>
      <c r="I133" s="98"/>
      <c r="J133" s="97"/>
      <c r="K133" s="98"/>
      <c r="L133" s="32"/>
      <c r="M133" s="32"/>
      <c r="N133" s="32"/>
      <c r="O133" s="32"/>
      <c r="P133" s="32"/>
      <c r="Q133" s="32"/>
      <c r="R133" s="32"/>
      <c r="S133" s="32"/>
      <c r="T133" s="32"/>
      <c r="U133" s="32"/>
      <c r="V133" s="32"/>
      <c r="W133" s="32"/>
      <c r="X133" s="32"/>
      <c r="Y133" s="32"/>
      <c r="Z133" s="32"/>
      <c r="AA133" s="32"/>
      <c r="AB133" s="102">
        <f t="shared" si="55"/>
        <v>0</v>
      </c>
      <c r="AC133" s="128"/>
      <c r="AD133" s="414"/>
      <c r="AE133" s="124"/>
      <c r="AF133" s="559"/>
      <c r="AG133" s="110">
        <v>92</v>
      </c>
    </row>
    <row r="134" spans="1:33" s="4" customFormat="1" ht="38.25" customHeight="1" thickBot="1" x14ac:dyDescent="0.3">
      <c r="A134" s="376" t="s">
        <v>239</v>
      </c>
      <c r="B134" s="377"/>
      <c r="C134" s="379"/>
      <c r="D134" s="377"/>
      <c r="E134" s="377"/>
      <c r="F134" s="377"/>
      <c r="G134" s="377"/>
      <c r="H134" s="377"/>
      <c r="I134" s="377"/>
      <c r="J134" s="377"/>
      <c r="K134" s="377"/>
      <c r="L134" s="377"/>
      <c r="M134" s="377"/>
      <c r="N134" s="377"/>
      <c r="O134" s="377"/>
      <c r="P134" s="377"/>
      <c r="Q134" s="377"/>
      <c r="R134" s="377"/>
      <c r="S134" s="377"/>
      <c r="T134" s="377"/>
      <c r="U134" s="377"/>
      <c r="V134" s="377"/>
      <c r="W134" s="377"/>
      <c r="X134" s="377"/>
      <c r="Y134" s="377"/>
      <c r="Z134" s="377"/>
      <c r="AA134" s="377"/>
      <c r="AB134" s="379"/>
      <c r="AC134" s="377"/>
      <c r="AD134" s="377"/>
      <c r="AE134" s="377"/>
      <c r="AF134" s="390"/>
      <c r="AG134" s="110">
        <v>154</v>
      </c>
    </row>
    <row r="135" spans="1:33" s="6" customFormat="1" ht="38.25" customHeight="1" thickBot="1" x14ac:dyDescent="0.3">
      <c r="A135" s="217" t="s">
        <v>188</v>
      </c>
      <c r="B135" s="217" t="s">
        <v>188</v>
      </c>
      <c r="C135" s="182" t="s">
        <v>322</v>
      </c>
      <c r="D135" s="141">
        <f t="shared" ref="D135:AB135" si="61">SUM(D136:D140)</f>
        <v>0</v>
      </c>
      <c r="E135" s="141">
        <f t="shared" si="61"/>
        <v>0</v>
      </c>
      <c r="F135" s="141">
        <f t="shared" si="61"/>
        <v>0</v>
      </c>
      <c r="G135" s="141">
        <f t="shared" si="61"/>
        <v>0</v>
      </c>
      <c r="H135" s="141">
        <f t="shared" si="61"/>
        <v>0</v>
      </c>
      <c r="I135" s="141">
        <f t="shared" si="61"/>
        <v>0</v>
      </c>
      <c r="J135" s="141">
        <f t="shared" si="61"/>
        <v>0</v>
      </c>
      <c r="K135" s="141">
        <f t="shared" si="61"/>
        <v>0</v>
      </c>
      <c r="L135" s="141">
        <f t="shared" si="61"/>
        <v>0</v>
      </c>
      <c r="M135" s="141">
        <f t="shared" si="61"/>
        <v>0</v>
      </c>
      <c r="N135" s="141">
        <f t="shared" si="61"/>
        <v>0</v>
      </c>
      <c r="O135" s="141">
        <f t="shared" si="61"/>
        <v>0</v>
      </c>
      <c r="P135" s="141">
        <f t="shared" si="61"/>
        <v>0</v>
      </c>
      <c r="Q135" s="141">
        <f t="shared" si="61"/>
        <v>0</v>
      </c>
      <c r="R135" s="141">
        <f t="shared" si="61"/>
        <v>0</v>
      </c>
      <c r="S135" s="141">
        <f t="shared" si="61"/>
        <v>0</v>
      </c>
      <c r="T135" s="141">
        <f t="shared" si="61"/>
        <v>0</v>
      </c>
      <c r="U135" s="141">
        <f t="shared" si="61"/>
        <v>0</v>
      </c>
      <c r="V135" s="141">
        <f t="shared" si="61"/>
        <v>0</v>
      </c>
      <c r="W135" s="141">
        <f t="shared" si="61"/>
        <v>0</v>
      </c>
      <c r="X135" s="141">
        <f t="shared" si="61"/>
        <v>0</v>
      </c>
      <c r="Y135" s="141">
        <f t="shared" si="61"/>
        <v>0</v>
      </c>
      <c r="Z135" s="141">
        <f t="shared" si="61"/>
        <v>0</v>
      </c>
      <c r="AA135" s="141">
        <f t="shared" si="61"/>
        <v>0</v>
      </c>
      <c r="AB135" s="141">
        <f t="shared" si="61"/>
        <v>0</v>
      </c>
      <c r="AC135" s="142" t="str">
        <f>CONCATENATE(IF(D135&gt;(D104+D106)," * Started on ART "&amp;$D$19&amp;" "&amp;$D$20&amp;" Is more Total Positive By modality"&amp;CHAR(10),""),IF(E135&gt;(E104+E106)," * Started on ART "&amp;$D$19&amp;" "&amp;$E$20&amp;" Is more Total Positive By modality"&amp;CHAR(10),""),IF(F135&gt;(F104+F106)," * Started on ART "&amp;$F$19&amp;" "&amp;$F$20&amp;" Is more Total Positive By modality"&amp;CHAR(10),""),IF(G135&gt;(G104+G106)," * Started on ART "&amp;$F$19&amp;" "&amp;$G$20&amp;" Is more Total Positive By modality"&amp;CHAR(10),""),IF(H135&gt;(H104+H106)," * Started on ART "&amp;$H$19&amp;" "&amp;$H$20&amp;" Is more Total Positive By modality"&amp;CHAR(10),""),IF(I135&gt;(I104+I106)," * Started on ART "&amp;$H$19&amp;" "&amp;$I$20&amp;" Is more Total Positive By modality"&amp;CHAR(10),""),IF(J135&gt;(J104+J106)," * Started on ART "&amp;$J$19&amp;" "&amp;$J$20&amp;" Is more Total Positive By modality"&amp;CHAR(10),""),IF(K135&gt;(K104+K106)," * Started on ART "&amp;$J$19&amp;" "&amp;$K$20&amp;" Is more Total Positive By modality"&amp;CHAR(10),""),IF(L135&gt;(L104+L106)," * Started on ART "&amp;$L$19&amp;" "&amp;$L$20&amp;" Is more Total Positive By modality"&amp;CHAR(10),""),IF(M135&gt;(M104+M106)," * Started on ART "&amp;$L$19&amp;" "&amp;$M$20&amp;" Is more Total Positive By modality"&amp;CHAR(10),""),IF(N135&gt;(N104+N106)," * Started on ART "&amp;$N$19&amp;" "&amp;$N$20&amp;" Is more Total Positive By modality"&amp;CHAR(10),""),IF(O135&gt;(O104+O106)," * Started on ART "&amp;$N$19&amp;" "&amp;$O$20&amp;" Is more Total Positive By modality"&amp;CHAR(10),""),IF(P135&gt;(P104+P106)," * Started on ART "&amp;$P$19&amp;" "&amp;$P$20&amp;" Is more Total Positive By modality"&amp;CHAR(10),""),IF(Q135&gt;(Q104+Q106)," * Started on ART "&amp;$P$19&amp;" "&amp;$Q$20&amp;" Is more Total Positive By modality"&amp;CHAR(10),""),IF(R135&gt;(R104+R106)," * Started on ART "&amp;$R$19&amp;" "&amp;$R$20&amp;" Is more Total Positive By modality"&amp;CHAR(10),""),IF(S135&gt;(S104+S106)," * Started on ART "&amp;$R$19&amp;" "&amp;$S$20&amp;" Is more Total Positive By modality"&amp;CHAR(10),""),IF(T135&gt;(T104+T106)," * Started on ART "&amp;$T$19&amp;" "&amp;$T$20&amp;" Is more Total Positive By modality"&amp;CHAR(10),""),IF(U135&gt;(U104+U106)," * Started on ART "&amp;$T$19&amp;" "&amp;$U$20&amp;" Is more Total Positive By modality"&amp;CHAR(10),""),IF(V135&gt;(V104+V106)," * Started on ART "&amp;$V$19&amp;" "&amp;$V$20&amp;" Is more Total Positive By modality"&amp;CHAR(10),""),IF(W135&gt;(W104+W106)," * Started on ART "&amp;$V$19&amp;" "&amp;$W$20&amp;" Is more Total Positive By modality"&amp;CHAR(10),""),IF(X135&gt;(X104+X106)," * Started on ART "&amp;$X$19&amp;" "&amp;$X$20&amp;" Is more Total Positive By modality"&amp;CHAR(10),""),IF(Y135&gt;(Y104+Y106)," * Started on ART "&amp;$X$19&amp;" "&amp;$Y$20&amp;" Is more Total Positive By modality"&amp;CHAR(10),""),IF(Z135&gt;(Z104+Z106)," * Started on ART "&amp;$Z$19&amp;" "&amp;$Z$20&amp;" Is more Total Positive By modality"&amp;CHAR(10),""),IF(AA135&gt;(AA104+AA106)," * Started on ART "&amp;$Z$19&amp;" "&amp;$AA$20&amp;" Is more Total Positive By modality"&amp;CHAR(10),""))</f>
        <v/>
      </c>
      <c r="AD135" s="381" t="str">
        <f>CONCATENATE(AC135,AC136,AC137,AC138,AC139,AC140)</f>
        <v/>
      </c>
      <c r="AE135" s="143" t="str">
        <f>CONCATENATE(IF(D135&lt;(D104+D106)," * Started on ART "&amp;$D$19&amp;" "&amp;$D$20&amp;" Is less than  Total Positive By modality"&amp;CHAR(10),""),IF(E135&lt;(E104+E106)," * Started on ART "&amp;$D$19&amp;" "&amp;$E$20&amp;" Is less than  Total Positive By modality"&amp;CHAR(10),""),IF(F135&lt;(F104+F106)," * Started on ART "&amp;$F$19&amp;" "&amp;$F$20&amp;" Is less than  Total Positive By modality"&amp;CHAR(10),""),IF(G135&lt;(G104+G106)," * Started on ART "&amp;$F$19&amp;" "&amp;$G$20&amp;" Is less than  Total Positive By modality"&amp;CHAR(10),""),IF(H135&lt;(H104+H106)," * Started on ART "&amp;$H$19&amp;" "&amp;$H$20&amp;" Is less than  Total Positive By modality"&amp;CHAR(10),""),IF(I135&lt;(I104+I106)," * Started on ART "&amp;$H$19&amp;" "&amp;$I$20&amp;" Is less than  Total Positive By modality"&amp;CHAR(10),""),IF(J135&lt;(J104+J106)," * Started on ART "&amp;$J$19&amp;" "&amp;$J$20&amp;" Is less than  Total Positive By modality"&amp;CHAR(10),""),IF(K135&lt;(K104+K106)," * Started on ART "&amp;$J$19&amp;" "&amp;$K$20&amp;" Is less than  Total Positive By modality"&amp;CHAR(10),""),IF(L135&lt;(L104+L106)," * Started on ART "&amp;$L$19&amp;" "&amp;$L$20&amp;" Is less than  Total Positive By modality"&amp;CHAR(10),""),IF(M135&lt;(M104+M106)," * Started on ART "&amp;$L$19&amp;" "&amp;$M$20&amp;" Is less than  Total Positive By modality"&amp;CHAR(10),""),IF(N135&lt;(N104+N106)," * Started on ART "&amp;$N$19&amp;" "&amp;$N$20&amp;" Is less than  Total Positive By modality"&amp;CHAR(10),""),IF(O135&lt;(O104+O106)," * Started on ART "&amp;$N$19&amp;" "&amp;$O$20&amp;" Is less than  Total Positive By modality"&amp;CHAR(10),""),IF(P135&lt;(P104+P106)," * Started on ART "&amp;$P$19&amp;" "&amp;$P$20&amp;" Is less than  Total Positive By modality"&amp;CHAR(10),""),IF(Q135&lt;(Q104+Q106)," * Started on ART "&amp;$P$19&amp;" "&amp;$Q$20&amp;" Is less than  Total Positive By modality"&amp;CHAR(10),""),IF(R135&lt;(R104+R106)," * Started on ART "&amp;$R$19&amp;" "&amp;$R$20&amp;" Is less than  Total Positive By modality"&amp;CHAR(10),""),IF(S135&lt;(S104+S106)," * Started on ART "&amp;$R$19&amp;" "&amp;$S$20&amp;" Is less than  Total Positive By modality"&amp;CHAR(10),""),IF(T135&lt;(T104+T106)," * Started on ART "&amp;$T$19&amp;" "&amp;$T$20&amp;" Is less than  Total Positive By modality"&amp;CHAR(10),""),IF(U135&lt;(U104+U106)," * Started on ART "&amp;$T$19&amp;" "&amp;$U$20&amp;" Is less than  Total Positive By modality"&amp;CHAR(10),""),IF(V135&lt;(V104+V106)," * Started on ART "&amp;$V$19&amp;" "&amp;$V$20&amp;" Is less than  Total Positive By modality"&amp;CHAR(10),""),IF(W135&lt;(W104+W106)," * Started on ART "&amp;$V$19&amp;" "&amp;$W$20&amp;" Is less than  Total Positive By modality"&amp;CHAR(10),""),IF(X135&lt;(X104+X106)," * Started on ART "&amp;$X$19&amp;" "&amp;$X$20&amp;" Is less than  Total Positive By modality"&amp;CHAR(10),""),IF(Y135&lt;(Y104+Y106)," * Started on ART "&amp;$X$19&amp;" "&amp;$Y$20&amp;" Is less than  Total Positive By modality"&amp;CHAR(10),""),IF(Z135&lt;(Z104+Z106)," * Started on ART "&amp;$Z$19&amp;" "&amp;$Z$20&amp;" Is less than  Total Positive By modality"&amp;CHAR(10),""),IF(AA135&lt;(AA104+AA106)," * Started on ART "&amp;$Z$19&amp;" "&amp;$AA$20&amp;" Is less than  Total Positive By modality"&amp;CHAR(10),""))</f>
        <v/>
      </c>
      <c r="AF135" s="386" t="str">
        <f>CONCATENATE(AE135,AE136,AE137,AE138,AE139,AE140)</f>
        <v/>
      </c>
      <c r="AG135" s="110">
        <v>155</v>
      </c>
    </row>
    <row r="136" spans="1:33" s="4" customFormat="1" ht="38.25" customHeight="1" thickBot="1" x14ac:dyDescent="0.3">
      <c r="A136" s="218" t="s">
        <v>79</v>
      </c>
      <c r="B136" s="155" t="s">
        <v>193</v>
      </c>
      <c r="C136" s="197" t="s">
        <v>323</v>
      </c>
      <c r="D136" s="38"/>
      <c r="E136" s="28"/>
      <c r="F136" s="37"/>
      <c r="G136" s="28"/>
      <c r="H136" s="37"/>
      <c r="I136" s="28"/>
      <c r="J136" s="37"/>
      <c r="K136" s="28"/>
      <c r="L136" s="28"/>
      <c r="M136" s="29"/>
      <c r="N136" s="28"/>
      <c r="O136" s="29"/>
      <c r="P136" s="28"/>
      <c r="Q136" s="29"/>
      <c r="R136" s="28"/>
      <c r="S136" s="29"/>
      <c r="T136" s="28"/>
      <c r="U136" s="29"/>
      <c r="V136" s="28"/>
      <c r="W136" s="29"/>
      <c r="X136" s="28"/>
      <c r="Y136" s="29"/>
      <c r="Z136" s="28"/>
      <c r="AA136" s="111"/>
      <c r="AB136" s="108">
        <f t="shared" ref="AB136:AB139" si="62">SUM(D136:AA136)</f>
        <v>0</v>
      </c>
      <c r="AC136" s="133"/>
      <c r="AD136" s="382"/>
      <c r="AE136" s="124"/>
      <c r="AF136" s="387"/>
      <c r="AG136" s="110">
        <v>156</v>
      </c>
    </row>
    <row r="137" spans="1:33" s="4" customFormat="1" ht="38.25" customHeight="1" x14ac:dyDescent="0.25">
      <c r="A137" s="213" t="s">
        <v>77</v>
      </c>
      <c r="B137" s="153" t="s">
        <v>189</v>
      </c>
      <c r="C137" s="198" t="s">
        <v>324</v>
      </c>
      <c r="D137" s="112"/>
      <c r="E137" s="27"/>
      <c r="F137" s="36"/>
      <c r="G137" s="27"/>
      <c r="H137" s="36"/>
      <c r="I137" s="27"/>
      <c r="J137" s="36"/>
      <c r="K137" s="27"/>
      <c r="L137" s="25"/>
      <c r="M137" s="28"/>
      <c r="N137" s="25"/>
      <c r="O137" s="28"/>
      <c r="P137" s="25"/>
      <c r="Q137" s="28"/>
      <c r="R137" s="25"/>
      <c r="S137" s="28"/>
      <c r="T137" s="25"/>
      <c r="U137" s="28"/>
      <c r="V137" s="25"/>
      <c r="W137" s="28"/>
      <c r="X137" s="25"/>
      <c r="Y137" s="28"/>
      <c r="Z137" s="25"/>
      <c r="AA137" s="28"/>
      <c r="AB137" s="101">
        <f t="shared" si="62"/>
        <v>0</v>
      </c>
      <c r="AC137" s="134"/>
      <c r="AD137" s="382"/>
      <c r="AE137" s="124"/>
      <c r="AF137" s="387"/>
      <c r="AG137" s="110">
        <v>157</v>
      </c>
    </row>
    <row r="138" spans="1:33" s="4" customFormat="1" ht="38.25" customHeight="1" x14ac:dyDescent="0.25">
      <c r="A138" s="213" t="s">
        <v>167</v>
      </c>
      <c r="B138" s="153" t="s">
        <v>190</v>
      </c>
      <c r="C138" s="198" t="s">
        <v>325</v>
      </c>
      <c r="D138" s="112"/>
      <c r="E138" s="27"/>
      <c r="F138" s="36"/>
      <c r="G138" s="27"/>
      <c r="H138" s="36"/>
      <c r="I138" s="27"/>
      <c r="J138" s="36"/>
      <c r="K138" s="27"/>
      <c r="L138" s="25"/>
      <c r="M138" s="25"/>
      <c r="N138" s="25"/>
      <c r="O138" s="25"/>
      <c r="P138" s="25"/>
      <c r="Q138" s="25"/>
      <c r="R138" s="25"/>
      <c r="S138" s="25"/>
      <c r="T138" s="25"/>
      <c r="U138" s="25"/>
      <c r="V138" s="25"/>
      <c r="W138" s="25"/>
      <c r="X138" s="25"/>
      <c r="Y138" s="25"/>
      <c r="Z138" s="25"/>
      <c r="AA138" s="113"/>
      <c r="AB138" s="101">
        <f t="shared" si="62"/>
        <v>0</v>
      </c>
      <c r="AC138" s="134"/>
      <c r="AD138" s="382"/>
      <c r="AE138" s="124"/>
      <c r="AF138" s="387"/>
      <c r="AG138" s="110">
        <v>159</v>
      </c>
    </row>
    <row r="139" spans="1:33" s="4" customFormat="1" ht="38.25" customHeight="1" thickBot="1" x14ac:dyDescent="0.3">
      <c r="A139" s="213" t="s">
        <v>76</v>
      </c>
      <c r="B139" s="153" t="s">
        <v>191</v>
      </c>
      <c r="C139" s="198" t="s">
        <v>326</v>
      </c>
      <c r="D139" s="112"/>
      <c r="E139" s="27"/>
      <c r="F139" s="36"/>
      <c r="G139" s="27"/>
      <c r="H139" s="36"/>
      <c r="I139" s="27"/>
      <c r="J139" s="36"/>
      <c r="K139" s="27"/>
      <c r="L139" s="25"/>
      <c r="M139" s="25"/>
      <c r="N139" s="25"/>
      <c r="O139" s="25"/>
      <c r="P139" s="25"/>
      <c r="Q139" s="25"/>
      <c r="R139" s="25"/>
      <c r="S139" s="25"/>
      <c r="T139" s="25"/>
      <c r="U139" s="25"/>
      <c r="V139" s="25"/>
      <c r="W139" s="25"/>
      <c r="X139" s="25"/>
      <c r="Y139" s="25"/>
      <c r="Z139" s="25"/>
      <c r="AA139" s="113"/>
      <c r="AB139" s="102">
        <f t="shared" si="62"/>
        <v>0</v>
      </c>
      <c r="AC139" s="135"/>
      <c r="AD139" s="382"/>
      <c r="AE139" s="124"/>
      <c r="AF139" s="387"/>
      <c r="AG139" s="110">
        <v>160</v>
      </c>
    </row>
    <row r="140" spans="1:33" s="4" customFormat="1" ht="38.25" customHeight="1" thickBot="1" x14ac:dyDescent="0.3">
      <c r="A140" s="219" t="s">
        <v>435</v>
      </c>
      <c r="B140" s="154" t="s">
        <v>192</v>
      </c>
      <c r="C140" s="203" t="s">
        <v>327</v>
      </c>
      <c r="D140" s="114"/>
      <c r="E140" s="98"/>
      <c r="F140" s="97"/>
      <c r="G140" s="98"/>
      <c r="H140" s="97"/>
      <c r="I140" s="98"/>
      <c r="J140" s="97"/>
      <c r="K140" s="98"/>
      <c r="L140" s="98"/>
      <c r="M140" s="98"/>
      <c r="N140" s="98"/>
      <c r="O140" s="98"/>
      <c r="P140" s="98"/>
      <c r="Q140" s="98"/>
      <c r="R140" s="98"/>
      <c r="S140" s="98"/>
      <c r="T140" s="98"/>
      <c r="U140" s="98"/>
      <c r="V140" s="98"/>
      <c r="W140" s="98"/>
      <c r="X140" s="98"/>
      <c r="Y140" s="98"/>
      <c r="Z140" s="98"/>
      <c r="AA140" s="232"/>
      <c r="AB140" s="233"/>
      <c r="AC140" s="134"/>
      <c r="AD140" s="382"/>
      <c r="AE140" s="124"/>
      <c r="AF140" s="388"/>
      <c r="AG140" s="110">
        <v>161</v>
      </c>
    </row>
    <row r="141" spans="1:33" s="4" customFormat="1" ht="38.25" customHeight="1" thickBot="1" x14ac:dyDescent="0.3">
      <c r="A141" s="376" t="s">
        <v>240</v>
      </c>
      <c r="B141" s="377"/>
      <c r="C141" s="379"/>
      <c r="D141" s="377"/>
      <c r="E141" s="377"/>
      <c r="F141" s="377"/>
      <c r="G141" s="377"/>
      <c r="H141" s="377"/>
      <c r="I141" s="377"/>
      <c r="J141" s="377"/>
      <c r="K141" s="377"/>
      <c r="L141" s="377"/>
      <c r="M141" s="377"/>
      <c r="N141" s="377"/>
      <c r="O141" s="377"/>
      <c r="P141" s="377"/>
      <c r="Q141" s="377"/>
      <c r="R141" s="377"/>
      <c r="S141" s="377"/>
      <c r="T141" s="377"/>
      <c r="U141" s="377"/>
      <c r="V141" s="377"/>
      <c r="W141" s="377"/>
      <c r="X141" s="377"/>
      <c r="Y141" s="377"/>
      <c r="Z141" s="377"/>
      <c r="AA141" s="377"/>
      <c r="AB141" s="379"/>
      <c r="AC141" s="377"/>
      <c r="AD141" s="377"/>
      <c r="AE141" s="377"/>
      <c r="AF141" s="390"/>
      <c r="AG141" s="110">
        <v>154</v>
      </c>
    </row>
    <row r="142" spans="1:33" s="6" customFormat="1" ht="38.25" customHeight="1" thickBot="1" x14ac:dyDescent="0.3">
      <c r="A142" s="217" t="s">
        <v>194</v>
      </c>
      <c r="B142" s="217" t="s">
        <v>194</v>
      </c>
      <c r="C142" s="182" t="s">
        <v>328</v>
      </c>
      <c r="D142" s="141">
        <f t="shared" ref="D142:L142" si="63">SUM(D143:D147)</f>
        <v>0</v>
      </c>
      <c r="E142" s="141">
        <f t="shared" si="63"/>
        <v>0</v>
      </c>
      <c r="F142" s="141">
        <f t="shared" si="63"/>
        <v>0</v>
      </c>
      <c r="G142" s="141">
        <f t="shared" si="63"/>
        <v>0</v>
      </c>
      <c r="H142" s="141">
        <f t="shared" si="63"/>
        <v>0</v>
      </c>
      <c r="I142" s="141">
        <f t="shared" si="63"/>
        <v>0</v>
      </c>
      <c r="J142" s="141">
        <f t="shared" si="63"/>
        <v>0</v>
      </c>
      <c r="K142" s="141">
        <f t="shared" si="63"/>
        <v>0</v>
      </c>
      <c r="L142" s="141">
        <f t="shared" si="63"/>
        <v>0</v>
      </c>
      <c r="M142" s="141">
        <f t="shared" ref="M142:AA142" si="64">SUM(M143:M147)</f>
        <v>0</v>
      </c>
      <c r="N142" s="141">
        <f t="shared" si="64"/>
        <v>0</v>
      </c>
      <c r="O142" s="141">
        <f t="shared" si="64"/>
        <v>0</v>
      </c>
      <c r="P142" s="141">
        <f t="shared" si="64"/>
        <v>0</v>
      </c>
      <c r="Q142" s="141">
        <f t="shared" si="64"/>
        <v>0</v>
      </c>
      <c r="R142" s="141">
        <f t="shared" si="64"/>
        <v>0</v>
      </c>
      <c r="S142" s="141">
        <f t="shared" si="64"/>
        <v>0</v>
      </c>
      <c r="T142" s="141">
        <f t="shared" si="64"/>
        <v>0</v>
      </c>
      <c r="U142" s="141">
        <f t="shared" si="64"/>
        <v>0</v>
      </c>
      <c r="V142" s="141">
        <f t="shared" si="64"/>
        <v>0</v>
      </c>
      <c r="W142" s="141">
        <f t="shared" si="64"/>
        <v>0</v>
      </c>
      <c r="X142" s="141">
        <f t="shared" si="64"/>
        <v>0</v>
      </c>
      <c r="Y142" s="141">
        <f t="shared" si="64"/>
        <v>0</v>
      </c>
      <c r="Z142" s="141">
        <f t="shared" si="64"/>
        <v>0</v>
      </c>
      <c r="AA142" s="141">
        <f t="shared" si="64"/>
        <v>0</v>
      </c>
      <c r="AB142" s="141">
        <f>SUM(AB143:AB147)</f>
        <v>0</v>
      </c>
      <c r="AC142" s="236" t="str">
        <f>CONCATENATE(IF(D156&gt;D142," * VL Done "&amp;$D$19&amp;" "&amp;$D$20&amp;" is more than TX_Curr"&amp;CHAR(10),""),IF(E156&gt;E142," * VL Done "&amp;$D$19&amp;" "&amp;$E$20&amp;" is more than TX_Curr"&amp;CHAR(10),""),IF(F156&gt;F142," * VL Done "&amp;$F$19&amp;" "&amp;$F$20&amp;" is more than TX_Curr"&amp;CHAR(10),""),IF(G156&gt;G142," * VL Done "&amp;$F$19&amp;" "&amp;$G$20&amp;" is more than TX_Curr"&amp;CHAR(10),""),IF(H156&gt;H142," * VL Done "&amp;$H$19&amp;" "&amp;$H$20&amp;" is more than TX_Curr"&amp;CHAR(10),""),IF(I156&gt;I142," * VL Done "&amp;$H$19&amp;" "&amp;$I$20&amp;" is more than TX_Curr"&amp;CHAR(10),""),IF(J156&gt;J142," * VL Done "&amp;$J$19&amp;" "&amp;$J$20&amp;" is more than TX_Curr"&amp;CHAR(10),""),IF(K156&gt;K142," * VL Done "&amp;$J$19&amp;" "&amp;$K$20&amp;" is more than TX_Curr"&amp;CHAR(10),""),IF(L156&gt;L142," * VL Done "&amp;$L$19&amp;" "&amp;$L$20&amp;" is more than TX_Curr"&amp;CHAR(10),""),IF(M156&gt;M142," * VL Done "&amp;$L$19&amp;" "&amp;$M$20&amp;" is more than TX_Curr"&amp;CHAR(10),""),IF(N156&gt;N142," * VL Done "&amp;$N$19&amp;" "&amp;$N$20&amp;" is more than TX_Curr"&amp;CHAR(10),""),IF(O156&gt;O142," * VL Done "&amp;$N$19&amp;" "&amp;$O$20&amp;" is more than TX_Curr"&amp;CHAR(10),""),IF(P156&gt;P142," * VL Done "&amp;$P$19&amp;" "&amp;$P$20&amp;" is more than TX_Curr"&amp;CHAR(10),""),IF(Q156&gt;Q142," * VL Done "&amp;$P$19&amp;" "&amp;$Q$20&amp;" is more than TX_Curr"&amp;CHAR(10),""),IF(R156&gt;R142," * VL Done "&amp;$R$19&amp;" "&amp;$R$20&amp;" is more than TX_Curr"&amp;CHAR(10),""),IF(S156&gt;S142," * VL Done "&amp;$R$19&amp;" "&amp;$S$20&amp;" is more than TX_Curr"&amp;CHAR(10),""),IF(T156&gt;T142," * VL Done "&amp;$T$19&amp;" "&amp;$T$20&amp;" is more than TX_Curr"&amp;CHAR(10),""),IF(U156&gt;U142," * VL Done "&amp;$T$19&amp;" "&amp;$U$20&amp;" is more than TX_Curr"&amp;CHAR(10),""),IF(V156&gt;V142," * VL Done "&amp;$V$19&amp;" "&amp;$V$20&amp;" is more than TX_Curr"&amp;CHAR(10),""),IF(W156&gt;W142," * VL Done "&amp;$V$19&amp;" "&amp;$W$20&amp;" is more than TX_Curr"&amp;CHAR(10),""),IF(X156&gt;X142," * VL Done "&amp;$X$19&amp;" "&amp;$X$20&amp;" is more than TX_Curr"&amp;CHAR(10),""),IF(Y156&gt;Y142," * VL Done "&amp;$X$19&amp;" "&amp;$Y$20&amp;" is more than TX_Curr"&amp;CHAR(10),""),IF(Z156&gt;Z142," * VL Done "&amp;$Z$19&amp;" "&amp;$Z$20&amp;" is more than TX_Curr"&amp;CHAR(10),""),IF(AA156&gt;AA142," * VL Done "&amp;$Z$19&amp;" "&amp;$AA$20&amp;" is more than TX_Curr"&amp;CHAR(10),""),IF(AB156&gt;AB168142," * VL Done "&amp;$Z$19&amp;" "&amp;$AA$20&amp;" is more than TX_Curr"&amp;CHAR(10),""))</f>
        <v/>
      </c>
      <c r="AD142" s="381" t="str">
        <f>CONCATENATE(AC142,AC143,AC144,AC145,AC146,AC147)</f>
        <v/>
      </c>
      <c r="AE142" s="143" t="str">
        <f>IF(AB156&lt;AB142," * "&amp;AB142-AB156&amp;" Patients  have no VL Done . Please provide an explanation"&amp;CHAR(10),"")</f>
        <v/>
      </c>
      <c r="AF142" s="425" t="str">
        <f>CONCATENATE(AE142,AE144,AE143,AE145,AE146,AE147)</f>
        <v/>
      </c>
      <c r="AG142" s="110">
        <v>155</v>
      </c>
    </row>
    <row r="143" spans="1:33" s="4" customFormat="1" ht="38.25" customHeight="1" thickBot="1" x14ac:dyDescent="0.3">
      <c r="A143" s="218" t="s">
        <v>79</v>
      </c>
      <c r="B143" s="155" t="s">
        <v>199</v>
      </c>
      <c r="C143" s="197" t="s">
        <v>329</v>
      </c>
      <c r="D143" s="38"/>
      <c r="E143" s="28"/>
      <c r="F143" s="37"/>
      <c r="G143" s="28"/>
      <c r="H143" s="37"/>
      <c r="I143" s="28"/>
      <c r="J143" s="37"/>
      <c r="K143" s="28"/>
      <c r="L143" s="28"/>
      <c r="M143" s="29"/>
      <c r="N143" s="28"/>
      <c r="O143" s="29"/>
      <c r="P143" s="28"/>
      <c r="Q143" s="29"/>
      <c r="R143" s="28"/>
      <c r="S143" s="29"/>
      <c r="T143" s="28"/>
      <c r="U143" s="29"/>
      <c r="V143" s="28"/>
      <c r="W143" s="29"/>
      <c r="X143" s="28"/>
      <c r="Y143" s="29"/>
      <c r="Z143" s="28"/>
      <c r="AA143" s="29"/>
      <c r="AB143" s="108">
        <f t="shared" ref="AB143:AB146" si="65">SUM(D143:AA143)</f>
        <v>0</v>
      </c>
      <c r="AC143" s="236" t="str">
        <f>CONCATENATE(IF(D143&lt;(D158+D164)," * VL Done FSW "&amp;$D$19&amp;" "&amp;$D$20&amp;" is more than TX_CURR "&amp;CHAR(10),""),IF(E143&lt;(E158+E164)," * VL Done FSW "&amp;$D$19&amp;" "&amp;$E$20&amp;" is more than TX_CURR "&amp;CHAR(10),""),IF(F143&lt;(F158+F164)," * VL Done FSW "&amp;$F$19&amp;" "&amp;$F$20&amp;" is more than TX_CURR "&amp;CHAR(10),""),IF(G143&lt;(G158+G164)," * VL Done FSW "&amp;$F$19&amp;" "&amp;$G$20&amp;" is more than TX_CURR "&amp;CHAR(10),""),IF(H143&lt;(H158+H164)," * VL Done FSW "&amp;$H$19&amp;" "&amp;$H$20&amp;" is more than TX_CURR "&amp;CHAR(10),""),IF(I143&lt;(I158+I164)," * VL Done FSW "&amp;$H$19&amp;" "&amp;$I$20&amp;" is more than TX_CURR "&amp;CHAR(10),""),IF(J143&lt;(J158+J164)," * VL Done FSW "&amp;$J$19&amp;" "&amp;$J$20&amp;" is more than TX_CURR "&amp;CHAR(10),""),IF(K143&lt;(K158+K164)," * VL Done FSW "&amp;$J$19&amp;" "&amp;$K$20&amp;" is more than TX_CURR "&amp;CHAR(10),""),IF(L143&lt;(L158+L164)," * VL Done FSW "&amp;$L$19&amp;" "&amp;$L$20&amp;" is more than TX_CURR "&amp;CHAR(10),""),IF(M143&lt;(M158+M164)," * VL Done FSW "&amp;$L$19&amp;" "&amp;$M$20&amp;" is more than TX_CURR "&amp;CHAR(10),""),IF(N143&lt;(N158+N164)," * VL Done FSW "&amp;$N$19&amp;" "&amp;$N$20&amp;" is more than TX_CURR "&amp;CHAR(10),""),IF(O143&lt;(O158+O164)," * VL Done FSW "&amp;$N$19&amp;" "&amp;$O$20&amp;" is more than TX_CURR "&amp;CHAR(10),""),IF(P143&lt;(P158+P164)," * VL Done FSW "&amp;$P$19&amp;" "&amp;$P$20&amp;" is more than TX_CURR "&amp;CHAR(10),""),IF(Q143&lt;(Q158+Q164)," * VL Done FSW "&amp;$P$19&amp;" "&amp;$Q$20&amp;" is more than TX_CURR "&amp;CHAR(10),""),IF(R143&lt;(R158+R164)," * VL Done FSW "&amp;$R$19&amp;" "&amp;$R$20&amp;" is more than TX_CURR "&amp;CHAR(10),""),IF(S143&lt;(S158+S164)," * VL Done FSW "&amp;$R$19&amp;" "&amp;$S$20&amp;" is more than TX_CURR "&amp;CHAR(10),""),IF(T143&lt;(T158+T164)," * VL Done FSW "&amp;$T$19&amp;" "&amp;$T$20&amp;" is more than TX_CURR "&amp;CHAR(10),""),IF(U143&lt;(U158+U164)," * VL Done FSW "&amp;$T$19&amp;" "&amp;$U$20&amp;" is more than TX_CURR "&amp;CHAR(10),""),IF(V143&lt;(V158+V164)," * VL Done FSW "&amp;$V$19&amp;" "&amp;$V$20&amp;" is more than TX_CURR "&amp;CHAR(10),""),IF(W143&lt;(W158+W164)," * VL Done FSW "&amp;$V$19&amp;" "&amp;$W$20&amp;" is more than TX_CURR "&amp;CHAR(10),""),IF(X143&lt;(X158+X164)," * VL Done FSW "&amp;$X$19&amp;" "&amp;$X$20&amp;" is more than TX_CURR "&amp;CHAR(10),""),IF(Y143&lt;(Y158+Y164)," * VL Done FSW "&amp;$X$19&amp;" "&amp;$Y$20&amp;" is more than TX_CURR "&amp;CHAR(10),""),IF(Z143&lt;(Z158+Z164)," * VL Done FSW "&amp;$Z$19&amp;" "&amp;$Z$20&amp;" is more than TX_CURR "&amp;CHAR(10),""),IF(AA143&lt;(AA158+AA164)," * VL Done FSW "&amp;$Z$19&amp;" "&amp;$AA$20&amp;" is more than TX_CURR "&amp;CHAR(10),""))</f>
        <v/>
      </c>
      <c r="AD143" s="382"/>
      <c r="AE143" s="124"/>
      <c r="AF143" s="426"/>
      <c r="AG143" s="110">
        <v>156</v>
      </c>
    </row>
    <row r="144" spans="1:33" s="4" customFormat="1" ht="38.25" customHeight="1" x14ac:dyDescent="0.25">
      <c r="A144" s="213" t="s">
        <v>77</v>
      </c>
      <c r="B144" s="153" t="s">
        <v>195</v>
      </c>
      <c r="C144" s="198" t="s">
        <v>330</v>
      </c>
      <c r="D144" s="112"/>
      <c r="E144" s="27"/>
      <c r="F144" s="36"/>
      <c r="G144" s="27"/>
      <c r="H144" s="36"/>
      <c r="I144" s="27"/>
      <c r="J144" s="36"/>
      <c r="K144" s="27"/>
      <c r="L144" s="25"/>
      <c r="M144" s="28"/>
      <c r="N144" s="25"/>
      <c r="O144" s="28"/>
      <c r="P144" s="25"/>
      <c r="Q144" s="28"/>
      <c r="R144" s="25"/>
      <c r="S144" s="28"/>
      <c r="T144" s="25"/>
      <c r="U144" s="28"/>
      <c r="V144" s="25"/>
      <c r="W144" s="28"/>
      <c r="X144" s="25"/>
      <c r="Y144" s="28"/>
      <c r="Z144" s="25"/>
      <c r="AA144" s="28"/>
      <c r="AB144" s="101">
        <f t="shared" si="65"/>
        <v>0</v>
      </c>
      <c r="AC144" s="134" t="str">
        <f>CONCATENATE(IF(D144&lt;(D159+D165)," * VL Done MSM "&amp;$D$19&amp;" "&amp;$D$20&amp;" is more than TX_CURR "&amp;CHAR(10),""),IF(E144&lt;(E159+E165)," * VL Done MSM "&amp;$D$19&amp;" "&amp;$E$20&amp;" is more than TX_CURR "&amp;CHAR(10),""),IF(F144&lt;(F159+F165)," * VL Done MSM "&amp;$F$19&amp;" "&amp;$F$20&amp;" is more than TX_CURR "&amp;CHAR(10),""),IF(G144&lt;(G159+G165)," * VL Done MSM "&amp;$F$19&amp;" "&amp;$G$20&amp;" is more than TX_CURR "&amp;CHAR(10),""),IF(H144&lt;(H159+H165)," * VL Done MSM "&amp;$H$19&amp;" "&amp;$H$20&amp;" is more than TX_CURR "&amp;CHAR(10),""),IF(I144&lt;(I159+I165)," * VL Done MSM "&amp;$H$19&amp;" "&amp;$I$20&amp;" is more than TX_CURR "&amp;CHAR(10),""),IF(J144&lt;(J159+J165)," * VL Done MSM "&amp;$J$19&amp;" "&amp;$J$20&amp;" is more than TX_CURR "&amp;CHAR(10),""),IF(K144&lt;(K159+K165)," * VL Done MSM "&amp;$J$19&amp;" "&amp;$K$20&amp;" is more than TX_CURR "&amp;CHAR(10),""),IF(L144&lt;(L159+L165)," * VL Done MSM "&amp;$L$19&amp;" "&amp;$L$20&amp;" is more than TX_CURR "&amp;CHAR(10),""),IF(M144&lt;(M159+M165)," * VL Done MSM "&amp;$L$19&amp;" "&amp;$M$20&amp;" is more than TX_CURR "&amp;CHAR(10),""),IF(N144&lt;(N159+N165)," * VL Done MSM "&amp;$N$19&amp;" "&amp;$N$20&amp;" is more than TX_CURR "&amp;CHAR(10),""),IF(O144&lt;(O159+O165)," * VL Done MSM "&amp;$N$19&amp;" "&amp;$O$20&amp;" is more than TX_CURR "&amp;CHAR(10),""),IF(P144&lt;(P159+P165)," * VL Done MSM "&amp;$P$19&amp;" "&amp;$P$20&amp;" is more than TX_CURR "&amp;CHAR(10),""),IF(Q144&lt;(Q159+Q165)," * VL Done MSM "&amp;$P$19&amp;" "&amp;$Q$20&amp;" is more than TX_CURR "&amp;CHAR(10),""),IF(R144&lt;(R159+R165)," * VL Done MSM "&amp;$R$19&amp;" "&amp;$R$20&amp;" is more than TX_CURR "&amp;CHAR(10),""),IF(S144&lt;(S159+S165)," * VL Done MSM "&amp;$R$19&amp;" "&amp;$S$20&amp;" is more than TX_CURR "&amp;CHAR(10),""),IF(T144&lt;(T159+T165)," * VL Done MSM "&amp;$T$19&amp;" "&amp;$T$20&amp;" is more than TX_CURR "&amp;CHAR(10),""),IF(U144&lt;(U159+U165)," * VL Done MSM "&amp;$T$19&amp;" "&amp;$U$20&amp;" is more than TX_CURR "&amp;CHAR(10),""),IF(V144&lt;(V159+V165)," * VL Done MSM "&amp;$V$19&amp;" "&amp;$V$20&amp;" is more than TX_CURR "&amp;CHAR(10),""),IF(W144&lt;(W159+W165)," * VL Done MSM "&amp;$V$19&amp;" "&amp;$W$20&amp;" is more than TX_CURR "&amp;CHAR(10),""),IF(X144&lt;(X159+X165)," * VL Done MSM "&amp;$X$19&amp;" "&amp;$X$20&amp;" is more than TX_CURR "&amp;CHAR(10),""),IF(Y144&lt;(Y159+Y165)," * VL Done MSM "&amp;$X$19&amp;" "&amp;$Y$20&amp;" is more than TX_CURR "&amp;CHAR(10),""),IF(Z144&lt;(Z159+Z165)," * VL Done MSM "&amp;$Z$19&amp;" "&amp;$Z$20&amp;" is more than TX_CURR "&amp;CHAR(10),""),IF(AA144&lt;(AA159+AA165)," * VL Done MSM "&amp;$Z$19&amp;" "&amp;$AA$20&amp;" is more than TX_CURR "&amp;CHAR(10),""))</f>
        <v/>
      </c>
      <c r="AD144" s="382"/>
      <c r="AE144" s="124"/>
      <c r="AF144" s="426"/>
      <c r="AG144" s="110">
        <v>157</v>
      </c>
    </row>
    <row r="145" spans="1:33" s="4" customFormat="1" ht="38.25" customHeight="1" x14ac:dyDescent="0.25">
      <c r="A145" s="213" t="s">
        <v>167</v>
      </c>
      <c r="B145" s="153" t="s">
        <v>196</v>
      </c>
      <c r="C145" s="198" t="s">
        <v>331</v>
      </c>
      <c r="D145" s="112"/>
      <c r="E145" s="27"/>
      <c r="F145" s="36"/>
      <c r="G145" s="27"/>
      <c r="H145" s="36"/>
      <c r="I145" s="27"/>
      <c r="J145" s="36"/>
      <c r="K145" s="27"/>
      <c r="L145" s="25"/>
      <c r="M145" s="25"/>
      <c r="N145" s="25"/>
      <c r="O145" s="25"/>
      <c r="P145" s="25"/>
      <c r="Q145" s="25"/>
      <c r="R145" s="25"/>
      <c r="S145" s="25"/>
      <c r="T145" s="25"/>
      <c r="U145" s="25"/>
      <c r="V145" s="25"/>
      <c r="W145" s="25"/>
      <c r="X145" s="25"/>
      <c r="Y145" s="25"/>
      <c r="Z145" s="25"/>
      <c r="AA145" s="25"/>
      <c r="AB145" s="101">
        <f t="shared" si="65"/>
        <v>0</v>
      </c>
      <c r="AC145" s="134" t="str">
        <f>CONCATENATE(IF(D145&lt;(D160+D166)," * VL Done People in Prison "&amp;$D$19&amp;" "&amp;$D$20&amp;" is more than TX_CURR "&amp;CHAR(10),""),IF(E145&lt;(E160+E166)," * VL Done People in Prison "&amp;$D$19&amp;" "&amp;$E$20&amp;" is more than TX_CURR "&amp;CHAR(10),""),IF(F145&lt;(F160+F166)," * VL Done People in Prison "&amp;$F$19&amp;" "&amp;$F$20&amp;" is more than TX_CURR "&amp;CHAR(10),""),IF(G145&lt;(G160+G166)," * VL Done People in Prison "&amp;$F$19&amp;" "&amp;$G$20&amp;" is more than TX_CURR "&amp;CHAR(10),""),IF(H145&lt;(H160+H166)," * VL Done People in Prison "&amp;$H$19&amp;" "&amp;$H$20&amp;" is more than TX_CURR "&amp;CHAR(10),""),IF(I145&lt;(I160+I166)," * VL Done People in Prison "&amp;$H$19&amp;" "&amp;$I$20&amp;" is more than TX_CURR "&amp;CHAR(10),""),IF(J145&lt;(J160+J166)," * VL Done People in Prison "&amp;$J$19&amp;" "&amp;$J$20&amp;" is more than TX_CURR "&amp;CHAR(10),""),IF(K145&lt;(K160+K166)," * VL Done People in Prison "&amp;$J$19&amp;" "&amp;$K$20&amp;" is more than TX_CURR "&amp;CHAR(10),""),IF(L145&lt;(L160+L166)," * VL Done People in Prison "&amp;$L$19&amp;" "&amp;$L$20&amp;" is more than TX_CURR "&amp;CHAR(10),""),IF(M145&lt;(M160+M166)," * VL Done People in Prison "&amp;$L$19&amp;" "&amp;$M$20&amp;" is more than TX_CURR "&amp;CHAR(10),""),IF(N145&lt;(N160+N166)," * VL Done People in Prison "&amp;$N$19&amp;" "&amp;$N$20&amp;" is more than TX_CURR "&amp;CHAR(10),""),IF(O145&lt;(O160+O166)," * VL Done People in Prison "&amp;$N$19&amp;" "&amp;$O$20&amp;" is more than TX_CURR "&amp;CHAR(10),""),IF(P145&lt;(P160+P166)," * VL Done People in Prison "&amp;$P$19&amp;" "&amp;$P$20&amp;" is more than TX_CURR "&amp;CHAR(10),""),IF(Q145&lt;(Q160+Q166)," * VL Done People in Prison "&amp;$P$19&amp;" "&amp;$Q$20&amp;" is more than TX_CURR "&amp;CHAR(10),""),IF(R145&lt;(R160+R166)," * VL Done People in Prison "&amp;$R$19&amp;" "&amp;$R$20&amp;" is more than TX_CURR "&amp;CHAR(10),""),IF(S145&lt;(S160+S166)," * VL Done People in Prison "&amp;$R$19&amp;" "&amp;$S$20&amp;" is more than TX_CURR "&amp;CHAR(10),""),IF(T145&lt;(T160+T166)," * VL Done People in Prison "&amp;$T$19&amp;" "&amp;$T$20&amp;" is more than TX_CURR "&amp;CHAR(10),""),IF(U145&lt;(U160+U166)," * VL Done People in Prison "&amp;$T$19&amp;" "&amp;$U$20&amp;" is more than TX_CURR "&amp;CHAR(10),""),IF(V145&lt;(V160+V166)," * VL Done People in Prison "&amp;$V$19&amp;" "&amp;$V$20&amp;" is more than TX_CURR "&amp;CHAR(10),""),IF(W145&lt;(W160+W166)," * VL Done People in Prison "&amp;$V$19&amp;" "&amp;$W$20&amp;" is more than TX_CURR "&amp;CHAR(10),""),IF(X145&lt;(X160+X166)," * VL Done People in Prison "&amp;$X$19&amp;" "&amp;$X$20&amp;" is more than TX_CURR "&amp;CHAR(10),""),IF(Y145&lt;(Y160+Y166)," * VL Done People in Prison "&amp;$X$19&amp;" "&amp;$Y$20&amp;" is more than TX_CURR "&amp;CHAR(10),""),IF(Z145&lt;(Z160+Z166)," * VL Done People in Prison "&amp;$Z$19&amp;" "&amp;$Z$20&amp;" is more than TX_CURR "&amp;CHAR(10),""),IF(AA145&lt;(AA160+AA166)," * VL Done People in Prison "&amp;$Z$19&amp;" "&amp;$AA$20&amp;" is more than TX_CURR "&amp;CHAR(10),""))</f>
        <v/>
      </c>
      <c r="AD145" s="382"/>
      <c r="AE145" s="124"/>
      <c r="AF145" s="426"/>
      <c r="AG145" s="110">
        <v>159</v>
      </c>
    </row>
    <row r="146" spans="1:33" s="4" customFormat="1" ht="38.25" customHeight="1" thickBot="1" x14ac:dyDescent="0.3">
      <c r="A146" s="213" t="s">
        <v>76</v>
      </c>
      <c r="B146" s="153" t="s">
        <v>197</v>
      </c>
      <c r="C146" s="198" t="s">
        <v>332</v>
      </c>
      <c r="D146" s="112"/>
      <c r="E146" s="27"/>
      <c r="F146" s="36"/>
      <c r="G146" s="27"/>
      <c r="H146" s="36"/>
      <c r="I146" s="27"/>
      <c r="J146" s="36"/>
      <c r="K146" s="27"/>
      <c r="L146" s="25"/>
      <c r="M146" s="25"/>
      <c r="N146" s="25"/>
      <c r="O146" s="25"/>
      <c r="P146" s="25"/>
      <c r="Q146" s="25"/>
      <c r="R146" s="25"/>
      <c r="S146" s="25"/>
      <c r="T146" s="25"/>
      <c r="U146" s="25"/>
      <c r="V146" s="25"/>
      <c r="W146" s="25"/>
      <c r="X146" s="25"/>
      <c r="Y146" s="25"/>
      <c r="Z146" s="25"/>
      <c r="AA146" s="25"/>
      <c r="AB146" s="102">
        <f t="shared" si="65"/>
        <v>0</v>
      </c>
      <c r="AC146" s="135" t="str">
        <f>CONCATENATE(IF(D146&lt;(D161+D167)," * VL Done People in Prison "&amp;$D$19&amp;" "&amp;$D$20&amp;" is more than TX_CURR "&amp;CHAR(10),""),IF(E146&lt;(E161+E167)," * VL Done People in Prison "&amp;$D$19&amp;" "&amp;$E$20&amp;" is more than TX_CURR "&amp;CHAR(10),""),IF(F146&lt;(F161+F167)," * VL Done People in Prison "&amp;$F$19&amp;" "&amp;$F$20&amp;" is more than TX_CURR "&amp;CHAR(10),""),IF(G146&lt;(G161+G167)," * VL Done People in Prison "&amp;$F$19&amp;" "&amp;$G$20&amp;" is more than TX_CURR "&amp;CHAR(10),""),IF(H146&lt;(H161+H167)," * VL Done People in Prison "&amp;$H$19&amp;" "&amp;$H$20&amp;" is more than TX_CURR "&amp;CHAR(10),""),IF(I146&lt;(I161+I167)," * VL Done People in Prison "&amp;$H$19&amp;" "&amp;$I$20&amp;" is more than TX_CURR "&amp;CHAR(10),""),IF(J146&lt;(J161+J167)," * VL Done People in Prison "&amp;$J$19&amp;" "&amp;$J$20&amp;" is more than TX_CURR "&amp;CHAR(10),""),IF(K146&lt;(K161+K167)," * VL Done People in Prison "&amp;$J$19&amp;" "&amp;$K$20&amp;" is more than TX_CURR "&amp;CHAR(10),""),IF(L146&lt;(L161+L167)," * VL Done People in Prison "&amp;$L$19&amp;" "&amp;$L$20&amp;" is more than TX_CURR "&amp;CHAR(10),""),IF(M146&lt;(M161+M167)," * VL Done People in Prison "&amp;$L$19&amp;" "&amp;$M$20&amp;" is more than TX_CURR "&amp;CHAR(10),""),IF(N146&lt;(N161+N167)," * VL Done People in Prison "&amp;$N$19&amp;" "&amp;$N$20&amp;" is more than TX_CURR "&amp;CHAR(10),""),IF(O146&lt;(O161+O167)," * VL Done People in Prison "&amp;$N$19&amp;" "&amp;$O$20&amp;" is more than TX_CURR "&amp;CHAR(10),""),IF(P146&lt;(P161+P167)," * VL Done People in Prison "&amp;$P$19&amp;" "&amp;$P$20&amp;" is more than TX_CURR "&amp;CHAR(10),""),IF(Q146&lt;(Q161+Q167)," * VL Done People in Prison "&amp;$P$19&amp;" "&amp;$Q$20&amp;" is more than TX_CURR "&amp;CHAR(10),""),IF(R146&lt;(R161+R167)," * VL Done People in Prison "&amp;$R$19&amp;" "&amp;$R$20&amp;" is more than TX_CURR "&amp;CHAR(10),""),IF(S146&lt;(S161+S167)," * VL Done People in Prison "&amp;$R$19&amp;" "&amp;$S$20&amp;" is more than TX_CURR "&amp;CHAR(10),""),IF(T146&lt;(T161+T167)," * VL Done People in Prison "&amp;$T$19&amp;" "&amp;$T$20&amp;" is more than TX_CURR "&amp;CHAR(10),""),IF(U146&lt;(U161+U167)," * VL Done People in Prison "&amp;$T$19&amp;" "&amp;$U$20&amp;" is more than TX_CURR "&amp;CHAR(10),""),IF(V146&lt;(V161+V167)," * VL Done People in Prison "&amp;$V$19&amp;" "&amp;$V$20&amp;" is more than TX_CURR "&amp;CHAR(10),""),IF(W146&lt;(W161+W167)," * VL Done People in Prison "&amp;$V$19&amp;" "&amp;$W$20&amp;" is more than TX_CURR "&amp;CHAR(10),""),IF(X146&lt;(X161+X167)," * VL Done People in Prison "&amp;$X$19&amp;" "&amp;$X$20&amp;" is more than TX_CURR "&amp;CHAR(10),""),IF(Y146&lt;(Y161+Y167)," * VL Done People in Prison "&amp;$X$19&amp;" "&amp;$Y$20&amp;" is more than TX_CURR "&amp;CHAR(10),""),IF(Z146&lt;(Z161+Z167)," * VL Done People in Prison "&amp;$Z$19&amp;" "&amp;$Z$20&amp;" is more than TX_CURR "&amp;CHAR(10),""),IF(AA146&lt;(AA161+AA167)," * VL Done People in Prison "&amp;$Z$19&amp;" "&amp;$AA$20&amp;" is more than TX_CURR "&amp;CHAR(10),""))</f>
        <v/>
      </c>
      <c r="AD146" s="382"/>
      <c r="AE146" s="124"/>
      <c r="AF146" s="426"/>
      <c r="AG146" s="110">
        <v>160</v>
      </c>
    </row>
    <row r="147" spans="1:33" s="4" customFormat="1" ht="38.25" customHeight="1" thickBot="1" x14ac:dyDescent="0.3">
      <c r="A147" s="219" t="s">
        <v>435</v>
      </c>
      <c r="B147" s="154" t="s">
        <v>198</v>
      </c>
      <c r="C147" s="203" t="s">
        <v>333</v>
      </c>
      <c r="D147" s="114"/>
      <c r="E147" s="98"/>
      <c r="F147" s="97"/>
      <c r="G147" s="98"/>
      <c r="H147" s="97"/>
      <c r="I147" s="98"/>
      <c r="J147" s="97"/>
      <c r="K147" s="98"/>
      <c r="L147" s="98"/>
      <c r="M147" s="98"/>
      <c r="N147" s="98"/>
      <c r="O147" s="98"/>
      <c r="P147" s="98"/>
      <c r="Q147" s="98"/>
      <c r="R147" s="98"/>
      <c r="S147" s="98"/>
      <c r="T147" s="98"/>
      <c r="U147" s="98"/>
      <c r="V147" s="98"/>
      <c r="W147" s="98"/>
      <c r="X147" s="98"/>
      <c r="Y147" s="98"/>
      <c r="Z147" s="98"/>
      <c r="AA147" s="232"/>
      <c r="AB147" s="233"/>
      <c r="AC147" s="134" t="str">
        <f>IF(AB147&lt;(AB162+AB168)," * VL Done People in Prison "&amp;$Z$19&amp;" "&amp;$AB$20&amp;" is more than TX_CURR "&amp;CHAR(10),"")</f>
        <v/>
      </c>
      <c r="AD147" s="382"/>
      <c r="AE147" s="124"/>
      <c r="AF147" s="427"/>
      <c r="AG147" s="110">
        <v>161</v>
      </c>
    </row>
    <row r="148" spans="1:33" s="4" customFormat="1" ht="38.25" customHeight="1" thickBot="1" x14ac:dyDescent="0.3">
      <c r="A148" s="376" t="s">
        <v>241</v>
      </c>
      <c r="B148" s="377"/>
      <c r="C148" s="379"/>
      <c r="D148" s="377"/>
      <c r="E148" s="377"/>
      <c r="F148" s="377"/>
      <c r="G148" s="377"/>
      <c r="H148" s="377"/>
      <c r="I148" s="377"/>
      <c r="J148" s="377"/>
      <c r="K148" s="377"/>
      <c r="L148" s="377"/>
      <c r="M148" s="377"/>
      <c r="N148" s="377"/>
      <c r="O148" s="377"/>
      <c r="P148" s="377"/>
      <c r="Q148" s="377"/>
      <c r="R148" s="377"/>
      <c r="S148" s="377"/>
      <c r="T148" s="377"/>
      <c r="U148" s="377"/>
      <c r="V148" s="377"/>
      <c r="W148" s="377"/>
      <c r="X148" s="377"/>
      <c r="Y148" s="377"/>
      <c r="Z148" s="377"/>
      <c r="AA148" s="377"/>
      <c r="AB148" s="379"/>
      <c r="AC148" s="377"/>
      <c r="AD148" s="377"/>
      <c r="AE148" s="377"/>
      <c r="AF148" s="390"/>
      <c r="AG148" s="110">
        <v>154</v>
      </c>
    </row>
    <row r="149" spans="1:33" s="6" customFormat="1" ht="38.25" customHeight="1" thickBot="1" x14ac:dyDescent="0.3">
      <c r="A149" s="217" t="s">
        <v>200</v>
      </c>
      <c r="B149" s="151" t="s">
        <v>200</v>
      </c>
      <c r="C149" s="182" t="s">
        <v>334</v>
      </c>
      <c r="D149" s="141">
        <f t="shared" ref="D149:AB149" si="66">SUM(D150:D154)</f>
        <v>0</v>
      </c>
      <c r="E149" s="141">
        <f t="shared" si="66"/>
        <v>0</v>
      </c>
      <c r="F149" s="141">
        <f t="shared" si="66"/>
        <v>0</v>
      </c>
      <c r="G149" s="141">
        <f t="shared" si="66"/>
        <v>0</v>
      </c>
      <c r="H149" s="141">
        <f t="shared" si="66"/>
        <v>0</v>
      </c>
      <c r="I149" s="141">
        <f t="shared" si="66"/>
        <v>0</v>
      </c>
      <c r="J149" s="141">
        <f t="shared" si="66"/>
        <v>0</v>
      </c>
      <c r="K149" s="141">
        <f t="shared" si="66"/>
        <v>0</v>
      </c>
      <c r="L149" s="141">
        <f t="shared" si="66"/>
        <v>0</v>
      </c>
      <c r="M149" s="141">
        <f t="shared" si="66"/>
        <v>0</v>
      </c>
      <c r="N149" s="141">
        <f t="shared" si="66"/>
        <v>0</v>
      </c>
      <c r="O149" s="141">
        <f t="shared" si="66"/>
        <v>0</v>
      </c>
      <c r="P149" s="141">
        <f t="shared" si="66"/>
        <v>0</v>
      </c>
      <c r="Q149" s="141">
        <f t="shared" si="66"/>
        <v>0</v>
      </c>
      <c r="R149" s="141">
        <f t="shared" si="66"/>
        <v>0</v>
      </c>
      <c r="S149" s="141">
        <f t="shared" si="66"/>
        <v>0</v>
      </c>
      <c r="T149" s="141">
        <f t="shared" si="66"/>
        <v>0</v>
      </c>
      <c r="U149" s="141">
        <f t="shared" si="66"/>
        <v>0</v>
      </c>
      <c r="V149" s="141">
        <f t="shared" si="66"/>
        <v>0</v>
      </c>
      <c r="W149" s="141">
        <f t="shared" si="66"/>
        <v>0</v>
      </c>
      <c r="X149" s="141">
        <f t="shared" si="66"/>
        <v>0</v>
      </c>
      <c r="Y149" s="141">
        <f t="shared" si="66"/>
        <v>0</v>
      </c>
      <c r="Z149" s="141">
        <f t="shared" si="66"/>
        <v>0</v>
      </c>
      <c r="AA149" s="141">
        <f t="shared" si="66"/>
        <v>0</v>
      </c>
      <c r="AB149" s="141">
        <f t="shared" si="66"/>
        <v>0</v>
      </c>
      <c r="AC149" s="142"/>
      <c r="AD149" s="381" t="str">
        <f>CONCATENATE(AC149,AC150,AC151,AC152,AC153,AC154)</f>
        <v/>
      </c>
      <c r="AE149" s="143"/>
      <c r="AF149" s="386" t="str">
        <f>CONCATENATE(AE149,AE150,AE151,AE152,AE153,AE154)</f>
        <v/>
      </c>
      <c r="AG149" s="110">
        <v>155</v>
      </c>
    </row>
    <row r="150" spans="1:33" s="4" customFormat="1" ht="38.25" customHeight="1" thickBot="1" x14ac:dyDescent="0.3">
      <c r="A150" s="218" t="s">
        <v>79</v>
      </c>
      <c r="B150" s="155" t="s">
        <v>205</v>
      </c>
      <c r="C150" s="197" t="s">
        <v>335</v>
      </c>
      <c r="D150" s="38"/>
      <c r="E150" s="28"/>
      <c r="F150" s="37"/>
      <c r="G150" s="28"/>
      <c r="H150" s="37"/>
      <c r="I150" s="28"/>
      <c r="J150" s="37"/>
      <c r="K150" s="28"/>
      <c r="L150" s="28"/>
      <c r="M150" s="29"/>
      <c r="N150" s="28"/>
      <c r="O150" s="29"/>
      <c r="P150" s="28"/>
      <c r="Q150" s="29"/>
      <c r="R150" s="28"/>
      <c r="S150" s="29"/>
      <c r="T150" s="28"/>
      <c r="U150" s="29"/>
      <c r="V150" s="28"/>
      <c r="W150" s="29"/>
      <c r="X150" s="28"/>
      <c r="Y150" s="29"/>
      <c r="Z150" s="28"/>
      <c r="AA150" s="111"/>
      <c r="AB150" s="108">
        <f t="shared" ref="AB150:AB153" si="67">SUM(D150:AA150)</f>
        <v>0</v>
      </c>
      <c r="AC150" s="133"/>
      <c r="AD150" s="382"/>
      <c r="AE150" s="124"/>
      <c r="AF150" s="387"/>
      <c r="AG150" s="110">
        <v>156</v>
      </c>
    </row>
    <row r="151" spans="1:33" s="4" customFormat="1" ht="38.25" customHeight="1" x14ac:dyDescent="0.25">
      <c r="A151" s="213" t="s">
        <v>77</v>
      </c>
      <c r="B151" s="153" t="s">
        <v>201</v>
      </c>
      <c r="C151" s="198" t="s">
        <v>336</v>
      </c>
      <c r="D151" s="112"/>
      <c r="E151" s="27"/>
      <c r="F151" s="36"/>
      <c r="G151" s="27"/>
      <c r="H151" s="36"/>
      <c r="I151" s="27"/>
      <c r="J151" s="36"/>
      <c r="K151" s="27"/>
      <c r="L151" s="25"/>
      <c r="M151" s="28"/>
      <c r="N151" s="25"/>
      <c r="O151" s="28"/>
      <c r="P151" s="25"/>
      <c r="Q151" s="28"/>
      <c r="R151" s="25"/>
      <c r="S151" s="28"/>
      <c r="T151" s="25"/>
      <c r="U151" s="28"/>
      <c r="V151" s="25"/>
      <c r="W151" s="28"/>
      <c r="X151" s="25"/>
      <c r="Y151" s="28"/>
      <c r="Z151" s="25"/>
      <c r="AA151" s="28"/>
      <c r="AB151" s="101">
        <f t="shared" si="67"/>
        <v>0</v>
      </c>
      <c r="AC151" s="134"/>
      <c r="AD151" s="382"/>
      <c r="AE151" s="124"/>
      <c r="AF151" s="387"/>
      <c r="AG151" s="110">
        <v>157</v>
      </c>
    </row>
    <row r="152" spans="1:33" s="4" customFormat="1" ht="38.25" customHeight="1" x14ac:dyDescent="0.25">
      <c r="A152" s="213" t="s">
        <v>167</v>
      </c>
      <c r="B152" s="153" t="s">
        <v>202</v>
      </c>
      <c r="C152" s="198" t="s">
        <v>337</v>
      </c>
      <c r="D152" s="112"/>
      <c r="E152" s="27"/>
      <c r="F152" s="36"/>
      <c r="G152" s="27"/>
      <c r="H152" s="36"/>
      <c r="I152" s="27"/>
      <c r="J152" s="36"/>
      <c r="K152" s="27"/>
      <c r="L152" s="25"/>
      <c r="M152" s="25"/>
      <c r="N152" s="25"/>
      <c r="O152" s="25"/>
      <c r="P152" s="25"/>
      <c r="Q152" s="25"/>
      <c r="R152" s="25"/>
      <c r="S152" s="25"/>
      <c r="T152" s="25"/>
      <c r="U152" s="25"/>
      <c r="V152" s="25"/>
      <c r="W152" s="25"/>
      <c r="X152" s="25"/>
      <c r="Y152" s="25"/>
      <c r="Z152" s="25"/>
      <c r="AA152" s="113"/>
      <c r="AB152" s="101">
        <f t="shared" si="67"/>
        <v>0</v>
      </c>
      <c r="AC152" s="134"/>
      <c r="AD152" s="382"/>
      <c r="AE152" s="124"/>
      <c r="AF152" s="387"/>
      <c r="AG152" s="110">
        <v>159</v>
      </c>
    </row>
    <row r="153" spans="1:33" s="4" customFormat="1" ht="38.25" customHeight="1" thickBot="1" x14ac:dyDescent="0.3">
      <c r="A153" s="213" t="s">
        <v>76</v>
      </c>
      <c r="B153" s="153" t="s">
        <v>203</v>
      </c>
      <c r="C153" s="198" t="s">
        <v>338</v>
      </c>
      <c r="D153" s="112"/>
      <c r="E153" s="27"/>
      <c r="F153" s="36"/>
      <c r="G153" s="27"/>
      <c r="H153" s="36"/>
      <c r="I153" s="27"/>
      <c r="J153" s="36"/>
      <c r="K153" s="27"/>
      <c r="L153" s="25"/>
      <c r="M153" s="25"/>
      <c r="N153" s="25"/>
      <c r="O153" s="25"/>
      <c r="P153" s="25"/>
      <c r="Q153" s="25"/>
      <c r="R153" s="25"/>
      <c r="S153" s="25"/>
      <c r="T153" s="25"/>
      <c r="U153" s="25"/>
      <c r="V153" s="25"/>
      <c r="W153" s="25"/>
      <c r="X153" s="25"/>
      <c r="Y153" s="25"/>
      <c r="Z153" s="25"/>
      <c r="AA153" s="113"/>
      <c r="AB153" s="102">
        <f t="shared" si="67"/>
        <v>0</v>
      </c>
      <c r="AC153" s="135"/>
      <c r="AD153" s="382"/>
      <c r="AE153" s="124"/>
      <c r="AF153" s="387"/>
      <c r="AG153" s="110">
        <v>160</v>
      </c>
    </row>
    <row r="154" spans="1:33" s="4" customFormat="1" ht="38.25" customHeight="1" thickBot="1" x14ac:dyDescent="0.3">
      <c r="A154" s="219" t="s">
        <v>435</v>
      </c>
      <c r="B154" s="154" t="s">
        <v>204</v>
      </c>
      <c r="C154" s="203" t="s">
        <v>339</v>
      </c>
      <c r="D154" s="114"/>
      <c r="E154" s="98"/>
      <c r="F154" s="97"/>
      <c r="G154" s="98"/>
      <c r="H154" s="97"/>
      <c r="I154" s="98"/>
      <c r="J154" s="97"/>
      <c r="K154" s="98"/>
      <c r="L154" s="98"/>
      <c r="M154" s="98"/>
      <c r="N154" s="98"/>
      <c r="O154" s="98"/>
      <c r="P154" s="98"/>
      <c r="Q154" s="98"/>
      <c r="R154" s="98"/>
      <c r="S154" s="98"/>
      <c r="T154" s="98"/>
      <c r="U154" s="98"/>
      <c r="V154" s="98"/>
      <c r="W154" s="98"/>
      <c r="X154" s="98"/>
      <c r="Y154" s="98"/>
      <c r="Z154" s="98"/>
      <c r="AA154" s="232"/>
      <c r="AB154" s="233"/>
      <c r="AC154" s="134"/>
      <c r="AD154" s="382"/>
      <c r="AE154" s="124"/>
      <c r="AF154" s="388"/>
      <c r="AG154" s="110">
        <v>161</v>
      </c>
    </row>
    <row r="155" spans="1:33" s="4" customFormat="1" ht="38.25" customHeight="1" thickBot="1" x14ac:dyDescent="0.3">
      <c r="A155" s="376" t="s">
        <v>242</v>
      </c>
      <c r="B155" s="377"/>
      <c r="C155" s="378"/>
      <c r="D155" s="377"/>
      <c r="E155" s="377"/>
      <c r="F155" s="377"/>
      <c r="G155" s="377"/>
      <c r="H155" s="377"/>
      <c r="I155" s="377"/>
      <c r="J155" s="377"/>
      <c r="K155" s="377"/>
      <c r="L155" s="377"/>
      <c r="M155" s="377"/>
      <c r="N155" s="377"/>
      <c r="O155" s="377"/>
      <c r="P155" s="377"/>
      <c r="Q155" s="377"/>
      <c r="R155" s="377"/>
      <c r="S155" s="377"/>
      <c r="T155" s="377"/>
      <c r="U155" s="377"/>
      <c r="V155" s="377"/>
      <c r="W155" s="377"/>
      <c r="X155" s="377"/>
      <c r="Y155" s="377"/>
      <c r="Z155" s="377"/>
      <c r="AA155" s="377"/>
      <c r="AB155" s="379"/>
      <c r="AC155" s="377"/>
      <c r="AD155" s="377"/>
      <c r="AE155" s="377"/>
      <c r="AF155" s="390"/>
      <c r="AG155" s="110">
        <v>154</v>
      </c>
    </row>
    <row r="156" spans="1:33" s="4" customFormat="1" ht="38.25" customHeight="1" thickBot="1" x14ac:dyDescent="0.3">
      <c r="A156" s="196" t="s">
        <v>206</v>
      </c>
      <c r="B156" s="196" t="s">
        <v>219</v>
      </c>
      <c r="C156" s="180" t="s">
        <v>340</v>
      </c>
      <c r="D156" s="248">
        <f>SUM(D157,D163)</f>
        <v>0</v>
      </c>
      <c r="E156" s="141">
        <f t="shared" ref="E156:AB156" si="68">SUM(E157,E163)</f>
        <v>0</v>
      </c>
      <c r="F156" s="141">
        <f t="shared" si="68"/>
        <v>0</v>
      </c>
      <c r="G156" s="141">
        <f t="shared" si="68"/>
        <v>0</v>
      </c>
      <c r="H156" s="141">
        <f t="shared" si="68"/>
        <v>0</v>
      </c>
      <c r="I156" s="141">
        <f t="shared" si="68"/>
        <v>0</v>
      </c>
      <c r="J156" s="141">
        <f t="shared" si="68"/>
        <v>0</v>
      </c>
      <c r="K156" s="141">
        <f t="shared" si="68"/>
        <v>0</v>
      </c>
      <c r="L156" s="141">
        <f t="shared" si="68"/>
        <v>0</v>
      </c>
      <c r="M156" s="141">
        <f t="shared" ref="M156" si="69">SUM(M157,M163)</f>
        <v>0</v>
      </c>
      <c r="N156" s="141">
        <f t="shared" ref="N156" si="70">SUM(N157,N163)</f>
        <v>0</v>
      </c>
      <c r="O156" s="141">
        <f t="shared" ref="O156" si="71">SUM(O157,O163)</f>
        <v>0</v>
      </c>
      <c r="P156" s="141">
        <f t="shared" ref="P156" si="72">SUM(P157,P163)</f>
        <v>0</v>
      </c>
      <c r="Q156" s="141">
        <f t="shared" ref="Q156" si="73">SUM(Q157,Q163)</f>
        <v>0</v>
      </c>
      <c r="R156" s="141">
        <f t="shared" ref="R156" si="74">SUM(R157,R163)</f>
        <v>0</v>
      </c>
      <c r="S156" s="141">
        <f t="shared" ref="S156" si="75">SUM(S157,S163)</f>
        <v>0</v>
      </c>
      <c r="T156" s="141">
        <f t="shared" ref="T156" si="76">SUM(T157,T163)</f>
        <v>0</v>
      </c>
      <c r="U156" s="141">
        <f t="shared" ref="U156" si="77">SUM(U157,U163)</f>
        <v>0</v>
      </c>
      <c r="V156" s="141">
        <f t="shared" ref="V156" si="78">SUM(V157,V163)</f>
        <v>0</v>
      </c>
      <c r="W156" s="141">
        <f t="shared" ref="W156" si="79">SUM(W157,W163)</f>
        <v>0</v>
      </c>
      <c r="X156" s="141">
        <f t="shared" ref="X156" si="80">SUM(X157,X163)</f>
        <v>0</v>
      </c>
      <c r="Y156" s="141">
        <f t="shared" ref="Y156" si="81">SUM(Y157,Y163)</f>
        <v>0</v>
      </c>
      <c r="Z156" s="141">
        <f t="shared" ref="Z156" si="82">SUM(Z157,Z163)</f>
        <v>0</v>
      </c>
      <c r="AA156" s="141">
        <f t="shared" ref="AA156" si="83">SUM(AA157,AA163)</f>
        <v>0</v>
      </c>
      <c r="AB156" s="235">
        <f t="shared" si="68"/>
        <v>0</v>
      </c>
      <c r="AC156" s="236" t="str">
        <f>CONCATENATE(IF(D169&gt;D156," * VL Suppressed "&amp;$D$19&amp;" "&amp;$D$20&amp;" is more than VL Done"&amp;CHAR(10),""),IF(E169&gt;E156," * VL Suppressed "&amp;$D$19&amp;" "&amp;$E$20&amp;" is more than VL Done"&amp;CHAR(10),""),IF(F169&gt;F156," * VL Suppressed "&amp;$F$19&amp;" "&amp;$F$20&amp;" is more than VL Done"&amp;CHAR(10),""),IF(G169&gt;G156," * VL Suppressed "&amp;$F$19&amp;" "&amp;$G$20&amp;" is more than VL Done"&amp;CHAR(10),""),IF(H169&gt;H156," * VL Suppressed "&amp;$H$19&amp;" "&amp;$H$20&amp;" is more than VL Done"&amp;CHAR(10),""),IF(I169&gt;I156," * VL Suppressed "&amp;$H$19&amp;" "&amp;$I$20&amp;" is more than VL Done"&amp;CHAR(10),""),IF(J169&gt;J156," * VL Suppressed "&amp;$J$19&amp;" "&amp;$J$20&amp;" is more than VL Done"&amp;CHAR(10),""),IF(K169&gt;K156," * VL Suppressed "&amp;$J$19&amp;" "&amp;$K$20&amp;" is more than VL Done"&amp;CHAR(10),""),IF(L169&gt;L156," * VL Suppressed "&amp;$L$19&amp;" "&amp;$L$20&amp;" is more than VL Done"&amp;CHAR(10),""),IF(M169&gt;M156," * VL Suppressed "&amp;$L$19&amp;" "&amp;$M$20&amp;" is more than VL Done"&amp;CHAR(10),""),IF(N169&gt;N156," * VL Suppressed "&amp;$N$19&amp;" "&amp;$N$20&amp;" is more than VL Done"&amp;CHAR(10),""),IF(O169&gt;O156," * VL Suppressed "&amp;$N$19&amp;" "&amp;$O$20&amp;" is more than VL Done"&amp;CHAR(10),""),IF(P169&gt;P156," * VL Suppressed "&amp;$P$19&amp;" "&amp;$P$20&amp;" is more than VL Done"&amp;CHAR(10),""),IF(Q169&gt;Q156," * VL Suppressed "&amp;$P$19&amp;" "&amp;$Q$20&amp;" is more than VL Done"&amp;CHAR(10),""),IF(R169&gt;R156," * VL Suppressed "&amp;$R$19&amp;" "&amp;$R$20&amp;" is more than VL Done"&amp;CHAR(10),""),IF(S169&gt;S156," * VL Suppressed "&amp;$R$19&amp;" "&amp;$S$20&amp;" is more than VL Done"&amp;CHAR(10),""),IF(T169&gt;T156," * VL Suppressed "&amp;$T$19&amp;" "&amp;$T$20&amp;" is more than VL Done"&amp;CHAR(10),""),IF(U169&gt;U156," * VL Suppressed "&amp;$T$19&amp;" "&amp;$U$20&amp;" is more than VL Done"&amp;CHAR(10),""),IF(V169&gt;V156," * VL Suppressed "&amp;$V$19&amp;" "&amp;$V$20&amp;" is more than VL Done"&amp;CHAR(10),""),IF(W169&gt;W156," * VL Suppressed "&amp;$V$19&amp;" "&amp;$W$20&amp;" is more than VL Done"&amp;CHAR(10),""),IF(X169&gt;X156," * VL Suppressed "&amp;$X$19&amp;" "&amp;$X$20&amp;" is more than VL Done"&amp;CHAR(10),""),IF(Y169&gt;Y156," * VL Suppressed "&amp;$X$19&amp;" "&amp;$Y$20&amp;" is more than VL Done"&amp;CHAR(10),""),IF(Z169&gt;Z156," * VL Suppressed "&amp;$Z$19&amp;" "&amp;$Z$20&amp;" is more than VL Done"&amp;CHAR(10),""),IF(AA169&gt;AA156," * VL Suppressed "&amp;$Z$19&amp;" "&amp;$AA$20&amp;" is more than VL Done"&amp;CHAR(10),""),IF(AB169&gt;AB168156," * VL Suppressed "&amp;$Z$19&amp;" "&amp;$AA$20&amp;" is more than VL Done"&amp;CHAR(10),""))</f>
        <v/>
      </c>
      <c r="AD156" s="201"/>
      <c r="AE156" s="234"/>
      <c r="AF156" s="202"/>
      <c r="AG156" s="110"/>
    </row>
    <row r="157" spans="1:33" s="6" customFormat="1" ht="38.25" customHeight="1" thickBot="1" x14ac:dyDescent="0.3">
      <c r="A157" s="217" t="s">
        <v>207</v>
      </c>
      <c r="B157" s="253" t="s">
        <v>207</v>
      </c>
      <c r="C157" s="180" t="s">
        <v>341</v>
      </c>
      <c r="D157" s="248">
        <f t="shared" ref="D157:L157" si="84">SUM(D158:D162)</f>
        <v>0</v>
      </c>
      <c r="E157" s="141">
        <f t="shared" si="84"/>
        <v>0</v>
      </c>
      <c r="F157" s="141">
        <f t="shared" si="84"/>
        <v>0</v>
      </c>
      <c r="G157" s="141">
        <f t="shared" si="84"/>
        <v>0</v>
      </c>
      <c r="H157" s="141">
        <f t="shared" si="84"/>
        <v>0</v>
      </c>
      <c r="I157" s="141">
        <f t="shared" si="84"/>
        <v>0</v>
      </c>
      <c r="J157" s="141">
        <f t="shared" si="84"/>
        <v>0</v>
      </c>
      <c r="K157" s="141">
        <f t="shared" si="84"/>
        <v>0</v>
      </c>
      <c r="L157" s="141">
        <f t="shared" si="84"/>
        <v>0</v>
      </c>
      <c r="M157" s="141">
        <f t="shared" ref="M157:AB157" si="85">SUM(M158:M162)</f>
        <v>0</v>
      </c>
      <c r="N157" s="141">
        <f t="shared" si="85"/>
        <v>0</v>
      </c>
      <c r="O157" s="141">
        <f t="shared" si="85"/>
        <v>0</v>
      </c>
      <c r="P157" s="141">
        <f t="shared" si="85"/>
        <v>0</v>
      </c>
      <c r="Q157" s="141">
        <f t="shared" si="85"/>
        <v>0</v>
      </c>
      <c r="R157" s="141">
        <f t="shared" si="85"/>
        <v>0</v>
      </c>
      <c r="S157" s="141">
        <f t="shared" si="85"/>
        <v>0</v>
      </c>
      <c r="T157" s="141">
        <f t="shared" si="85"/>
        <v>0</v>
      </c>
      <c r="U157" s="141">
        <f t="shared" si="85"/>
        <v>0</v>
      </c>
      <c r="V157" s="141">
        <f t="shared" si="85"/>
        <v>0</v>
      </c>
      <c r="W157" s="141">
        <f t="shared" si="85"/>
        <v>0</v>
      </c>
      <c r="X157" s="141">
        <f t="shared" si="85"/>
        <v>0</v>
      </c>
      <c r="Y157" s="141">
        <f t="shared" si="85"/>
        <v>0</v>
      </c>
      <c r="Z157" s="141">
        <f t="shared" si="85"/>
        <v>0</v>
      </c>
      <c r="AA157" s="141">
        <f t="shared" si="85"/>
        <v>0</v>
      </c>
      <c r="AB157" s="141">
        <f t="shared" si="85"/>
        <v>0</v>
      </c>
      <c r="AC157" s="199" t="str">
        <f>CONCATENATE(IF(D170&gt;D157," * VL suppressed Routine"&amp;$D$19&amp;" "&amp;$D$20&amp;" is more than VL Done Routine"&amp;CHAR(10),""),IF(E170&gt;E157," * VL suppressed Routine "&amp;$D$19&amp;" "&amp;$E$20&amp;" is more than VL Done Routine"&amp;CHAR(10),""),IF(F170&gt;F157," * VL suppressed Routine "&amp;$F$19&amp;" "&amp;$F$20&amp;" is more than VL Done Routine"&amp;CHAR(10),""),IF(G170&gt;G157," * VL suppressed Routine "&amp;$F$19&amp;" "&amp;$G$20&amp;" is more than VL Done Routine"&amp;CHAR(10),""),IF(H170&gt;H157," * VL suppressed Routine "&amp;$H$19&amp;" "&amp;$H$20&amp;" is more than VL Done Routine"&amp;CHAR(10),""),IF(I170&gt;I157," * VL suppressed Routine "&amp;$H$19&amp;" "&amp;$I$20&amp;" is more than VL Done Routine"&amp;CHAR(10),""),IF(J170&gt;J157," * VL suppressed Routine "&amp;$J$19&amp;" "&amp;$J$20&amp;" is more than VL Done Routine"&amp;CHAR(10),""),IF(K170&gt;K157," * VL suppressed Routine "&amp;$J$19&amp;" "&amp;$K$20&amp;" is more than VL Done Routine"&amp;CHAR(10),""),IF(L170&gt;L157," * VL suppressed Routine "&amp;$L$19&amp;" "&amp;$L$20&amp;" is more than VL Done Routine"&amp;CHAR(10),""),IF(M170&gt;M157," * VL suppressed Routine "&amp;$L$19&amp;" "&amp;$M$20&amp;" is more than VL Done Routine"&amp;CHAR(10),""),IF(N170&gt;N157," * VL suppressed Routine "&amp;$N$19&amp;" "&amp;$N$20&amp;" is more than VL Done Routine"&amp;CHAR(10),""),IF(O170&gt;O157," * VL suppressed Routine "&amp;$N$19&amp;" "&amp;$O$20&amp;" is more than VL Done Routine"&amp;CHAR(10),""),IF(P170&gt;P157," * VL suppressed Routine "&amp;$P$19&amp;" "&amp;$P$20&amp;" is more than VL Done Routine"&amp;CHAR(10),""),IF(Q170&gt;Q157," * VL suppressed Routine "&amp;$P$19&amp;" "&amp;$Q$20&amp;" is more than VL Done Routine"&amp;CHAR(10),""),IF(R170&gt;R157," * VL suppressed Routine "&amp;$R$19&amp;" "&amp;$R$20&amp;" is more than VL Done Routine"&amp;CHAR(10),""),IF(S170&gt;S157," * VL suppressed Routine "&amp;$R$19&amp;" "&amp;$S$20&amp;" is more than VL Done Routine"&amp;CHAR(10),""),IF(T170&gt;T157," * VL suppressed Routine "&amp;$T$19&amp;" "&amp;$T$20&amp;" is more than VL Done Routine"&amp;CHAR(10),""),IF(U170&gt;U157," * VL suppressed Routine "&amp;$T$19&amp;" "&amp;$U$20&amp;" is more than VL Done Routine"&amp;CHAR(10),""),IF(V170&gt;V157," * VL suppressed Routine "&amp;$V$19&amp;" "&amp;$V$20&amp;" is more than VL Done Routine"&amp;CHAR(10),""),IF(W170&gt;W157," * VL suppressed Routine "&amp;$V$19&amp;" "&amp;$W$20&amp;" is more than VL Done Routine"&amp;CHAR(10),""),IF(X170&gt;X157," * VL suppressed Routine "&amp;$X$19&amp;" "&amp;$X$20&amp;" is more than VL Done Routine"&amp;CHAR(10),""),IF(Y170&gt;Y157," * VL suppressed Routine "&amp;$X$19&amp;" "&amp;$Y$20&amp;" is more than VL Done Routine"&amp;CHAR(10),""),IF(Z170&gt;Z157," * VL suppressed Routine "&amp;$Z$19&amp;" "&amp;$Z$20&amp;" is more than VL Done Routine"&amp;CHAR(10),""),IF(AA170&gt;AA157," * VL suppressed Routine "&amp;$Z$19&amp;" "&amp;$AA$20&amp;" is more than VL Done Routine"&amp;CHAR(10),""),IF(AB170&gt;AB157," * VL suppressed Routine "&amp;$AB$19&amp;" "&amp;$AB$20&amp;" is more than VL Done Routine"&amp;CHAR(10),""))</f>
        <v/>
      </c>
      <c r="AD157" s="381" t="str">
        <f>CONCATENATE(AC157,AC158,AC159,AC160,AC161,AC162,AC163,AC164,AC165,AC166,AC167,AC168,AC169,AC170,AC171,AC172,AC173,AC174,AC175,AC176,AC177,AC178,AC179,AC180,AC181,AC143,AC144,AC145,AC146,AC147)</f>
        <v/>
      </c>
      <c r="AE157" s="143" t="str">
        <f>IF((AB156-AB169)&gt;1," * "&amp;(((AB156-AB169)/AB156)*100)&amp;"% of Patients  are not virally suppressed . Please provide an explanation"&amp;CHAR(10),"")</f>
        <v/>
      </c>
      <c r="AF157" s="381" t="str">
        <f>CONCATENATE(AE157,AE158,AE159,AE160,AE161,AE162,AE163,AE164,AE165,AE166,AE167,AE168,AE169,AE170,AE171,AE172,AE173,AE174,AE175,AE176,AE177,AE178,AE179,AE180,AE181)</f>
        <v/>
      </c>
      <c r="AG157" s="110">
        <v>155</v>
      </c>
    </row>
    <row r="158" spans="1:33" s="4" customFormat="1" ht="38.25" customHeight="1" thickBot="1" x14ac:dyDescent="0.3">
      <c r="A158" s="218" t="s">
        <v>79</v>
      </c>
      <c r="B158" s="155" t="s">
        <v>208</v>
      </c>
      <c r="C158" s="198" t="s">
        <v>342</v>
      </c>
      <c r="D158" s="37"/>
      <c r="E158" s="28"/>
      <c r="F158" s="37"/>
      <c r="G158" s="28"/>
      <c r="H158" s="37"/>
      <c r="I158" s="28"/>
      <c r="J158" s="37"/>
      <c r="K158" s="28"/>
      <c r="L158" s="28"/>
      <c r="M158" s="29"/>
      <c r="N158" s="28"/>
      <c r="O158" s="29"/>
      <c r="P158" s="28"/>
      <c r="Q158" s="29"/>
      <c r="R158" s="28"/>
      <c r="S158" s="29"/>
      <c r="T158" s="28"/>
      <c r="U158" s="29"/>
      <c r="V158" s="28"/>
      <c r="W158" s="29"/>
      <c r="X158" s="28"/>
      <c r="Y158" s="29"/>
      <c r="Z158" s="28"/>
      <c r="AA158" s="29"/>
      <c r="AB158" s="108">
        <f t="shared" ref="AB158:AB161" si="86">SUM(D158:AA158)</f>
        <v>0</v>
      </c>
      <c r="AC158" s="199" t="str">
        <f>CONCATENATE(IF(D171&gt;D158," * VL suppressed Routine FSW "&amp;$D$19&amp;" "&amp;$D$20&amp;" is more than VL Done Routine"&amp;CHAR(10),""),IF(E171&gt;E158," * VL suppressed Routine FSW "&amp;$D$19&amp;" "&amp;$E$20&amp;" is more than VL Done Routine"&amp;CHAR(10),""),IF(F171&gt;F158," * VL suppressed Routine FSW "&amp;$F$19&amp;" "&amp;$F$20&amp;" is more than VL Done Routine"&amp;CHAR(10),""),IF(G171&gt;G158," * VL suppressed Routine FSW "&amp;$F$19&amp;" "&amp;$G$20&amp;" is more than VL Done Routine"&amp;CHAR(10),""),IF(H171&gt;H158," * VL suppressed Routine FSW "&amp;$H$19&amp;" "&amp;$H$20&amp;" is more than VL Done Routine"&amp;CHAR(10),""),IF(I171&gt;I158," * VL suppressed Routine FSW "&amp;$H$19&amp;" "&amp;$I$20&amp;" is more than VL Done Routine"&amp;CHAR(10),""),IF(J171&gt;J158," * VL suppressed Routine FSW "&amp;$J$19&amp;" "&amp;$J$20&amp;" is more than VL Done Routine"&amp;CHAR(10),""),IF(K171&gt;K158," * VL suppressed Routine FSW "&amp;$J$19&amp;" "&amp;$K$20&amp;" is more than VL Done Routine"&amp;CHAR(10),""),IF(L171&gt;L158," * VL suppressed Routine FSW "&amp;$L$19&amp;" "&amp;$L$20&amp;" is more than VL Done Routine"&amp;CHAR(10),""),IF(M171&gt;M158," * VL suppressed Routine FSW "&amp;$L$19&amp;" "&amp;$M$20&amp;" is more than VL Done Routine"&amp;CHAR(10),""),IF(N171&gt;N158," * VL suppressed Routine FSW "&amp;$N$19&amp;" "&amp;$N$20&amp;" is more than VL Done Routine"&amp;CHAR(10),""),IF(O171&gt;O158," * VL suppressed Routine FSW "&amp;$N$19&amp;" "&amp;$O$20&amp;" is more than VL Done Routine"&amp;CHAR(10),""),IF(P171&gt;P158," * VL suppressed Routine FSW "&amp;$P$19&amp;" "&amp;$P$20&amp;" is more than VL Done Routine"&amp;CHAR(10),""),IF(Q171&gt;Q158," * VL suppressed Routine FSW "&amp;$P$19&amp;" "&amp;$Q$20&amp;" is more than VL Done Routine"&amp;CHAR(10),""),IF(R171&gt;R158," * VL suppressed Routine FSW "&amp;$R$19&amp;" "&amp;$R$20&amp;" is more than VL Done Routine"&amp;CHAR(10),""),IF(S171&gt;S158," * VL suppressed Routine FSW "&amp;$R$19&amp;" "&amp;$S$20&amp;" is more than VL Done Routine"&amp;CHAR(10),""),IF(T171&gt;T158," * VL suppressed Routine FSW "&amp;$T$19&amp;" "&amp;$T$20&amp;" is more than VL Done Routine"&amp;CHAR(10),""),IF(U171&gt;U158," * VL suppressed Routine FSW "&amp;$T$19&amp;" "&amp;$U$20&amp;" is more than VL Done Routine"&amp;CHAR(10),""),IF(V171&gt;V158," * VL suppressed Routine FSW "&amp;$V$19&amp;" "&amp;$V$20&amp;" is more than VL Done Routine"&amp;CHAR(10),""),IF(W171&gt;W158," * VL suppressed Routine FSW "&amp;$V$19&amp;" "&amp;$W$20&amp;" is more than VL Done Routine"&amp;CHAR(10),""),IF(X171&gt;X158," * VL suppressed Routine FSW "&amp;$X$19&amp;" "&amp;$X$20&amp;" is more than VL Done Routine"&amp;CHAR(10),""),IF(Y171&gt;Y158," * VL suppressed Routine FSW "&amp;$X$19&amp;" "&amp;$Y$20&amp;" is more than VL Done Routine"&amp;CHAR(10),""),IF(Z171&gt;Z158," * VL suppressed Routine FSW "&amp;$Z$19&amp;" "&amp;$Z$20&amp;" is more than VL Done Routine"&amp;CHAR(10),""),IF(AA171&gt;AA158," * VL suppressed Routine FSW "&amp;$Z$19&amp;" "&amp;$AA$20&amp;" is more than VL Done Routine"&amp;CHAR(10),""),IF(AB171&gt;AB158," * VL suppressed Routine FSW "&amp;$AB$19&amp;" "&amp;$AB$20&amp;" is more than VL Done Routine"&amp;CHAR(10),""))</f>
        <v/>
      </c>
      <c r="AD158" s="382"/>
      <c r="AE158" s="124"/>
      <c r="AF158" s="382"/>
      <c r="AG158" s="110">
        <v>156</v>
      </c>
    </row>
    <row r="159" spans="1:33" s="4" customFormat="1" ht="38.25" customHeight="1" x14ac:dyDescent="0.25">
      <c r="A159" s="213" t="s">
        <v>77</v>
      </c>
      <c r="B159" s="153" t="s">
        <v>209</v>
      </c>
      <c r="C159" s="198" t="s">
        <v>343</v>
      </c>
      <c r="D159" s="36"/>
      <c r="E159" s="27"/>
      <c r="F159" s="36"/>
      <c r="G159" s="27"/>
      <c r="H159" s="36"/>
      <c r="I159" s="27"/>
      <c r="J159" s="36"/>
      <c r="K159" s="27"/>
      <c r="L159" s="25"/>
      <c r="M159" s="28"/>
      <c r="N159" s="25"/>
      <c r="O159" s="28"/>
      <c r="P159" s="25"/>
      <c r="Q159" s="28"/>
      <c r="R159" s="25"/>
      <c r="S159" s="28"/>
      <c r="T159" s="25"/>
      <c r="U159" s="28"/>
      <c r="V159" s="25"/>
      <c r="W159" s="28"/>
      <c r="X159" s="25"/>
      <c r="Y159" s="28"/>
      <c r="Z159" s="25"/>
      <c r="AA159" s="28"/>
      <c r="AB159" s="101">
        <f t="shared" si="86"/>
        <v>0</v>
      </c>
      <c r="AC159" s="199" t="str">
        <f>CONCATENATE(IF(D172&gt;D159," * VL suppressed Routine MSM "&amp;$D$19&amp;" "&amp;$D$20&amp;" is more than VL Done Routine"&amp;CHAR(10),""),IF(E172&gt;E159," * VL suppressed Routine MSM "&amp;$D$19&amp;" "&amp;$E$20&amp;" is more than VL Done Routine"&amp;CHAR(10),""),IF(F172&gt;F159," * VL suppressed Routine MSM "&amp;$F$19&amp;" "&amp;$F$20&amp;" is more than VL Done Routine"&amp;CHAR(10),""),IF(G172&gt;G159," * VL suppressed Routine MSM "&amp;$F$19&amp;" "&amp;$G$20&amp;" is more than VL Done Routine"&amp;CHAR(10),""),IF(H172&gt;H159," * VL suppressed Routine MSM "&amp;$H$19&amp;" "&amp;$H$20&amp;" is more than VL Done Routine"&amp;CHAR(10),""),IF(I172&gt;I159," * VL suppressed Routine MSM "&amp;$H$19&amp;" "&amp;$I$20&amp;" is more than VL Done Routine"&amp;CHAR(10),""),IF(J172&gt;J159," * VL suppressed Routine MSM "&amp;$J$19&amp;" "&amp;$J$20&amp;" is more than VL Done Routine"&amp;CHAR(10),""),IF(K172&gt;K159," * VL suppressed Routine MSM "&amp;$J$19&amp;" "&amp;$K$20&amp;" is more than VL Done Routine"&amp;CHAR(10),""),IF(L172&gt;L159," * VL suppressed Routine MSM "&amp;$L$19&amp;" "&amp;$L$20&amp;" is more than VL Done Routine"&amp;CHAR(10),""),IF(M172&gt;M159," * VL suppressed Routine MSM "&amp;$L$19&amp;" "&amp;$M$20&amp;" is more than VL Done Routine"&amp;CHAR(10),""),IF(N172&gt;N159," * VL suppressed Routine MSM "&amp;$N$19&amp;" "&amp;$N$20&amp;" is more than VL Done Routine"&amp;CHAR(10),""),IF(O172&gt;O159," * VL suppressed Routine MSM "&amp;$N$19&amp;" "&amp;$O$20&amp;" is more than VL Done Routine"&amp;CHAR(10),""),IF(P172&gt;P159," * VL suppressed Routine MSM "&amp;$P$19&amp;" "&amp;$P$20&amp;" is more than VL Done Routine"&amp;CHAR(10),""),IF(Q172&gt;Q159," * VL suppressed Routine MSM "&amp;$P$19&amp;" "&amp;$Q$20&amp;" is more than VL Done Routine"&amp;CHAR(10),""),IF(R172&gt;R159," * VL suppressed Routine MSM "&amp;$R$19&amp;" "&amp;$R$20&amp;" is more than VL Done Routine"&amp;CHAR(10),""),IF(S172&gt;S159," * VL suppressed Routine MSM "&amp;$R$19&amp;" "&amp;$S$20&amp;" is more than VL Done Routine"&amp;CHAR(10),""),IF(T172&gt;T159," * VL suppressed Routine MSM "&amp;$T$19&amp;" "&amp;$T$20&amp;" is more than VL Done Routine"&amp;CHAR(10),""),IF(U172&gt;U159," * VL suppressed Routine MSM "&amp;$T$19&amp;" "&amp;$U$20&amp;" is more than VL Done Routine"&amp;CHAR(10),""),IF(V172&gt;V159," * VL suppressed Routine MSM "&amp;$V$19&amp;" "&amp;$V$20&amp;" is more than VL Done Routine"&amp;CHAR(10),""),IF(W172&gt;W159," * VL suppressed Routine MSM "&amp;$V$19&amp;" "&amp;$W$20&amp;" is more than VL Done Routine"&amp;CHAR(10),""),IF(X172&gt;X159," * VL suppressed Routine MSM "&amp;$X$19&amp;" "&amp;$X$20&amp;" is more than VL Done Routine"&amp;CHAR(10),""),IF(Y172&gt;Y159," * VL suppressed Routine MSM "&amp;$X$19&amp;" "&amp;$Y$20&amp;" is more than VL Done Routine"&amp;CHAR(10),""),IF(Z172&gt;Z159," * VL suppressed Routine MSM "&amp;$Z$19&amp;" "&amp;$Z$20&amp;" is more than VL Done Routine"&amp;CHAR(10),""),IF(AA172&gt;AA159," * VL suppressed Routine MSM "&amp;$Z$19&amp;" "&amp;$AA$20&amp;" is more than VL Done Routine"&amp;CHAR(10),""),IF(AB172&gt;AB159," * VL suppressed Routine MSM "&amp;$AB$19&amp;" "&amp;$AB$20&amp;" is more than VL Done Routine"&amp;CHAR(10),""))</f>
        <v/>
      </c>
      <c r="AD159" s="382"/>
      <c r="AE159" s="124"/>
      <c r="AF159" s="382"/>
      <c r="AG159" s="110">
        <v>157</v>
      </c>
    </row>
    <row r="160" spans="1:33" s="4" customFormat="1" ht="38.25" customHeight="1" x14ac:dyDescent="0.25">
      <c r="A160" s="213" t="s">
        <v>167</v>
      </c>
      <c r="B160" s="153" t="s">
        <v>210</v>
      </c>
      <c r="C160" s="198" t="s">
        <v>344</v>
      </c>
      <c r="D160" s="36"/>
      <c r="E160" s="27"/>
      <c r="F160" s="36"/>
      <c r="G160" s="27"/>
      <c r="H160" s="36"/>
      <c r="I160" s="27"/>
      <c r="J160" s="36"/>
      <c r="K160" s="27"/>
      <c r="L160" s="25"/>
      <c r="M160" s="25"/>
      <c r="N160" s="25"/>
      <c r="O160" s="25"/>
      <c r="P160" s="25"/>
      <c r="Q160" s="25"/>
      <c r="R160" s="25"/>
      <c r="S160" s="25"/>
      <c r="T160" s="25"/>
      <c r="U160" s="25"/>
      <c r="V160" s="25"/>
      <c r="W160" s="25"/>
      <c r="X160" s="25"/>
      <c r="Y160" s="25"/>
      <c r="Z160" s="25"/>
      <c r="AA160" s="25"/>
      <c r="AB160" s="101">
        <f t="shared" si="86"/>
        <v>0</v>
      </c>
      <c r="AC160" s="199" t="str">
        <f>CONCATENATE(IF(D173&gt;D160," * VL suppressed Routine People In Prison "&amp;$D$19&amp;" "&amp;$D$20&amp;" is more than VL Done Routine People In Prison Routine"&amp;CHAR(10),""),IF(E173&gt;E160," * VL suppressed Routine People In Prison "&amp;$D$19&amp;" "&amp;$E$20&amp;" is more than VL Done Routine People In Prison Routine"&amp;CHAR(10),""),IF(F173&gt;F160," * VL suppressed Routine People In Prison "&amp;$F$19&amp;" "&amp;$F$20&amp;" is more than VL Done Routine People In Prison Routine"&amp;CHAR(10),""),IF(G173&gt;G160," * VL suppressed Routine People In Prison "&amp;$F$19&amp;" "&amp;$G$20&amp;" is more than VL Done Routine People In Prison Routine"&amp;CHAR(10),""),IF(H173&gt;H160," * VL suppressed Routine People In Prison "&amp;$H$19&amp;" "&amp;$H$20&amp;" is more than VL Done Routine People In Prison Routine"&amp;CHAR(10),""),IF(I173&gt;I160," * VL suppressed Routine People In Prison "&amp;$H$19&amp;" "&amp;$I$20&amp;" is more than VL Done Routine People In Prison Routine"&amp;CHAR(10),""),IF(J173&gt;J160," * VL suppressed Routine People In Prison "&amp;$J$19&amp;" "&amp;$J$20&amp;" is more than VL Done Routine People In Prison Routine"&amp;CHAR(10),""),IF(K173&gt;K160," * VL suppressed Routine People In Prison "&amp;$J$19&amp;" "&amp;$K$20&amp;" is more than VL Done Routine People In Prison Routine"&amp;CHAR(10),""),IF(L173&gt;L160," * VL suppressed Routine People In Prison "&amp;$L$19&amp;" "&amp;$L$20&amp;" is more than VL Done Routine People In Prison Routine"&amp;CHAR(10),""),IF(M173&gt;M160," * VL suppressed Routine People In Prison "&amp;$L$19&amp;" "&amp;$M$20&amp;" is more than VL Done Routine People In Prison Routine"&amp;CHAR(10),""),IF(N173&gt;N160," * VL suppressed Routine People In Prison "&amp;$N$19&amp;" "&amp;$N$20&amp;" is more than VL Done Routine People In Prison Routine"&amp;CHAR(10),""),IF(O173&gt;O160," * VL suppressed Routine People In Prison "&amp;$N$19&amp;" "&amp;$O$20&amp;" is more than VL Done Routine People In Prison Routine"&amp;CHAR(10),""),IF(P173&gt;P160," * VL suppressed Routine People In Prison "&amp;$P$19&amp;" "&amp;$P$20&amp;" is more than VL Done Routine People In Prison Routine"&amp;CHAR(10),""),IF(Q173&gt;Q160," * VL suppressed Routine People In Prison "&amp;$P$19&amp;" "&amp;$Q$20&amp;" is more than VL Done Routine People In Prison Routine"&amp;CHAR(10),""),IF(R173&gt;R160," * VL suppressed Routine People In Prison "&amp;$R$19&amp;" "&amp;$R$20&amp;" is more than VL Done Routine People In Prison Routine"&amp;CHAR(10),""),IF(S173&gt;S160," * VL suppressed Routine People In Prison "&amp;$R$19&amp;" "&amp;$S$20&amp;" is more than VL Done Routine People In Prison Routine"&amp;CHAR(10),""),IF(T173&gt;T160," * VL suppressed Routine People In Prison "&amp;$T$19&amp;" "&amp;$T$20&amp;" is more than VL Done Routine People In Prison Routine"&amp;CHAR(10),""),IF(U173&gt;U160," * VL suppressed Routine People In Prison "&amp;$T$19&amp;" "&amp;$U$20&amp;" is more than VL Done Routine People In Prison Routine"&amp;CHAR(10),""),IF(V173&gt;V160," * VL suppressed Routine People In Prison "&amp;$V$19&amp;" "&amp;$V$20&amp;" is more than VL Done Routine People In Prison Routine"&amp;CHAR(10),""),IF(W173&gt;W160," * VL suppressed Routine People In Prison "&amp;$V$19&amp;" "&amp;$W$20&amp;" is more than VL Done Routine People In Prison Routine"&amp;CHAR(10),""),IF(X173&gt;X160," * VL suppressed Routine People In Prison "&amp;$X$19&amp;" "&amp;$X$20&amp;" is more than VL Done Routine People In Prison Routine"&amp;CHAR(10),""),IF(Y173&gt;Y160," * VL suppressed Routine People In Prison "&amp;$X$19&amp;" "&amp;$Y$20&amp;" is more than VL Done Routine People In Prison Routine"&amp;CHAR(10),""),IF(Z173&gt;Z160," * VL suppressed Routine People In Prison "&amp;$Z$19&amp;" "&amp;$Z$20&amp;" is more than VL Done Routine People In Prison Routine"&amp;CHAR(10),""),IF(AA173&gt;AA160," * VL suppressed Routine People In Prison "&amp;$Z$19&amp;" "&amp;$AA$20&amp;" is more than VL Done Routine People In Prison Routine"&amp;CHAR(10),""),IF(AB173&gt;AB160," * VL suppressed Routine People In Prison "&amp;$AB$19&amp;" "&amp;$AB$20&amp;" is more than VL Done Routine People In Prison Routine"&amp;CHAR(10),""))</f>
        <v/>
      </c>
      <c r="AD160" s="382"/>
      <c r="AE160" s="124"/>
      <c r="AF160" s="382"/>
      <c r="AG160" s="110">
        <v>159</v>
      </c>
    </row>
    <row r="161" spans="1:33" s="4" customFormat="1" ht="38.25" customHeight="1" thickBot="1" x14ac:dyDescent="0.3">
      <c r="A161" s="213" t="s">
        <v>76</v>
      </c>
      <c r="B161" s="153" t="s">
        <v>211</v>
      </c>
      <c r="C161" s="198" t="s">
        <v>345</v>
      </c>
      <c r="D161" s="36"/>
      <c r="E161" s="27"/>
      <c r="F161" s="36"/>
      <c r="G161" s="27"/>
      <c r="H161" s="36"/>
      <c r="I161" s="27"/>
      <c r="J161" s="36"/>
      <c r="K161" s="27"/>
      <c r="L161" s="25"/>
      <c r="M161" s="25"/>
      <c r="N161" s="25"/>
      <c r="O161" s="25"/>
      <c r="P161" s="25"/>
      <c r="Q161" s="25"/>
      <c r="R161" s="25"/>
      <c r="S161" s="25"/>
      <c r="T161" s="25"/>
      <c r="U161" s="25"/>
      <c r="V161" s="25"/>
      <c r="W161" s="25"/>
      <c r="X161" s="25"/>
      <c r="Y161" s="25"/>
      <c r="Z161" s="25"/>
      <c r="AA161" s="25"/>
      <c r="AB161" s="102">
        <f t="shared" si="86"/>
        <v>0</v>
      </c>
      <c r="AC161" s="199" t="str">
        <f>CONCATENATE(IF(D174&gt;D161," * VL suppressed Routine PWID "&amp;$D$19&amp;" "&amp;$D$20&amp;" is more than VL Done Routine PWID Routine"&amp;CHAR(10),""),IF(E174&gt;E161," * VL suppressed Routine PWID "&amp;$D$19&amp;" "&amp;$E$20&amp;" is more than VL Done Routine PWID Routine"&amp;CHAR(10),""),IF(F174&gt;F161," * VL suppressed Routine PWID "&amp;$F$19&amp;" "&amp;$F$20&amp;" is more than VL Done Routine PWID Routine"&amp;CHAR(10),""),IF(G174&gt;G161," * VL suppressed Routine PWID "&amp;$F$19&amp;" "&amp;$G$20&amp;" is more than VL Done Routine PWID Routine"&amp;CHAR(10),""),IF(H174&gt;H161," * VL suppressed Routine PWID "&amp;$H$19&amp;" "&amp;$H$20&amp;" is more than VL Done Routine PWID Routine"&amp;CHAR(10),""),IF(I174&gt;I161," * VL suppressed Routine PWID "&amp;$H$19&amp;" "&amp;$I$20&amp;" is more than VL Done Routine PWID Routine"&amp;CHAR(10),""),IF(J174&gt;J161," * VL suppressed Routine PWID "&amp;$J$19&amp;" "&amp;$J$20&amp;" is more than VL Done Routine PWID Routine"&amp;CHAR(10),""),IF(K174&gt;K161," * VL suppressed Routine PWID "&amp;$J$19&amp;" "&amp;$K$20&amp;" is more than VL Done Routine PWID Routine"&amp;CHAR(10),""),IF(L174&gt;L161," * VL suppressed Routine PWID "&amp;$L$19&amp;" "&amp;$L$20&amp;" is more than VL Done Routine PWID Routine"&amp;CHAR(10),""),IF(M174&gt;M161," * VL suppressed Routine PWID "&amp;$L$19&amp;" "&amp;$M$20&amp;" is more than VL Done Routine PWID Routine"&amp;CHAR(10),""),IF(N174&gt;N161," * VL suppressed Routine PWID "&amp;$N$19&amp;" "&amp;$N$20&amp;" is more than VL Done Routine PWID Routine"&amp;CHAR(10),""),IF(O174&gt;O161," * VL suppressed Routine PWID "&amp;$N$19&amp;" "&amp;$O$20&amp;" is more than VL Done Routine PWID Routine"&amp;CHAR(10),""),IF(P174&gt;P161," * VL suppressed Routine PWID "&amp;$P$19&amp;" "&amp;$P$20&amp;" is more than VL Done Routine PWID Routine"&amp;CHAR(10),""),IF(Q174&gt;Q161," * VL suppressed Routine PWID "&amp;$P$19&amp;" "&amp;$Q$20&amp;" is more than VL Done Routine PWID Routine"&amp;CHAR(10),""),IF(R174&gt;R161," * VL suppressed Routine PWID "&amp;$R$19&amp;" "&amp;$R$20&amp;" is more than VL Done Routine PWID Routine"&amp;CHAR(10),""),IF(S174&gt;S161," * VL suppressed Routine PWID "&amp;$R$19&amp;" "&amp;$S$20&amp;" is more than VL Done Routine PWID Routine"&amp;CHAR(10),""),IF(T174&gt;T161," * VL suppressed Routine PWID "&amp;$T$19&amp;" "&amp;$T$20&amp;" is more than VL Done Routine PWID Routine"&amp;CHAR(10),""),IF(U174&gt;U161," * VL suppressed Routine PWID "&amp;$T$19&amp;" "&amp;$U$20&amp;" is more than VL Done Routine PWID Routine"&amp;CHAR(10),""),IF(V174&gt;V161," * VL suppressed Routine PWID "&amp;$V$19&amp;" "&amp;$V$20&amp;" is more than VL Done Routine PWID Routine"&amp;CHAR(10),""),IF(W174&gt;W161," * VL suppressed Routine PWID "&amp;$V$19&amp;" "&amp;$W$20&amp;" is more than VL Done Routine PWID Routine"&amp;CHAR(10),""),IF(X174&gt;X161," * VL suppressed Routine PWID "&amp;$X$19&amp;" "&amp;$X$20&amp;" is more than VL Done Routine PWID Routine"&amp;CHAR(10),""),IF(Y174&gt;Y161," * VL suppressed Routine PWID "&amp;$X$19&amp;" "&amp;$Y$20&amp;" is more than VL Done Routine PWID Routine"&amp;CHAR(10),""),IF(Z174&gt;Z161," * VL suppressed Routine PWID "&amp;$Z$19&amp;" "&amp;$Z$20&amp;" is more than VL Done Routine PWID Routine"&amp;CHAR(10),""),IF(AA174&gt;AA161," * VL suppressed Routine PWID "&amp;$Z$19&amp;" "&amp;$AA$20&amp;" is more than VL Done Routine PWID Routine"&amp;CHAR(10),""),IF(AB174&gt;AB161," * VL suppressed Routine PWID "&amp;$AB$19&amp;" "&amp;$AB$20&amp;" is more than VL Done Routine PWID Routine"&amp;CHAR(10),""))</f>
        <v/>
      </c>
      <c r="AD161" s="382"/>
      <c r="AE161" s="124"/>
      <c r="AF161" s="382"/>
      <c r="AG161" s="110">
        <v>160</v>
      </c>
    </row>
    <row r="162" spans="1:33" s="4" customFormat="1" ht="38.25" customHeight="1" thickBot="1" x14ac:dyDescent="0.3">
      <c r="A162" s="219" t="s">
        <v>435</v>
      </c>
      <c r="B162" s="154" t="s">
        <v>212</v>
      </c>
      <c r="C162" s="198" t="s">
        <v>346</v>
      </c>
      <c r="D162" s="97"/>
      <c r="E162" s="98"/>
      <c r="F162" s="97"/>
      <c r="G162" s="98"/>
      <c r="H162" s="97"/>
      <c r="I162" s="98"/>
      <c r="J162" s="97"/>
      <c r="K162" s="98"/>
      <c r="L162" s="98"/>
      <c r="M162" s="98"/>
      <c r="N162" s="98"/>
      <c r="O162" s="98"/>
      <c r="P162" s="98"/>
      <c r="Q162" s="98"/>
      <c r="R162" s="98"/>
      <c r="S162" s="98"/>
      <c r="T162" s="98"/>
      <c r="U162" s="98"/>
      <c r="V162" s="98"/>
      <c r="W162" s="98"/>
      <c r="X162" s="98"/>
      <c r="Y162" s="98"/>
      <c r="Z162" s="98"/>
      <c r="AA162" s="232"/>
      <c r="AB162" s="233"/>
      <c r="AC162" s="199" t="str">
        <f>CONCATENATE(IF(D175&gt;D162," * VL suppressed Routine TG "&amp;$D$19&amp;" "&amp;$D$20&amp;" is more than VL Done Routine TG Routine"&amp;CHAR(10),""),IF(E175&gt;E162," * VL suppressed Routine TG "&amp;$D$19&amp;" "&amp;$E$20&amp;" is more than VL Done Routine TG Routine"&amp;CHAR(10),""),IF(F175&gt;F162," * VL suppressed Routine TG "&amp;$F$19&amp;" "&amp;$F$20&amp;" is more than VL Done Routine TG Routine"&amp;CHAR(10),""),IF(G175&gt;G162," * VL suppressed Routine TG "&amp;$F$19&amp;" "&amp;$G$20&amp;" is more than VL Done Routine TG Routine"&amp;CHAR(10),""),IF(H175&gt;H162," * VL suppressed Routine TG "&amp;$H$19&amp;" "&amp;$H$20&amp;" is more than VL Done Routine TG Routine"&amp;CHAR(10),""),IF(I175&gt;I162," * VL suppressed Routine TG "&amp;$H$19&amp;" "&amp;$I$20&amp;" is more than VL Done Routine TG Routine"&amp;CHAR(10),""),IF(J175&gt;J162," * VL suppressed Routine TG "&amp;$J$19&amp;" "&amp;$J$20&amp;" is more than VL Done Routine TG Routine"&amp;CHAR(10),""),IF(K175&gt;K162," * VL suppressed Routine TG "&amp;$J$19&amp;" "&amp;$K$20&amp;" is more than VL Done Routine TG Routine"&amp;CHAR(10),""),IF(L175&gt;L162," * VL suppressed Routine TG "&amp;$L$19&amp;" "&amp;$L$20&amp;" is more than VL Done Routine TG Routine"&amp;CHAR(10),""),IF(M175&gt;M162," * VL suppressed Routine TG "&amp;$L$19&amp;" "&amp;$M$20&amp;" is more than VL Done Routine TG Routine"&amp;CHAR(10),""),IF(N175&gt;N162," * VL suppressed Routine TG "&amp;$N$19&amp;" "&amp;$N$20&amp;" is more than VL Done Routine TG Routine"&amp;CHAR(10),""),IF(O175&gt;O162," * VL suppressed Routine TG "&amp;$N$19&amp;" "&amp;$O$20&amp;" is more than VL Done Routine TG Routine"&amp;CHAR(10),""),IF(P175&gt;P162," * VL suppressed Routine TG "&amp;$P$19&amp;" "&amp;$P$20&amp;" is more than VL Done Routine TG Routine"&amp;CHAR(10),""),IF(Q175&gt;Q162," * VL suppressed Routine TG "&amp;$P$19&amp;" "&amp;$Q$20&amp;" is more than VL Done Routine TG Routine"&amp;CHAR(10),""),IF(R175&gt;R162," * VL suppressed Routine TG "&amp;$R$19&amp;" "&amp;$R$20&amp;" is more than VL Done Routine TG Routine"&amp;CHAR(10),""),IF(S175&gt;S162," * VL suppressed Routine TG "&amp;$R$19&amp;" "&amp;$S$20&amp;" is more than VL Done Routine TG Routine"&amp;CHAR(10),""),IF(T175&gt;T162," * VL suppressed Routine TG "&amp;$T$19&amp;" "&amp;$T$20&amp;" is more than VL Done Routine TG Routine"&amp;CHAR(10),""),IF(U175&gt;U162," * VL suppressed Routine TG "&amp;$T$19&amp;" "&amp;$U$20&amp;" is more than VL Done Routine TG Routine"&amp;CHAR(10),""),IF(V175&gt;V162," * VL suppressed Routine TG "&amp;$V$19&amp;" "&amp;$V$20&amp;" is more than VL Done Routine TG Routine"&amp;CHAR(10),""),IF(W175&gt;W162," * VL suppressed Routine TG "&amp;$V$19&amp;" "&amp;$W$20&amp;" is more than VL Done Routine TG Routine"&amp;CHAR(10),""),IF(X175&gt;X162," * VL suppressed Routine TG "&amp;$X$19&amp;" "&amp;$X$20&amp;" is more than VL Done Routine TG Routine"&amp;CHAR(10),""),IF(Y175&gt;Y162," * VL suppressed Routine TG "&amp;$X$19&amp;" "&amp;$Y$20&amp;" is more than VL Done Routine TG Routine"&amp;CHAR(10),""),IF(Z175&gt;Z162," * VL suppressed Routine TG "&amp;$Z$19&amp;" "&amp;$Z$20&amp;" is more than VL Done Routine TG Routine"&amp;CHAR(10),""),IF(AA175&gt;AA162," * VL suppressed Routine TG "&amp;$Z$19&amp;" "&amp;$AA$20&amp;" is more than VL Done Routine TG Routine"&amp;CHAR(10),""),IF(AB175&gt;AB162," * VL suppressed Routine TG "&amp;$AB$19&amp;" "&amp;$AB$20&amp;" is more than VL Done Routine TG Routine"&amp;CHAR(10),""))</f>
        <v/>
      </c>
      <c r="AD162" s="382"/>
      <c r="AE162" s="124"/>
      <c r="AF162" s="382"/>
      <c r="AG162" s="110">
        <v>161</v>
      </c>
    </row>
    <row r="163" spans="1:33" s="6" customFormat="1" ht="38.25" customHeight="1" thickBot="1" x14ac:dyDescent="0.3">
      <c r="A163" s="217" t="s">
        <v>213</v>
      </c>
      <c r="B163" s="253" t="s">
        <v>213</v>
      </c>
      <c r="C163" s="180" t="s">
        <v>347</v>
      </c>
      <c r="D163" s="248">
        <f t="shared" ref="D163:L163" si="87">SUM(D164:D168)</f>
        <v>0</v>
      </c>
      <c r="E163" s="141">
        <f t="shared" si="87"/>
        <v>0</v>
      </c>
      <c r="F163" s="141">
        <f t="shared" si="87"/>
        <v>0</v>
      </c>
      <c r="G163" s="141">
        <f t="shared" si="87"/>
        <v>0</v>
      </c>
      <c r="H163" s="141">
        <f t="shared" si="87"/>
        <v>0</v>
      </c>
      <c r="I163" s="141">
        <f t="shared" si="87"/>
        <v>0</v>
      </c>
      <c r="J163" s="141">
        <f t="shared" si="87"/>
        <v>0</v>
      </c>
      <c r="K163" s="141">
        <f t="shared" si="87"/>
        <v>0</v>
      </c>
      <c r="L163" s="141">
        <f t="shared" si="87"/>
        <v>0</v>
      </c>
      <c r="M163" s="141">
        <f t="shared" ref="M163:AA163" si="88">SUM(M164:M168)</f>
        <v>0</v>
      </c>
      <c r="N163" s="141">
        <f t="shared" si="88"/>
        <v>0</v>
      </c>
      <c r="O163" s="141">
        <f t="shared" si="88"/>
        <v>0</v>
      </c>
      <c r="P163" s="141">
        <f t="shared" si="88"/>
        <v>0</v>
      </c>
      <c r="Q163" s="141">
        <f t="shared" si="88"/>
        <v>0</v>
      </c>
      <c r="R163" s="141">
        <f t="shared" si="88"/>
        <v>0</v>
      </c>
      <c r="S163" s="141">
        <f t="shared" si="88"/>
        <v>0</v>
      </c>
      <c r="T163" s="141">
        <f t="shared" si="88"/>
        <v>0</v>
      </c>
      <c r="U163" s="141">
        <f t="shared" si="88"/>
        <v>0</v>
      </c>
      <c r="V163" s="141">
        <f t="shared" si="88"/>
        <v>0</v>
      </c>
      <c r="W163" s="141">
        <f t="shared" si="88"/>
        <v>0</v>
      </c>
      <c r="X163" s="141">
        <f t="shared" si="88"/>
        <v>0</v>
      </c>
      <c r="Y163" s="141">
        <f t="shared" si="88"/>
        <v>0</v>
      </c>
      <c r="Z163" s="141">
        <f t="shared" si="88"/>
        <v>0</v>
      </c>
      <c r="AA163" s="141">
        <f t="shared" si="88"/>
        <v>0</v>
      </c>
      <c r="AB163" s="141">
        <f>SUM(AB164:AB168)</f>
        <v>0</v>
      </c>
      <c r="AC163" s="199" t="str">
        <f>CONCATENATE(IF(D176&gt;D163," * VL suppressed Targeted"&amp;$D$19&amp;" "&amp;$D$20&amp;" is more than VL Done Targeted"&amp;CHAR(10),""),IF(E176&gt;E163," * VL suppressed Targeted "&amp;$D$19&amp;" "&amp;$E$20&amp;" is more than VL Done Targeted"&amp;CHAR(10),""),IF(F176&gt;F163," * VL suppressed Targeted "&amp;$F$19&amp;" "&amp;$F$20&amp;" is more than VL Done Targeted"&amp;CHAR(10),""),IF(G176&gt;G163," * VL suppressed Targeted "&amp;$F$19&amp;" "&amp;$G$20&amp;" is more than VL Done Targeted"&amp;CHAR(10),""),IF(H176&gt;H163," * VL suppressed Targeted "&amp;$H$19&amp;" "&amp;$H$20&amp;" is more than VL Done Targeted"&amp;CHAR(10),""),IF(I176&gt;I163," * VL suppressed Targeted "&amp;$H$19&amp;" "&amp;$I$20&amp;" is more than VL Done Targeted"&amp;CHAR(10),""),IF(J176&gt;J163," * VL suppressed Targeted "&amp;$J$19&amp;" "&amp;$J$20&amp;" is more than VL Done Targeted"&amp;CHAR(10),""),IF(K176&gt;K163," * VL suppressed Targeted "&amp;$J$19&amp;" "&amp;$K$20&amp;" is more than VL Done Targeted"&amp;CHAR(10),""),IF(L176&gt;L163," * VL suppressed Targeted "&amp;$L$19&amp;" "&amp;$L$20&amp;" is more than VL Done Targeted"&amp;CHAR(10),""),IF(M176&gt;M163," * VL suppressed Targeted "&amp;$L$19&amp;" "&amp;$M$20&amp;" is more than VL Done Targeted"&amp;CHAR(10),""),IF(N176&gt;N163," * VL suppressed Targeted "&amp;$N$19&amp;" "&amp;$N$20&amp;" is more than VL Done Targeted"&amp;CHAR(10),""),IF(O176&gt;O163," * VL suppressed Targeted "&amp;$N$19&amp;" "&amp;$O$20&amp;" is more than VL Done Targeted"&amp;CHAR(10),""),IF(P176&gt;P163," * VL suppressed Targeted "&amp;$P$19&amp;" "&amp;$P$20&amp;" is more than VL Done Targeted"&amp;CHAR(10),""),IF(Q176&gt;Q163," * VL suppressed Targeted "&amp;$P$19&amp;" "&amp;$Q$20&amp;" is more than VL Done Targeted"&amp;CHAR(10),""),IF(R176&gt;R163," * VL suppressed Targeted "&amp;$R$19&amp;" "&amp;$R$20&amp;" is more than VL Done Targeted"&amp;CHAR(10),""),IF(S176&gt;S163," * VL suppressed Targeted "&amp;$R$19&amp;" "&amp;$S$20&amp;" is more than VL Done Targeted"&amp;CHAR(10),""),IF(T176&gt;T163," * VL suppressed Targeted "&amp;$T$19&amp;" "&amp;$T$20&amp;" is more than VL Done Targeted"&amp;CHAR(10),""),IF(U176&gt;U163," * VL suppressed Targeted "&amp;$T$19&amp;" "&amp;$U$20&amp;" is more than VL Done Targeted"&amp;CHAR(10),""),IF(V176&gt;V163," * VL suppressed Targeted "&amp;$V$19&amp;" "&amp;$V$20&amp;" is more than VL Done Targeted"&amp;CHAR(10),""),IF(W176&gt;W163," * VL suppressed Targeted "&amp;$V$19&amp;" "&amp;$W$20&amp;" is more than VL Done Targeted"&amp;CHAR(10),""),IF(X176&gt;X163," * VL suppressed Targeted "&amp;$X$19&amp;" "&amp;$X$20&amp;" is more than VL Done Targeted"&amp;CHAR(10),""),IF(Y176&gt;Y163," * VL suppressed Targeted "&amp;$X$19&amp;" "&amp;$Y$20&amp;" is more than VL Done Targeted"&amp;CHAR(10),""),IF(Z176&gt;Z163," * VL suppressed Targeted "&amp;$Z$19&amp;" "&amp;$Z$20&amp;" is more than VL Done Targeted"&amp;CHAR(10),""),IF(AA176&gt;AA163," * VL suppressed Targeted "&amp;$Z$19&amp;" "&amp;$AA$20&amp;" is more than VL Done Targeted"&amp;CHAR(10),""),IF(AB176&gt;AB163," * VL suppressed Targeted "&amp;$AB$19&amp;" "&amp;$AB$20&amp;" is more than VL Done Targeted"&amp;CHAR(10),""))</f>
        <v/>
      </c>
      <c r="AD163" s="382"/>
      <c r="AE163" s="143"/>
      <c r="AF163" s="382"/>
      <c r="AG163" s="110">
        <v>155</v>
      </c>
    </row>
    <row r="164" spans="1:33" s="4" customFormat="1" ht="38.25" customHeight="1" thickBot="1" x14ac:dyDescent="0.3">
      <c r="A164" s="218" t="s">
        <v>79</v>
      </c>
      <c r="B164" s="155" t="s">
        <v>214</v>
      </c>
      <c r="C164" s="198" t="s">
        <v>348</v>
      </c>
      <c r="D164" s="37"/>
      <c r="E164" s="28"/>
      <c r="F164" s="37"/>
      <c r="G164" s="28"/>
      <c r="H164" s="37"/>
      <c r="I164" s="28"/>
      <c r="J164" s="37"/>
      <c r="K164" s="28"/>
      <c r="L164" s="28"/>
      <c r="M164" s="29"/>
      <c r="N164" s="28"/>
      <c r="O164" s="29"/>
      <c r="P164" s="28"/>
      <c r="Q164" s="29"/>
      <c r="R164" s="28"/>
      <c r="S164" s="29"/>
      <c r="T164" s="28"/>
      <c r="U164" s="29"/>
      <c r="V164" s="28"/>
      <c r="W164" s="29"/>
      <c r="X164" s="28"/>
      <c r="Y164" s="29"/>
      <c r="Z164" s="28"/>
      <c r="AA164" s="29"/>
      <c r="AB164" s="108">
        <f t="shared" ref="AB164:AB167" si="89">SUM(D164:AA164)</f>
        <v>0</v>
      </c>
      <c r="AC164" s="199" t="str">
        <f>CONCATENATE(IF(D177&gt;D164," * VL suppressed Targeted FSW "&amp;$D$19&amp;" "&amp;$D$20&amp;" is more than VL Done Targeted"&amp;CHAR(10),""),IF(E177&gt;E164," * VL suppressed Targeted FSW "&amp;$D$19&amp;" "&amp;$E$20&amp;" is more than VL Done Targeted"&amp;CHAR(10),""),IF(F177&gt;F164," * VL suppressed Targeted FSW "&amp;$F$19&amp;" "&amp;$F$20&amp;" is more than VL Done Targeted"&amp;CHAR(10),""),IF(G177&gt;G164," * VL suppressed Targeted FSW "&amp;$F$19&amp;" "&amp;$G$20&amp;" is more than VL Done Targeted"&amp;CHAR(10),""),IF(H177&gt;H164," * VL suppressed Targeted FSW "&amp;$H$19&amp;" "&amp;$H$20&amp;" is more than VL Done Targeted"&amp;CHAR(10),""),IF(I177&gt;I164," * VL suppressed Targeted FSW "&amp;$H$19&amp;" "&amp;$I$20&amp;" is more than VL Done Targeted"&amp;CHAR(10),""),IF(J177&gt;J164," * VL suppressed Targeted FSW "&amp;$J$19&amp;" "&amp;$J$20&amp;" is more than VL Done Targeted"&amp;CHAR(10),""),IF(K177&gt;K164," * VL suppressed Targeted FSW "&amp;$J$19&amp;" "&amp;$K$20&amp;" is more than VL Done Targeted"&amp;CHAR(10),""),IF(L177&gt;L164," * VL suppressed Targeted FSW "&amp;$L$19&amp;" "&amp;$L$20&amp;" is more than VL Done Targeted"&amp;CHAR(10),""),IF(M177&gt;M164," * VL suppressed Targeted FSW "&amp;$L$19&amp;" "&amp;$M$20&amp;" is more than VL Done Targeted"&amp;CHAR(10),""),IF(N177&gt;N164," * VL suppressed Targeted FSW "&amp;$N$19&amp;" "&amp;$N$20&amp;" is more than VL Done Targeted"&amp;CHAR(10),""),IF(O177&gt;O164," * VL suppressed Targeted FSW "&amp;$N$19&amp;" "&amp;$O$20&amp;" is more than VL Done Targeted"&amp;CHAR(10),""),IF(P177&gt;P164," * VL suppressed Targeted FSW "&amp;$P$19&amp;" "&amp;$P$20&amp;" is more than VL Done Targeted"&amp;CHAR(10),""),IF(Q177&gt;Q164," * VL suppressed Targeted FSW "&amp;$P$19&amp;" "&amp;$Q$20&amp;" is more than VL Done Targeted"&amp;CHAR(10),""),IF(R177&gt;R164," * VL suppressed Targeted FSW "&amp;$R$19&amp;" "&amp;$R$20&amp;" is more than VL Done Targeted"&amp;CHAR(10),""),IF(S177&gt;S164," * VL suppressed Targeted FSW "&amp;$R$19&amp;" "&amp;$S$20&amp;" is more than VL Done Targeted"&amp;CHAR(10),""),IF(T177&gt;T164," * VL suppressed Targeted FSW "&amp;$T$19&amp;" "&amp;$T$20&amp;" is more than VL Done Targeted"&amp;CHAR(10),""),IF(U177&gt;U164," * VL suppressed Targeted FSW "&amp;$T$19&amp;" "&amp;$U$20&amp;" is more than VL Done Targeted"&amp;CHAR(10),""),IF(V177&gt;V164," * VL suppressed Targeted FSW "&amp;$V$19&amp;" "&amp;$V$20&amp;" is more than VL Done Targeted"&amp;CHAR(10),""),IF(W177&gt;W164," * VL suppressed Targeted FSW "&amp;$V$19&amp;" "&amp;$W$20&amp;" is more than VL Done Targeted"&amp;CHAR(10),""),IF(X177&gt;X164," * VL suppressed Targeted FSW "&amp;$X$19&amp;" "&amp;$X$20&amp;" is more than VL Done Targeted"&amp;CHAR(10),""),IF(Y177&gt;Y164," * VL suppressed Targeted FSW "&amp;$X$19&amp;" "&amp;$Y$20&amp;" is more than VL Done Targeted"&amp;CHAR(10),""),IF(Z177&gt;Z164," * VL suppressed Targeted FSW "&amp;$Z$19&amp;" "&amp;$Z$20&amp;" is more than VL Done Targeted"&amp;CHAR(10),""),IF(AA177&gt;AA164," * VL suppressed Targeted FSW "&amp;$Z$19&amp;" "&amp;$AA$20&amp;" is more than VL Done Targeted"&amp;CHAR(10),""),IF(AB177&gt;AB164," * VL suppressed Targeted FSW "&amp;$AB$19&amp;" "&amp;$AB$20&amp;" is more than VL Done Targeted"&amp;CHAR(10),""))</f>
        <v/>
      </c>
      <c r="AD164" s="382"/>
      <c r="AE164" s="124" t="str">
        <f>CONCATENATE(IF(D164&gt;D158," * VL Done Targeted [FSW]"&amp;$D$19&amp;" "&amp;$D$20&amp;" is VL Done Routine"&amp;CHAR(10),""),IF(E164&gt;E158," * VL Done Targeted [FSW] "&amp;$D$19&amp;" "&amp;$E$20&amp;" is VL Done Routine"&amp;CHAR(10),""),IF(F164&gt;F158," * VL Done Targeted [FSW] "&amp;$F$19&amp;" "&amp;$F$20&amp;" is VL Done Routine"&amp;CHAR(10),""),IF(G164&gt;G158," * VL Done Targeted [FSW] "&amp;$F$19&amp;" "&amp;$G$20&amp;" is VL Done Routine"&amp;CHAR(10),""),IF(H164&gt;H158," * VL Done Targeted [FSW] "&amp;$H$19&amp;" "&amp;$H$20&amp;" is VL Done Routine"&amp;CHAR(10),""),IF(I164&gt;I158," * VL Done Targeted [FSW] "&amp;$H$19&amp;" "&amp;$I$20&amp;" is VL Done Routine"&amp;CHAR(10),""),IF(J164&gt;J158," * VL Done Targeted [FSW] "&amp;$J$19&amp;" "&amp;$J$20&amp;" is VL Done Routine"&amp;CHAR(10),""),IF(K164&gt;K158," * VL Done Targeted [FSW] "&amp;$J$19&amp;" "&amp;$K$20&amp;" is VL Done Routine"&amp;CHAR(10),""),IF(L164&gt;L158," * VL Done Targeted [FSW] "&amp;$L$19&amp;" "&amp;$L$20&amp;" is VL Done Routine"&amp;CHAR(10),""),IF(M164&gt;M158," * VL Done Targeted [FSW] "&amp;$L$19&amp;" "&amp;$M$20&amp;" is VL Done Routine"&amp;CHAR(10),""),IF(N164&gt;N158," * VL Done Targeted [FSW] "&amp;$N$19&amp;" "&amp;$N$20&amp;" is VL Done Routine"&amp;CHAR(10),""),IF(O164&gt;O158," * VL Done Targeted [FSW] "&amp;$N$19&amp;" "&amp;$O$20&amp;" is VL Done Routine"&amp;CHAR(10),""),IF(P164&gt;P158," * VL Done Targeted [FSW] "&amp;$P$19&amp;" "&amp;$P$20&amp;" is VL Done Routine"&amp;CHAR(10),""),IF(Q164&gt;Q158," * VL Done Targeted [FSW] "&amp;$P$19&amp;" "&amp;$Q$20&amp;" is VL Done Routine"&amp;CHAR(10),""),IF(R164&gt;R158," * VL Done Targeted [FSW] "&amp;$R$19&amp;" "&amp;$R$20&amp;" is VL Done Routine"&amp;CHAR(10),""),IF(S164&gt;S158," * VL Done Targeted [FSW] "&amp;$R$19&amp;" "&amp;$S$20&amp;" is VL Done Routine"&amp;CHAR(10),""),IF(T164&gt;T158," * VL Done Targeted [FSW] "&amp;$T$19&amp;" "&amp;$T$20&amp;" is VL Done Routine"&amp;CHAR(10),""),IF(U164&gt;U158," * VL Done Targeted [FSW] "&amp;$T$19&amp;" "&amp;$U$20&amp;" is VL Done Routine"&amp;CHAR(10),""),IF(V164&gt;V158," * VL Done Targeted [FSW] "&amp;$V$19&amp;" "&amp;$V$20&amp;" is VL Done Routine"&amp;CHAR(10),""),IF(W164&gt;W158," * VL Done Targeted [FSW] "&amp;$V$19&amp;" "&amp;$W$20&amp;" is VL Done Routine"&amp;CHAR(10),""),IF(X164&gt;X158," * VL Done Targeted [FSW] "&amp;$X$19&amp;" "&amp;$X$20&amp;" is VL Done Routine"&amp;CHAR(10),""),IF(Y164&gt;Y158," * VL Done Targeted [FSW] "&amp;$X$19&amp;" "&amp;$Y$20&amp;" is VL Done Routine"&amp;CHAR(10),""),IF(Z164&gt;Z158," * VL Done Targeted [FSW] "&amp;$Z$19&amp;" "&amp;$Z$20&amp;" is VL Done Routine"&amp;CHAR(10),""),IF(AA164&gt;AA158," * VL Done Targeted [PWID] "&amp;$Z$19&amp;" "&amp;$AA$20&amp;" is VL Done Routine"&amp;CHAR(10),""),IF(AB164&gt;AB158," * VL Done Targeted [FSW] "&amp;$AB$19&amp;" "&amp;$AB$20&amp;" is VL Done Routine"&amp;CHAR(10),""))</f>
        <v/>
      </c>
      <c r="AF164" s="382"/>
      <c r="AG164" s="110">
        <v>156</v>
      </c>
    </row>
    <row r="165" spans="1:33" s="4" customFormat="1" ht="38.25" customHeight="1" x14ac:dyDescent="0.25">
      <c r="A165" s="213" t="s">
        <v>77</v>
      </c>
      <c r="B165" s="153" t="s">
        <v>215</v>
      </c>
      <c r="C165" s="198" t="s">
        <v>349</v>
      </c>
      <c r="D165" s="36"/>
      <c r="E165" s="27"/>
      <c r="F165" s="36"/>
      <c r="G165" s="27"/>
      <c r="H165" s="36"/>
      <c r="I165" s="27"/>
      <c r="J165" s="36"/>
      <c r="K165" s="27"/>
      <c r="L165" s="25"/>
      <c r="M165" s="28"/>
      <c r="N165" s="25"/>
      <c r="O165" s="28"/>
      <c r="P165" s="25"/>
      <c r="Q165" s="28"/>
      <c r="R165" s="25"/>
      <c r="S165" s="28"/>
      <c r="T165" s="25"/>
      <c r="U165" s="28"/>
      <c r="V165" s="25"/>
      <c r="W165" s="28"/>
      <c r="X165" s="25"/>
      <c r="Y165" s="28"/>
      <c r="Z165" s="25"/>
      <c r="AA165" s="28"/>
      <c r="AB165" s="101">
        <f t="shared" si="89"/>
        <v>0</v>
      </c>
      <c r="AC165" s="199" t="str">
        <f>CONCATENATE(IF(D178&gt;D165," * VL suppressed Targeted MSM "&amp;$D$19&amp;" "&amp;$D$20&amp;" is more than VL Done Targeted"&amp;CHAR(10),""),IF(E178&gt;E165," * VL suppressed Targeted MSM "&amp;$D$19&amp;" "&amp;$E$20&amp;" is more than VL Done Targeted"&amp;CHAR(10),""),IF(F178&gt;F165," * VL suppressed Targeted MSM "&amp;$F$19&amp;" "&amp;$F$20&amp;" is more than VL Done Targeted"&amp;CHAR(10),""),IF(G178&gt;G165," * VL suppressed Targeted MSM "&amp;$F$19&amp;" "&amp;$G$20&amp;" is more than VL Done Targeted"&amp;CHAR(10),""),IF(H178&gt;H165," * VL suppressed Targeted MSM "&amp;$H$19&amp;" "&amp;$H$20&amp;" is more than VL Done Targeted"&amp;CHAR(10),""),IF(I178&gt;I165," * VL suppressed Targeted MSM "&amp;$H$19&amp;" "&amp;$I$20&amp;" is more than VL Done Targeted"&amp;CHAR(10),""),IF(J178&gt;J165," * VL suppressed Targeted MSM "&amp;$J$19&amp;" "&amp;$J$20&amp;" is more than VL Done Targeted"&amp;CHAR(10),""),IF(K178&gt;K165," * VL suppressed Targeted MSM "&amp;$J$19&amp;" "&amp;$K$20&amp;" is more than VL Done Targeted"&amp;CHAR(10),""),IF(L178&gt;L165," * VL suppressed Targeted MSM "&amp;$L$19&amp;" "&amp;$L$20&amp;" is more than VL Done Targeted"&amp;CHAR(10),""),IF(M178&gt;M165," * VL suppressed Targeted MSM "&amp;$L$19&amp;" "&amp;$M$20&amp;" is more than VL Done Targeted"&amp;CHAR(10),""),IF(N178&gt;N165," * VL suppressed Targeted MSM "&amp;$N$19&amp;" "&amp;$N$20&amp;" is more than VL Done Targeted"&amp;CHAR(10),""),IF(O178&gt;O165," * VL suppressed Targeted MSM "&amp;$N$19&amp;" "&amp;$O$20&amp;" is more than VL Done Targeted"&amp;CHAR(10),""),IF(P178&gt;P165," * VL suppressed Targeted MSM "&amp;$P$19&amp;" "&amp;$P$20&amp;" is more than VL Done Targeted"&amp;CHAR(10),""),IF(Q178&gt;Q165," * VL suppressed Targeted MSM "&amp;$P$19&amp;" "&amp;$Q$20&amp;" is more than VL Done Targeted"&amp;CHAR(10),""),IF(R178&gt;R165," * VL suppressed Targeted MSM "&amp;$R$19&amp;" "&amp;$R$20&amp;" is more than VL Done Targeted"&amp;CHAR(10),""),IF(S178&gt;S165," * VL suppressed Targeted MSM "&amp;$R$19&amp;" "&amp;$S$20&amp;" is more than VL Done Targeted"&amp;CHAR(10),""),IF(T178&gt;T165," * VL suppressed Targeted MSM "&amp;$T$19&amp;" "&amp;$T$20&amp;" is more than VL Done Targeted"&amp;CHAR(10),""),IF(U178&gt;U165," * VL suppressed Targeted MSM "&amp;$T$19&amp;" "&amp;$U$20&amp;" is more than VL Done Targeted"&amp;CHAR(10),""),IF(V178&gt;V165," * VL suppressed Targeted MSM "&amp;$V$19&amp;" "&amp;$V$20&amp;" is more than VL Done Targeted"&amp;CHAR(10),""),IF(W178&gt;W165," * VL suppressed Targeted MSM "&amp;$V$19&amp;" "&amp;$W$20&amp;" is more than VL Done Targeted"&amp;CHAR(10),""),IF(X178&gt;X165," * VL suppressed Targeted MSM "&amp;$X$19&amp;" "&amp;$X$20&amp;" is more than VL Done Targeted"&amp;CHAR(10),""),IF(Y178&gt;Y165," * VL suppressed Targeted MSM "&amp;$X$19&amp;" "&amp;$Y$20&amp;" is more than VL Done Targeted"&amp;CHAR(10),""),IF(Z178&gt;Z165," * VL suppressed Targeted MSM "&amp;$Z$19&amp;" "&amp;$Z$20&amp;" is more than VL Done Targeted"&amp;CHAR(10),""),IF(AA178&gt;AA165," * VL suppressed Targeted MSM "&amp;$Z$19&amp;" "&amp;$AA$20&amp;" is more than VL Done Targeted"&amp;CHAR(10),""),IF(AB178&gt;AB165," * VL suppressed Targeted MSM "&amp;$AB$19&amp;" "&amp;$AB$20&amp;" is more than VL Done Targeted"&amp;CHAR(10),""))</f>
        <v/>
      </c>
      <c r="AD165" s="382"/>
      <c r="AE165" s="124" t="str">
        <f>CONCATENATE(IF(D165&gt;D159," * VL Done Targeted [MSM]"&amp;$D$19&amp;" "&amp;$D$20&amp;" is more than VL Done Routine"&amp;CHAR(10),""),IF(E165&gt;E159," * VL Done Targeted [MSM] "&amp;$D$19&amp;" "&amp;$E$20&amp;" is more than VL Done Routine"&amp;CHAR(10),""),IF(F165&gt;F159," * VL Done Targeted [MSM] "&amp;$F$19&amp;" "&amp;$F$20&amp;" is more than VL Done Routine"&amp;CHAR(10),""),IF(G165&gt;G159," * VL Done Targeted [MSM] "&amp;$F$19&amp;" "&amp;$G$20&amp;" is more than VL Done Routine"&amp;CHAR(10),""),IF(H165&gt;H159," * VL Done Targeted [MSM] "&amp;$H$19&amp;" "&amp;$H$20&amp;" is more than VL Done Routine"&amp;CHAR(10),""),IF(I165&gt;I159," * VL Done Targeted [MSM] "&amp;$H$19&amp;" "&amp;$I$20&amp;" is more than VL Done Routine"&amp;CHAR(10),""),IF(J165&gt;J159," * VL Done Targeted [MSM] "&amp;$J$19&amp;" "&amp;$J$20&amp;" is more than VL Done Routine"&amp;CHAR(10),""),IF(K165&gt;K159," * VL Done Targeted [MSM] "&amp;$J$19&amp;" "&amp;$K$20&amp;" is more than VL Done Routine"&amp;CHAR(10),""),IF(L165&gt;L159," * VL Done Targeted [MSM] "&amp;$L$19&amp;" "&amp;$L$20&amp;" is more than VL Done Routine"&amp;CHAR(10),""),IF(M165&gt;M159," * VL Done Targeted [MSM] "&amp;$L$19&amp;" "&amp;$M$20&amp;" is more than VL Done Routine"&amp;CHAR(10),""),IF(N165&gt;N159," * VL Done Targeted [MSM] "&amp;$N$19&amp;" "&amp;$N$20&amp;" is more than VL Done Routine"&amp;CHAR(10),""),IF(O165&gt;O159," * VL Done Targeted [MSM] "&amp;$N$19&amp;" "&amp;$O$20&amp;" is more than VL Done Routine"&amp;CHAR(10),""),IF(P165&gt;P159," * VL Done Targeted [MSM] "&amp;$P$19&amp;" "&amp;$P$20&amp;" is more than VL Done Routine"&amp;CHAR(10),""),IF(Q165&gt;Q159," * VL Done Targeted [MSM] "&amp;$P$19&amp;" "&amp;$Q$20&amp;" is more than VL Done Routine"&amp;CHAR(10),""),IF(R165&gt;R159," * VL Done Targeted [MSM] "&amp;$R$19&amp;" "&amp;$R$20&amp;" is more than VL Done Routine"&amp;CHAR(10),""),IF(S165&gt;S159," * VL Done Targeted [MSM] "&amp;$R$19&amp;" "&amp;$S$20&amp;" is more than VL Done Routine"&amp;CHAR(10),""),IF(T165&gt;T159," * VL Done Targeted [MSM] "&amp;$T$19&amp;" "&amp;$T$20&amp;" is more than VL Done Routine"&amp;CHAR(10),""),IF(U165&gt;U159," * VL Done Targeted [MSM] "&amp;$T$19&amp;" "&amp;$U$20&amp;" is more than VL Done Routine"&amp;CHAR(10),""),IF(V165&gt;V159," * VL Done Targeted [MSM] "&amp;$V$19&amp;" "&amp;$V$20&amp;" is more than VL Done Routine"&amp;CHAR(10),""),IF(W165&gt;W159," * VL Done Targeted [MSM] "&amp;$V$19&amp;" "&amp;$W$20&amp;" is more than VL Done Routine"&amp;CHAR(10),""),IF(X165&gt;X159," * VL Done Targeted [MSM] "&amp;$X$19&amp;" "&amp;$X$20&amp;" is more than VL Done Routine"&amp;CHAR(10),""),IF(Y165&gt;Y159," * VL Done Targeted [MSM] "&amp;$X$19&amp;" "&amp;$Y$20&amp;" is more than VL Done Routine"&amp;CHAR(10),""),IF(Z165&gt;Z159," * VL Done Targeted [MSM] "&amp;$Z$19&amp;" "&amp;$Z$20&amp;" is more than VL Done Routine"&amp;CHAR(10),""),IF(AA165&gt;AA159," * VL Done Targeted [MSM] "&amp;$Z$19&amp;" "&amp;$AA$20&amp;" is more than VL Done Routine"&amp;CHAR(10),""),IF(AB165&gt;AB159," * VL Done Targeted [MSM] "&amp;$AB$19&amp;" "&amp;$AB$20&amp;" is more than VL Done Routine"&amp;CHAR(10),""))</f>
        <v/>
      </c>
      <c r="AF165" s="382"/>
      <c r="AG165" s="110">
        <v>157</v>
      </c>
    </row>
    <row r="166" spans="1:33" s="4" customFormat="1" ht="38.25" customHeight="1" x14ac:dyDescent="0.25">
      <c r="A166" s="213" t="s">
        <v>167</v>
      </c>
      <c r="B166" s="153" t="s">
        <v>216</v>
      </c>
      <c r="C166" s="198" t="s">
        <v>350</v>
      </c>
      <c r="D166" s="36"/>
      <c r="E166" s="27"/>
      <c r="F166" s="36"/>
      <c r="G166" s="27"/>
      <c r="H166" s="36"/>
      <c r="I166" s="27"/>
      <c r="J166" s="36"/>
      <c r="K166" s="27"/>
      <c r="L166" s="25"/>
      <c r="M166" s="25"/>
      <c r="N166" s="25"/>
      <c r="O166" s="25"/>
      <c r="P166" s="25"/>
      <c r="Q166" s="25"/>
      <c r="R166" s="25"/>
      <c r="S166" s="25"/>
      <c r="T166" s="25"/>
      <c r="U166" s="25"/>
      <c r="V166" s="25"/>
      <c r="W166" s="25"/>
      <c r="X166" s="25"/>
      <c r="Y166" s="25"/>
      <c r="Z166" s="25"/>
      <c r="AA166" s="25"/>
      <c r="AB166" s="101">
        <f t="shared" si="89"/>
        <v>0</v>
      </c>
      <c r="AC166" s="199" t="str">
        <f>CONCATENATE(IF(D179&gt;D166," * VL suppressed Targeted People In Prison "&amp;$D$19&amp;" "&amp;$D$20&amp;" is more than VL Done Targeted People In Prison"&amp;CHAR(10),""),IF(E179&gt;E166," * VL suppressed Targeted People In Prison "&amp;$D$19&amp;" "&amp;$E$20&amp;" is more than VL Done Targeted People In Prison"&amp;CHAR(10),""),IF(F179&gt;F166," * VL suppressed Targeted People In Prison "&amp;$F$19&amp;" "&amp;$F$20&amp;" is more than VL Done Targeted People In Prison"&amp;CHAR(10),""),IF(G179&gt;G166," * VL suppressed Targeted People In Prison "&amp;$F$19&amp;" "&amp;$G$20&amp;" is more than VL Done Targeted People In Prison"&amp;CHAR(10),""),IF(H179&gt;H166," * VL suppressed Targeted People In Prison "&amp;$H$19&amp;" "&amp;$H$20&amp;" is more than VL Done Targeted People In Prison"&amp;CHAR(10),""),IF(I179&gt;I166," * VL suppressed Targeted People In Prison "&amp;$H$19&amp;" "&amp;$I$20&amp;" is more than VL Done Targeted People In Prison"&amp;CHAR(10),""),IF(J179&gt;J166," * VL suppressed Targeted People In Prison "&amp;$J$19&amp;" "&amp;$J$20&amp;" is more than VL Done Targeted People In Prison"&amp;CHAR(10),""),IF(K179&gt;K166," * VL suppressed Targeted People In Prison "&amp;$J$19&amp;" "&amp;$K$20&amp;" is more than VL Done Targeted People In Prison"&amp;CHAR(10),""),IF(L179&gt;L166," * VL suppressed Targeted People In Prison "&amp;$L$19&amp;" "&amp;$L$20&amp;" is more than VL Done Targeted People In Prison"&amp;CHAR(10),""),IF(M179&gt;M166," * VL suppressed Targeted People In Prison "&amp;$L$19&amp;" "&amp;$M$20&amp;" is more than VL Done Targeted People In Prison"&amp;CHAR(10),""),IF(N179&gt;N166," * VL suppressed Targeted People In Prison "&amp;$N$19&amp;" "&amp;$N$20&amp;" is more than VL Done Targeted People In Prison"&amp;CHAR(10),""),IF(O179&gt;O166," * VL suppressed Targeted People In Prison "&amp;$N$19&amp;" "&amp;$O$20&amp;" is more than VL Done Targeted People In Prison"&amp;CHAR(10),""),IF(P179&gt;P166," * VL suppressed Targeted People In Prison "&amp;$P$19&amp;" "&amp;$P$20&amp;" is more than VL Done Targeted People In Prison"&amp;CHAR(10),""),IF(Q179&gt;Q166," * VL suppressed Targeted People In Prison "&amp;$P$19&amp;" "&amp;$Q$20&amp;" is more than VL Done Targeted People In Prison"&amp;CHAR(10),""),IF(R179&gt;R166," * VL suppressed Targeted People In Prison "&amp;$R$19&amp;" "&amp;$R$20&amp;" is more than VL Done Targeted People In Prison"&amp;CHAR(10),""),IF(S179&gt;S166," * VL suppressed Targeted People In Prison "&amp;$R$19&amp;" "&amp;$S$20&amp;" is more than VL Done Targeted People In Prison"&amp;CHAR(10),""),IF(T179&gt;T166," * VL suppressed Targeted People In Prison "&amp;$T$19&amp;" "&amp;$T$20&amp;" is more than VL Done Targeted People In Prison"&amp;CHAR(10),""),IF(U179&gt;U166," * VL suppressed Targeted People In Prison "&amp;$T$19&amp;" "&amp;$U$20&amp;" is more than VL Done Targeted People In Prison"&amp;CHAR(10),""),IF(V179&gt;V166," * VL suppressed Targeted People In Prison "&amp;$V$19&amp;" "&amp;$V$20&amp;" is more than VL Done Targeted People In Prison"&amp;CHAR(10),""),IF(W179&gt;W166," * VL suppressed Targeted People In Prison "&amp;$V$19&amp;" "&amp;$W$20&amp;" is more than VL Done Targeted People In Prison"&amp;CHAR(10),""),IF(X179&gt;X166," * VL suppressed Targeted People In Prison "&amp;$X$19&amp;" "&amp;$X$20&amp;" is more than VL Done Targeted People In Prison"&amp;CHAR(10),""),IF(Y179&gt;Y166," * VL suppressed Targeted People In Prison "&amp;$X$19&amp;" "&amp;$Y$20&amp;" is more than VL Done Targeted People In Prison"&amp;CHAR(10),""),IF(Z179&gt;Z166," * VL suppressed Targeted People In Prison "&amp;$Z$19&amp;" "&amp;$Z$20&amp;" is more than VL Done Targeted People In Prison"&amp;CHAR(10),""),IF(AA179&gt;AA166," * VL suppressed Targeted People In Prison "&amp;$Z$19&amp;" "&amp;$AA$20&amp;" is more than VL Done Targeted People In Prison"&amp;CHAR(10),""),IF(AB179&gt;AB166," * VL suppressed Targeted People In Prison "&amp;$AB$19&amp;" "&amp;$AB$20&amp;" is more than VL Done Targeted People In Prison"&amp;CHAR(10),""))</f>
        <v/>
      </c>
      <c r="AD166" s="382"/>
      <c r="AE166" s="124" t="str">
        <f>CONCATENATE(IF(D166&gt;D160," * VL Done Targeted [People in Prison]"&amp;$D$19&amp;" "&amp;$D$20&amp;" is more than VL Done Routine"&amp;CHAR(10),""),IF(E166&gt;E160," * VL Done Targeted [People in Prison] "&amp;$D$19&amp;" "&amp;$E$20&amp;" is more than VL Done Routine"&amp;CHAR(10),""),IF(F166&gt;F160," * VL Done Targeted [People in Prison] "&amp;$F$19&amp;" "&amp;$F$20&amp;" is more than VL Done Routine"&amp;CHAR(10),""),IF(G166&gt;G160," * VL Done Targeted [People in Prison] "&amp;$F$19&amp;" "&amp;$G$20&amp;" is more than VL Done Routine"&amp;CHAR(10),""),IF(H166&gt;H160," * VL Done Targeted [People in Prison] "&amp;$H$19&amp;" "&amp;$H$20&amp;" is more than VL Done Routine"&amp;CHAR(10),""),IF(I166&gt;I160," * VL Done Targeted [People in Prison] "&amp;$H$19&amp;" "&amp;$I$20&amp;" is more than VL Done Routine"&amp;CHAR(10),""),IF(J166&gt;J160," * VL Done Targeted [People in Prison] "&amp;$J$19&amp;" "&amp;$J$20&amp;" is more than VL Done Routine"&amp;CHAR(10),""),IF(K166&gt;K160," * VL Done Targeted [People in Prison] "&amp;$J$19&amp;" "&amp;$K$20&amp;" is more than VL Done Routine"&amp;CHAR(10),""),IF(L166&gt;L160," * VL Done Targeted [People in Prison] "&amp;$L$19&amp;" "&amp;$L$20&amp;" is more than VL Done Routine"&amp;CHAR(10),""),IF(M166&gt;M160," * VL Done Targeted [People in Prison] "&amp;$L$19&amp;" "&amp;$M$20&amp;" is more than VL Done Routine"&amp;CHAR(10),""),IF(N166&gt;N160," * VL Done Targeted [People in Prison] "&amp;$N$19&amp;" "&amp;$N$20&amp;" is more than VL Done Routine"&amp;CHAR(10),""),IF(O166&gt;O160," * VL Done Targeted [People in Prison] "&amp;$N$19&amp;" "&amp;$O$20&amp;" is more than VL Done Routine"&amp;CHAR(10),""),IF(P166&gt;P160," * VL Done Targeted [People in Prison] "&amp;$P$19&amp;" "&amp;$P$20&amp;" is more than VL Done Routine"&amp;CHAR(10),""),IF(Q166&gt;Q160," * VL Done Targeted [People in Prison] "&amp;$P$19&amp;" "&amp;$Q$20&amp;" is more than VL Done Routine"&amp;CHAR(10),""),IF(R166&gt;R160," * VL Done Targeted [People in Prison] "&amp;$R$19&amp;" "&amp;$R$20&amp;" is more than VL Done Routine"&amp;CHAR(10),""),IF(S166&gt;S160," * VL Done Targeted [People in Prison] "&amp;$R$19&amp;" "&amp;$S$20&amp;" is more than VL Done Routine"&amp;CHAR(10),""),IF(T166&gt;T160," * VL Done Targeted [People in Prison] "&amp;$T$19&amp;" "&amp;$T$20&amp;" is more than VL Done Routine"&amp;CHAR(10),""),IF(U166&gt;U160," * VL Done Targeted [People in Prison] "&amp;$T$19&amp;" "&amp;$U$20&amp;" is more than VL Done Routine"&amp;CHAR(10),""),IF(V166&gt;V160," * VL Done Targeted [People in Prison] "&amp;$V$19&amp;" "&amp;$V$20&amp;" is more than VL Done Routine"&amp;CHAR(10),""),IF(W166&gt;W160," * VL Done Targeted [People in Prison] "&amp;$V$19&amp;" "&amp;$W$20&amp;" is more than VL Done Routine"&amp;CHAR(10),""),IF(X166&gt;X160," * VL Done Targeted [People in Prison] "&amp;$X$19&amp;" "&amp;$X$20&amp;" is more than VL Done Routine"&amp;CHAR(10),""),IF(Y166&gt;Y160," * VL Done Targeted [People in Prison] "&amp;$X$19&amp;" "&amp;$Y$20&amp;" is more than VL Done Routine"&amp;CHAR(10),""),IF(Z166&gt;Z160," * VL Done Targeted [People in Prison] "&amp;$Z$19&amp;" "&amp;$Z$20&amp;" is more than VL Done Routine"&amp;CHAR(10),""),IF(AA166&gt;AA160," * VL Done Targeted [People in Prison] "&amp;$Z$19&amp;" "&amp;$AA$20&amp;" is more than VL Done Routine"&amp;CHAR(10),""),IF(AB166&gt;AB160," * VL Done Targeted [People in Prison] "&amp;$AB$19&amp;" "&amp;$AB$20&amp;" is more than VL Done Routine"&amp;CHAR(10),""))</f>
        <v/>
      </c>
      <c r="AF166" s="382"/>
      <c r="AG166" s="110">
        <v>159</v>
      </c>
    </row>
    <row r="167" spans="1:33" s="4" customFormat="1" ht="38.25" customHeight="1" thickBot="1" x14ac:dyDescent="0.3">
      <c r="A167" s="213" t="s">
        <v>76</v>
      </c>
      <c r="B167" s="153" t="s">
        <v>217</v>
      </c>
      <c r="C167" s="198" t="s">
        <v>351</v>
      </c>
      <c r="D167" s="36"/>
      <c r="E167" s="27"/>
      <c r="F167" s="36"/>
      <c r="G167" s="27"/>
      <c r="H167" s="36"/>
      <c r="I167" s="27"/>
      <c r="J167" s="36"/>
      <c r="K167" s="27"/>
      <c r="L167" s="25"/>
      <c r="M167" s="25"/>
      <c r="N167" s="25"/>
      <c r="O167" s="25"/>
      <c r="P167" s="25"/>
      <c r="Q167" s="25"/>
      <c r="R167" s="25"/>
      <c r="S167" s="25"/>
      <c r="T167" s="25"/>
      <c r="U167" s="25"/>
      <c r="V167" s="25"/>
      <c r="W167" s="25"/>
      <c r="X167" s="25"/>
      <c r="Y167" s="25"/>
      <c r="Z167" s="25"/>
      <c r="AA167" s="25"/>
      <c r="AB167" s="102">
        <f t="shared" si="89"/>
        <v>0</v>
      </c>
      <c r="AC167" s="199" t="str">
        <f>CONCATENATE(IF(D180&gt;D167," * VL suppressed Targeted PWID "&amp;$D$19&amp;" "&amp;$D$20&amp;" is more than VL Done Targeted Targeted"&amp;CHAR(10),""),IF(E180&gt;E167," * VL suppressed Targeted PWID "&amp;$D$19&amp;" "&amp;$E$20&amp;" is more than VL Done Targeted Targeted"&amp;CHAR(10),""),IF(F180&gt;F167," * VL suppressed Targeted PWID "&amp;$F$19&amp;" "&amp;$F$20&amp;" is more than VL Done Targeted Targeted"&amp;CHAR(10),""),IF(G180&gt;G167," * VL suppressed Targeted PWID "&amp;$F$19&amp;" "&amp;$G$20&amp;" is more than VL Done Targeted Targeted"&amp;CHAR(10),""),IF(H180&gt;H167," * VL suppressed Targeted PWID "&amp;$H$19&amp;" "&amp;$H$20&amp;" is more than VL Done Targeted Targeted"&amp;CHAR(10),""),IF(I180&gt;I167," * VL suppressed Targeted PWID "&amp;$H$19&amp;" "&amp;$I$20&amp;" is more than VL Done Targeted Targeted"&amp;CHAR(10),""),IF(J180&gt;J167," * VL suppressed Targeted PWID "&amp;$J$19&amp;" "&amp;$J$20&amp;" is more than VL Done Targeted Targeted"&amp;CHAR(10),""),IF(K180&gt;K167," * VL suppressed Targeted PWID "&amp;$J$19&amp;" "&amp;$K$20&amp;" is more than VL Done Targeted Targeted"&amp;CHAR(10),""),IF(L180&gt;L167," * VL suppressed Targeted PWID "&amp;$L$19&amp;" "&amp;$L$20&amp;" is more than VL Done Targeted Targeted"&amp;CHAR(10),""),IF(M180&gt;M167," * VL suppressed Targeted PWID "&amp;$L$19&amp;" "&amp;$M$20&amp;" is more than VL Done Targeted Targeted"&amp;CHAR(10),""),IF(N180&gt;N167," * VL suppressed Targeted PWID "&amp;$N$19&amp;" "&amp;$N$20&amp;" is more than VL Done Targeted Targeted"&amp;CHAR(10),""),IF(O180&gt;O167," * VL suppressed Targeted PWID "&amp;$N$19&amp;" "&amp;$O$20&amp;" is more than VL Done Targeted Targeted"&amp;CHAR(10),""),IF(P180&gt;P167," * VL suppressed Targeted PWID "&amp;$P$19&amp;" "&amp;$P$20&amp;" is more than VL Done Targeted Targeted"&amp;CHAR(10),""),IF(Q180&gt;Q167," * VL suppressed Targeted PWID "&amp;$P$19&amp;" "&amp;$Q$20&amp;" is more than VL Done Targeted Targeted"&amp;CHAR(10),""),IF(R180&gt;R167," * VL suppressed Targeted PWID "&amp;$R$19&amp;" "&amp;$R$20&amp;" is more than VL Done Targeted Targeted"&amp;CHAR(10),""),IF(S180&gt;S167," * VL suppressed Targeted PWID "&amp;$R$19&amp;" "&amp;$S$20&amp;" is more than VL Done Targeted Targeted"&amp;CHAR(10),""),IF(T180&gt;T167," * VL suppressed Targeted PWID "&amp;$T$19&amp;" "&amp;$T$20&amp;" is more than VL Done Targeted Targeted"&amp;CHAR(10),""),IF(U180&gt;U167," * VL suppressed Targeted PWID "&amp;$T$19&amp;" "&amp;$U$20&amp;" is more than VL Done Targeted Targeted"&amp;CHAR(10),""),IF(V180&gt;V167," * VL suppressed Targeted PWID "&amp;$V$19&amp;" "&amp;$V$20&amp;" is more than VL Done Targeted Targeted"&amp;CHAR(10),""),IF(W180&gt;W167," * VL suppressed Targeted PWID "&amp;$V$19&amp;" "&amp;$W$20&amp;" is more than VL Done Targeted Targeted"&amp;CHAR(10),""),IF(X180&gt;X167," * VL suppressed Targeted PWID "&amp;$X$19&amp;" "&amp;$X$20&amp;" is more than VL Done Targeted Targeted"&amp;CHAR(10),""),IF(Y180&gt;Y167," * VL suppressed Targeted PWID "&amp;$X$19&amp;" "&amp;$Y$20&amp;" is more than VL Done Targeted Targeted"&amp;CHAR(10),""),IF(Z180&gt;Z167," * VL suppressed Targeted PWID "&amp;$Z$19&amp;" "&amp;$Z$20&amp;" is more than VL Done Targeted Targeted"&amp;CHAR(10),""),IF(AA180&gt;AA167," * VL suppressed Targeted PWID "&amp;$Z$19&amp;" "&amp;$AA$20&amp;" is more than VL Done Targeted Targeted"&amp;CHAR(10),""),IF(AB180&gt;AB167," * VL suppressed Targeted PWID "&amp;$AB$19&amp;" "&amp;$AB$20&amp;" is more than VL Done Targeted Targeted"&amp;CHAR(10),""))</f>
        <v/>
      </c>
      <c r="AD167" s="382"/>
      <c r="AE167" s="124" t="str">
        <f>CONCATENATE(IF(D167&gt;D161," * VL Done Targeted [PWID]"&amp;$D$19&amp;" "&amp;$D$20&amp;" is more than VL Done Routine"&amp;CHAR(10),""),IF(E167&gt;E161," * VL Done Targeted [PWID] "&amp;$D$19&amp;" "&amp;$E$20&amp;" is more than VL Done Routine"&amp;CHAR(10),""),IF(F167&gt;F161," * VL Done Targeted [PWID] "&amp;$F$19&amp;" "&amp;$F$20&amp;" is more than VL Done Routine"&amp;CHAR(10),""),IF(G167&gt;G161," * VL Done Targeted [PWID] "&amp;$F$19&amp;" "&amp;$G$20&amp;" is more than VL Done Routine"&amp;CHAR(10),""),IF(H167&gt;H161," * VL Done Targeted [PWID] "&amp;$H$19&amp;" "&amp;$H$20&amp;" is more than VL Done Routine"&amp;CHAR(10),""),IF(I167&gt;I161," * VL Done Targeted [PWID] "&amp;$H$19&amp;" "&amp;$I$20&amp;" is more than VL Done Routine"&amp;CHAR(10),""),IF(J167&gt;J161," * VL Done Targeted [PWID] "&amp;$J$19&amp;" "&amp;$J$20&amp;" is more than VL Done Routine"&amp;CHAR(10),""),IF(K167&gt;K161," * VL Done Targeted [PWID] "&amp;$J$19&amp;" "&amp;$K$20&amp;" is more than VL Done Routine"&amp;CHAR(10),""),IF(L167&gt;L161," * VL Done Targeted [PWID] "&amp;$L$19&amp;" "&amp;$L$20&amp;" is more than VL Done Routine"&amp;CHAR(10),""),IF(M167&gt;M161," * VL Done Targeted [PWID] "&amp;$L$19&amp;" "&amp;$M$20&amp;" is more than VL Done Routine"&amp;CHAR(10),""),IF(N167&gt;N161," * VL Done Targeted [PWID] "&amp;$N$19&amp;" "&amp;$N$20&amp;" is more than VL Done Routine"&amp;CHAR(10),""),IF(O167&gt;O161," * VL Done Targeted [PWID] "&amp;$N$19&amp;" "&amp;$O$20&amp;" is more than VL Done Routine"&amp;CHAR(10),""),IF(P167&gt;P161," * VL Done Targeted [PWID] "&amp;$P$19&amp;" "&amp;$P$20&amp;" is more than VL Done Routine"&amp;CHAR(10),""),IF(Q167&gt;Q161," * VL Done Targeted [PWID] "&amp;$P$19&amp;" "&amp;$Q$20&amp;" is more than VL Done Routine"&amp;CHAR(10),""),IF(R167&gt;R161," * VL Done Targeted [PWID] "&amp;$R$19&amp;" "&amp;$R$20&amp;" is more than VL Done Routine"&amp;CHAR(10),""),IF(S167&gt;S161," * VL Done Targeted [PWID] "&amp;$R$19&amp;" "&amp;$S$20&amp;" is more than VL Done Routine"&amp;CHAR(10),""),IF(T167&gt;T161," * VL Done Targeted [PWID] "&amp;$T$19&amp;" "&amp;$T$20&amp;" is more than VL Done Routine"&amp;CHAR(10),""),IF(U167&gt;U161," * VL Done Targeted [PWID] "&amp;$T$19&amp;" "&amp;$U$20&amp;" is more than VL Done Routine"&amp;CHAR(10),""),IF(V167&gt;V161," * VL Done Targeted [PWID] "&amp;$V$19&amp;" "&amp;$V$20&amp;" is more than VL Done Routine"&amp;CHAR(10),""),IF(W167&gt;W161," * VL Done Targeted [PWID] "&amp;$V$19&amp;" "&amp;$W$20&amp;" is more than VL Done Routine"&amp;CHAR(10),""),IF(X167&gt;X161," * VL Done Targeted [PWID] "&amp;$X$19&amp;" "&amp;$X$20&amp;" is more than VL Done Routine"&amp;CHAR(10),""),IF(Y167&gt;Y161," * VL Done Targeted [PWID] "&amp;$X$19&amp;" "&amp;$Y$20&amp;" is more than VL Done Routine"&amp;CHAR(10),""),IF(Z167&gt;Z161," * VL Done Targeted [PWID] "&amp;$Z$19&amp;" "&amp;$Z$20&amp;" is more than VL Done Routine"&amp;CHAR(10),""),IF(AA167&gt;AA161," * VL Done Targeted [PWID] "&amp;$Z$19&amp;" "&amp;$AA$20&amp;" is more than VL Done Routine"&amp;CHAR(10),""),IF(AB167&gt;AB161," * VL Done Targeted [PWID] "&amp;$AB$19&amp;" "&amp;$AB$20&amp;" is more than VL Done Routine"&amp;CHAR(10),""))</f>
        <v/>
      </c>
      <c r="AF167" s="382"/>
      <c r="AG167" s="110">
        <v>160</v>
      </c>
    </row>
    <row r="168" spans="1:33" s="4" customFormat="1" ht="38.25" customHeight="1" thickBot="1" x14ac:dyDescent="0.3">
      <c r="A168" s="219" t="s">
        <v>435</v>
      </c>
      <c r="B168" s="154" t="s">
        <v>218</v>
      </c>
      <c r="C168" s="198" t="s">
        <v>352</v>
      </c>
      <c r="D168" s="97"/>
      <c r="E168" s="98"/>
      <c r="F168" s="97"/>
      <c r="G168" s="98"/>
      <c r="H168" s="97"/>
      <c r="I168" s="98"/>
      <c r="J168" s="97"/>
      <c r="K168" s="98"/>
      <c r="L168" s="98"/>
      <c r="M168" s="98"/>
      <c r="N168" s="98"/>
      <c r="O168" s="98"/>
      <c r="P168" s="98"/>
      <c r="Q168" s="98"/>
      <c r="R168" s="98"/>
      <c r="S168" s="98"/>
      <c r="T168" s="98"/>
      <c r="U168" s="98"/>
      <c r="V168" s="98"/>
      <c r="W168" s="98"/>
      <c r="X168" s="98"/>
      <c r="Y168" s="98"/>
      <c r="Z168" s="98"/>
      <c r="AA168" s="232"/>
      <c r="AB168" s="233"/>
      <c r="AC168" s="199" t="str">
        <f>CONCATENATE(IF(D181&gt;D168," * VL suppressed Targeted TG "&amp;$D$19&amp;" "&amp;$D$20&amp;" is more than VL Done Targeted Targeted"&amp;CHAR(10),""),IF(E181&gt;E168," * VL suppressed Targeted TG "&amp;$D$19&amp;" "&amp;$E$20&amp;" is more than VL Done Targeted Targeted"&amp;CHAR(10),""),IF(F181&gt;F168," * VL suppressed Targeted TG "&amp;$F$19&amp;" "&amp;$F$20&amp;" is more than VL Done Targeted Targeted"&amp;CHAR(10),""),IF(G181&gt;G168," * VL suppressed Targeted TG "&amp;$F$19&amp;" "&amp;$G$20&amp;" is more than VL Done Targeted Targeted"&amp;CHAR(10),""),IF(H181&gt;H168," * VL suppressed Targeted TG "&amp;$H$19&amp;" "&amp;$H$20&amp;" is more than VL Done Targeted Targeted"&amp;CHAR(10),""),IF(I181&gt;I168," * VL suppressed Targeted TG "&amp;$H$19&amp;" "&amp;$I$20&amp;" is more than VL Done Targeted Targeted"&amp;CHAR(10),""),IF(J181&gt;J168," * VL suppressed Targeted TG "&amp;$J$19&amp;" "&amp;$J$20&amp;" is more than VL Done Targeted Targeted"&amp;CHAR(10),""),IF(K181&gt;K168," * VL suppressed Targeted TG "&amp;$J$19&amp;" "&amp;$K$20&amp;" is more than VL Done Targeted Targeted"&amp;CHAR(10),""),IF(L181&gt;L168," * VL suppressed Targeted TG "&amp;$L$19&amp;" "&amp;$L$20&amp;" is more than VL Done Targeted Targeted"&amp;CHAR(10),""),IF(M181&gt;M168," * VL suppressed Targeted TG "&amp;$L$19&amp;" "&amp;$M$20&amp;" is more than VL Done Targeted Targeted"&amp;CHAR(10),""),IF(N181&gt;N168," * VL suppressed Targeted TG "&amp;$N$19&amp;" "&amp;$N$20&amp;" is more than VL Done Targeted Targeted"&amp;CHAR(10),""),IF(O181&gt;O168," * VL suppressed Targeted TG "&amp;$N$19&amp;" "&amp;$O$20&amp;" is more than VL Done Targeted Targeted"&amp;CHAR(10),""),IF(P181&gt;P168," * VL suppressed Targeted TG "&amp;$P$19&amp;" "&amp;$P$20&amp;" is more than VL Done Targeted Targeted"&amp;CHAR(10),""),IF(Q181&gt;Q168," * VL suppressed Targeted TG "&amp;$P$19&amp;" "&amp;$Q$20&amp;" is more than VL Done Targeted Targeted"&amp;CHAR(10),""),IF(R181&gt;R168," * VL suppressed Targeted TG "&amp;$R$19&amp;" "&amp;$R$20&amp;" is more than VL Done Targeted Targeted"&amp;CHAR(10),""),IF(S181&gt;S168," * VL suppressed Targeted TG "&amp;$R$19&amp;" "&amp;$S$20&amp;" is more than VL Done Targeted Targeted"&amp;CHAR(10),""),IF(T181&gt;T168," * VL suppressed Targeted TG "&amp;$T$19&amp;" "&amp;$T$20&amp;" is more than VL Done Targeted Targeted"&amp;CHAR(10),""),IF(U181&gt;U168," * VL suppressed Targeted TG "&amp;$T$19&amp;" "&amp;$U$20&amp;" is more than VL Done Targeted Targeted"&amp;CHAR(10),""),IF(V181&gt;V168," * VL suppressed Targeted TG "&amp;$V$19&amp;" "&amp;$V$20&amp;" is more than VL Done Targeted Targeted"&amp;CHAR(10),""),IF(W181&gt;W168," * VL suppressed Targeted TG "&amp;$V$19&amp;" "&amp;$W$20&amp;" is more than VL Done Targeted Targeted"&amp;CHAR(10),""),IF(X181&gt;X168," * VL suppressed Targeted TG "&amp;$X$19&amp;" "&amp;$X$20&amp;" is more than VL Done Targeted Targeted"&amp;CHAR(10),""),IF(Y181&gt;Y168," * VL suppressed Targeted TG "&amp;$X$19&amp;" "&amp;$Y$20&amp;" is more than VL Done Targeted Targeted"&amp;CHAR(10),""),IF(Z181&gt;Z168," * VL suppressed Targeted TG "&amp;$Z$19&amp;" "&amp;$Z$20&amp;" is more than VL Done Targeted Targeted"&amp;CHAR(10),""),IF(AA181&gt;AA168," * VL suppressed Targeted TG "&amp;$Z$19&amp;" "&amp;$AA$20&amp;" is more than VL Done Targeted Targeted"&amp;CHAR(10),""),IF(AB181&gt;AB168," * VL suppressed Targeted TG "&amp;$AB$19&amp;" "&amp;$AB$20&amp;" is more than VL Done Targeted Targeted"&amp;CHAR(10),""))</f>
        <v/>
      </c>
      <c r="AD168" s="382"/>
      <c r="AE168" s="124" t="str">
        <f>CONCATENATE(IF(D168&gt;D162," * VL Done Targeted [Transgender People]"&amp;$D$19&amp;" "&amp;$D$20&amp;" is more than VL Done Routine"&amp;CHAR(10),""),IF(E168&gt;E162," * VL Done Targeted [Transgender People] "&amp;$D$19&amp;" "&amp;$E$20&amp;" is more than VL Done Routine"&amp;CHAR(10),""),IF(F168&gt;F162," * VL Done Targeted [Transgender People] "&amp;$F$19&amp;" "&amp;$F$20&amp;" is more than VL Done Routine"&amp;CHAR(10),""),IF(G168&gt;G162," * VL Done Targeted [Transgender People] "&amp;$F$19&amp;" "&amp;$G$20&amp;" is more than VL Done Routine"&amp;CHAR(10),""),IF(H168&gt;H162," * VL Done Targeted [Transgender People] "&amp;$H$19&amp;" "&amp;$H$20&amp;" is more than VL Done Routine"&amp;CHAR(10),""),IF(I168&gt;I162," * VL Done Targeted [Transgender People] "&amp;$H$19&amp;" "&amp;$I$20&amp;" is more than VL Done Routine"&amp;CHAR(10),""),IF(J168&gt;J162," * VL Done Targeted [Transgender People] "&amp;$J$19&amp;" "&amp;$J$20&amp;" is more than VL Done Routine"&amp;CHAR(10),""),IF(K168&gt;K162," * VL Done Targeted [Transgender People] "&amp;$J$19&amp;" "&amp;$K$20&amp;" is more than VL Done Routine"&amp;CHAR(10),""),IF(L168&gt;L162," * VL Done Targeted [Transgender People] "&amp;$L$19&amp;" "&amp;$L$20&amp;" is more than VL Done Routine"&amp;CHAR(10),""),IF(M168&gt;M162," * VL Done Targeted [Transgender People] "&amp;$L$19&amp;" "&amp;$M$20&amp;" is more than VL Done Routine"&amp;CHAR(10),""),IF(N168&gt;N162," * VL Done Targeted [Transgender People] "&amp;$N$19&amp;" "&amp;$N$20&amp;" is more than VL Done Routine"&amp;CHAR(10),""),IF(O168&gt;O162," * VL Done Targeted [Transgender People] "&amp;$N$19&amp;" "&amp;$O$20&amp;" is more than VL Done Routine"&amp;CHAR(10),""),IF(P168&gt;P162," * VL Done Targeted [Transgender People] "&amp;$P$19&amp;" "&amp;$P$20&amp;" is more than VL Done Routine"&amp;CHAR(10),""),IF(Q168&gt;Q162," * VL Done Targeted [Transgender People] "&amp;$P$19&amp;" "&amp;$Q$20&amp;" is more than VL Done Routine"&amp;CHAR(10),""),IF(R168&gt;R162," * VL Done Targeted [Transgender People] "&amp;$R$19&amp;" "&amp;$R$20&amp;" is more than VL Done Routine"&amp;CHAR(10),""),IF(S168&gt;S162," * VL Done Targeted [Transgender People] "&amp;$R$19&amp;" "&amp;$S$20&amp;" is more than VL Done Routine"&amp;CHAR(10),""),IF(T168&gt;T162," * VL Done Targeted [Transgender People] "&amp;$T$19&amp;" "&amp;$T$20&amp;" is more than VL Done Routine"&amp;CHAR(10),""),IF(U168&gt;U162," * VL Done Targeted [Transgender People] "&amp;$T$19&amp;" "&amp;$U$20&amp;" is more than VL Done Routine"&amp;CHAR(10),""),IF(V168&gt;V162," * VL Done Targeted [Transgender People] "&amp;$V$19&amp;" "&amp;$V$20&amp;" is more than VL Done Routine"&amp;CHAR(10),""),IF(W168&gt;W162," * VL Done Targeted [Transgender People] "&amp;$V$19&amp;" "&amp;$W$20&amp;" is more than VL Done Routine"&amp;CHAR(10),""),IF(X168&gt;X162," * VL Done Targeted [Transgender People] "&amp;$X$19&amp;" "&amp;$X$20&amp;" is more than VL Done Routine"&amp;CHAR(10),""),IF(Y168&gt;Y162," * VL Done Targeted [Transgender People] "&amp;$X$19&amp;" "&amp;$Y$20&amp;" is more than VL Done Routine"&amp;CHAR(10),""),IF(Z168&gt;Z162," * VL Done Targeted [Transgender People] "&amp;$Z$19&amp;" "&amp;$Z$20&amp;" is more than VL Done Routine"&amp;CHAR(10),""),IF(AA168&gt;AA162," * VL Done Targeted [Transgender People] "&amp;$Z$19&amp;" "&amp;$AA$20&amp;" is more than VL Done Routine"&amp;CHAR(10),""),IF(AB168&gt;AB162," * VL Done Targeted [Transgender People] "&amp;$AB$19&amp;" "&amp;$AB$20&amp;" is more than VL Done Routine"&amp;CHAR(10),""))</f>
        <v/>
      </c>
      <c r="AF168" s="382"/>
      <c r="AG168" s="110">
        <v>161</v>
      </c>
    </row>
    <row r="169" spans="1:33" s="4" customFormat="1" ht="38.25" customHeight="1" thickBot="1" x14ac:dyDescent="0.3">
      <c r="A169" s="196" t="s">
        <v>233</v>
      </c>
      <c r="B169" s="196" t="s">
        <v>222</v>
      </c>
      <c r="C169" s="180" t="s">
        <v>353</v>
      </c>
      <c r="D169" s="248">
        <f>SUM(D170,D176)</f>
        <v>0</v>
      </c>
      <c r="E169" s="141">
        <f t="shared" ref="E169" si="90">SUM(E170,E176)</f>
        <v>0</v>
      </c>
      <c r="F169" s="141">
        <f t="shared" ref="F169" si="91">SUM(F170,F176)</f>
        <v>0</v>
      </c>
      <c r="G169" s="141">
        <f t="shared" ref="G169" si="92">SUM(G170,G176)</f>
        <v>0</v>
      </c>
      <c r="H169" s="141">
        <f t="shared" ref="H169" si="93">SUM(H170,H176)</f>
        <v>0</v>
      </c>
      <c r="I169" s="141">
        <f t="shared" ref="I169" si="94">SUM(I170,I176)</f>
        <v>0</v>
      </c>
      <c r="J169" s="141">
        <f t="shared" ref="J169" si="95">SUM(J170,J176)</f>
        <v>0</v>
      </c>
      <c r="K169" s="141">
        <f t="shared" ref="K169" si="96">SUM(K170,K176)</f>
        <v>0</v>
      </c>
      <c r="L169" s="141">
        <f t="shared" ref="L169" si="97">SUM(L170,L176)</f>
        <v>0</v>
      </c>
      <c r="M169" s="141">
        <f t="shared" ref="M169" si="98">SUM(M170,M176)</f>
        <v>0</v>
      </c>
      <c r="N169" s="141">
        <f t="shared" ref="N169" si="99">SUM(N170,N176)</f>
        <v>0</v>
      </c>
      <c r="O169" s="141">
        <f t="shared" ref="O169" si="100">SUM(O170,O176)</f>
        <v>0</v>
      </c>
      <c r="P169" s="141">
        <f t="shared" ref="P169" si="101">SUM(P170,P176)</f>
        <v>0</v>
      </c>
      <c r="Q169" s="141">
        <f t="shared" ref="Q169" si="102">SUM(Q170,Q176)</f>
        <v>0</v>
      </c>
      <c r="R169" s="141">
        <f t="shared" ref="R169" si="103">SUM(R170,R176)</f>
        <v>0</v>
      </c>
      <c r="S169" s="141">
        <f t="shared" ref="S169" si="104">SUM(S170,S176)</f>
        <v>0</v>
      </c>
      <c r="T169" s="141">
        <f t="shared" ref="T169" si="105">SUM(T170,T176)</f>
        <v>0</v>
      </c>
      <c r="U169" s="141">
        <f t="shared" ref="U169" si="106">SUM(U170,U176)</f>
        <v>0</v>
      </c>
      <c r="V169" s="141">
        <f t="shared" ref="V169" si="107">SUM(V170,V176)</f>
        <v>0</v>
      </c>
      <c r="W169" s="141">
        <f t="shared" ref="W169" si="108">SUM(W170,W176)</f>
        <v>0</v>
      </c>
      <c r="X169" s="141">
        <f t="shared" ref="X169" si="109">SUM(X170,X176)</f>
        <v>0</v>
      </c>
      <c r="Y169" s="141">
        <f t="shared" ref="Y169" si="110">SUM(Y170,Y176)</f>
        <v>0</v>
      </c>
      <c r="Z169" s="141">
        <f t="shared" ref="Z169" si="111">SUM(Z170,Z176)</f>
        <v>0</v>
      </c>
      <c r="AA169" s="141">
        <f t="shared" ref="AA169" si="112">SUM(AA170,AA176)</f>
        <v>0</v>
      </c>
      <c r="AB169" s="141">
        <f t="shared" ref="AB169" si="113">SUM(AB170,AB176)</f>
        <v>0</v>
      </c>
      <c r="AC169" s="234"/>
      <c r="AD169" s="382"/>
      <c r="AE169" s="234"/>
      <c r="AF169" s="382"/>
      <c r="AG169" s="110"/>
    </row>
    <row r="170" spans="1:33" s="6" customFormat="1" ht="38.25" customHeight="1" thickBot="1" x14ac:dyDescent="0.3">
      <c r="A170" s="217" t="s">
        <v>220</v>
      </c>
      <c r="B170" s="253" t="s">
        <v>220</v>
      </c>
      <c r="C170" s="180" t="s">
        <v>354</v>
      </c>
      <c r="D170" s="248">
        <f t="shared" ref="D170:L170" si="114">SUM(D171:D175)</f>
        <v>0</v>
      </c>
      <c r="E170" s="141">
        <f t="shared" si="114"/>
        <v>0</v>
      </c>
      <c r="F170" s="141">
        <f t="shared" si="114"/>
        <v>0</v>
      </c>
      <c r="G170" s="141">
        <f t="shared" si="114"/>
        <v>0</v>
      </c>
      <c r="H170" s="141">
        <f t="shared" si="114"/>
        <v>0</v>
      </c>
      <c r="I170" s="141">
        <f t="shared" si="114"/>
        <v>0</v>
      </c>
      <c r="J170" s="141">
        <f t="shared" si="114"/>
        <v>0</v>
      </c>
      <c r="K170" s="141">
        <f t="shared" si="114"/>
        <v>0</v>
      </c>
      <c r="L170" s="141">
        <f t="shared" si="114"/>
        <v>0</v>
      </c>
      <c r="M170" s="141">
        <f t="shared" ref="M170:AB170" si="115">SUM(M171:M175)</f>
        <v>0</v>
      </c>
      <c r="N170" s="141">
        <f t="shared" si="115"/>
        <v>0</v>
      </c>
      <c r="O170" s="141">
        <f t="shared" si="115"/>
        <v>0</v>
      </c>
      <c r="P170" s="141">
        <f t="shared" si="115"/>
        <v>0</v>
      </c>
      <c r="Q170" s="141">
        <f t="shared" si="115"/>
        <v>0</v>
      </c>
      <c r="R170" s="141">
        <f t="shared" si="115"/>
        <v>0</v>
      </c>
      <c r="S170" s="141">
        <f t="shared" si="115"/>
        <v>0</v>
      </c>
      <c r="T170" s="141">
        <f t="shared" si="115"/>
        <v>0</v>
      </c>
      <c r="U170" s="141">
        <f t="shared" si="115"/>
        <v>0</v>
      </c>
      <c r="V170" s="141">
        <f t="shared" si="115"/>
        <v>0</v>
      </c>
      <c r="W170" s="141">
        <f t="shared" si="115"/>
        <v>0</v>
      </c>
      <c r="X170" s="141">
        <f t="shared" si="115"/>
        <v>0</v>
      </c>
      <c r="Y170" s="141">
        <f t="shared" si="115"/>
        <v>0</v>
      </c>
      <c r="Z170" s="141">
        <f t="shared" si="115"/>
        <v>0</v>
      </c>
      <c r="AA170" s="141">
        <f t="shared" si="115"/>
        <v>0</v>
      </c>
      <c r="AB170" s="141">
        <f t="shared" si="115"/>
        <v>0</v>
      </c>
      <c r="AC170" s="200"/>
      <c r="AD170" s="382"/>
      <c r="AE170" s="143"/>
      <c r="AF170" s="382"/>
      <c r="AG170" s="110">
        <v>155</v>
      </c>
    </row>
    <row r="171" spans="1:33" s="4" customFormat="1" ht="38.25" customHeight="1" thickBot="1" x14ac:dyDescent="0.3">
      <c r="A171" s="218" t="s">
        <v>79</v>
      </c>
      <c r="B171" s="155" t="s">
        <v>223</v>
      </c>
      <c r="C171" s="197" t="s">
        <v>355</v>
      </c>
      <c r="D171" s="37"/>
      <c r="E171" s="28"/>
      <c r="F171" s="37"/>
      <c r="G171" s="28"/>
      <c r="H171" s="37"/>
      <c r="I171" s="28"/>
      <c r="J171" s="37"/>
      <c r="K171" s="28"/>
      <c r="L171" s="28"/>
      <c r="M171" s="29"/>
      <c r="N171" s="28"/>
      <c r="O171" s="29"/>
      <c r="P171" s="28"/>
      <c r="Q171" s="29"/>
      <c r="R171" s="28"/>
      <c r="S171" s="29"/>
      <c r="T171" s="28"/>
      <c r="U171" s="29"/>
      <c r="V171" s="28"/>
      <c r="W171" s="29"/>
      <c r="X171" s="28"/>
      <c r="Y171" s="29"/>
      <c r="Z171" s="28"/>
      <c r="AA171" s="29"/>
      <c r="AB171" s="108">
        <f t="shared" ref="AB171:AB174" si="116">SUM(D171:AA171)</f>
        <v>0</v>
      </c>
      <c r="AC171" s="257"/>
      <c r="AD171" s="382"/>
      <c r="AE171" s="124"/>
      <c r="AF171" s="382"/>
      <c r="AG171" s="110">
        <v>156</v>
      </c>
    </row>
    <row r="172" spans="1:33" s="4" customFormat="1" ht="38.25" customHeight="1" x14ac:dyDescent="0.25">
      <c r="A172" s="213" t="s">
        <v>77</v>
      </c>
      <c r="B172" s="153" t="s">
        <v>224</v>
      </c>
      <c r="C172" s="198" t="s">
        <v>356</v>
      </c>
      <c r="D172" s="36"/>
      <c r="E172" s="27"/>
      <c r="F172" s="36"/>
      <c r="G172" s="27"/>
      <c r="H172" s="36"/>
      <c r="I172" s="27"/>
      <c r="J172" s="36"/>
      <c r="K172" s="27"/>
      <c r="L172" s="25"/>
      <c r="M172" s="28"/>
      <c r="N172" s="25"/>
      <c r="O172" s="28"/>
      <c r="P172" s="25"/>
      <c r="Q172" s="28"/>
      <c r="R172" s="25"/>
      <c r="S172" s="28"/>
      <c r="T172" s="25"/>
      <c r="U172" s="28"/>
      <c r="V172" s="25"/>
      <c r="W172" s="28"/>
      <c r="X172" s="25"/>
      <c r="Y172" s="28"/>
      <c r="Z172" s="25"/>
      <c r="AA172" s="28"/>
      <c r="AB172" s="101">
        <f t="shared" si="116"/>
        <v>0</v>
      </c>
      <c r="AC172" s="128"/>
      <c r="AD172" s="382"/>
      <c r="AE172" s="124"/>
      <c r="AF172" s="382"/>
      <c r="AG172" s="110">
        <v>157</v>
      </c>
    </row>
    <row r="173" spans="1:33" s="4" customFormat="1" ht="38.25" customHeight="1" x14ac:dyDescent="0.25">
      <c r="A173" s="213" t="s">
        <v>167</v>
      </c>
      <c r="B173" s="153" t="s">
        <v>225</v>
      </c>
      <c r="C173" s="198" t="s">
        <v>357</v>
      </c>
      <c r="D173" s="36"/>
      <c r="E173" s="27"/>
      <c r="F173" s="36"/>
      <c r="G173" s="27"/>
      <c r="H173" s="36"/>
      <c r="I173" s="27"/>
      <c r="J173" s="36"/>
      <c r="K173" s="27"/>
      <c r="L173" s="25"/>
      <c r="M173" s="25"/>
      <c r="N173" s="25"/>
      <c r="O173" s="25"/>
      <c r="P173" s="25"/>
      <c r="Q173" s="25"/>
      <c r="R173" s="25"/>
      <c r="S173" s="25"/>
      <c r="T173" s="25"/>
      <c r="U173" s="25"/>
      <c r="V173" s="25"/>
      <c r="W173" s="25"/>
      <c r="X173" s="25"/>
      <c r="Y173" s="25"/>
      <c r="Z173" s="25"/>
      <c r="AA173" s="25"/>
      <c r="AB173" s="101">
        <f t="shared" si="116"/>
        <v>0</v>
      </c>
      <c r="AC173" s="128"/>
      <c r="AD173" s="382"/>
      <c r="AE173" s="124"/>
      <c r="AF173" s="382"/>
      <c r="AG173" s="110">
        <v>159</v>
      </c>
    </row>
    <row r="174" spans="1:33" s="4" customFormat="1" ht="38.25" customHeight="1" thickBot="1" x14ac:dyDescent="0.3">
      <c r="A174" s="213" t="s">
        <v>76</v>
      </c>
      <c r="B174" s="153" t="s">
        <v>226</v>
      </c>
      <c r="C174" s="198" t="s">
        <v>358</v>
      </c>
      <c r="D174" s="36"/>
      <c r="E174" s="27"/>
      <c r="F174" s="36"/>
      <c r="G174" s="27"/>
      <c r="H174" s="36"/>
      <c r="I174" s="27"/>
      <c r="J174" s="36"/>
      <c r="K174" s="27"/>
      <c r="L174" s="25"/>
      <c r="M174" s="25"/>
      <c r="N174" s="25"/>
      <c r="O174" s="25"/>
      <c r="P174" s="25"/>
      <c r="Q174" s="25"/>
      <c r="R174" s="25"/>
      <c r="S174" s="25"/>
      <c r="T174" s="25"/>
      <c r="U174" s="25"/>
      <c r="V174" s="25"/>
      <c r="W174" s="25"/>
      <c r="X174" s="25"/>
      <c r="Y174" s="25"/>
      <c r="Z174" s="25"/>
      <c r="AA174" s="25"/>
      <c r="AB174" s="102">
        <f t="shared" si="116"/>
        <v>0</v>
      </c>
      <c r="AC174" s="258"/>
      <c r="AD174" s="382"/>
      <c r="AE174" s="124"/>
      <c r="AF174" s="382"/>
      <c r="AG174" s="110">
        <v>160</v>
      </c>
    </row>
    <row r="175" spans="1:33" s="4" customFormat="1" ht="38.25" customHeight="1" thickBot="1" x14ac:dyDescent="0.3">
      <c r="A175" s="219" t="s">
        <v>435</v>
      </c>
      <c r="B175" s="154" t="s">
        <v>227</v>
      </c>
      <c r="C175" s="203" t="s">
        <v>359</v>
      </c>
      <c r="D175" s="97"/>
      <c r="E175" s="98"/>
      <c r="F175" s="97"/>
      <c r="G175" s="98"/>
      <c r="H175" s="97"/>
      <c r="I175" s="98"/>
      <c r="J175" s="97"/>
      <c r="K175" s="98"/>
      <c r="L175" s="98"/>
      <c r="M175" s="98"/>
      <c r="N175" s="98"/>
      <c r="O175" s="98"/>
      <c r="P175" s="98"/>
      <c r="Q175" s="98"/>
      <c r="R175" s="98"/>
      <c r="S175" s="98"/>
      <c r="T175" s="98"/>
      <c r="U175" s="98"/>
      <c r="V175" s="98"/>
      <c r="W175" s="98"/>
      <c r="X175" s="98"/>
      <c r="Y175" s="98"/>
      <c r="Z175" s="98"/>
      <c r="AA175" s="232"/>
      <c r="AB175" s="233"/>
      <c r="AC175" s="128"/>
      <c r="AD175" s="382"/>
      <c r="AE175" s="124"/>
      <c r="AF175" s="382"/>
      <c r="AG175" s="110">
        <v>161</v>
      </c>
    </row>
    <row r="176" spans="1:33" s="6" customFormat="1" ht="38.25" customHeight="1" thickBot="1" x14ac:dyDescent="0.3">
      <c r="A176" s="217" t="s">
        <v>221</v>
      </c>
      <c r="B176" s="253" t="s">
        <v>221</v>
      </c>
      <c r="C176" s="180" t="s">
        <v>360</v>
      </c>
      <c r="D176" s="248">
        <f t="shared" ref="D176:L176" si="117">SUM(D177:D181)</f>
        <v>0</v>
      </c>
      <c r="E176" s="141">
        <f t="shared" si="117"/>
        <v>0</v>
      </c>
      <c r="F176" s="141">
        <f t="shared" si="117"/>
        <v>0</v>
      </c>
      <c r="G176" s="141">
        <f t="shared" si="117"/>
        <v>0</v>
      </c>
      <c r="H176" s="141">
        <f t="shared" si="117"/>
        <v>0</v>
      </c>
      <c r="I176" s="141">
        <f t="shared" si="117"/>
        <v>0</v>
      </c>
      <c r="J176" s="141">
        <f t="shared" si="117"/>
        <v>0</v>
      </c>
      <c r="K176" s="141">
        <f t="shared" si="117"/>
        <v>0</v>
      </c>
      <c r="L176" s="141">
        <f t="shared" si="117"/>
        <v>0</v>
      </c>
      <c r="M176" s="141">
        <f t="shared" ref="M176:AA176" si="118">SUM(M177:M181)</f>
        <v>0</v>
      </c>
      <c r="N176" s="141">
        <f t="shared" si="118"/>
        <v>0</v>
      </c>
      <c r="O176" s="141">
        <f t="shared" si="118"/>
        <v>0</v>
      </c>
      <c r="P176" s="141">
        <f t="shared" si="118"/>
        <v>0</v>
      </c>
      <c r="Q176" s="141">
        <f t="shared" si="118"/>
        <v>0</v>
      </c>
      <c r="R176" s="141">
        <f t="shared" si="118"/>
        <v>0</v>
      </c>
      <c r="S176" s="141">
        <f t="shared" si="118"/>
        <v>0</v>
      </c>
      <c r="T176" s="141">
        <f t="shared" si="118"/>
        <v>0</v>
      </c>
      <c r="U176" s="141">
        <f t="shared" si="118"/>
        <v>0</v>
      </c>
      <c r="V176" s="141">
        <f t="shared" si="118"/>
        <v>0</v>
      </c>
      <c r="W176" s="141">
        <f t="shared" si="118"/>
        <v>0</v>
      </c>
      <c r="X176" s="141">
        <f t="shared" si="118"/>
        <v>0</v>
      </c>
      <c r="Y176" s="141">
        <f t="shared" si="118"/>
        <v>0</v>
      </c>
      <c r="Z176" s="141">
        <f t="shared" si="118"/>
        <v>0</v>
      </c>
      <c r="AA176" s="141">
        <f t="shared" si="118"/>
        <v>0</v>
      </c>
      <c r="AB176" s="141">
        <f>SUM(AB177:AB181)</f>
        <v>0</v>
      </c>
      <c r="AC176" s="200"/>
      <c r="AD176" s="382"/>
      <c r="AE176" s="143"/>
      <c r="AF176" s="382"/>
      <c r="AG176" s="110">
        <v>155</v>
      </c>
    </row>
    <row r="177" spans="1:33" s="4" customFormat="1" ht="38.25" customHeight="1" thickBot="1" x14ac:dyDescent="0.3">
      <c r="A177" s="218" t="s">
        <v>79</v>
      </c>
      <c r="B177" s="155" t="s">
        <v>228</v>
      </c>
      <c r="C177" s="198" t="s">
        <v>361</v>
      </c>
      <c r="D177" s="37"/>
      <c r="E177" s="28"/>
      <c r="F177" s="37"/>
      <c r="G177" s="28"/>
      <c r="H177" s="37"/>
      <c r="I177" s="28"/>
      <c r="J177" s="37"/>
      <c r="K177" s="28"/>
      <c r="L177" s="28"/>
      <c r="M177" s="29"/>
      <c r="N177" s="28"/>
      <c r="O177" s="29"/>
      <c r="P177" s="28"/>
      <c r="Q177" s="29"/>
      <c r="R177" s="28"/>
      <c r="S177" s="29"/>
      <c r="T177" s="28"/>
      <c r="U177" s="29"/>
      <c r="V177" s="28"/>
      <c r="W177" s="29"/>
      <c r="X177" s="28"/>
      <c r="Y177" s="29"/>
      <c r="Z177" s="28"/>
      <c r="AA177" s="29"/>
      <c r="AB177" s="108">
        <f t="shared" ref="AB177:AB180" si="119">SUM(D177:AA177)</f>
        <v>0</v>
      </c>
      <c r="AC177" s="257"/>
      <c r="AD177" s="382"/>
      <c r="AE177" s="124"/>
      <c r="AF177" s="382"/>
      <c r="AG177" s="110">
        <v>156</v>
      </c>
    </row>
    <row r="178" spans="1:33" s="4" customFormat="1" ht="38.25" customHeight="1" x14ac:dyDescent="0.25">
      <c r="A178" s="213" t="s">
        <v>77</v>
      </c>
      <c r="B178" s="153" t="s">
        <v>229</v>
      </c>
      <c r="C178" s="198" t="s">
        <v>362</v>
      </c>
      <c r="D178" s="36"/>
      <c r="E178" s="27"/>
      <c r="F178" s="36"/>
      <c r="G178" s="27"/>
      <c r="H178" s="36"/>
      <c r="I178" s="27"/>
      <c r="J178" s="36"/>
      <c r="K178" s="27"/>
      <c r="L178" s="25"/>
      <c r="M178" s="28"/>
      <c r="N178" s="25"/>
      <c r="O178" s="28"/>
      <c r="P178" s="25"/>
      <c r="Q178" s="28"/>
      <c r="R178" s="25"/>
      <c r="S178" s="28"/>
      <c r="T178" s="25"/>
      <c r="U178" s="28"/>
      <c r="V178" s="25"/>
      <c r="W178" s="28"/>
      <c r="X178" s="25"/>
      <c r="Y178" s="28"/>
      <c r="Z178" s="25"/>
      <c r="AA178" s="28"/>
      <c r="AB178" s="101">
        <f t="shared" si="119"/>
        <v>0</v>
      </c>
      <c r="AC178" s="128"/>
      <c r="AD178" s="382"/>
      <c r="AE178" s="124"/>
      <c r="AF178" s="382"/>
      <c r="AG178" s="110">
        <v>157</v>
      </c>
    </row>
    <row r="179" spans="1:33" s="4" customFormat="1" ht="38.25" customHeight="1" x14ac:dyDescent="0.25">
      <c r="A179" s="213" t="s">
        <v>167</v>
      </c>
      <c r="B179" s="153" t="s">
        <v>230</v>
      </c>
      <c r="C179" s="198" t="s">
        <v>363</v>
      </c>
      <c r="D179" s="36"/>
      <c r="E179" s="27"/>
      <c r="F179" s="36"/>
      <c r="G179" s="27"/>
      <c r="H179" s="36"/>
      <c r="I179" s="27"/>
      <c r="J179" s="36"/>
      <c r="K179" s="27"/>
      <c r="L179" s="25"/>
      <c r="M179" s="25"/>
      <c r="N179" s="25"/>
      <c r="O179" s="25"/>
      <c r="P179" s="25"/>
      <c r="Q179" s="25"/>
      <c r="R179" s="25"/>
      <c r="S179" s="25"/>
      <c r="T179" s="25"/>
      <c r="U179" s="25"/>
      <c r="V179" s="25"/>
      <c r="W179" s="25"/>
      <c r="X179" s="25"/>
      <c r="Y179" s="25"/>
      <c r="Z179" s="25"/>
      <c r="AA179" s="25"/>
      <c r="AB179" s="101">
        <f t="shared" si="119"/>
        <v>0</v>
      </c>
      <c r="AC179" s="128"/>
      <c r="AD179" s="382"/>
      <c r="AE179" s="124"/>
      <c r="AF179" s="382"/>
      <c r="AG179" s="110">
        <v>159</v>
      </c>
    </row>
    <row r="180" spans="1:33" s="4" customFormat="1" ht="38.25" customHeight="1" thickBot="1" x14ac:dyDescent="0.3">
      <c r="A180" s="213" t="s">
        <v>76</v>
      </c>
      <c r="B180" s="153" t="s">
        <v>231</v>
      </c>
      <c r="C180" s="198" t="s">
        <v>364</v>
      </c>
      <c r="D180" s="36"/>
      <c r="E180" s="27"/>
      <c r="F180" s="36"/>
      <c r="G180" s="27"/>
      <c r="H180" s="36"/>
      <c r="I180" s="27"/>
      <c r="J180" s="36"/>
      <c r="K180" s="27"/>
      <c r="L180" s="25"/>
      <c r="M180" s="25"/>
      <c r="N180" s="25"/>
      <c r="O180" s="25"/>
      <c r="P180" s="25"/>
      <c r="Q180" s="25"/>
      <c r="R180" s="25"/>
      <c r="S180" s="25"/>
      <c r="T180" s="25"/>
      <c r="U180" s="25"/>
      <c r="V180" s="25"/>
      <c r="W180" s="25"/>
      <c r="X180" s="25"/>
      <c r="Y180" s="25"/>
      <c r="Z180" s="25"/>
      <c r="AA180" s="25"/>
      <c r="AB180" s="102">
        <f t="shared" si="119"/>
        <v>0</v>
      </c>
      <c r="AC180" s="258"/>
      <c r="AD180" s="382"/>
      <c r="AE180" s="124"/>
      <c r="AF180" s="382"/>
      <c r="AG180" s="110">
        <v>160</v>
      </c>
    </row>
    <row r="181" spans="1:33" s="4" customFormat="1" ht="38.25" customHeight="1" thickBot="1" x14ac:dyDescent="0.3">
      <c r="A181" s="261" t="s">
        <v>435</v>
      </c>
      <c r="B181" s="156" t="s">
        <v>232</v>
      </c>
      <c r="C181" s="198" t="s">
        <v>365</v>
      </c>
      <c r="D181" s="95"/>
      <c r="E181" s="96"/>
      <c r="F181" s="95"/>
      <c r="G181" s="96"/>
      <c r="H181" s="95"/>
      <c r="I181" s="96"/>
      <c r="J181" s="95"/>
      <c r="K181" s="96"/>
      <c r="L181" s="96"/>
      <c r="M181" s="96"/>
      <c r="N181" s="96"/>
      <c r="O181" s="96"/>
      <c r="P181" s="96"/>
      <c r="Q181" s="96"/>
      <c r="R181" s="96"/>
      <c r="S181" s="96"/>
      <c r="T181" s="96"/>
      <c r="U181" s="96"/>
      <c r="V181" s="96"/>
      <c r="W181" s="96"/>
      <c r="X181" s="96"/>
      <c r="Y181" s="96"/>
      <c r="Z181" s="96"/>
      <c r="AA181" s="204"/>
      <c r="AB181" s="262"/>
      <c r="AC181" s="263"/>
      <c r="AD181" s="382"/>
      <c r="AE181" s="264"/>
      <c r="AF181" s="422"/>
      <c r="AG181" s="110">
        <v>161</v>
      </c>
    </row>
    <row r="182" spans="1:33" s="4" customFormat="1" ht="38.25" customHeight="1" thickBot="1" x14ac:dyDescent="0.3">
      <c r="A182" s="409" t="s">
        <v>243</v>
      </c>
      <c r="B182" s="410"/>
      <c r="C182" s="410"/>
      <c r="D182" s="410"/>
      <c r="E182" s="410"/>
      <c r="F182" s="410"/>
      <c r="G182" s="410"/>
      <c r="H182" s="410"/>
      <c r="I182" s="410"/>
      <c r="J182" s="410"/>
      <c r="K182" s="410"/>
      <c r="L182" s="410"/>
      <c r="M182" s="410"/>
      <c r="N182" s="410"/>
      <c r="O182" s="410"/>
      <c r="P182" s="410"/>
      <c r="Q182" s="410"/>
      <c r="R182" s="410"/>
      <c r="S182" s="410"/>
      <c r="T182" s="410"/>
      <c r="U182" s="410"/>
      <c r="V182" s="410"/>
      <c r="W182" s="410"/>
      <c r="X182" s="410"/>
      <c r="Y182" s="410"/>
      <c r="Z182" s="410"/>
      <c r="AA182" s="410"/>
      <c r="AB182" s="410"/>
      <c r="AC182" s="410"/>
      <c r="AD182" s="410"/>
      <c r="AE182" s="410"/>
      <c r="AF182" s="411"/>
      <c r="AG182" s="260">
        <v>93</v>
      </c>
    </row>
    <row r="183" spans="1:33" s="4" customFormat="1" ht="38.25" customHeight="1" thickBot="1" x14ac:dyDescent="0.3">
      <c r="A183" s="420" t="s">
        <v>244</v>
      </c>
      <c r="B183" s="379"/>
      <c r="C183" s="379"/>
      <c r="D183" s="379"/>
      <c r="E183" s="379"/>
      <c r="F183" s="379"/>
      <c r="G183" s="379"/>
      <c r="H183" s="379"/>
      <c r="I183" s="379"/>
      <c r="J183" s="379"/>
      <c r="K183" s="379"/>
      <c r="L183" s="379"/>
      <c r="M183" s="379"/>
      <c r="N183" s="379"/>
      <c r="O183" s="379"/>
      <c r="P183" s="379"/>
      <c r="Q183" s="379"/>
      <c r="R183" s="379"/>
      <c r="S183" s="379"/>
      <c r="T183" s="379"/>
      <c r="U183" s="379"/>
      <c r="V183" s="379"/>
      <c r="W183" s="379"/>
      <c r="X183" s="379"/>
      <c r="Y183" s="379"/>
      <c r="Z183" s="379"/>
      <c r="AA183" s="379"/>
      <c r="AB183" s="379"/>
      <c r="AC183" s="379"/>
      <c r="AD183" s="379"/>
      <c r="AE183" s="379"/>
      <c r="AF183" s="389"/>
      <c r="AG183" s="110">
        <v>93</v>
      </c>
    </row>
    <row r="184" spans="1:33" s="4" customFormat="1" ht="30.75" hidden="1" customHeight="1" thickBot="1" x14ac:dyDescent="0.3">
      <c r="A184" s="421" t="s">
        <v>17</v>
      </c>
      <c r="B184" s="403" t="s">
        <v>25</v>
      </c>
      <c r="C184" s="404" t="s">
        <v>24</v>
      </c>
      <c r="D184" s="405" t="s">
        <v>0</v>
      </c>
      <c r="E184" s="405"/>
      <c r="F184" s="405" t="s">
        <v>1</v>
      </c>
      <c r="G184" s="405"/>
      <c r="H184" s="405" t="s">
        <v>2</v>
      </c>
      <c r="I184" s="405"/>
      <c r="J184" s="405" t="s">
        <v>3</v>
      </c>
      <c r="K184" s="405"/>
      <c r="L184" s="406" t="s">
        <v>4</v>
      </c>
      <c r="M184" s="407"/>
      <c r="N184" s="406" t="s">
        <v>5</v>
      </c>
      <c r="O184" s="407"/>
      <c r="P184" s="406" t="s">
        <v>6</v>
      </c>
      <c r="Q184" s="407"/>
      <c r="R184" s="406" t="s">
        <v>7</v>
      </c>
      <c r="S184" s="407"/>
      <c r="T184" s="406" t="s">
        <v>8</v>
      </c>
      <c r="U184" s="407"/>
      <c r="V184" s="406" t="s">
        <v>14</v>
      </c>
      <c r="W184" s="407"/>
      <c r="X184" s="406" t="s">
        <v>15</v>
      </c>
      <c r="Y184" s="407"/>
      <c r="Z184" s="406" t="s">
        <v>9</v>
      </c>
      <c r="AA184" s="407"/>
      <c r="AB184" s="399" t="s">
        <v>12</v>
      </c>
      <c r="AC184" s="401" t="s">
        <v>26</v>
      </c>
      <c r="AD184" s="115"/>
      <c r="AE184" s="423" t="s">
        <v>32</v>
      </c>
      <c r="AF184" s="116"/>
      <c r="AG184" s="110">
        <v>94</v>
      </c>
    </row>
    <row r="185" spans="1:33" s="4" customFormat="1" ht="30.75" hidden="1" customHeight="1" thickBot="1" x14ac:dyDescent="0.3">
      <c r="A185" s="398"/>
      <c r="B185" s="396"/>
      <c r="C185" s="404"/>
      <c r="D185" s="12" t="s">
        <v>10</v>
      </c>
      <c r="E185" s="12" t="s">
        <v>11</v>
      </c>
      <c r="F185" s="12" t="s">
        <v>10</v>
      </c>
      <c r="G185" s="12" t="s">
        <v>11</v>
      </c>
      <c r="H185" s="12" t="s">
        <v>10</v>
      </c>
      <c r="I185" s="12" t="s">
        <v>11</v>
      </c>
      <c r="J185" s="12" t="s">
        <v>10</v>
      </c>
      <c r="K185" s="12" t="s">
        <v>11</v>
      </c>
      <c r="L185" s="12" t="s">
        <v>10</v>
      </c>
      <c r="M185" s="12" t="s">
        <v>11</v>
      </c>
      <c r="N185" s="12" t="s">
        <v>10</v>
      </c>
      <c r="O185" s="12" t="s">
        <v>11</v>
      </c>
      <c r="P185" s="12" t="s">
        <v>10</v>
      </c>
      <c r="Q185" s="12" t="s">
        <v>11</v>
      </c>
      <c r="R185" s="12" t="s">
        <v>10</v>
      </c>
      <c r="S185" s="12" t="s">
        <v>11</v>
      </c>
      <c r="T185" s="12" t="s">
        <v>10</v>
      </c>
      <c r="U185" s="12" t="s">
        <v>11</v>
      </c>
      <c r="V185" s="12" t="s">
        <v>10</v>
      </c>
      <c r="W185" s="12" t="s">
        <v>11</v>
      </c>
      <c r="X185" s="12" t="s">
        <v>10</v>
      </c>
      <c r="Y185" s="12" t="s">
        <v>11</v>
      </c>
      <c r="Z185" s="12" t="s">
        <v>10</v>
      </c>
      <c r="AA185" s="12" t="s">
        <v>11</v>
      </c>
      <c r="AB185" s="400"/>
      <c r="AC185" s="402"/>
      <c r="AD185" s="115"/>
      <c r="AE185" s="424"/>
      <c r="AF185" s="116"/>
      <c r="AG185" s="110">
        <v>95</v>
      </c>
    </row>
    <row r="186" spans="1:33" s="4" customFormat="1" ht="38.25" customHeight="1" thickBot="1" x14ac:dyDescent="0.3">
      <c r="A186" s="215" t="s">
        <v>121</v>
      </c>
      <c r="B186" s="253" t="s">
        <v>124</v>
      </c>
      <c r="C186" s="256" t="s">
        <v>366</v>
      </c>
      <c r="D186" s="254">
        <f t="shared" ref="D186:K186" si="120">SUM(D187:D189)</f>
        <v>0</v>
      </c>
      <c r="E186" s="137">
        <f t="shared" si="120"/>
        <v>0</v>
      </c>
      <c r="F186" s="137">
        <f t="shared" si="120"/>
        <v>0</v>
      </c>
      <c r="G186" s="137">
        <f t="shared" si="120"/>
        <v>0</v>
      </c>
      <c r="H186" s="137">
        <f t="shared" si="120"/>
        <v>0</v>
      </c>
      <c r="I186" s="137">
        <f t="shared" si="120"/>
        <v>0</v>
      </c>
      <c r="J186" s="137">
        <f t="shared" si="120"/>
        <v>0</v>
      </c>
      <c r="K186" s="137">
        <f t="shared" si="120"/>
        <v>0</v>
      </c>
      <c r="L186" s="137">
        <f>SUM(L190:L201)</f>
        <v>0</v>
      </c>
      <c r="M186" s="137">
        <f t="shared" ref="M186:AB186" si="121">SUM(M190:M201)</f>
        <v>0</v>
      </c>
      <c r="N186" s="137">
        <f t="shared" si="121"/>
        <v>0</v>
      </c>
      <c r="O186" s="137">
        <f t="shared" si="121"/>
        <v>0</v>
      </c>
      <c r="P186" s="137">
        <f t="shared" si="121"/>
        <v>0</v>
      </c>
      <c r="Q186" s="137">
        <f t="shared" si="121"/>
        <v>0</v>
      </c>
      <c r="R186" s="137">
        <f t="shared" si="121"/>
        <v>0</v>
      </c>
      <c r="S186" s="137">
        <f t="shared" si="121"/>
        <v>0</v>
      </c>
      <c r="T186" s="137">
        <f t="shared" si="121"/>
        <v>0</v>
      </c>
      <c r="U186" s="137">
        <f t="shared" si="121"/>
        <v>0</v>
      </c>
      <c r="V186" s="137">
        <f t="shared" si="121"/>
        <v>0</v>
      </c>
      <c r="W186" s="137">
        <f t="shared" si="121"/>
        <v>0</v>
      </c>
      <c r="X186" s="137">
        <f t="shared" si="121"/>
        <v>0</v>
      </c>
      <c r="Y186" s="137">
        <f t="shared" si="121"/>
        <v>0</v>
      </c>
      <c r="Z186" s="137">
        <f t="shared" si="121"/>
        <v>0</v>
      </c>
      <c r="AA186" s="137">
        <f t="shared" si="121"/>
        <v>0</v>
      </c>
      <c r="AB186" s="137">
        <f t="shared" si="121"/>
        <v>0</v>
      </c>
      <c r="AC186" s="129" t="str">
        <f>CONCATENATE(IF(D186&lt;&gt;(D187+D188+D189)," * sum of ARV Dispensing Quantity  "&amp;$D$19&amp;" "&amp;$D$20&amp;" is not equal to   TX_CURR_VERIFY ALL"&amp;CHAR(10),""),IF(E186&lt;&gt;(E187+E188+E189)," * sum of ARV Dispensing Quantity  "&amp;$D$19&amp;" "&amp;$E$20&amp;" is not equal to   TX_CURR_VERIFY ALL"&amp;CHAR(10),""),IF(F186&lt;&gt;(F187+F188+F189)," * sum of ARV Dispensing Quantity  "&amp;$F$19&amp;" "&amp;$F$20&amp;" is not equal to   TX_CURR_VERIFY ALL"&amp;CHAR(10),""),IF(G186&lt;&gt;(G187+G188+G189)," * sum of ARV Dispensing Quantity  "&amp;$F$19&amp;" "&amp;$G$20&amp;" is not equal to   TX_CURR_VERIFY ALL"&amp;CHAR(10),""),IF(H186&lt;&gt;(H187+H188+H189)," * sum of ARV Dispensing Quantity  "&amp;$H$19&amp;" "&amp;$H$20&amp;" is not equal to   TX_CURR_VERIFY ALL"&amp;CHAR(10),""),IF(I186&lt;&gt;(I187+I188+I189)," * sum of ARV Dispensing Quantity  "&amp;$H$19&amp;" "&amp;$I$20&amp;" is not equal to   TX_CURR_VERIFY ALL"&amp;CHAR(10),""),IF(J186&lt;&gt;(J187+J188+J189)," * sum of ARV Dispensing Quantity  "&amp;$J$19&amp;" "&amp;$J$20&amp;" is not equal to   TX_CURR_VERIFY ALL"&amp;CHAR(10),""),IF(K186&lt;&gt;(K187+K188+K189)," * sum of ARV Dispensing Quantity  "&amp;$J$19&amp;" "&amp;$K$20&amp;" is not equal to   TX_CURR_VERIFY ALL"&amp;CHAR(10),""),IF(L186&lt;&gt;(L187+L188+L189)," * sum of ARV Dispensing Quantity  "&amp;$L$19&amp;" "&amp;$L$20&amp;" is not equal to   TX_CURR_VERIFY ALL"&amp;CHAR(10),""),IF(M186&lt;&gt;(M187+M188+M189)," * sum of ARV Dispensing Quantity  "&amp;$L$19&amp;" "&amp;$M$20&amp;" is not equal to   TX_CURR_VERIFY ALL"&amp;CHAR(10),""),IF(N186&lt;&gt;(N187+N188+N189)," * sum of ARV Dispensing Quantity  "&amp;$N$19&amp;" "&amp;$N$20&amp;" is not equal to   TX_CURR_VERIFY ALL"&amp;CHAR(10),""),IF(O186&lt;&gt;(O187+O188+O189)," * sum of ARV Dispensing Quantity  "&amp;$N$19&amp;" "&amp;$O$20&amp;" is not equal to   TX_CURR_VERIFY ALL"&amp;CHAR(10),""),IF(P186&lt;&gt;(P187+P188+P189)," * sum of ARV Dispensing Quantity  "&amp;$P$19&amp;" "&amp;$P$20&amp;" is not equal to   TX_CURR_VERIFY ALL"&amp;CHAR(10),""),IF(Q186&lt;&gt;(Q187+Q188+Q189)," * sum of ARV Dispensing Quantity  "&amp;$P$19&amp;" "&amp;$Q$20&amp;" is not equal to   TX_CURR_VERIFY ALL"&amp;CHAR(10),""),IF(R186&lt;&gt;(R187+R188+R189)," * sum of ARV Dispensing Quantity  "&amp;$R$19&amp;" "&amp;$R$20&amp;" is not equal to   TX_CURR_VERIFY ALL"&amp;CHAR(10),""),IF(S186&lt;&gt;(S187+S188+S189)," * sum of ARV Dispensing Quantity  "&amp;$R$19&amp;" "&amp;$S$20&amp;" is not equal to   TX_CURR_VERIFY ALL"&amp;CHAR(10),""),IF(T186&lt;&gt;(T187+T188+T189)," * sum of ARV Dispensing Quantity  "&amp;$T$19&amp;" "&amp;$T$20&amp;" is not equal to   TX_CURR_VERIFY ALL"&amp;CHAR(10),""),IF(U186&lt;&gt;(U187+U188+U189)," * sum of ARV Dispensing Quantity  "&amp;$T$19&amp;" "&amp;$U$20&amp;" is not equal to   TX_CURR_VERIFY ALL"&amp;CHAR(10),""),IF(V186&lt;&gt;(V187+V188+V189)," * sum of ARV Dispensing Quantity  "&amp;$V$19&amp;" "&amp;$V$20&amp;" is not equal to   TX_CURR_VERIFY ALL"&amp;CHAR(10),""),IF(W186&lt;&gt;(W187+W188+W189)," * sum of ARV Dispensing Quantity  "&amp;$V$19&amp;" "&amp;$W$20&amp;" is not equal to   TX_CURR_VERIFY ALL"&amp;CHAR(10),""),IF(X186&lt;&gt;(X187+X188+X189)," * sum of ARV Dispensing Quantity  "&amp;$X$19&amp;" "&amp;$X$20&amp;" is not equal to   TX_CURR_VERIFY ALL"&amp;CHAR(10),""),IF(Y186&lt;&gt;(Y187+Y188+Y189)," * sum of ARV Dispensing Quantity  "&amp;$X$19&amp;" "&amp;$Y$20&amp;" is not equal to   TX_CURR_VERIFY ALL"&amp;CHAR(10),""),IF(Z186&lt;&gt;(Z187+Z188+Z189)," * sum of ARV Dispensing Quantity  "&amp;$Z$19&amp;" "&amp;$Z$20&amp;" is not equal to   TX_CURR_VERIFY ALL"&amp;CHAR(10),""),IF(AA186&lt;&gt;(AA187+AA188+AA189)," * sum of ARV Dispensing Quantity  "&amp;$Z$19&amp;" "&amp;$AA$20&amp;" is not equal to   TX_CURR_VERIFY ALL"&amp;CHAR(10),""))</f>
        <v/>
      </c>
      <c r="AD186" s="413" t="str">
        <f>CONCATENATE(AC186,AC187,AC188,AC189,AC190,AC191,AC192,AC193,AC194,AC195,AC196,AC197,AC198,AC199,AC200,AC201)</f>
        <v/>
      </c>
      <c r="AE186" s="124"/>
      <c r="AF186" s="558" t="str">
        <f>CONCATENATE(AE186,AE187,AE188,AE189,AE190,AE191,AE192,AE193,AE194,AE195,AE196,AE197,AE198,AE199,AE200,AE201)</f>
        <v/>
      </c>
      <c r="AG186" s="110">
        <v>96</v>
      </c>
    </row>
    <row r="187" spans="1:33" s="4" customFormat="1" ht="38.25" customHeight="1" thickBot="1" x14ac:dyDescent="0.3">
      <c r="A187" s="553" t="s">
        <v>122</v>
      </c>
      <c r="B187" s="155" t="s">
        <v>125</v>
      </c>
      <c r="C187" s="198" t="s">
        <v>367</v>
      </c>
      <c r="D187" s="36"/>
      <c r="E187" s="27"/>
      <c r="F187" s="36"/>
      <c r="G187" s="27"/>
      <c r="H187" s="36"/>
      <c r="I187" s="27"/>
      <c r="J187" s="36"/>
      <c r="K187" s="27"/>
      <c r="L187" s="26"/>
      <c r="M187" s="26"/>
      <c r="N187" s="26"/>
      <c r="O187" s="26"/>
      <c r="P187" s="26"/>
      <c r="Q187" s="26"/>
      <c r="R187" s="26"/>
      <c r="S187" s="26"/>
      <c r="T187" s="26"/>
      <c r="U187" s="26"/>
      <c r="V187" s="26"/>
      <c r="W187" s="26"/>
      <c r="X187" s="26"/>
      <c r="Y187" s="26"/>
      <c r="Z187" s="26"/>
      <c r="AA187" s="26"/>
      <c r="AB187" s="101">
        <f t="shared" ref="AB187:AB205" si="122">SUM(D187:AA187)</f>
        <v>0</v>
      </c>
      <c r="AC187" s="132"/>
      <c r="AD187" s="413"/>
      <c r="AE187" s="124"/>
      <c r="AF187" s="558"/>
      <c r="AG187" s="110">
        <v>97</v>
      </c>
    </row>
    <row r="188" spans="1:33" s="4" customFormat="1" ht="38.25" customHeight="1" x14ac:dyDescent="0.25">
      <c r="A188" s="554"/>
      <c r="B188" s="153" t="s">
        <v>126</v>
      </c>
      <c r="C188" s="198" t="s">
        <v>368</v>
      </c>
      <c r="D188" s="36"/>
      <c r="E188" s="27"/>
      <c r="F188" s="36"/>
      <c r="G188" s="27"/>
      <c r="H188" s="36"/>
      <c r="I188" s="27"/>
      <c r="J188" s="36"/>
      <c r="K188" s="27"/>
      <c r="L188" s="25"/>
      <c r="M188" s="25"/>
      <c r="N188" s="25"/>
      <c r="O188" s="25"/>
      <c r="P188" s="25"/>
      <c r="Q188" s="25"/>
      <c r="R188" s="25"/>
      <c r="S188" s="25"/>
      <c r="T188" s="25"/>
      <c r="U188" s="25"/>
      <c r="V188" s="25"/>
      <c r="W188" s="25"/>
      <c r="X188" s="25"/>
      <c r="Y188" s="25"/>
      <c r="Z188" s="25"/>
      <c r="AA188" s="25"/>
      <c r="AB188" s="101">
        <f t="shared" si="122"/>
        <v>0</v>
      </c>
      <c r="AC188" s="133"/>
      <c r="AD188" s="413"/>
      <c r="AE188" s="124"/>
      <c r="AF188" s="558"/>
      <c r="AG188" s="110">
        <v>98</v>
      </c>
    </row>
    <row r="189" spans="1:33" s="4" customFormat="1" ht="38.25" customHeight="1" thickBot="1" x14ac:dyDescent="0.3">
      <c r="A189" s="555"/>
      <c r="B189" s="154" t="s">
        <v>127</v>
      </c>
      <c r="C189" s="203" t="s">
        <v>369</v>
      </c>
      <c r="D189" s="97"/>
      <c r="E189" s="98"/>
      <c r="F189" s="97"/>
      <c r="G189" s="98"/>
      <c r="H189" s="97"/>
      <c r="I189" s="98"/>
      <c r="J189" s="97"/>
      <c r="K189" s="98"/>
      <c r="L189" s="32"/>
      <c r="M189" s="32"/>
      <c r="N189" s="32"/>
      <c r="O189" s="32"/>
      <c r="P189" s="32"/>
      <c r="Q189" s="32"/>
      <c r="R189" s="32"/>
      <c r="S189" s="32"/>
      <c r="T189" s="32"/>
      <c r="U189" s="32"/>
      <c r="V189" s="32"/>
      <c r="W189" s="32"/>
      <c r="X189" s="32"/>
      <c r="Y189" s="32"/>
      <c r="Z189" s="32"/>
      <c r="AA189" s="32"/>
      <c r="AB189" s="101">
        <f t="shared" si="122"/>
        <v>0</v>
      </c>
      <c r="AC189" s="134"/>
      <c r="AD189" s="413"/>
      <c r="AE189" s="124"/>
      <c r="AF189" s="558"/>
      <c r="AG189" s="110">
        <v>99</v>
      </c>
    </row>
    <row r="190" spans="1:33" s="4" customFormat="1" ht="38.25" customHeight="1" x14ac:dyDescent="0.25">
      <c r="A190" s="553" t="s">
        <v>128</v>
      </c>
      <c r="B190" s="152" t="s">
        <v>132</v>
      </c>
      <c r="C190" s="197" t="s">
        <v>370</v>
      </c>
      <c r="D190" s="37"/>
      <c r="E190" s="28"/>
      <c r="F190" s="37"/>
      <c r="G190" s="28"/>
      <c r="H190" s="37"/>
      <c r="I190" s="28"/>
      <c r="J190" s="37"/>
      <c r="K190" s="28"/>
      <c r="L190" s="27"/>
      <c r="M190" s="29"/>
      <c r="N190" s="27"/>
      <c r="O190" s="29"/>
      <c r="P190" s="27"/>
      <c r="Q190" s="29"/>
      <c r="R190" s="27"/>
      <c r="S190" s="29"/>
      <c r="T190" s="27"/>
      <c r="U190" s="29"/>
      <c r="V190" s="27"/>
      <c r="W190" s="29"/>
      <c r="X190" s="27"/>
      <c r="Y190" s="29"/>
      <c r="Z190" s="27"/>
      <c r="AA190" s="111"/>
      <c r="AB190" s="101">
        <f t="shared" si="122"/>
        <v>0</v>
      </c>
      <c r="AC190" s="134"/>
      <c r="AD190" s="413"/>
      <c r="AE190" s="124"/>
      <c r="AF190" s="558"/>
      <c r="AG190" s="110">
        <v>100</v>
      </c>
    </row>
    <row r="191" spans="1:33" s="4" customFormat="1" ht="38.25" customHeight="1" x14ac:dyDescent="0.25">
      <c r="A191" s="554"/>
      <c r="B191" s="153" t="s">
        <v>131</v>
      </c>
      <c r="C191" s="198" t="s">
        <v>371</v>
      </c>
      <c r="D191" s="36"/>
      <c r="E191" s="27"/>
      <c r="F191" s="36"/>
      <c r="G191" s="27"/>
      <c r="H191" s="36"/>
      <c r="I191" s="27"/>
      <c r="J191" s="36"/>
      <c r="K191" s="27"/>
      <c r="L191" s="25"/>
      <c r="M191" s="27"/>
      <c r="N191" s="25"/>
      <c r="O191" s="27"/>
      <c r="P191" s="25"/>
      <c r="Q191" s="27"/>
      <c r="R191" s="25"/>
      <c r="S191" s="27"/>
      <c r="T191" s="25"/>
      <c r="U191" s="27"/>
      <c r="V191" s="25"/>
      <c r="W191" s="27"/>
      <c r="X191" s="25"/>
      <c r="Y191" s="27"/>
      <c r="Z191" s="25"/>
      <c r="AA191" s="27"/>
      <c r="AB191" s="101">
        <f t="shared" si="122"/>
        <v>0</v>
      </c>
      <c r="AC191" s="134"/>
      <c r="AD191" s="413"/>
      <c r="AE191" s="124"/>
      <c r="AF191" s="558"/>
      <c r="AG191" s="110">
        <v>101</v>
      </c>
    </row>
    <row r="192" spans="1:33" s="4" customFormat="1" ht="38.25" customHeight="1" thickBot="1" x14ac:dyDescent="0.3">
      <c r="A192" s="554"/>
      <c r="B192" s="153" t="s">
        <v>130</v>
      </c>
      <c r="C192" s="198" t="s">
        <v>372</v>
      </c>
      <c r="D192" s="36"/>
      <c r="E192" s="27"/>
      <c r="F192" s="36"/>
      <c r="G192" s="27"/>
      <c r="H192" s="36"/>
      <c r="I192" s="27"/>
      <c r="J192" s="36"/>
      <c r="K192" s="27"/>
      <c r="L192" s="25"/>
      <c r="M192" s="25"/>
      <c r="N192" s="25"/>
      <c r="O192" s="25"/>
      <c r="P192" s="25"/>
      <c r="Q192" s="25"/>
      <c r="R192" s="25"/>
      <c r="S192" s="25"/>
      <c r="T192" s="25"/>
      <c r="U192" s="25"/>
      <c r="V192" s="25"/>
      <c r="W192" s="25"/>
      <c r="X192" s="25"/>
      <c r="Y192" s="25"/>
      <c r="Z192" s="25"/>
      <c r="AA192" s="113"/>
      <c r="AB192" s="101">
        <f t="shared" si="122"/>
        <v>0</v>
      </c>
      <c r="AC192" s="135"/>
      <c r="AD192" s="413"/>
      <c r="AE192" s="124"/>
      <c r="AF192" s="558"/>
      <c r="AG192" s="110">
        <v>102</v>
      </c>
    </row>
    <row r="193" spans="1:33" s="4" customFormat="1" ht="38.25" customHeight="1" x14ac:dyDescent="0.25">
      <c r="A193" s="554"/>
      <c r="B193" s="153" t="s">
        <v>133</v>
      </c>
      <c r="C193" s="198" t="s">
        <v>373</v>
      </c>
      <c r="D193" s="36"/>
      <c r="E193" s="27"/>
      <c r="F193" s="36"/>
      <c r="G193" s="27"/>
      <c r="H193" s="36"/>
      <c r="I193" s="27"/>
      <c r="J193" s="36"/>
      <c r="K193" s="27"/>
      <c r="L193" s="25"/>
      <c r="M193" s="25"/>
      <c r="N193" s="25"/>
      <c r="O193" s="25"/>
      <c r="P193" s="25"/>
      <c r="Q193" s="25"/>
      <c r="R193" s="25"/>
      <c r="S193" s="25"/>
      <c r="T193" s="25"/>
      <c r="U193" s="25"/>
      <c r="V193" s="25"/>
      <c r="W193" s="25"/>
      <c r="X193" s="25"/>
      <c r="Y193" s="25"/>
      <c r="Z193" s="25"/>
      <c r="AA193" s="113"/>
      <c r="AB193" s="101">
        <f t="shared" si="122"/>
        <v>0</v>
      </c>
      <c r="AC193" s="133"/>
      <c r="AD193" s="413"/>
      <c r="AE193" s="124"/>
      <c r="AF193" s="558"/>
      <c r="AG193" s="110">
        <v>103</v>
      </c>
    </row>
    <row r="194" spans="1:33" s="4" customFormat="1" ht="38.25" customHeight="1" thickBot="1" x14ac:dyDescent="0.3">
      <c r="A194" s="554"/>
      <c r="B194" s="153" t="s">
        <v>135</v>
      </c>
      <c r="C194" s="198" t="s">
        <v>374</v>
      </c>
      <c r="D194" s="36"/>
      <c r="E194" s="27"/>
      <c r="F194" s="36"/>
      <c r="G194" s="27"/>
      <c r="H194" s="36"/>
      <c r="I194" s="27"/>
      <c r="J194" s="36"/>
      <c r="K194" s="27"/>
      <c r="L194" s="25"/>
      <c r="M194" s="25"/>
      <c r="N194" s="25"/>
      <c r="O194" s="25"/>
      <c r="P194" s="25"/>
      <c r="Q194" s="25"/>
      <c r="R194" s="25"/>
      <c r="S194" s="25"/>
      <c r="T194" s="25"/>
      <c r="U194" s="25"/>
      <c r="V194" s="25"/>
      <c r="W194" s="25"/>
      <c r="X194" s="25"/>
      <c r="Y194" s="25"/>
      <c r="Z194" s="25"/>
      <c r="AA194" s="113"/>
      <c r="AB194" s="119">
        <f t="shared" si="122"/>
        <v>0</v>
      </c>
      <c r="AC194" s="134"/>
      <c r="AD194" s="413"/>
      <c r="AE194" s="124"/>
      <c r="AF194" s="558"/>
      <c r="AG194" s="110">
        <v>104</v>
      </c>
    </row>
    <row r="195" spans="1:33" s="4" customFormat="1" ht="38.25" customHeight="1" thickBot="1" x14ac:dyDescent="0.3">
      <c r="A195" s="555"/>
      <c r="B195" s="154" t="s">
        <v>134</v>
      </c>
      <c r="C195" s="203" t="s">
        <v>375</v>
      </c>
      <c r="D195" s="97"/>
      <c r="E195" s="98"/>
      <c r="F195" s="97"/>
      <c r="G195" s="98"/>
      <c r="H195" s="97"/>
      <c r="I195" s="98"/>
      <c r="J195" s="97"/>
      <c r="K195" s="98"/>
      <c r="L195" s="98"/>
      <c r="M195" s="98"/>
      <c r="N195" s="98"/>
      <c r="O195" s="98"/>
      <c r="P195" s="98"/>
      <c r="Q195" s="98"/>
      <c r="R195" s="98"/>
      <c r="S195" s="98"/>
      <c r="T195" s="98"/>
      <c r="U195" s="98"/>
      <c r="V195" s="98"/>
      <c r="W195" s="98"/>
      <c r="X195" s="98"/>
      <c r="Y195" s="98"/>
      <c r="Z195" s="98"/>
      <c r="AA195" s="232"/>
      <c r="AB195" s="233"/>
      <c r="AC195" s="134"/>
      <c r="AD195" s="413"/>
      <c r="AE195" s="124"/>
      <c r="AF195" s="558"/>
      <c r="AG195" s="110">
        <v>105</v>
      </c>
    </row>
    <row r="196" spans="1:33" s="4" customFormat="1" ht="38.25" customHeight="1" x14ac:dyDescent="0.25">
      <c r="A196" s="554" t="s">
        <v>136</v>
      </c>
      <c r="B196" s="155" t="s">
        <v>132</v>
      </c>
      <c r="C196" s="198" t="s">
        <v>376</v>
      </c>
      <c r="D196" s="36"/>
      <c r="E196" s="27"/>
      <c r="F196" s="36"/>
      <c r="G196" s="27"/>
      <c r="H196" s="36"/>
      <c r="I196" s="27"/>
      <c r="J196" s="36"/>
      <c r="K196" s="27"/>
      <c r="L196" s="27"/>
      <c r="M196" s="26"/>
      <c r="N196" s="27"/>
      <c r="O196" s="26"/>
      <c r="P196" s="27"/>
      <c r="Q196" s="26"/>
      <c r="R196" s="27"/>
      <c r="S196" s="26"/>
      <c r="T196" s="27"/>
      <c r="U196" s="26"/>
      <c r="V196" s="27"/>
      <c r="W196" s="26"/>
      <c r="X196" s="27"/>
      <c r="Y196" s="26"/>
      <c r="Z196" s="27"/>
      <c r="AA196" s="107"/>
      <c r="AB196" s="101">
        <f t="shared" si="122"/>
        <v>0</v>
      </c>
      <c r="AC196" s="134"/>
      <c r="AD196" s="413"/>
      <c r="AE196" s="124"/>
      <c r="AF196" s="558"/>
      <c r="AG196" s="110">
        <v>106</v>
      </c>
    </row>
    <row r="197" spans="1:33" s="4" customFormat="1" ht="38.25" customHeight="1" thickBot="1" x14ac:dyDescent="0.3">
      <c r="A197" s="554"/>
      <c r="B197" s="153" t="s">
        <v>131</v>
      </c>
      <c r="C197" s="198" t="s">
        <v>377</v>
      </c>
      <c r="D197" s="36"/>
      <c r="E197" s="27"/>
      <c r="F197" s="36"/>
      <c r="G197" s="27"/>
      <c r="H197" s="36"/>
      <c r="I197" s="27"/>
      <c r="J197" s="36"/>
      <c r="K197" s="27"/>
      <c r="L197" s="25"/>
      <c r="M197" s="27"/>
      <c r="N197" s="25"/>
      <c r="O197" s="27"/>
      <c r="P197" s="25"/>
      <c r="Q197" s="27"/>
      <c r="R197" s="25"/>
      <c r="S197" s="27"/>
      <c r="T197" s="25"/>
      <c r="U197" s="27"/>
      <c r="V197" s="25"/>
      <c r="W197" s="27"/>
      <c r="X197" s="25"/>
      <c r="Y197" s="27"/>
      <c r="Z197" s="25"/>
      <c r="AA197" s="27"/>
      <c r="AB197" s="101">
        <f t="shared" si="122"/>
        <v>0</v>
      </c>
      <c r="AC197" s="135"/>
      <c r="AD197" s="413"/>
      <c r="AE197" s="124"/>
      <c r="AF197" s="558"/>
      <c r="AG197" s="110">
        <v>107</v>
      </c>
    </row>
    <row r="198" spans="1:33" s="4" customFormat="1" ht="38.25" customHeight="1" x14ac:dyDescent="0.25">
      <c r="A198" s="554"/>
      <c r="B198" s="153" t="s">
        <v>130</v>
      </c>
      <c r="C198" s="198" t="s">
        <v>378</v>
      </c>
      <c r="D198" s="36"/>
      <c r="E198" s="27"/>
      <c r="F198" s="36"/>
      <c r="G198" s="27"/>
      <c r="H198" s="36"/>
      <c r="I198" s="27"/>
      <c r="J198" s="36"/>
      <c r="K198" s="27"/>
      <c r="L198" s="25"/>
      <c r="M198" s="25"/>
      <c r="N198" s="25"/>
      <c r="O198" s="25"/>
      <c r="P198" s="25"/>
      <c r="Q198" s="25"/>
      <c r="R198" s="25"/>
      <c r="S198" s="25"/>
      <c r="T198" s="25"/>
      <c r="U198" s="25"/>
      <c r="V198" s="25"/>
      <c r="W198" s="25"/>
      <c r="X198" s="25"/>
      <c r="Y198" s="25"/>
      <c r="Z198" s="25"/>
      <c r="AA198" s="105"/>
      <c r="AB198" s="101">
        <f t="shared" si="122"/>
        <v>0</v>
      </c>
      <c r="AC198" s="129"/>
      <c r="AD198" s="413"/>
      <c r="AE198" s="124"/>
      <c r="AF198" s="558"/>
      <c r="AG198" s="110">
        <v>108</v>
      </c>
    </row>
    <row r="199" spans="1:33" s="4" customFormat="1" ht="38.25" customHeight="1" x14ac:dyDescent="0.25">
      <c r="A199" s="554"/>
      <c r="B199" s="153" t="s">
        <v>133</v>
      </c>
      <c r="C199" s="198" t="s">
        <v>379</v>
      </c>
      <c r="D199" s="36"/>
      <c r="E199" s="27"/>
      <c r="F199" s="36"/>
      <c r="G199" s="27"/>
      <c r="H199" s="36"/>
      <c r="I199" s="27"/>
      <c r="J199" s="36"/>
      <c r="K199" s="27"/>
      <c r="L199" s="25"/>
      <c r="M199" s="25"/>
      <c r="N199" s="25"/>
      <c r="O199" s="25"/>
      <c r="P199" s="25"/>
      <c r="Q199" s="25"/>
      <c r="R199" s="25"/>
      <c r="S199" s="25"/>
      <c r="T199" s="25"/>
      <c r="U199" s="25"/>
      <c r="V199" s="25"/>
      <c r="W199" s="25"/>
      <c r="X199" s="25"/>
      <c r="Y199" s="25"/>
      <c r="Z199" s="25"/>
      <c r="AA199" s="105"/>
      <c r="AB199" s="101">
        <f t="shared" si="122"/>
        <v>0</v>
      </c>
      <c r="AC199" s="128"/>
      <c r="AD199" s="413"/>
      <c r="AE199" s="124"/>
      <c r="AF199" s="558"/>
      <c r="AG199" s="110">
        <v>109</v>
      </c>
    </row>
    <row r="200" spans="1:33" s="4" customFormat="1" ht="38.25" customHeight="1" thickBot="1" x14ac:dyDescent="0.3">
      <c r="A200" s="554"/>
      <c r="B200" s="153" t="s">
        <v>135</v>
      </c>
      <c r="C200" s="198" t="s">
        <v>380</v>
      </c>
      <c r="D200" s="36"/>
      <c r="E200" s="27"/>
      <c r="F200" s="36"/>
      <c r="G200" s="27"/>
      <c r="H200" s="36"/>
      <c r="I200" s="27"/>
      <c r="J200" s="36"/>
      <c r="K200" s="27"/>
      <c r="L200" s="25"/>
      <c r="M200" s="25"/>
      <c r="N200" s="25"/>
      <c r="O200" s="25"/>
      <c r="P200" s="25"/>
      <c r="Q200" s="25"/>
      <c r="R200" s="25"/>
      <c r="S200" s="25"/>
      <c r="T200" s="25"/>
      <c r="U200" s="25"/>
      <c r="V200" s="25"/>
      <c r="W200" s="25"/>
      <c r="X200" s="25"/>
      <c r="Y200" s="25"/>
      <c r="Z200" s="25"/>
      <c r="AA200" s="105"/>
      <c r="AB200" s="119">
        <f t="shared" si="122"/>
        <v>0</v>
      </c>
      <c r="AC200" s="128"/>
      <c r="AD200" s="413"/>
      <c r="AE200" s="124"/>
      <c r="AF200" s="558"/>
      <c r="AG200" s="110">
        <v>110</v>
      </c>
    </row>
    <row r="201" spans="1:33" s="4" customFormat="1" ht="38.25" customHeight="1" thickBot="1" x14ac:dyDescent="0.3">
      <c r="A201" s="556"/>
      <c r="B201" s="153" t="s">
        <v>134</v>
      </c>
      <c r="C201" s="203" t="s">
        <v>381</v>
      </c>
      <c r="D201" s="36"/>
      <c r="E201" s="27"/>
      <c r="F201" s="36"/>
      <c r="G201" s="27"/>
      <c r="H201" s="36"/>
      <c r="I201" s="27"/>
      <c r="J201" s="36"/>
      <c r="K201" s="27"/>
      <c r="L201" s="27"/>
      <c r="M201" s="27"/>
      <c r="N201" s="27"/>
      <c r="O201" s="27"/>
      <c r="P201" s="27"/>
      <c r="Q201" s="27"/>
      <c r="R201" s="27"/>
      <c r="S201" s="27"/>
      <c r="T201" s="27"/>
      <c r="U201" s="27"/>
      <c r="V201" s="27"/>
      <c r="W201" s="27"/>
      <c r="X201" s="27"/>
      <c r="Y201" s="27"/>
      <c r="Z201" s="27"/>
      <c r="AA201" s="237"/>
      <c r="AB201" s="233"/>
      <c r="AC201" s="129"/>
      <c r="AD201" s="414"/>
      <c r="AE201" s="124"/>
      <c r="AF201" s="559"/>
      <c r="AG201" s="110">
        <v>111</v>
      </c>
    </row>
    <row r="202" spans="1:33" s="4" customFormat="1" ht="38.25" customHeight="1" thickBot="1" x14ac:dyDescent="0.3">
      <c r="A202" s="376" t="s">
        <v>245</v>
      </c>
      <c r="B202" s="377"/>
      <c r="C202" s="378"/>
      <c r="D202" s="377"/>
      <c r="E202" s="377"/>
      <c r="F202" s="377"/>
      <c r="G202" s="377"/>
      <c r="H202" s="377"/>
      <c r="I202" s="377"/>
      <c r="J202" s="377"/>
      <c r="K202" s="377"/>
      <c r="L202" s="377"/>
      <c r="M202" s="377"/>
      <c r="N202" s="377"/>
      <c r="O202" s="377"/>
      <c r="P202" s="377"/>
      <c r="Q202" s="377"/>
      <c r="R202" s="377"/>
      <c r="S202" s="377"/>
      <c r="T202" s="377"/>
      <c r="U202" s="377"/>
      <c r="V202" s="377"/>
      <c r="W202" s="377"/>
      <c r="X202" s="377"/>
      <c r="Y202" s="377"/>
      <c r="Z202" s="377"/>
      <c r="AA202" s="377"/>
      <c r="AB202" s="377"/>
      <c r="AC202" s="377"/>
      <c r="AD202" s="377"/>
      <c r="AE202" s="377"/>
      <c r="AF202" s="390"/>
      <c r="AG202" s="110">
        <v>112</v>
      </c>
    </row>
    <row r="203" spans="1:33" s="4" customFormat="1" ht="38.25" customHeight="1" thickBot="1" x14ac:dyDescent="0.3">
      <c r="A203" s="216" t="s">
        <v>137</v>
      </c>
      <c r="B203" s="255" t="s">
        <v>138</v>
      </c>
      <c r="C203" s="256" t="s">
        <v>382</v>
      </c>
      <c r="D203" s="254">
        <f t="shared" ref="D203:K203" si="123">SUM(D204:D215)</f>
        <v>0</v>
      </c>
      <c r="E203" s="137">
        <f t="shared" si="123"/>
        <v>0</v>
      </c>
      <c r="F203" s="137">
        <f t="shared" si="123"/>
        <v>0</v>
      </c>
      <c r="G203" s="137">
        <f t="shared" si="123"/>
        <v>0</v>
      </c>
      <c r="H203" s="137">
        <f t="shared" si="123"/>
        <v>0</v>
      </c>
      <c r="I203" s="137">
        <f t="shared" si="123"/>
        <v>0</v>
      </c>
      <c r="J203" s="137">
        <f t="shared" si="123"/>
        <v>0</v>
      </c>
      <c r="K203" s="137">
        <f t="shared" si="123"/>
        <v>0</v>
      </c>
      <c r="L203" s="137">
        <f>SUM(L204:L215)</f>
        <v>0</v>
      </c>
      <c r="M203" s="137">
        <f t="shared" ref="M203:AB203" si="124">SUM(M204:M215)</f>
        <v>0</v>
      </c>
      <c r="N203" s="137">
        <f t="shared" si="124"/>
        <v>0</v>
      </c>
      <c r="O203" s="137">
        <f t="shared" si="124"/>
        <v>0</v>
      </c>
      <c r="P203" s="137">
        <f t="shared" si="124"/>
        <v>0</v>
      </c>
      <c r="Q203" s="137">
        <f t="shared" si="124"/>
        <v>0</v>
      </c>
      <c r="R203" s="137">
        <f t="shared" si="124"/>
        <v>0</v>
      </c>
      <c r="S203" s="137">
        <f t="shared" si="124"/>
        <v>0</v>
      </c>
      <c r="T203" s="137">
        <f t="shared" si="124"/>
        <v>0</v>
      </c>
      <c r="U203" s="137">
        <f t="shared" si="124"/>
        <v>0</v>
      </c>
      <c r="V203" s="137">
        <f t="shared" si="124"/>
        <v>0</v>
      </c>
      <c r="W203" s="137">
        <f t="shared" si="124"/>
        <v>0</v>
      </c>
      <c r="X203" s="137">
        <f t="shared" si="124"/>
        <v>0</v>
      </c>
      <c r="Y203" s="137">
        <f t="shared" si="124"/>
        <v>0</v>
      </c>
      <c r="Z203" s="137">
        <f t="shared" si="124"/>
        <v>0</v>
      </c>
      <c r="AA203" s="137">
        <f t="shared" si="124"/>
        <v>0</v>
      </c>
      <c r="AB203" s="137">
        <f t="shared" si="124"/>
        <v>0</v>
      </c>
      <c r="AC203" s="133" t="str">
        <f>IF((AB203+AB135)&gt;(AB104+AB106),"Total TX_New + Total TX_New_Verify should not be more than Total Initial Tests and Turned Positive + Repeat Tests and turned Positives by Modality","")</f>
        <v/>
      </c>
      <c r="AD203" s="412" t="str">
        <f>CONCATENATE(AC203,AC204,AC205,AC206,AC207,AC208,AC209,AC210,AC211,AC212,AC213,AC214,AC215)</f>
        <v/>
      </c>
      <c r="AE203" s="124"/>
      <c r="AF203" s="557" t="str">
        <f>CONCATENATE(AE203,AE204,AE205,AE206,AE207,AE208,AE209,AE210,AE211,AE212,AE213,AE214,AE215)</f>
        <v/>
      </c>
      <c r="AG203" s="110">
        <v>113</v>
      </c>
    </row>
    <row r="204" spans="1:33" s="4" customFormat="1" ht="38.25" customHeight="1" thickBot="1" x14ac:dyDescent="0.3">
      <c r="A204" s="553" t="s">
        <v>128</v>
      </c>
      <c r="B204" s="152" t="s">
        <v>144</v>
      </c>
      <c r="C204" s="197" t="s">
        <v>383</v>
      </c>
      <c r="D204" s="37"/>
      <c r="E204" s="28"/>
      <c r="F204" s="37"/>
      <c r="G204" s="28"/>
      <c r="H204" s="37"/>
      <c r="I204" s="28"/>
      <c r="J204" s="37"/>
      <c r="K204" s="28"/>
      <c r="L204" s="28"/>
      <c r="M204" s="29"/>
      <c r="N204" s="28"/>
      <c r="O204" s="29"/>
      <c r="P204" s="28"/>
      <c r="Q204" s="29"/>
      <c r="R204" s="28"/>
      <c r="S204" s="29"/>
      <c r="T204" s="28"/>
      <c r="U204" s="29"/>
      <c r="V204" s="28"/>
      <c r="W204" s="29"/>
      <c r="X204" s="28"/>
      <c r="Y204" s="29"/>
      <c r="Z204" s="28"/>
      <c r="AA204" s="111"/>
      <c r="AB204" s="101">
        <f t="shared" si="122"/>
        <v>0</v>
      </c>
      <c r="AC204" s="134"/>
      <c r="AD204" s="413"/>
      <c r="AE204" s="124"/>
      <c r="AF204" s="558"/>
      <c r="AG204" s="110">
        <v>114</v>
      </c>
    </row>
    <row r="205" spans="1:33" s="4" customFormat="1" ht="38.25" customHeight="1" x14ac:dyDescent="0.25">
      <c r="A205" s="554"/>
      <c r="B205" s="153" t="s">
        <v>139</v>
      </c>
      <c r="C205" s="198" t="s">
        <v>384</v>
      </c>
      <c r="D205" s="36"/>
      <c r="E205" s="27"/>
      <c r="F205" s="36"/>
      <c r="G205" s="27"/>
      <c r="H205" s="36"/>
      <c r="I205" s="27"/>
      <c r="J205" s="36"/>
      <c r="K205" s="27"/>
      <c r="L205" s="25"/>
      <c r="M205" s="28"/>
      <c r="N205" s="25"/>
      <c r="O205" s="28"/>
      <c r="P205" s="25"/>
      <c r="Q205" s="28"/>
      <c r="R205" s="25"/>
      <c r="S205" s="28"/>
      <c r="T205" s="25"/>
      <c r="U205" s="28"/>
      <c r="V205" s="25"/>
      <c r="W205" s="28"/>
      <c r="X205" s="25"/>
      <c r="Y205" s="28"/>
      <c r="Z205" s="25"/>
      <c r="AA205" s="28"/>
      <c r="AB205" s="101">
        <f t="shared" si="122"/>
        <v>0</v>
      </c>
      <c r="AC205" s="134"/>
      <c r="AD205" s="413"/>
      <c r="AE205" s="124"/>
      <c r="AF205" s="558"/>
      <c r="AG205" s="110">
        <v>115</v>
      </c>
    </row>
    <row r="206" spans="1:33" s="4" customFormat="1" ht="38.25" customHeight="1" x14ac:dyDescent="0.25">
      <c r="A206" s="554"/>
      <c r="B206" s="153" t="s">
        <v>140</v>
      </c>
      <c r="C206" s="198" t="s">
        <v>385</v>
      </c>
      <c r="D206" s="36"/>
      <c r="E206" s="27"/>
      <c r="F206" s="36"/>
      <c r="G206" s="27"/>
      <c r="H206" s="36"/>
      <c r="I206" s="27"/>
      <c r="J206" s="36"/>
      <c r="K206" s="27"/>
      <c r="L206" s="25"/>
      <c r="M206" s="25"/>
      <c r="N206" s="25"/>
      <c r="O206" s="25"/>
      <c r="P206" s="25"/>
      <c r="Q206" s="25"/>
      <c r="R206" s="25"/>
      <c r="S206" s="25"/>
      <c r="T206" s="25"/>
      <c r="U206" s="25"/>
      <c r="V206" s="25"/>
      <c r="W206" s="25"/>
      <c r="X206" s="25"/>
      <c r="Y206" s="25"/>
      <c r="Z206" s="25"/>
      <c r="AA206" s="113"/>
      <c r="AB206" s="101">
        <f t="shared" ref="AB206:AB212" si="125">SUM(D206:AA206)</f>
        <v>0</v>
      </c>
      <c r="AC206" s="134"/>
      <c r="AD206" s="413"/>
      <c r="AE206" s="124"/>
      <c r="AF206" s="558"/>
      <c r="AG206" s="110">
        <v>116</v>
      </c>
    </row>
    <row r="207" spans="1:33" s="4" customFormat="1" ht="38.25" customHeight="1" thickBot="1" x14ac:dyDescent="0.3">
      <c r="A207" s="554"/>
      <c r="B207" s="153" t="s">
        <v>141</v>
      </c>
      <c r="C207" s="198" t="s">
        <v>386</v>
      </c>
      <c r="D207" s="36"/>
      <c r="E207" s="27"/>
      <c r="F207" s="36"/>
      <c r="G207" s="27"/>
      <c r="H207" s="36"/>
      <c r="I207" s="27"/>
      <c r="J207" s="36"/>
      <c r="K207" s="27"/>
      <c r="L207" s="25"/>
      <c r="M207" s="25"/>
      <c r="N207" s="25"/>
      <c r="O207" s="25"/>
      <c r="P207" s="25"/>
      <c r="Q207" s="25"/>
      <c r="R207" s="25"/>
      <c r="S207" s="25"/>
      <c r="T207" s="25"/>
      <c r="U207" s="25"/>
      <c r="V207" s="25"/>
      <c r="W207" s="25"/>
      <c r="X207" s="25"/>
      <c r="Y207" s="25"/>
      <c r="Z207" s="25"/>
      <c r="AA207" s="113"/>
      <c r="AB207" s="102">
        <f t="shared" si="125"/>
        <v>0</v>
      </c>
      <c r="AC207" s="135"/>
      <c r="AD207" s="413"/>
      <c r="AE207" s="124"/>
      <c r="AF207" s="558"/>
      <c r="AG207" s="110">
        <v>117</v>
      </c>
    </row>
    <row r="208" spans="1:33" s="4" customFormat="1" ht="38.25" customHeight="1" thickBot="1" x14ac:dyDescent="0.3">
      <c r="A208" s="554"/>
      <c r="B208" s="153" t="s">
        <v>142</v>
      </c>
      <c r="C208" s="198" t="s">
        <v>387</v>
      </c>
      <c r="D208" s="36"/>
      <c r="E208" s="27"/>
      <c r="F208" s="36"/>
      <c r="G208" s="27"/>
      <c r="H208" s="36"/>
      <c r="I208" s="27"/>
      <c r="J208" s="36"/>
      <c r="K208" s="27"/>
      <c r="L208" s="25"/>
      <c r="M208" s="25"/>
      <c r="N208" s="25"/>
      <c r="O208" s="25"/>
      <c r="P208" s="25"/>
      <c r="Q208" s="25"/>
      <c r="R208" s="25"/>
      <c r="S208" s="25"/>
      <c r="T208" s="25"/>
      <c r="U208" s="25"/>
      <c r="V208" s="25"/>
      <c r="W208" s="25"/>
      <c r="X208" s="25"/>
      <c r="Y208" s="25"/>
      <c r="Z208" s="25"/>
      <c r="AA208" s="113"/>
      <c r="AB208" s="119">
        <f t="shared" si="125"/>
        <v>0</v>
      </c>
      <c r="AC208" s="133"/>
      <c r="AD208" s="413"/>
      <c r="AE208" s="124"/>
      <c r="AF208" s="558"/>
      <c r="AG208" s="110">
        <v>118</v>
      </c>
    </row>
    <row r="209" spans="1:33" s="4" customFormat="1" ht="38.25" customHeight="1" thickBot="1" x14ac:dyDescent="0.3">
      <c r="A209" s="555"/>
      <c r="B209" s="154" t="s">
        <v>143</v>
      </c>
      <c r="C209" s="203" t="s">
        <v>388</v>
      </c>
      <c r="D209" s="97"/>
      <c r="E209" s="98"/>
      <c r="F209" s="97"/>
      <c r="G209" s="98"/>
      <c r="H209" s="97"/>
      <c r="I209" s="98"/>
      <c r="J209" s="97"/>
      <c r="K209" s="98"/>
      <c r="L209" s="98"/>
      <c r="M209" s="98"/>
      <c r="N209" s="98"/>
      <c r="O209" s="98"/>
      <c r="P209" s="98"/>
      <c r="Q209" s="98"/>
      <c r="R209" s="98"/>
      <c r="S209" s="98"/>
      <c r="T209" s="98"/>
      <c r="U209" s="98"/>
      <c r="V209" s="98"/>
      <c r="W209" s="98"/>
      <c r="X209" s="98"/>
      <c r="Y209" s="98"/>
      <c r="Z209" s="98"/>
      <c r="AA209" s="232"/>
      <c r="AB209" s="233"/>
      <c r="AC209" s="134"/>
      <c r="AD209" s="413"/>
      <c r="AE209" s="124"/>
      <c r="AF209" s="558"/>
      <c r="AG209" s="110">
        <v>119</v>
      </c>
    </row>
    <row r="210" spans="1:33" s="4" customFormat="1" ht="38.25" customHeight="1" x14ac:dyDescent="0.25">
      <c r="A210" s="553" t="s">
        <v>136</v>
      </c>
      <c r="B210" s="152" t="s">
        <v>144</v>
      </c>
      <c r="C210" s="198" t="s">
        <v>389</v>
      </c>
      <c r="D210" s="36"/>
      <c r="E210" s="27"/>
      <c r="F210" s="36"/>
      <c r="G210" s="27"/>
      <c r="H210" s="36"/>
      <c r="I210" s="27"/>
      <c r="J210" s="36"/>
      <c r="K210" s="27"/>
      <c r="L210" s="27"/>
      <c r="M210" s="26"/>
      <c r="N210" s="27"/>
      <c r="O210" s="26"/>
      <c r="P210" s="27"/>
      <c r="Q210" s="26"/>
      <c r="R210" s="27"/>
      <c r="S210" s="26"/>
      <c r="T210" s="27"/>
      <c r="U210" s="26"/>
      <c r="V210" s="27"/>
      <c r="W210" s="26"/>
      <c r="X210" s="27"/>
      <c r="Y210" s="26"/>
      <c r="Z210" s="27"/>
      <c r="AA210" s="107"/>
      <c r="AB210" s="101">
        <f t="shared" si="125"/>
        <v>0</v>
      </c>
      <c r="AC210" s="134"/>
      <c r="AD210" s="413"/>
      <c r="AE210" s="124"/>
      <c r="AF210" s="558"/>
      <c r="AG210" s="110">
        <v>120</v>
      </c>
    </row>
    <row r="211" spans="1:33" s="4" customFormat="1" ht="38.25" customHeight="1" x14ac:dyDescent="0.25">
      <c r="A211" s="554"/>
      <c r="B211" s="153" t="s">
        <v>139</v>
      </c>
      <c r="C211" s="198" t="s">
        <v>390</v>
      </c>
      <c r="D211" s="36"/>
      <c r="E211" s="27"/>
      <c r="F211" s="36"/>
      <c r="G211" s="27"/>
      <c r="H211" s="36"/>
      <c r="I211" s="27"/>
      <c r="J211" s="36"/>
      <c r="K211" s="27"/>
      <c r="L211" s="25"/>
      <c r="M211" s="27"/>
      <c r="N211" s="25"/>
      <c r="O211" s="27"/>
      <c r="P211" s="25"/>
      <c r="Q211" s="27"/>
      <c r="R211" s="25"/>
      <c r="S211" s="27"/>
      <c r="T211" s="25"/>
      <c r="U211" s="27"/>
      <c r="V211" s="25"/>
      <c r="W211" s="27"/>
      <c r="X211" s="25"/>
      <c r="Y211" s="27"/>
      <c r="Z211" s="25"/>
      <c r="AA211" s="27"/>
      <c r="AB211" s="101">
        <f t="shared" si="125"/>
        <v>0</v>
      </c>
      <c r="AC211" s="134"/>
      <c r="AD211" s="413"/>
      <c r="AE211" s="124"/>
      <c r="AF211" s="558"/>
      <c r="AG211" s="110">
        <v>121</v>
      </c>
    </row>
    <row r="212" spans="1:33" s="4" customFormat="1" ht="38.25" customHeight="1" thickBot="1" x14ac:dyDescent="0.3">
      <c r="A212" s="554"/>
      <c r="B212" s="153" t="s">
        <v>140</v>
      </c>
      <c r="C212" s="198" t="s">
        <v>391</v>
      </c>
      <c r="D212" s="36"/>
      <c r="E212" s="27"/>
      <c r="F212" s="36"/>
      <c r="G212" s="27"/>
      <c r="H212" s="36"/>
      <c r="I212" s="27"/>
      <c r="J212" s="36"/>
      <c r="K212" s="27"/>
      <c r="L212" s="25"/>
      <c r="M212" s="25"/>
      <c r="N212" s="25"/>
      <c r="O212" s="25"/>
      <c r="P212" s="25"/>
      <c r="Q212" s="25"/>
      <c r="R212" s="25"/>
      <c r="S212" s="25"/>
      <c r="T212" s="25"/>
      <c r="U212" s="25"/>
      <c r="V212" s="25"/>
      <c r="W212" s="25"/>
      <c r="X212" s="25"/>
      <c r="Y212" s="25"/>
      <c r="Z212" s="25"/>
      <c r="AA212" s="105"/>
      <c r="AB212" s="102">
        <f t="shared" si="125"/>
        <v>0</v>
      </c>
      <c r="AC212" s="135"/>
      <c r="AD212" s="413"/>
      <c r="AE212" s="124"/>
      <c r="AF212" s="558"/>
      <c r="AG212" s="110">
        <v>122</v>
      </c>
    </row>
    <row r="213" spans="1:33" s="4" customFormat="1" ht="38.25" customHeight="1" x14ac:dyDescent="0.25">
      <c r="A213" s="554"/>
      <c r="B213" s="153" t="s">
        <v>141</v>
      </c>
      <c r="C213" s="198" t="s">
        <v>392</v>
      </c>
      <c r="D213" s="36"/>
      <c r="E213" s="27"/>
      <c r="F213" s="36"/>
      <c r="G213" s="27"/>
      <c r="H213" s="36"/>
      <c r="I213" s="27"/>
      <c r="J213" s="36"/>
      <c r="K213" s="27"/>
      <c r="L213" s="25"/>
      <c r="M213" s="25"/>
      <c r="N213" s="25"/>
      <c r="O213" s="25"/>
      <c r="P213" s="25"/>
      <c r="Q213" s="25"/>
      <c r="R213" s="25"/>
      <c r="S213" s="25"/>
      <c r="T213" s="25"/>
      <c r="U213" s="25"/>
      <c r="V213" s="25"/>
      <c r="W213" s="25"/>
      <c r="X213" s="25"/>
      <c r="Y213" s="25"/>
      <c r="Z213" s="25"/>
      <c r="AA213" s="105"/>
      <c r="AB213" s="101">
        <f t="shared" ref="AB213:AB221" si="126">SUM(D213:AA213)</f>
        <v>0</v>
      </c>
      <c r="AC213" s="129"/>
      <c r="AD213" s="413"/>
      <c r="AE213" s="124"/>
      <c r="AF213" s="558"/>
      <c r="AG213" s="110">
        <v>123</v>
      </c>
    </row>
    <row r="214" spans="1:33" s="4" customFormat="1" ht="38.25" customHeight="1" thickBot="1" x14ac:dyDescent="0.3">
      <c r="A214" s="554"/>
      <c r="B214" s="153" t="s">
        <v>142</v>
      </c>
      <c r="C214" s="198" t="s">
        <v>393</v>
      </c>
      <c r="D214" s="36"/>
      <c r="E214" s="27"/>
      <c r="F214" s="36"/>
      <c r="G214" s="27"/>
      <c r="H214" s="36"/>
      <c r="I214" s="27"/>
      <c r="J214" s="36"/>
      <c r="K214" s="27"/>
      <c r="L214" s="25"/>
      <c r="M214" s="25"/>
      <c r="N214" s="25"/>
      <c r="O214" s="25"/>
      <c r="P214" s="25"/>
      <c r="Q214" s="25"/>
      <c r="R214" s="25"/>
      <c r="S214" s="25"/>
      <c r="T214" s="25"/>
      <c r="U214" s="25"/>
      <c r="V214" s="25"/>
      <c r="W214" s="25"/>
      <c r="X214" s="25"/>
      <c r="Y214" s="25"/>
      <c r="Z214" s="25"/>
      <c r="AA214" s="105"/>
      <c r="AB214" s="119">
        <f t="shared" si="126"/>
        <v>0</v>
      </c>
      <c r="AC214" s="128"/>
      <c r="AD214" s="413"/>
      <c r="AE214" s="124"/>
      <c r="AF214" s="558"/>
      <c r="AG214" s="110">
        <v>124</v>
      </c>
    </row>
    <row r="215" spans="1:33" s="4" customFormat="1" ht="38.25" customHeight="1" thickBot="1" x14ac:dyDescent="0.3">
      <c r="A215" s="555"/>
      <c r="B215" s="154" t="s">
        <v>143</v>
      </c>
      <c r="C215" s="203" t="s">
        <v>394</v>
      </c>
      <c r="D215" s="97"/>
      <c r="E215" s="98"/>
      <c r="F215" s="97"/>
      <c r="G215" s="98"/>
      <c r="H215" s="97"/>
      <c r="I215" s="98"/>
      <c r="J215" s="97"/>
      <c r="K215" s="98"/>
      <c r="L215" s="98"/>
      <c r="M215" s="98"/>
      <c r="N215" s="98"/>
      <c r="O215" s="98"/>
      <c r="P215" s="98"/>
      <c r="Q215" s="98"/>
      <c r="R215" s="98"/>
      <c r="S215" s="98"/>
      <c r="T215" s="98"/>
      <c r="U215" s="98"/>
      <c r="V215" s="98"/>
      <c r="W215" s="98"/>
      <c r="X215" s="98"/>
      <c r="Y215" s="98"/>
      <c r="Z215" s="98"/>
      <c r="AA215" s="232"/>
      <c r="AB215" s="233"/>
      <c r="AC215" s="128"/>
      <c r="AD215" s="414"/>
      <c r="AE215" s="124"/>
      <c r="AF215" s="559"/>
      <c r="AG215" s="110">
        <v>125</v>
      </c>
    </row>
    <row r="216" spans="1:33" s="4" customFormat="1" ht="38.25" customHeight="1" thickBot="1" x14ac:dyDescent="0.3">
      <c r="A216" s="376" t="s">
        <v>246</v>
      </c>
      <c r="B216" s="377"/>
      <c r="C216" s="379"/>
      <c r="D216" s="377"/>
      <c r="E216" s="377"/>
      <c r="F216" s="377"/>
      <c r="G216" s="377"/>
      <c r="H216" s="377"/>
      <c r="I216" s="377"/>
      <c r="J216" s="377"/>
      <c r="K216" s="377"/>
      <c r="L216" s="377"/>
      <c r="M216" s="377"/>
      <c r="N216" s="377"/>
      <c r="O216" s="377"/>
      <c r="P216" s="377"/>
      <c r="Q216" s="377"/>
      <c r="R216" s="377"/>
      <c r="S216" s="377"/>
      <c r="T216" s="377"/>
      <c r="U216" s="377"/>
      <c r="V216" s="377"/>
      <c r="W216" s="377"/>
      <c r="X216" s="377"/>
      <c r="Y216" s="377"/>
      <c r="Z216" s="377"/>
      <c r="AA216" s="377"/>
      <c r="AB216" s="377"/>
      <c r="AC216" s="377"/>
      <c r="AD216" s="377"/>
      <c r="AE216" s="377"/>
      <c r="AF216" s="390"/>
      <c r="AG216" s="110">
        <v>126</v>
      </c>
    </row>
    <row r="217" spans="1:33" s="4" customFormat="1" ht="38.25" customHeight="1" thickBot="1" x14ac:dyDescent="0.3">
      <c r="A217" s="160" t="s">
        <v>145</v>
      </c>
      <c r="B217" s="151" t="s">
        <v>147</v>
      </c>
      <c r="C217" s="183" t="s">
        <v>395</v>
      </c>
      <c r="D217" s="141">
        <f t="shared" ref="D217:K217" si="127">SUM(D218:D229)</f>
        <v>0</v>
      </c>
      <c r="E217" s="137">
        <f t="shared" si="127"/>
        <v>0</v>
      </c>
      <c r="F217" s="137">
        <f t="shared" si="127"/>
        <v>0</v>
      </c>
      <c r="G217" s="137">
        <f t="shared" si="127"/>
        <v>0</v>
      </c>
      <c r="H217" s="137">
        <f t="shared" si="127"/>
        <v>0</v>
      </c>
      <c r="I217" s="137">
        <f t="shared" si="127"/>
        <v>0</v>
      </c>
      <c r="J217" s="137">
        <f t="shared" si="127"/>
        <v>0</v>
      </c>
      <c r="K217" s="137">
        <f t="shared" si="127"/>
        <v>0</v>
      </c>
      <c r="L217" s="137">
        <f>SUM(L218:L229)</f>
        <v>0</v>
      </c>
      <c r="M217" s="137">
        <f t="shared" ref="M217:AB217" si="128">SUM(M218:M229)</f>
        <v>0</v>
      </c>
      <c r="N217" s="137">
        <f t="shared" si="128"/>
        <v>0</v>
      </c>
      <c r="O217" s="137">
        <f t="shared" si="128"/>
        <v>0</v>
      </c>
      <c r="P217" s="137">
        <f t="shared" si="128"/>
        <v>0</v>
      </c>
      <c r="Q217" s="137">
        <f t="shared" si="128"/>
        <v>0</v>
      </c>
      <c r="R217" s="137">
        <f t="shared" si="128"/>
        <v>0</v>
      </c>
      <c r="S217" s="137">
        <f t="shared" si="128"/>
        <v>0</v>
      </c>
      <c r="T217" s="137">
        <f t="shared" si="128"/>
        <v>0</v>
      </c>
      <c r="U217" s="137">
        <f t="shared" si="128"/>
        <v>0</v>
      </c>
      <c r="V217" s="137">
        <f t="shared" si="128"/>
        <v>0</v>
      </c>
      <c r="W217" s="137">
        <f t="shared" si="128"/>
        <v>0</v>
      </c>
      <c r="X217" s="137">
        <f t="shared" si="128"/>
        <v>0</v>
      </c>
      <c r="Y217" s="137">
        <f t="shared" si="128"/>
        <v>0</v>
      </c>
      <c r="Z217" s="137">
        <f t="shared" si="128"/>
        <v>0</v>
      </c>
      <c r="AA217" s="137">
        <f t="shared" si="128"/>
        <v>0</v>
      </c>
      <c r="AB217" s="137">
        <f t="shared" si="128"/>
        <v>0</v>
      </c>
      <c r="AC217" s="129"/>
      <c r="AD217" s="412" t="str">
        <f>CONCATENATE(AC217,AC218,AC219,AC220,AC221,AC222,AC223,AC224,AC225,AC226,AC227,AC228,AC229)</f>
        <v/>
      </c>
      <c r="AE217" s="124"/>
      <c r="AF217" s="557" t="str">
        <f>CONCATENATE(AE217,AE218,AE219,AE220,AE221,AE222,AE223,AE224,AE225,AE226,AE227,AE228,AE229)</f>
        <v/>
      </c>
      <c r="AG217" s="110">
        <v>127</v>
      </c>
    </row>
    <row r="218" spans="1:33" s="4" customFormat="1" ht="38.25" customHeight="1" thickBot="1" x14ac:dyDescent="0.3">
      <c r="A218" s="554" t="s">
        <v>128</v>
      </c>
      <c r="B218" s="155" t="s">
        <v>148</v>
      </c>
      <c r="C218" s="197" t="s">
        <v>396</v>
      </c>
      <c r="D218" s="36"/>
      <c r="E218" s="27"/>
      <c r="F218" s="36"/>
      <c r="G218" s="27"/>
      <c r="H218" s="36"/>
      <c r="I218" s="27"/>
      <c r="J218" s="36"/>
      <c r="K218" s="27"/>
      <c r="L218" s="27"/>
      <c r="M218" s="25"/>
      <c r="N218" s="27"/>
      <c r="O218" s="25"/>
      <c r="P218" s="27"/>
      <c r="Q218" s="25"/>
      <c r="R218" s="27"/>
      <c r="S218" s="25"/>
      <c r="T218" s="27"/>
      <c r="U218" s="25"/>
      <c r="V218" s="27"/>
      <c r="W218" s="25"/>
      <c r="X218" s="27"/>
      <c r="Y218" s="25"/>
      <c r="Z218" s="27"/>
      <c r="AA218" s="105"/>
      <c r="AB218" s="136">
        <f t="shared" si="126"/>
        <v>0</v>
      </c>
      <c r="AC218" s="132"/>
      <c r="AD218" s="413"/>
      <c r="AE218" s="124"/>
      <c r="AF218" s="558"/>
      <c r="AG218" s="110">
        <v>128</v>
      </c>
    </row>
    <row r="219" spans="1:33" s="4" customFormat="1" ht="38.25" customHeight="1" x14ac:dyDescent="0.25">
      <c r="A219" s="554"/>
      <c r="B219" s="153" t="s">
        <v>149</v>
      </c>
      <c r="C219" s="198" t="s">
        <v>397</v>
      </c>
      <c r="D219" s="36"/>
      <c r="E219" s="27"/>
      <c r="F219" s="36"/>
      <c r="G219" s="27"/>
      <c r="H219" s="36"/>
      <c r="I219" s="27"/>
      <c r="J219" s="36"/>
      <c r="K219" s="27"/>
      <c r="L219" s="25"/>
      <c r="M219" s="27"/>
      <c r="N219" s="25"/>
      <c r="O219" s="27"/>
      <c r="P219" s="25"/>
      <c r="Q219" s="27"/>
      <c r="R219" s="25"/>
      <c r="S219" s="27"/>
      <c r="T219" s="25"/>
      <c r="U219" s="27"/>
      <c r="V219" s="25"/>
      <c r="W219" s="27"/>
      <c r="X219" s="25"/>
      <c r="Y219" s="27"/>
      <c r="Z219" s="25"/>
      <c r="AA219" s="27"/>
      <c r="AB219" s="100">
        <f t="shared" si="126"/>
        <v>0</v>
      </c>
      <c r="AC219" s="133"/>
      <c r="AD219" s="413"/>
      <c r="AE219" s="124"/>
      <c r="AF219" s="558"/>
      <c r="AG219" s="110">
        <v>129</v>
      </c>
    </row>
    <row r="220" spans="1:33" s="4" customFormat="1" ht="38.25" customHeight="1" x14ac:dyDescent="0.25">
      <c r="A220" s="554"/>
      <c r="B220" s="153" t="s">
        <v>150</v>
      </c>
      <c r="C220" s="198" t="s">
        <v>398</v>
      </c>
      <c r="D220" s="36"/>
      <c r="E220" s="27"/>
      <c r="F220" s="36"/>
      <c r="G220" s="27"/>
      <c r="H220" s="36"/>
      <c r="I220" s="27"/>
      <c r="J220" s="36"/>
      <c r="K220" s="27"/>
      <c r="L220" s="25"/>
      <c r="M220" s="25"/>
      <c r="N220" s="25"/>
      <c r="O220" s="25"/>
      <c r="P220" s="25"/>
      <c r="Q220" s="25"/>
      <c r="R220" s="25"/>
      <c r="S220" s="25"/>
      <c r="T220" s="25"/>
      <c r="U220" s="25"/>
      <c r="V220" s="25"/>
      <c r="W220" s="25"/>
      <c r="X220" s="25"/>
      <c r="Y220" s="25"/>
      <c r="Z220" s="25"/>
      <c r="AA220" s="105"/>
      <c r="AB220" s="101">
        <f t="shared" si="126"/>
        <v>0</v>
      </c>
      <c r="AC220" s="134"/>
      <c r="AD220" s="413"/>
      <c r="AE220" s="124"/>
      <c r="AF220" s="558"/>
      <c r="AG220" s="110">
        <v>130</v>
      </c>
    </row>
    <row r="221" spans="1:33" s="4" customFormat="1" ht="38.25" customHeight="1" x14ac:dyDescent="0.25">
      <c r="A221" s="554"/>
      <c r="B221" s="153" t="s">
        <v>151</v>
      </c>
      <c r="C221" s="198" t="s">
        <v>399</v>
      </c>
      <c r="D221" s="36"/>
      <c r="E221" s="27"/>
      <c r="F221" s="36"/>
      <c r="G221" s="27"/>
      <c r="H221" s="36"/>
      <c r="I221" s="27"/>
      <c r="J221" s="36"/>
      <c r="K221" s="27"/>
      <c r="L221" s="25"/>
      <c r="M221" s="25"/>
      <c r="N221" s="25"/>
      <c r="O221" s="25"/>
      <c r="P221" s="25"/>
      <c r="Q221" s="25"/>
      <c r="R221" s="25"/>
      <c r="S221" s="25"/>
      <c r="T221" s="25"/>
      <c r="U221" s="25"/>
      <c r="V221" s="25"/>
      <c r="W221" s="25"/>
      <c r="X221" s="25"/>
      <c r="Y221" s="25"/>
      <c r="Z221" s="25"/>
      <c r="AA221" s="105"/>
      <c r="AB221" s="101">
        <f t="shared" si="126"/>
        <v>0</v>
      </c>
      <c r="AC221" s="134"/>
      <c r="AD221" s="413"/>
      <c r="AE221" s="124"/>
      <c r="AF221" s="558"/>
      <c r="AG221" s="110">
        <v>131</v>
      </c>
    </row>
    <row r="222" spans="1:33" s="4" customFormat="1" ht="38.25" customHeight="1" thickBot="1" x14ac:dyDescent="0.3">
      <c r="A222" s="554"/>
      <c r="B222" s="153" t="s">
        <v>152</v>
      </c>
      <c r="C222" s="198" t="s">
        <v>400</v>
      </c>
      <c r="D222" s="36"/>
      <c r="E222" s="27"/>
      <c r="F222" s="36"/>
      <c r="G222" s="27"/>
      <c r="H222" s="36"/>
      <c r="I222" s="27"/>
      <c r="J222" s="36"/>
      <c r="K222" s="27"/>
      <c r="L222" s="25"/>
      <c r="M222" s="25"/>
      <c r="N222" s="25"/>
      <c r="O222" s="25"/>
      <c r="P222" s="25"/>
      <c r="Q222" s="25"/>
      <c r="R222" s="25"/>
      <c r="S222" s="25"/>
      <c r="T222" s="25"/>
      <c r="U222" s="25"/>
      <c r="V222" s="25"/>
      <c r="W222" s="25"/>
      <c r="X222" s="25"/>
      <c r="Y222" s="25"/>
      <c r="Z222" s="25"/>
      <c r="AA222" s="105"/>
      <c r="AB222" s="119">
        <f t="shared" ref="AB222:AB228" si="129">SUM(D222:AA222)</f>
        <v>0</v>
      </c>
      <c r="AC222" s="134"/>
      <c r="AD222" s="413"/>
      <c r="AE222" s="124"/>
      <c r="AF222" s="558"/>
      <c r="AG222" s="110">
        <v>132</v>
      </c>
    </row>
    <row r="223" spans="1:33" s="4" customFormat="1" ht="38.25" customHeight="1" thickBot="1" x14ac:dyDescent="0.3">
      <c r="A223" s="555"/>
      <c r="B223" s="154" t="s">
        <v>153</v>
      </c>
      <c r="C223" s="203" t="s">
        <v>401</v>
      </c>
      <c r="D223" s="97"/>
      <c r="E223" s="98"/>
      <c r="F223" s="97"/>
      <c r="G223" s="98"/>
      <c r="H223" s="97"/>
      <c r="I223" s="98"/>
      <c r="J223" s="97"/>
      <c r="K223" s="98"/>
      <c r="L223" s="98"/>
      <c r="M223" s="98"/>
      <c r="N223" s="98"/>
      <c r="O223" s="98"/>
      <c r="P223" s="98"/>
      <c r="Q223" s="98"/>
      <c r="R223" s="98"/>
      <c r="S223" s="98"/>
      <c r="T223" s="98"/>
      <c r="U223" s="98"/>
      <c r="V223" s="98"/>
      <c r="W223" s="98"/>
      <c r="X223" s="98"/>
      <c r="Y223" s="98"/>
      <c r="Z223" s="98"/>
      <c r="AA223" s="232"/>
      <c r="AB223" s="233"/>
      <c r="AC223" s="135"/>
      <c r="AD223" s="413"/>
      <c r="AE223" s="124"/>
      <c r="AF223" s="558"/>
      <c r="AG223" s="110">
        <v>133</v>
      </c>
    </row>
    <row r="224" spans="1:33" s="4" customFormat="1" ht="38.25" customHeight="1" thickBot="1" x14ac:dyDescent="0.3">
      <c r="A224" s="553" t="s">
        <v>129</v>
      </c>
      <c r="B224" s="152" t="s">
        <v>148</v>
      </c>
      <c r="C224" s="198" t="s">
        <v>402</v>
      </c>
      <c r="D224" s="37"/>
      <c r="E224" s="28"/>
      <c r="F224" s="37"/>
      <c r="G224" s="28"/>
      <c r="H224" s="37"/>
      <c r="I224" s="28"/>
      <c r="J224" s="37"/>
      <c r="K224" s="28"/>
      <c r="L224" s="28"/>
      <c r="M224" s="29"/>
      <c r="N224" s="28"/>
      <c r="O224" s="29"/>
      <c r="P224" s="28"/>
      <c r="Q224" s="29"/>
      <c r="R224" s="28"/>
      <c r="S224" s="29"/>
      <c r="T224" s="28"/>
      <c r="U224" s="29"/>
      <c r="V224" s="28"/>
      <c r="W224" s="29"/>
      <c r="X224" s="28"/>
      <c r="Y224" s="29"/>
      <c r="Z224" s="28"/>
      <c r="AA224" s="104"/>
      <c r="AB224" s="101">
        <f t="shared" si="129"/>
        <v>0</v>
      </c>
      <c r="AC224" s="133"/>
      <c r="AD224" s="413"/>
      <c r="AE224" s="124"/>
      <c r="AF224" s="558"/>
      <c r="AG224" s="110">
        <v>134</v>
      </c>
    </row>
    <row r="225" spans="1:33" s="4" customFormat="1" ht="38.25" customHeight="1" x14ac:dyDescent="0.25">
      <c r="A225" s="554"/>
      <c r="B225" s="153" t="s">
        <v>149</v>
      </c>
      <c r="C225" s="198" t="s">
        <v>403</v>
      </c>
      <c r="D225" s="36"/>
      <c r="E225" s="27"/>
      <c r="F225" s="36"/>
      <c r="G225" s="27"/>
      <c r="H225" s="36"/>
      <c r="I225" s="27"/>
      <c r="J225" s="36"/>
      <c r="K225" s="27"/>
      <c r="L225" s="25"/>
      <c r="M225" s="28"/>
      <c r="N225" s="25"/>
      <c r="O225" s="28"/>
      <c r="P225" s="25"/>
      <c r="Q225" s="28"/>
      <c r="R225" s="25"/>
      <c r="S225" s="28"/>
      <c r="T225" s="25"/>
      <c r="U225" s="28"/>
      <c r="V225" s="25"/>
      <c r="W225" s="28"/>
      <c r="X225" s="25"/>
      <c r="Y225" s="28"/>
      <c r="Z225" s="25"/>
      <c r="AA225" s="28"/>
      <c r="AB225" s="101">
        <f t="shared" ref="AB225:AB227" si="130">SUM(D225:AA225)</f>
        <v>0</v>
      </c>
      <c r="AC225" s="134"/>
      <c r="AD225" s="413"/>
      <c r="AE225" s="124"/>
      <c r="AF225" s="558"/>
      <c r="AG225" s="110">
        <v>135</v>
      </c>
    </row>
    <row r="226" spans="1:33" s="4" customFormat="1" ht="38.25" customHeight="1" x14ac:dyDescent="0.25">
      <c r="A226" s="554"/>
      <c r="B226" s="153" t="s">
        <v>150</v>
      </c>
      <c r="C226" s="198" t="s">
        <v>404</v>
      </c>
      <c r="D226" s="36"/>
      <c r="E226" s="27"/>
      <c r="F226" s="36"/>
      <c r="G226" s="27"/>
      <c r="H226" s="36"/>
      <c r="I226" s="27"/>
      <c r="J226" s="36"/>
      <c r="K226" s="27"/>
      <c r="L226" s="25"/>
      <c r="M226" s="25"/>
      <c r="N226" s="25"/>
      <c r="O226" s="25"/>
      <c r="P226" s="25"/>
      <c r="Q226" s="25"/>
      <c r="R226" s="25"/>
      <c r="S226" s="25"/>
      <c r="T226" s="25"/>
      <c r="U226" s="25"/>
      <c r="V226" s="25"/>
      <c r="W226" s="25"/>
      <c r="X226" s="25"/>
      <c r="Y226" s="25"/>
      <c r="Z226" s="25"/>
      <c r="AA226" s="105"/>
      <c r="AB226" s="101">
        <f t="shared" si="130"/>
        <v>0</v>
      </c>
      <c r="AC226" s="134"/>
      <c r="AD226" s="413"/>
      <c r="AE226" s="124"/>
      <c r="AF226" s="558"/>
      <c r="AG226" s="110">
        <v>136</v>
      </c>
    </row>
    <row r="227" spans="1:33" s="4" customFormat="1" ht="38.25" customHeight="1" x14ac:dyDescent="0.25">
      <c r="A227" s="554"/>
      <c r="B227" s="153" t="s">
        <v>151</v>
      </c>
      <c r="C227" s="198" t="s">
        <v>405</v>
      </c>
      <c r="D227" s="36"/>
      <c r="E227" s="27"/>
      <c r="F227" s="36"/>
      <c r="G227" s="27"/>
      <c r="H227" s="36"/>
      <c r="I227" s="27"/>
      <c r="J227" s="36"/>
      <c r="K227" s="27"/>
      <c r="L227" s="25"/>
      <c r="M227" s="25"/>
      <c r="N227" s="25"/>
      <c r="O227" s="25"/>
      <c r="P227" s="25"/>
      <c r="Q227" s="25"/>
      <c r="R227" s="25"/>
      <c r="S227" s="25"/>
      <c r="T227" s="25"/>
      <c r="U227" s="25"/>
      <c r="V227" s="25"/>
      <c r="W227" s="25"/>
      <c r="X227" s="25"/>
      <c r="Y227" s="25"/>
      <c r="Z227" s="25"/>
      <c r="AA227" s="105"/>
      <c r="AB227" s="101">
        <f t="shared" si="130"/>
        <v>0</v>
      </c>
      <c r="AC227" s="134"/>
      <c r="AD227" s="413"/>
      <c r="AE227" s="124"/>
      <c r="AF227" s="558"/>
      <c r="AG227" s="110">
        <v>137</v>
      </c>
    </row>
    <row r="228" spans="1:33" s="4" customFormat="1" ht="38.25" customHeight="1" thickBot="1" x14ac:dyDescent="0.3">
      <c r="A228" s="554"/>
      <c r="B228" s="153" t="s">
        <v>152</v>
      </c>
      <c r="C228" s="198" t="s">
        <v>406</v>
      </c>
      <c r="D228" s="36"/>
      <c r="E228" s="27"/>
      <c r="F228" s="36"/>
      <c r="G228" s="27"/>
      <c r="H228" s="36"/>
      <c r="I228" s="27"/>
      <c r="J228" s="36"/>
      <c r="K228" s="27"/>
      <c r="L228" s="25"/>
      <c r="M228" s="25"/>
      <c r="N228" s="25"/>
      <c r="O228" s="25"/>
      <c r="P228" s="25"/>
      <c r="Q228" s="25"/>
      <c r="R228" s="25"/>
      <c r="S228" s="25"/>
      <c r="T228" s="25"/>
      <c r="U228" s="25"/>
      <c r="V228" s="25"/>
      <c r="W228" s="25"/>
      <c r="X228" s="25"/>
      <c r="Y228" s="25"/>
      <c r="Z228" s="25"/>
      <c r="AA228" s="105"/>
      <c r="AB228" s="119">
        <f t="shared" si="129"/>
        <v>0</v>
      </c>
      <c r="AC228" s="134"/>
      <c r="AD228" s="413"/>
      <c r="AE228" s="124"/>
      <c r="AF228" s="558"/>
      <c r="AG228" s="110">
        <v>138</v>
      </c>
    </row>
    <row r="229" spans="1:33" s="4" customFormat="1" ht="38.25" customHeight="1" thickBot="1" x14ac:dyDescent="0.3">
      <c r="A229" s="554"/>
      <c r="B229" s="156" t="s">
        <v>153</v>
      </c>
      <c r="C229" s="203" t="s">
        <v>407</v>
      </c>
      <c r="D229" s="95"/>
      <c r="E229" s="96"/>
      <c r="F229" s="95"/>
      <c r="G229" s="96"/>
      <c r="H229" s="95"/>
      <c r="I229" s="96"/>
      <c r="J229" s="95"/>
      <c r="K229" s="96"/>
      <c r="L229" s="96"/>
      <c r="M229" s="96"/>
      <c r="N229" s="96"/>
      <c r="O229" s="96"/>
      <c r="P229" s="96"/>
      <c r="Q229" s="96"/>
      <c r="R229" s="96"/>
      <c r="S229" s="96"/>
      <c r="T229" s="96"/>
      <c r="U229" s="96"/>
      <c r="V229" s="96"/>
      <c r="W229" s="96"/>
      <c r="X229" s="96"/>
      <c r="Y229" s="96"/>
      <c r="Z229" s="96"/>
      <c r="AA229" s="204"/>
      <c r="AB229" s="233"/>
      <c r="AC229" s="138"/>
      <c r="AD229" s="414"/>
      <c r="AE229" s="124"/>
      <c r="AF229" s="559"/>
      <c r="AG229" s="110">
        <v>139</v>
      </c>
    </row>
    <row r="230" spans="1:33" s="4" customFormat="1" ht="38.25" customHeight="1" thickBot="1" x14ac:dyDescent="0.3">
      <c r="A230" s="376" t="s">
        <v>247</v>
      </c>
      <c r="B230" s="377"/>
      <c r="C230" s="378"/>
      <c r="D230" s="377"/>
      <c r="E230" s="377"/>
      <c r="F230" s="377"/>
      <c r="G230" s="377"/>
      <c r="H230" s="377"/>
      <c r="I230" s="377"/>
      <c r="J230" s="377"/>
      <c r="K230" s="377"/>
      <c r="L230" s="377"/>
      <c r="M230" s="377"/>
      <c r="N230" s="377"/>
      <c r="O230" s="377"/>
      <c r="P230" s="377"/>
      <c r="Q230" s="377"/>
      <c r="R230" s="377"/>
      <c r="S230" s="377"/>
      <c r="T230" s="377"/>
      <c r="U230" s="377"/>
      <c r="V230" s="377"/>
      <c r="W230" s="377"/>
      <c r="X230" s="377"/>
      <c r="Y230" s="377"/>
      <c r="Z230" s="377"/>
      <c r="AA230" s="377"/>
      <c r="AB230" s="377"/>
      <c r="AC230" s="377"/>
      <c r="AD230" s="377"/>
      <c r="AE230" s="377"/>
      <c r="AF230" s="390"/>
      <c r="AG230" s="110">
        <v>140</v>
      </c>
    </row>
    <row r="231" spans="1:33" s="4" customFormat="1" ht="38.25" customHeight="1" thickBot="1" x14ac:dyDescent="0.3">
      <c r="A231" s="217" t="s">
        <v>145</v>
      </c>
      <c r="B231" s="253" t="s">
        <v>154</v>
      </c>
      <c r="C231" s="256" t="s">
        <v>408</v>
      </c>
      <c r="D231" s="254">
        <f t="shared" ref="D231" si="131">SUM(D232:D243)</f>
        <v>0</v>
      </c>
      <c r="E231" s="137">
        <f t="shared" ref="E231" si="132">SUM(E232:E243)</f>
        <v>0</v>
      </c>
      <c r="F231" s="137">
        <f t="shared" ref="F231" si="133">SUM(F232:F243)</f>
        <v>0</v>
      </c>
      <c r="G231" s="137">
        <f t="shared" ref="G231" si="134">SUM(G232:G243)</f>
        <v>0</v>
      </c>
      <c r="H231" s="137">
        <f t="shared" ref="H231" si="135">SUM(H232:H243)</f>
        <v>0</v>
      </c>
      <c r="I231" s="137">
        <f t="shared" ref="I231" si="136">SUM(I232:I243)</f>
        <v>0</v>
      </c>
      <c r="J231" s="137">
        <f t="shared" ref="J231" si="137">SUM(J232:J243)</f>
        <v>0</v>
      </c>
      <c r="K231" s="137">
        <f t="shared" ref="K231" si="138">SUM(K232:K243)</f>
        <v>0</v>
      </c>
      <c r="L231" s="137">
        <f t="shared" ref="L231" si="139">SUM(L232:L243)</f>
        <v>0</v>
      </c>
      <c r="M231" s="137">
        <f t="shared" ref="M231" si="140">SUM(M232:M243)</f>
        <v>0</v>
      </c>
      <c r="N231" s="137">
        <f t="shared" ref="N231" si="141">SUM(N232:N243)</f>
        <v>0</v>
      </c>
      <c r="O231" s="137">
        <f t="shared" ref="O231" si="142">SUM(O232:O243)</f>
        <v>0</v>
      </c>
      <c r="P231" s="137">
        <f t="shared" ref="P231" si="143">SUM(P232:P243)</f>
        <v>0</v>
      </c>
      <c r="Q231" s="137">
        <f t="shared" ref="Q231" si="144">SUM(Q232:Q243)</f>
        <v>0</v>
      </c>
      <c r="R231" s="137">
        <f t="shared" ref="R231" si="145">SUM(R232:R243)</f>
        <v>0</v>
      </c>
      <c r="S231" s="137">
        <f t="shared" ref="S231" si="146">SUM(S232:S243)</f>
        <v>0</v>
      </c>
      <c r="T231" s="137">
        <f t="shared" ref="T231" si="147">SUM(T232:T243)</f>
        <v>0</v>
      </c>
      <c r="U231" s="137">
        <f t="shared" ref="U231" si="148">SUM(U232:U243)</f>
        <v>0</v>
      </c>
      <c r="V231" s="137">
        <f t="shared" ref="V231" si="149">SUM(V232:V243)</f>
        <v>0</v>
      </c>
      <c r="W231" s="137">
        <f t="shared" ref="W231" si="150">SUM(W232:W243)</f>
        <v>0</v>
      </c>
      <c r="X231" s="137">
        <f t="shared" ref="X231" si="151">SUM(X232:X243)</f>
        <v>0</v>
      </c>
      <c r="Y231" s="137">
        <f t="shared" ref="Y231" si="152">SUM(Y232:Y243)</f>
        <v>0</v>
      </c>
      <c r="Z231" s="137">
        <f t="shared" ref="Z231" si="153">SUM(Z232:Z243)</f>
        <v>0</v>
      </c>
      <c r="AA231" s="137">
        <f t="shared" ref="AA231:AB231" si="154">SUM(AA232:AA243)</f>
        <v>0</v>
      </c>
      <c r="AB231" s="137">
        <f t="shared" si="154"/>
        <v>0</v>
      </c>
      <c r="AC231" s="140"/>
      <c r="AD231" s="412" t="str">
        <f>CONCATENATE(AC231,AC232,AC233,AC234,AC235,AC236,AC237,AC238,AC239,AC240,AC241,AC242,AC243)</f>
        <v/>
      </c>
      <c r="AE231" s="124"/>
      <c r="AF231" s="557" t="str">
        <f>CONCATENATE(AE231,AE232,AE233,AE234,AE235,AE236,AE237,AE238,AE239,AE240,AE241,AE242,AE243)</f>
        <v/>
      </c>
      <c r="AG231" s="110">
        <v>141</v>
      </c>
    </row>
    <row r="232" spans="1:33" s="4" customFormat="1" ht="38.25" customHeight="1" thickBot="1" x14ac:dyDescent="0.3">
      <c r="A232" s="553" t="s">
        <v>128</v>
      </c>
      <c r="B232" s="152" t="s">
        <v>155</v>
      </c>
      <c r="C232" s="198" t="s">
        <v>409</v>
      </c>
      <c r="D232" s="37"/>
      <c r="E232" s="28"/>
      <c r="F232" s="37"/>
      <c r="G232" s="28"/>
      <c r="H232" s="37"/>
      <c r="I232" s="28"/>
      <c r="J232" s="37"/>
      <c r="K232" s="28"/>
      <c r="L232" s="28"/>
      <c r="M232" s="29"/>
      <c r="N232" s="28"/>
      <c r="O232" s="29"/>
      <c r="P232" s="28"/>
      <c r="Q232" s="29"/>
      <c r="R232" s="28"/>
      <c r="S232" s="29"/>
      <c r="T232" s="28"/>
      <c r="U232" s="29"/>
      <c r="V232" s="28"/>
      <c r="W232" s="29"/>
      <c r="X232" s="28"/>
      <c r="Y232" s="29"/>
      <c r="Z232" s="28"/>
      <c r="AA232" s="111"/>
      <c r="AB232" s="101">
        <f t="shared" ref="AB232:AB242" si="155">SUM(D232:AA232)</f>
        <v>0</v>
      </c>
      <c r="AC232" s="139"/>
      <c r="AD232" s="413"/>
      <c r="AE232" s="124"/>
      <c r="AF232" s="558"/>
      <c r="AG232" s="110">
        <v>142</v>
      </c>
    </row>
    <row r="233" spans="1:33" s="4" customFormat="1" ht="38.25" customHeight="1" x14ac:dyDescent="0.25">
      <c r="A233" s="554"/>
      <c r="B233" s="153" t="s">
        <v>156</v>
      </c>
      <c r="C233" s="198" t="s">
        <v>410</v>
      </c>
      <c r="D233" s="36"/>
      <c r="E233" s="27"/>
      <c r="F233" s="36"/>
      <c r="G233" s="27"/>
      <c r="H233" s="36"/>
      <c r="I233" s="27"/>
      <c r="J233" s="36"/>
      <c r="K233" s="27"/>
      <c r="L233" s="26"/>
      <c r="M233" s="28"/>
      <c r="N233" s="26"/>
      <c r="O233" s="28"/>
      <c r="P233" s="26"/>
      <c r="Q233" s="28"/>
      <c r="R233" s="26"/>
      <c r="S233" s="28"/>
      <c r="T233" s="26"/>
      <c r="U233" s="28"/>
      <c r="V233" s="26"/>
      <c r="W233" s="28"/>
      <c r="X233" s="26"/>
      <c r="Y233" s="28"/>
      <c r="Z233" s="26"/>
      <c r="AA233" s="28"/>
      <c r="AB233" s="101">
        <f t="shared" si="155"/>
        <v>0</v>
      </c>
      <c r="AC233" s="129"/>
      <c r="AD233" s="413"/>
      <c r="AE233" s="124"/>
      <c r="AF233" s="558"/>
      <c r="AG233" s="110">
        <v>143</v>
      </c>
    </row>
    <row r="234" spans="1:33" s="4" customFormat="1" ht="38.25" customHeight="1" x14ac:dyDescent="0.25">
      <c r="A234" s="554"/>
      <c r="B234" s="153" t="s">
        <v>157</v>
      </c>
      <c r="C234" s="198" t="s">
        <v>411</v>
      </c>
      <c r="D234" s="36"/>
      <c r="E234" s="27"/>
      <c r="F234" s="36"/>
      <c r="G234" s="27"/>
      <c r="H234" s="36"/>
      <c r="I234" s="27"/>
      <c r="J234" s="36"/>
      <c r="K234" s="27"/>
      <c r="L234" s="25"/>
      <c r="M234" s="25"/>
      <c r="N234" s="25"/>
      <c r="O234" s="25"/>
      <c r="P234" s="25"/>
      <c r="Q234" s="25"/>
      <c r="R234" s="25"/>
      <c r="S234" s="25"/>
      <c r="T234" s="25"/>
      <c r="U234" s="25"/>
      <c r="V234" s="25"/>
      <c r="W234" s="25"/>
      <c r="X234" s="25"/>
      <c r="Y234" s="25"/>
      <c r="Z234" s="25"/>
      <c r="AA234" s="113"/>
      <c r="AB234" s="101">
        <f t="shared" si="155"/>
        <v>0</v>
      </c>
      <c r="AC234" s="128"/>
      <c r="AD234" s="413"/>
      <c r="AE234" s="124"/>
      <c r="AF234" s="558"/>
      <c r="AG234" s="110">
        <v>144</v>
      </c>
    </row>
    <row r="235" spans="1:33" s="4" customFormat="1" ht="38.25" customHeight="1" thickBot="1" x14ac:dyDescent="0.3">
      <c r="A235" s="554"/>
      <c r="B235" s="153" t="s">
        <v>158</v>
      </c>
      <c r="C235" s="198" t="s">
        <v>412</v>
      </c>
      <c r="D235" s="36"/>
      <c r="E235" s="27"/>
      <c r="F235" s="36"/>
      <c r="G235" s="27"/>
      <c r="H235" s="36"/>
      <c r="I235" s="27"/>
      <c r="J235" s="36"/>
      <c r="K235" s="27"/>
      <c r="L235" s="25"/>
      <c r="M235" s="25"/>
      <c r="N235" s="25"/>
      <c r="O235" s="25"/>
      <c r="P235" s="25"/>
      <c r="Q235" s="25"/>
      <c r="R235" s="25"/>
      <c r="S235" s="25"/>
      <c r="T235" s="25"/>
      <c r="U235" s="25"/>
      <c r="V235" s="25"/>
      <c r="W235" s="25"/>
      <c r="X235" s="25"/>
      <c r="Y235" s="25"/>
      <c r="Z235" s="25"/>
      <c r="AA235" s="113"/>
      <c r="AB235" s="101">
        <f t="shared" si="155"/>
        <v>0</v>
      </c>
      <c r="AC235" s="128"/>
      <c r="AD235" s="413"/>
      <c r="AE235" s="124"/>
      <c r="AF235" s="558"/>
      <c r="AG235" s="110">
        <v>145</v>
      </c>
    </row>
    <row r="236" spans="1:33" s="4" customFormat="1" ht="38.25" customHeight="1" thickBot="1" x14ac:dyDescent="0.3">
      <c r="A236" s="554"/>
      <c r="B236" s="153" t="s">
        <v>159</v>
      </c>
      <c r="C236" s="198" t="s">
        <v>413</v>
      </c>
      <c r="D236" s="36"/>
      <c r="E236" s="27"/>
      <c r="F236" s="36"/>
      <c r="G236" s="27"/>
      <c r="H236" s="36"/>
      <c r="I236" s="27"/>
      <c r="J236" s="36"/>
      <c r="K236" s="27"/>
      <c r="L236" s="25"/>
      <c r="M236" s="25"/>
      <c r="N236" s="25"/>
      <c r="O236" s="25"/>
      <c r="P236" s="25"/>
      <c r="Q236" s="25"/>
      <c r="R236" s="25"/>
      <c r="S236" s="25"/>
      <c r="T236" s="25"/>
      <c r="U236" s="25"/>
      <c r="V236" s="25"/>
      <c r="W236" s="25"/>
      <c r="X236" s="25"/>
      <c r="Y236" s="25"/>
      <c r="Z236" s="25"/>
      <c r="AA236" s="113"/>
      <c r="AB236" s="119">
        <f t="shared" si="155"/>
        <v>0</v>
      </c>
      <c r="AC236" s="133"/>
      <c r="AD236" s="413"/>
      <c r="AE236" s="124"/>
      <c r="AF236" s="558"/>
      <c r="AG236" s="110">
        <v>146</v>
      </c>
    </row>
    <row r="237" spans="1:33" s="4" customFormat="1" ht="38.25" customHeight="1" thickBot="1" x14ac:dyDescent="0.3">
      <c r="A237" s="555"/>
      <c r="B237" s="154" t="s">
        <v>160</v>
      </c>
      <c r="C237" s="198" t="s">
        <v>414</v>
      </c>
      <c r="D237" s="97"/>
      <c r="E237" s="98"/>
      <c r="F237" s="97"/>
      <c r="G237" s="98"/>
      <c r="H237" s="97"/>
      <c r="I237" s="98"/>
      <c r="J237" s="97"/>
      <c r="K237" s="98"/>
      <c r="L237" s="98"/>
      <c r="M237" s="98"/>
      <c r="N237" s="98"/>
      <c r="O237" s="98"/>
      <c r="P237" s="98"/>
      <c r="Q237" s="98"/>
      <c r="R237" s="98"/>
      <c r="S237" s="98"/>
      <c r="T237" s="98"/>
      <c r="U237" s="98"/>
      <c r="V237" s="98"/>
      <c r="W237" s="98"/>
      <c r="X237" s="98"/>
      <c r="Y237" s="98"/>
      <c r="Z237" s="98"/>
      <c r="AA237" s="232"/>
      <c r="AB237" s="233"/>
      <c r="AC237" s="134"/>
      <c r="AD237" s="413"/>
      <c r="AE237" s="124"/>
      <c r="AF237" s="558"/>
      <c r="AG237" s="110">
        <v>147</v>
      </c>
    </row>
    <row r="238" spans="1:33" s="4" customFormat="1" ht="38.25" customHeight="1" thickBot="1" x14ac:dyDescent="0.3">
      <c r="A238" s="418" t="s">
        <v>129</v>
      </c>
      <c r="B238" s="155" t="s">
        <v>155</v>
      </c>
      <c r="C238" s="197" t="s">
        <v>415</v>
      </c>
      <c r="D238" s="36"/>
      <c r="E238" s="27"/>
      <c r="F238" s="36"/>
      <c r="G238" s="27"/>
      <c r="H238" s="36"/>
      <c r="I238" s="27"/>
      <c r="J238" s="36"/>
      <c r="K238" s="27"/>
      <c r="L238" s="28"/>
      <c r="M238" s="26"/>
      <c r="N238" s="28"/>
      <c r="O238" s="26"/>
      <c r="P238" s="28"/>
      <c r="Q238" s="26"/>
      <c r="R238" s="28"/>
      <c r="S238" s="26"/>
      <c r="T238" s="28"/>
      <c r="U238" s="26"/>
      <c r="V238" s="28"/>
      <c r="W238" s="26"/>
      <c r="X238" s="28"/>
      <c r="Y238" s="26"/>
      <c r="Z238" s="28"/>
      <c r="AA238" s="107"/>
      <c r="AB238" s="108">
        <f t="shared" si="155"/>
        <v>0</v>
      </c>
      <c r="AC238" s="129"/>
      <c r="AD238" s="413"/>
      <c r="AE238" s="124"/>
      <c r="AF238" s="558"/>
      <c r="AG238" s="110">
        <v>148</v>
      </c>
    </row>
    <row r="239" spans="1:33" s="4" customFormat="1" ht="38.25" customHeight="1" x14ac:dyDescent="0.25">
      <c r="A239" s="418"/>
      <c r="B239" s="153" t="s">
        <v>156</v>
      </c>
      <c r="C239" s="198" t="s">
        <v>416</v>
      </c>
      <c r="D239" s="36"/>
      <c r="E239" s="27"/>
      <c r="F239" s="36"/>
      <c r="G239" s="27"/>
      <c r="H239" s="36"/>
      <c r="I239" s="27"/>
      <c r="J239" s="36"/>
      <c r="K239" s="27"/>
      <c r="L239" s="25"/>
      <c r="M239" s="28"/>
      <c r="N239" s="25"/>
      <c r="O239" s="28"/>
      <c r="P239" s="25"/>
      <c r="Q239" s="28"/>
      <c r="R239" s="25"/>
      <c r="S239" s="28"/>
      <c r="T239" s="25"/>
      <c r="U239" s="28"/>
      <c r="V239" s="25"/>
      <c r="W239" s="28"/>
      <c r="X239" s="25"/>
      <c r="Y239" s="28"/>
      <c r="Z239" s="25"/>
      <c r="AA239" s="28"/>
      <c r="AB239" s="101">
        <f t="shared" si="155"/>
        <v>0</v>
      </c>
      <c r="AC239" s="128"/>
      <c r="AD239" s="413"/>
      <c r="AE239" s="124"/>
      <c r="AF239" s="558"/>
      <c r="AG239" s="110">
        <v>149</v>
      </c>
    </row>
    <row r="240" spans="1:33" s="4" customFormat="1" ht="38.25" customHeight="1" thickBot="1" x14ac:dyDescent="0.3">
      <c r="A240" s="418"/>
      <c r="B240" s="153" t="s">
        <v>157</v>
      </c>
      <c r="C240" s="198" t="s">
        <v>417</v>
      </c>
      <c r="D240" s="36"/>
      <c r="E240" s="27"/>
      <c r="F240" s="36"/>
      <c r="G240" s="27"/>
      <c r="H240" s="36"/>
      <c r="I240" s="27"/>
      <c r="J240" s="36"/>
      <c r="K240" s="27"/>
      <c r="L240" s="25"/>
      <c r="M240" s="25"/>
      <c r="N240" s="25"/>
      <c r="O240" s="25"/>
      <c r="P240" s="25"/>
      <c r="Q240" s="25"/>
      <c r="R240" s="25"/>
      <c r="S240" s="25"/>
      <c r="T240" s="25"/>
      <c r="U240" s="25"/>
      <c r="V240" s="25"/>
      <c r="W240" s="25"/>
      <c r="X240" s="25"/>
      <c r="Y240" s="25"/>
      <c r="Z240" s="25"/>
      <c r="AA240" s="105"/>
      <c r="AB240" s="101">
        <f t="shared" si="155"/>
        <v>0</v>
      </c>
      <c r="AC240" s="128"/>
      <c r="AD240" s="413"/>
      <c r="AE240" s="124"/>
      <c r="AF240" s="558"/>
      <c r="AG240" s="110">
        <v>150</v>
      </c>
    </row>
    <row r="241" spans="1:33" s="4" customFormat="1" ht="38.25" customHeight="1" x14ac:dyDescent="0.25">
      <c r="A241" s="418"/>
      <c r="B241" s="153" t="s">
        <v>158</v>
      </c>
      <c r="C241" s="198" t="s">
        <v>418</v>
      </c>
      <c r="D241" s="36"/>
      <c r="E241" s="27"/>
      <c r="F241" s="36"/>
      <c r="G241" s="27"/>
      <c r="H241" s="36"/>
      <c r="I241" s="27"/>
      <c r="J241" s="36"/>
      <c r="K241" s="27"/>
      <c r="L241" s="25"/>
      <c r="M241" s="25"/>
      <c r="N241" s="25"/>
      <c r="O241" s="25"/>
      <c r="P241" s="25"/>
      <c r="Q241" s="25"/>
      <c r="R241" s="25"/>
      <c r="S241" s="25"/>
      <c r="T241" s="25"/>
      <c r="U241" s="25"/>
      <c r="V241" s="25"/>
      <c r="W241" s="25"/>
      <c r="X241" s="25"/>
      <c r="Y241" s="25"/>
      <c r="Z241" s="25"/>
      <c r="AA241" s="105"/>
      <c r="AB241" s="101">
        <f t="shared" si="155"/>
        <v>0</v>
      </c>
      <c r="AC241" s="133"/>
      <c r="AD241" s="413"/>
      <c r="AE241" s="124"/>
      <c r="AF241" s="558"/>
      <c r="AG241" s="110">
        <v>151</v>
      </c>
    </row>
    <row r="242" spans="1:33" s="4" customFormat="1" ht="38.25" customHeight="1" thickBot="1" x14ac:dyDescent="0.3">
      <c r="A242" s="418"/>
      <c r="B242" s="153" t="s">
        <v>159</v>
      </c>
      <c r="C242" s="198" t="s">
        <v>419</v>
      </c>
      <c r="D242" s="36"/>
      <c r="E242" s="27"/>
      <c r="F242" s="36"/>
      <c r="G242" s="27"/>
      <c r="H242" s="36"/>
      <c r="I242" s="27"/>
      <c r="J242" s="36"/>
      <c r="K242" s="27"/>
      <c r="L242" s="25"/>
      <c r="M242" s="25"/>
      <c r="N242" s="25"/>
      <c r="O242" s="25"/>
      <c r="P242" s="25"/>
      <c r="Q242" s="25"/>
      <c r="R242" s="25"/>
      <c r="S242" s="25"/>
      <c r="T242" s="25"/>
      <c r="U242" s="25"/>
      <c r="V242" s="25"/>
      <c r="W242" s="25"/>
      <c r="X242" s="25"/>
      <c r="Y242" s="25"/>
      <c r="Z242" s="25"/>
      <c r="AA242" s="105"/>
      <c r="AB242" s="119">
        <f t="shared" si="155"/>
        <v>0</v>
      </c>
      <c r="AC242" s="134"/>
      <c r="AD242" s="413"/>
      <c r="AE242" s="124"/>
      <c r="AF242" s="558"/>
      <c r="AG242" s="110">
        <v>152</v>
      </c>
    </row>
    <row r="243" spans="1:33" s="4" customFormat="1" ht="38.25" customHeight="1" thickBot="1" x14ac:dyDescent="0.3">
      <c r="A243" s="418"/>
      <c r="B243" s="156" t="s">
        <v>160</v>
      </c>
      <c r="C243" s="203" t="s">
        <v>420</v>
      </c>
      <c r="D243" s="95"/>
      <c r="E243" s="96"/>
      <c r="F243" s="95"/>
      <c r="G243" s="96"/>
      <c r="H243" s="95"/>
      <c r="I243" s="96"/>
      <c r="J243" s="95"/>
      <c r="K243" s="96"/>
      <c r="L243" s="96"/>
      <c r="M243" s="96"/>
      <c r="N243" s="96"/>
      <c r="O243" s="96"/>
      <c r="P243" s="96"/>
      <c r="Q243" s="96"/>
      <c r="R243" s="96"/>
      <c r="S243" s="96"/>
      <c r="T243" s="96"/>
      <c r="U243" s="96"/>
      <c r="V243" s="96"/>
      <c r="W243" s="96"/>
      <c r="X243" s="96"/>
      <c r="Y243" s="96"/>
      <c r="Z243" s="96"/>
      <c r="AA243" s="204"/>
      <c r="AB243" s="233"/>
      <c r="AC243" s="134"/>
      <c r="AD243" s="414"/>
      <c r="AE243" s="124"/>
      <c r="AF243" s="559"/>
      <c r="AG243" s="110">
        <v>153</v>
      </c>
    </row>
    <row r="244" spans="1:33" s="4" customFormat="1" ht="38.25" customHeight="1" thickBot="1" x14ac:dyDescent="0.3">
      <c r="A244" s="376" t="s">
        <v>248</v>
      </c>
      <c r="B244" s="377"/>
      <c r="C244" s="379"/>
      <c r="D244" s="377"/>
      <c r="E244" s="377"/>
      <c r="F244" s="377"/>
      <c r="G244" s="377"/>
      <c r="H244" s="377"/>
      <c r="I244" s="377"/>
      <c r="J244" s="377"/>
      <c r="K244" s="377"/>
      <c r="L244" s="377"/>
      <c r="M244" s="377"/>
      <c r="N244" s="377"/>
      <c r="O244" s="377"/>
      <c r="P244" s="377"/>
      <c r="Q244" s="377"/>
      <c r="R244" s="377"/>
      <c r="S244" s="377"/>
      <c r="T244" s="377"/>
      <c r="U244" s="377"/>
      <c r="V244" s="377"/>
      <c r="W244" s="377"/>
      <c r="X244" s="377"/>
      <c r="Y244" s="377"/>
      <c r="Z244" s="377"/>
      <c r="AA244" s="377"/>
      <c r="AB244" s="379"/>
      <c r="AC244" s="377"/>
      <c r="AD244" s="377"/>
      <c r="AE244" s="377"/>
      <c r="AF244" s="390"/>
      <c r="AG244" s="110">
        <v>154</v>
      </c>
    </row>
    <row r="245" spans="1:33" s="6" customFormat="1" ht="38.25" customHeight="1" thickBot="1" x14ac:dyDescent="0.3">
      <c r="A245" s="217" t="s">
        <v>146</v>
      </c>
      <c r="B245" s="151" t="s">
        <v>146</v>
      </c>
      <c r="C245" s="203" t="s">
        <v>421</v>
      </c>
      <c r="D245" s="141">
        <f t="shared" ref="D245" si="156">SUM(D246:D251)</f>
        <v>0</v>
      </c>
      <c r="E245" s="141">
        <f t="shared" ref="E245" si="157">SUM(E246:E251)</f>
        <v>0</v>
      </c>
      <c r="F245" s="141">
        <f t="shared" ref="F245" si="158">SUM(F246:F251)</f>
        <v>0</v>
      </c>
      <c r="G245" s="141">
        <f t="shared" ref="G245" si="159">SUM(G246:G251)</f>
        <v>0</v>
      </c>
      <c r="H245" s="141">
        <f t="shared" ref="H245" si="160">SUM(H246:H251)</f>
        <v>0</v>
      </c>
      <c r="I245" s="141">
        <f t="shared" ref="I245" si="161">SUM(I246:I251)</f>
        <v>0</v>
      </c>
      <c r="J245" s="141">
        <f t="shared" ref="J245" si="162">SUM(J246:J251)</f>
        <v>0</v>
      </c>
      <c r="K245" s="141">
        <f t="shared" ref="K245" si="163">SUM(K246:K251)</f>
        <v>0</v>
      </c>
      <c r="L245" s="141">
        <f t="shared" ref="L245" si="164">SUM(L246:L251)</f>
        <v>0</v>
      </c>
      <c r="M245" s="141">
        <f t="shared" ref="M245:AB245" si="165">SUM(M246:M251)</f>
        <v>0</v>
      </c>
      <c r="N245" s="141">
        <f t="shared" si="165"/>
        <v>0</v>
      </c>
      <c r="O245" s="141">
        <f t="shared" si="165"/>
        <v>0</v>
      </c>
      <c r="P245" s="141">
        <f t="shared" si="165"/>
        <v>0</v>
      </c>
      <c r="Q245" s="141">
        <f t="shared" si="165"/>
        <v>0</v>
      </c>
      <c r="R245" s="141">
        <f t="shared" si="165"/>
        <v>0</v>
      </c>
      <c r="S245" s="141">
        <f t="shared" si="165"/>
        <v>0</v>
      </c>
      <c r="T245" s="141">
        <f t="shared" si="165"/>
        <v>0</v>
      </c>
      <c r="U245" s="141">
        <f t="shared" si="165"/>
        <v>0</v>
      </c>
      <c r="V245" s="141">
        <f t="shared" si="165"/>
        <v>0</v>
      </c>
      <c r="W245" s="141">
        <f t="shared" si="165"/>
        <v>0</v>
      </c>
      <c r="X245" s="141">
        <f t="shared" si="165"/>
        <v>0</v>
      </c>
      <c r="Y245" s="141">
        <f t="shared" si="165"/>
        <v>0</v>
      </c>
      <c r="Z245" s="141">
        <f t="shared" si="165"/>
        <v>0</v>
      </c>
      <c r="AA245" s="141">
        <f t="shared" si="165"/>
        <v>0</v>
      </c>
      <c r="AB245" s="141">
        <f t="shared" si="165"/>
        <v>0</v>
      </c>
      <c r="AC245" s="142"/>
      <c r="AD245" s="381" t="str">
        <f>CONCATENATE(AC245,AC246,AC247,AC248,AC249,AC250,AC251)</f>
        <v/>
      </c>
      <c r="AE245" s="143"/>
      <c r="AF245" s="386" t="str">
        <f>CONCATENATE(AE245,AE246,AE247,AE248,AE249,AE250,AE251)</f>
        <v/>
      </c>
      <c r="AG245" s="110">
        <v>155</v>
      </c>
    </row>
    <row r="246" spans="1:33" s="4" customFormat="1" ht="38.25" customHeight="1" thickBot="1" x14ac:dyDescent="0.3">
      <c r="A246" s="218" t="s">
        <v>79</v>
      </c>
      <c r="B246" s="155" t="s">
        <v>161</v>
      </c>
      <c r="C246" s="197" t="s">
        <v>422</v>
      </c>
      <c r="D246" s="38"/>
      <c r="E246" s="28"/>
      <c r="F246" s="37"/>
      <c r="G246" s="28"/>
      <c r="H246" s="37"/>
      <c r="I246" s="28"/>
      <c r="J246" s="37"/>
      <c r="K246" s="28"/>
      <c r="L246" s="28"/>
      <c r="M246" s="29"/>
      <c r="N246" s="28"/>
      <c r="O246" s="29"/>
      <c r="P246" s="28"/>
      <c r="Q246" s="29"/>
      <c r="R246" s="28"/>
      <c r="S246" s="29"/>
      <c r="T246" s="28"/>
      <c r="U246" s="29"/>
      <c r="V246" s="28"/>
      <c r="W246" s="29"/>
      <c r="X246" s="28"/>
      <c r="Y246" s="29"/>
      <c r="Z246" s="28"/>
      <c r="AA246" s="111"/>
      <c r="AB246" s="108">
        <f t="shared" ref="AB246:AB247" si="166">SUM(D246:AA246)</f>
        <v>0</v>
      </c>
      <c r="AC246" s="133"/>
      <c r="AD246" s="382"/>
      <c r="AE246" s="124"/>
      <c r="AF246" s="387"/>
      <c r="AG246" s="110">
        <v>156</v>
      </c>
    </row>
    <row r="247" spans="1:33" s="4" customFormat="1" ht="38.25" customHeight="1" x14ac:dyDescent="0.25">
      <c r="A247" s="213" t="s">
        <v>77</v>
      </c>
      <c r="B247" s="153" t="s">
        <v>162</v>
      </c>
      <c r="C247" s="198" t="s">
        <v>423</v>
      </c>
      <c r="D247" s="112"/>
      <c r="E247" s="27"/>
      <c r="F247" s="36"/>
      <c r="G247" s="27"/>
      <c r="H247" s="36"/>
      <c r="I247" s="27"/>
      <c r="J247" s="36"/>
      <c r="K247" s="27"/>
      <c r="L247" s="25"/>
      <c r="M247" s="28"/>
      <c r="N247" s="25"/>
      <c r="O247" s="28"/>
      <c r="P247" s="25"/>
      <c r="Q247" s="28"/>
      <c r="R247" s="25"/>
      <c r="S247" s="28"/>
      <c r="T247" s="25"/>
      <c r="U247" s="28"/>
      <c r="V247" s="25"/>
      <c r="W247" s="28"/>
      <c r="X247" s="25"/>
      <c r="Y247" s="28"/>
      <c r="Z247" s="25"/>
      <c r="AA247" s="28"/>
      <c r="AB247" s="101">
        <f t="shared" si="166"/>
        <v>0</v>
      </c>
      <c r="AC247" s="134"/>
      <c r="AD247" s="382"/>
      <c r="AE247" s="124"/>
      <c r="AF247" s="387"/>
      <c r="AG247" s="110">
        <v>157</v>
      </c>
    </row>
    <row r="248" spans="1:33" s="4" customFormat="1" ht="38.25" customHeight="1" x14ac:dyDescent="0.25">
      <c r="A248" s="213" t="s">
        <v>123</v>
      </c>
      <c r="B248" s="153" t="s">
        <v>163</v>
      </c>
      <c r="C248" s="198" t="s">
        <v>424</v>
      </c>
      <c r="D248" s="112"/>
      <c r="E248" s="27"/>
      <c r="F248" s="36"/>
      <c r="G248" s="27"/>
      <c r="H248" s="36"/>
      <c r="I248" s="27"/>
      <c r="J248" s="36"/>
      <c r="K248" s="27"/>
      <c r="L248" s="25"/>
      <c r="M248" s="25"/>
      <c r="N248" s="25"/>
      <c r="O248" s="25"/>
      <c r="P248" s="25"/>
      <c r="Q248" s="25"/>
      <c r="R248" s="25"/>
      <c r="S248" s="25"/>
      <c r="T248" s="25"/>
      <c r="U248" s="25"/>
      <c r="V248" s="25"/>
      <c r="W248" s="25"/>
      <c r="X248" s="25"/>
      <c r="Y248" s="25"/>
      <c r="Z248" s="25"/>
      <c r="AA248" s="113"/>
      <c r="AB248" s="101">
        <f t="shared" ref="AB248:AB250" si="167">SUM(D248:AA248)</f>
        <v>0</v>
      </c>
      <c r="AC248" s="134"/>
      <c r="AD248" s="382"/>
      <c r="AE248" s="124"/>
      <c r="AF248" s="387"/>
      <c r="AG248" s="110">
        <v>158</v>
      </c>
    </row>
    <row r="249" spans="1:33" s="4" customFormat="1" ht="38.25" customHeight="1" x14ac:dyDescent="0.25">
      <c r="A249" s="213" t="s">
        <v>167</v>
      </c>
      <c r="B249" s="153" t="s">
        <v>164</v>
      </c>
      <c r="C249" s="198" t="s">
        <v>425</v>
      </c>
      <c r="D249" s="112"/>
      <c r="E249" s="27"/>
      <c r="F249" s="36"/>
      <c r="G249" s="27"/>
      <c r="H249" s="36"/>
      <c r="I249" s="27"/>
      <c r="J249" s="36"/>
      <c r="K249" s="27"/>
      <c r="L249" s="25"/>
      <c r="M249" s="25"/>
      <c r="N249" s="25"/>
      <c r="O249" s="25"/>
      <c r="P249" s="25"/>
      <c r="Q249" s="25"/>
      <c r="R249" s="25"/>
      <c r="S249" s="25"/>
      <c r="T249" s="25"/>
      <c r="U249" s="25"/>
      <c r="V249" s="25"/>
      <c r="W249" s="25"/>
      <c r="X249" s="25"/>
      <c r="Y249" s="25"/>
      <c r="Z249" s="25"/>
      <c r="AA249" s="113"/>
      <c r="AB249" s="101">
        <f t="shared" si="167"/>
        <v>0</v>
      </c>
      <c r="AC249" s="134"/>
      <c r="AD249" s="382"/>
      <c r="AE249" s="124"/>
      <c r="AF249" s="387"/>
      <c r="AG249" s="110">
        <v>159</v>
      </c>
    </row>
    <row r="250" spans="1:33" s="4" customFormat="1" ht="38.25" customHeight="1" thickBot="1" x14ac:dyDescent="0.3">
      <c r="A250" s="213" t="s">
        <v>76</v>
      </c>
      <c r="B250" s="153" t="s">
        <v>165</v>
      </c>
      <c r="C250" s="198" t="s">
        <v>426</v>
      </c>
      <c r="D250" s="112"/>
      <c r="E250" s="27"/>
      <c r="F250" s="36"/>
      <c r="G250" s="27"/>
      <c r="H250" s="36"/>
      <c r="I250" s="27"/>
      <c r="J250" s="36"/>
      <c r="K250" s="27"/>
      <c r="L250" s="25"/>
      <c r="M250" s="25"/>
      <c r="N250" s="25"/>
      <c r="O250" s="25"/>
      <c r="P250" s="25"/>
      <c r="Q250" s="25"/>
      <c r="R250" s="25"/>
      <c r="S250" s="25"/>
      <c r="T250" s="25"/>
      <c r="U250" s="25"/>
      <c r="V250" s="25"/>
      <c r="W250" s="25"/>
      <c r="X250" s="25"/>
      <c r="Y250" s="25"/>
      <c r="Z250" s="25"/>
      <c r="AA250" s="113"/>
      <c r="AB250" s="102">
        <f t="shared" si="167"/>
        <v>0</v>
      </c>
      <c r="AC250" s="135"/>
      <c r="AD250" s="382"/>
      <c r="AE250" s="124"/>
      <c r="AF250" s="387"/>
      <c r="AG250" s="110">
        <v>160</v>
      </c>
    </row>
    <row r="251" spans="1:33" s="4" customFormat="1" ht="38.25" customHeight="1" thickBot="1" x14ac:dyDescent="0.3">
      <c r="A251" s="219" t="s">
        <v>435</v>
      </c>
      <c r="B251" s="154" t="s">
        <v>166</v>
      </c>
      <c r="C251" s="203" t="s">
        <v>427</v>
      </c>
      <c r="D251" s="114"/>
      <c r="E251" s="98"/>
      <c r="F251" s="97"/>
      <c r="G251" s="98"/>
      <c r="H251" s="97"/>
      <c r="I251" s="98"/>
      <c r="J251" s="97"/>
      <c r="K251" s="98"/>
      <c r="L251" s="98"/>
      <c r="M251" s="98"/>
      <c r="N251" s="98"/>
      <c r="O251" s="98"/>
      <c r="P251" s="98"/>
      <c r="Q251" s="98"/>
      <c r="R251" s="98"/>
      <c r="S251" s="98"/>
      <c r="T251" s="98"/>
      <c r="U251" s="98"/>
      <c r="V251" s="98"/>
      <c r="W251" s="98"/>
      <c r="X251" s="98"/>
      <c r="Y251" s="98"/>
      <c r="Z251" s="98"/>
      <c r="AA251" s="232"/>
      <c r="AB251" s="233"/>
      <c r="AC251" s="134"/>
      <c r="AD251" s="422"/>
      <c r="AE251" s="124"/>
      <c r="AF251" s="388"/>
      <c r="AG251" s="110">
        <v>161</v>
      </c>
    </row>
    <row r="252" spans="1:33" ht="45.75" customHeight="1" thickBot="1" x14ac:dyDescent="0.8">
      <c r="A252" s="220" t="s">
        <v>40</v>
      </c>
      <c r="B252" s="157"/>
      <c r="F252" s="2"/>
      <c r="G252" s="2"/>
      <c r="I252" s="2"/>
      <c r="J252" s="2"/>
      <c r="M252" s="2"/>
      <c r="N252" s="2"/>
      <c r="O252" s="2"/>
      <c r="Q252" s="2"/>
      <c r="X252" s="2"/>
    </row>
    <row r="254" spans="1:33" ht="36" thickBot="1" x14ac:dyDescent="0.8">
      <c r="A254" s="209"/>
      <c r="B254" s="159"/>
      <c r="E254" s="2"/>
      <c r="F254" s="2"/>
      <c r="G254" s="2"/>
      <c r="H254" s="2"/>
      <c r="I254" s="2"/>
      <c r="J254" s="2"/>
      <c r="K254" s="2"/>
      <c r="L254" s="2"/>
      <c r="M254" s="2"/>
    </row>
    <row r="255" spans="1:33" s="45" customFormat="1" ht="41.25" customHeight="1" thickBot="1" x14ac:dyDescent="0.3">
      <c r="A255" s="540" t="s">
        <v>66</v>
      </c>
      <c r="B255" s="541"/>
      <c r="C255" s="541"/>
      <c r="D255" s="541"/>
      <c r="E255" s="541"/>
      <c r="F255" s="541"/>
      <c r="G255" s="541"/>
      <c r="H255" s="541"/>
      <c r="I255" s="541"/>
      <c r="J255" s="541"/>
      <c r="K255" s="541"/>
      <c r="L255" s="541"/>
      <c r="M255" s="542" t="s">
        <v>63</v>
      </c>
      <c r="N255" s="541"/>
      <c r="O255" s="541"/>
      <c r="P255" s="541"/>
      <c r="Q255" s="541"/>
      <c r="R255" s="541"/>
      <c r="S255" s="541"/>
      <c r="T255" s="541"/>
      <c r="U255" s="541"/>
      <c r="V255" s="541"/>
      <c r="W255" s="541"/>
      <c r="X255" s="541"/>
      <c r="Y255" s="541"/>
      <c r="Z255" s="541"/>
      <c r="AA255" s="541"/>
      <c r="AB255" s="541"/>
      <c r="AC255" s="541"/>
      <c r="AD255" s="541"/>
      <c r="AE255" s="541"/>
      <c r="AF255" s="543"/>
      <c r="AG255" s="93"/>
    </row>
    <row r="256" spans="1:33" ht="30.75" customHeight="1" x14ac:dyDescent="0.5">
      <c r="A256" s="531" t="str">
        <f>CONCATENATE(AD110,AD24,AD61,AD67,AD119,AD186,AD203,AD217,AD231,AD245,AD157,AD149,AD142,AD135,AD45,AD52)</f>
        <v/>
      </c>
      <c r="B256" s="532"/>
      <c r="C256" s="532"/>
      <c r="D256" s="532"/>
      <c r="E256" s="532"/>
      <c r="F256" s="532"/>
      <c r="G256" s="532"/>
      <c r="H256" s="532"/>
      <c r="I256" s="532"/>
      <c r="J256" s="532"/>
      <c r="K256" s="532"/>
      <c r="L256" s="533"/>
      <c r="M256" s="544" t="str">
        <f>IF(LEN(A256)&lt;=0,"","Please ensure you solve the errors appearing on the left . However, In the cases where the errors are valid and can be explained ( We expect this to be very rare cases), Please delete this message and type the  justification for the error here)")</f>
        <v/>
      </c>
      <c r="N256" s="545"/>
      <c r="O256" s="545"/>
      <c r="P256" s="545"/>
      <c r="Q256" s="545"/>
      <c r="R256" s="545"/>
      <c r="S256" s="545"/>
      <c r="T256" s="545"/>
      <c r="U256" s="545"/>
      <c r="V256" s="545"/>
      <c r="W256" s="545"/>
      <c r="X256" s="545"/>
      <c r="Y256" s="545"/>
      <c r="Z256" s="545"/>
      <c r="AA256" s="545"/>
      <c r="AB256" s="545"/>
      <c r="AC256" s="545"/>
      <c r="AD256" s="545"/>
      <c r="AE256" s="545"/>
      <c r="AF256" s="546"/>
    </row>
    <row r="257" spans="1:32" ht="25.5" customHeight="1" x14ac:dyDescent="0.5">
      <c r="A257" s="534"/>
      <c r="B257" s="535"/>
      <c r="C257" s="535"/>
      <c r="D257" s="535"/>
      <c r="E257" s="535"/>
      <c r="F257" s="535"/>
      <c r="G257" s="535"/>
      <c r="H257" s="535"/>
      <c r="I257" s="535"/>
      <c r="J257" s="535"/>
      <c r="K257" s="535"/>
      <c r="L257" s="536"/>
      <c r="M257" s="547"/>
      <c r="N257" s="548"/>
      <c r="O257" s="548"/>
      <c r="P257" s="548"/>
      <c r="Q257" s="548"/>
      <c r="R257" s="548"/>
      <c r="S257" s="548"/>
      <c r="T257" s="548"/>
      <c r="U257" s="548"/>
      <c r="V257" s="548"/>
      <c r="W257" s="548"/>
      <c r="X257" s="548"/>
      <c r="Y257" s="548"/>
      <c r="Z257" s="548"/>
      <c r="AA257" s="548"/>
      <c r="AB257" s="548"/>
      <c r="AC257" s="548"/>
      <c r="AD257" s="548"/>
      <c r="AE257" s="548"/>
      <c r="AF257" s="549"/>
    </row>
    <row r="258" spans="1:32" ht="30.75" customHeight="1" x14ac:dyDescent="0.5">
      <c r="A258" s="534"/>
      <c r="B258" s="535"/>
      <c r="C258" s="535"/>
      <c r="D258" s="535"/>
      <c r="E258" s="535"/>
      <c r="F258" s="535"/>
      <c r="G258" s="535"/>
      <c r="H258" s="535"/>
      <c r="I258" s="535"/>
      <c r="J258" s="535"/>
      <c r="K258" s="535"/>
      <c r="L258" s="536"/>
      <c r="M258" s="547"/>
      <c r="N258" s="548"/>
      <c r="O258" s="548"/>
      <c r="P258" s="548"/>
      <c r="Q258" s="548"/>
      <c r="R258" s="548"/>
      <c r="S258" s="548"/>
      <c r="T258" s="548"/>
      <c r="U258" s="548"/>
      <c r="V258" s="548"/>
      <c r="W258" s="548"/>
      <c r="X258" s="548"/>
      <c r="Y258" s="548"/>
      <c r="Z258" s="548"/>
      <c r="AA258" s="548"/>
      <c r="AB258" s="548"/>
      <c r="AC258" s="548"/>
      <c r="AD258" s="548"/>
      <c r="AE258" s="548"/>
      <c r="AF258" s="549"/>
    </row>
    <row r="259" spans="1:32" ht="25.5" customHeight="1" x14ac:dyDescent="0.5">
      <c r="A259" s="534"/>
      <c r="B259" s="535"/>
      <c r="C259" s="535"/>
      <c r="D259" s="535"/>
      <c r="E259" s="535"/>
      <c r="F259" s="535"/>
      <c r="G259" s="535"/>
      <c r="H259" s="535"/>
      <c r="I259" s="535"/>
      <c r="J259" s="535"/>
      <c r="K259" s="535"/>
      <c r="L259" s="536"/>
      <c r="M259" s="547"/>
      <c r="N259" s="548"/>
      <c r="O259" s="548"/>
      <c r="P259" s="548"/>
      <c r="Q259" s="548"/>
      <c r="R259" s="548"/>
      <c r="S259" s="548"/>
      <c r="T259" s="548"/>
      <c r="U259" s="548"/>
      <c r="V259" s="548"/>
      <c r="W259" s="548"/>
      <c r="X259" s="548"/>
      <c r="Y259" s="548"/>
      <c r="Z259" s="548"/>
      <c r="AA259" s="548"/>
      <c r="AB259" s="548"/>
      <c r="AC259" s="548"/>
      <c r="AD259" s="548"/>
      <c r="AE259" s="548"/>
      <c r="AF259" s="549"/>
    </row>
    <row r="260" spans="1:32" ht="25.5" customHeight="1" x14ac:dyDescent="0.5">
      <c r="A260" s="534"/>
      <c r="B260" s="535"/>
      <c r="C260" s="535"/>
      <c r="D260" s="535"/>
      <c r="E260" s="535"/>
      <c r="F260" s="535"/>
      <c r="G260" s="535"/>
      <c r="H260" s="535"/>
      <c r="I260" s="535"/>
      <c r="J260" s="535"/>
      <c r="K260" s="535"/>
      <c r="L260" s="536"/>
      <c r="M260" s="547"/>
      <c r="N260" s="548"/>
      <c r="O260" s="548"/>
      <c r="P260" s="548"/>
      <c r="Q260" s="548"/>
      <c r="R260" s="548"/>
      <c r="S260" s="548"/>
      <c r="T260" s="548"/>
      <c r="U260" s="548"/>
      <c r="V260" s="548"/>
      <c r="W260" s="548"/>
      <c r="X260" s="548"/>
      <c r="Y260" s="548"/>
      <c r="Z260" s="548"/>
      <c r="AA260" s="548"/>
      <c r="AB260" s="548"/>
      <c r="AC260" s="548"/>
      <c r="AD260" s="548"/>
      <c r="AE260" s="548"/>
      <c r="AF260" s="549"/>
    </row>
    <row r="261" spans="1:32" ht="25.5" customHeight="1" x14ac:dyDescent="0.5">
      <c r="A261" s="534"/>
      <c r="B261" s="535"/>
      <c r="C261" s="535"/>
      <c r="D261" s="535"/>
      <c r="E261" s="535"/>
      <c r="F261" s="535"/>
      <c r="G261" s="535"/>
      <c r="H261" s="535"/>
      <c r="I261" s="535"/>
      <c r="J261" s="535"/>
      <c r="K261" s="535"/>
      <c r="L261" s="536"/>
      <c r="M261" s="547"/>
      <c r="N261" s="548"/>
      <c r="O261" s="548"/>
      <c r="P261" s="548"/>
      <c r="Q261" s="548"/>
      <c r="R261" s="548"/>
      <c r="S261" s="548"/>
      <c r="T261" s="548"/>
      <c r="U261" s="548"/>
      <c r="V261" s="548"/>
      <c r="W261" s="548"/>
      <c r="X261" s="548"/>
      <c r="Y261" s="548"/>
      <c r="Z261" s="548"/>
      <c r="AA261" s="548"/>
      <c r="AB261" s="548"/>
      <c r="AC261" s="548"/>
      <c r="AD261" s="548"/>
      <c r="AE261" s="548"/>
      <c r="AF261" s="549"/>
    </row>
    <row r="262" spans="1:32" ht="25.5" customHeight="1" x14ac:dyDescent="0.5">
      <c r="A262" s="534"/>
      <c r="B262" s="535"/>
      <c r="C262" s="535"/>
      <c r="D262" s="535"/>
      <c r="E262" s="535"/>
      <c r="F262" s="535"/>
      <c r="G262" s="535"/>
      <c r="H262" s="535"/>
      <c r="I262" s="535"/>
      <c r="J262" s="535"/>
      <c r="K262" s="535"/>
      <c r="L262" s="536"/>
      <c r="M262" s="547"/>
      <c r="N262" s="548"/>
      <c r="O262" s="548"/>
      <c r="P262" s="548"/>
      <c r="Q262" s="548"/>
      <c r="R262" s="548"/>
      <c r="S262" s="548"/>
      <c r="T262" s="548"/>
      <c r="U262" s="548"/>
      <c r="V262" s="548"/>
      <c r="W262" s="548"/>
      <c r="X262" s="548"/>
      <c r="Y262" s="548"/>
      <c r="Z262" s="548"/>
      <c r="AA262" s="548"/>
      <c r="AB262" s="548"/>
      <c r="AC262" s="548"/>
      <c r="AD262" s="548"/>
      <c r="AE262" s="548"/>
      <c r="AF262" s="549"/>
    </row>
    <row r="263" spans="1:32" ht="25.5" customHeight="1" x14ac:dyDescent="0.5">
      <c r="A263" s="534"/>
      <c r="B263" s="535"/>
      <c r="C263" s="535"/>
      <c r="D263" s="535"/>
      <c r="E263" s="535"/>
      <c r="F263" s="535"/>
      <c r="G263" s="535"/>
      <c r="H263" s="535"/>
      <c r="I263" s="535"/>
      <c r="J263" s="535"/>
      <c r="K263" s="535"/>
      <c r="L263" s="536"/>
      <c r="M263" s="547"/>
      <c r="N263" s="548"/>
      <c r="O263" s="548"/>
      <c r="P263" s="548"/>
      <c r="Q263" s="548"/>
      <c r="R263" s="548"/>
      <c r="S263" s="548"/>
      <c r="T263" s="548"/>
      <c r="U263" s="548"/>
      <c r="V263" s="548"/>
      <c r="W263" s="548"/>
      <c r="X263" s="548"/>
      <c r="Y263" s="548"/>
      <c r="Z263" s="548"/>
      <c r="AA263" s="548"/>
      <c r="AB263" s="548"/>
      <c r="AC263" s="548"/>
      <c r="AD263" s="548"/>
      <c r="AE263" s="548"/>
      <c r="AF263" s="549"/>
    </row>
    <row r="264" spans="1:32" ht="25.5" customHeight="1" x14ac:dyDescent="0.5">
      <c r="A264" s="534"/>
      <c r="B264" s="535"/>
      <c r="C264" s="535"/>
      <c r="D264" s="535"/>
      <c r="E264" s="535"/>
      <c r="F264" s="535"/>
      <c r="G264" s="535"/>
      <c r="H264" s="535"/>
      <c r="I264" s="535"/>
      <c r="J264" s="535"/>
      <c r="K264" s="535"/>
      <c r="L264" s="536"/>
      <c r="M264" s="547"/>
      <c r="N264" s="548"/>
      <c r="O264" s="548"/>
      <c r="P264" s="548"/>
      <c r="Q264" s="548"/>
      <c r="R264" s="548"/>
      <c r="S264" s="548"/>
      <c r="T264" s="548"/>
      <c r="U264" s="548"/>
      <c r="V264" s="548"/>
      <c r="W264" s="548"/>
      <c r="X264" s="548"/>
      <c r="Y264" s="548"/>
      <c r="Z264" s="548"/>
      <c r="AA264" s="548"/>
      <c r="AB264" s="548"/>
      <c r="AC264" s="548"/>
      <c r="AD264" s="548"/>
      <c r="AE264" s="548"/>
      <c r="AF264" s="549"/>
    </row>
    <row r="265" spans="1:32" ht="25.5" customHeight="1" x14ac:dyDescent="0.5">
      <c r="A265" s="534"/>
      <c r="B265" s="535"/>
      <c r="C265" s="535"/>
      <c r="D265" s="535"/>
      <c r="E265" s="535"/>
      <c r="F265" s="535"/>
      <c r="G265" s="535"/>
      <c r="H265" s="535"/>
      <c r="I265" s="535"/>
      <c r="J265" s="535"/>
      <c r="K265" s="535"/>
      <c r="L265" s="536"/>
      <c r="M265" s="547"/>
      <c r="N265" s="548"/>
      <c r="O265" s="548"/>
      <c r="P265" s="548"/>
      <c r="Q265" s="548"/>
      <c r="R265" s="548"/>
      <c r="S265" s="548"/>
      <c r="T265" s="548"/>
      <c r="U265" s="548"/>
      <c r="V265" s="548"/>
      <c r="W265" s="548"/>
      <c r="X265" s="548"/>
      <c r="Y265" s="548"/>
      <c r="Z265" s="548"/>
      <c r="AA265" s="548"/>
      <c r="AB265" s="548"/>
      <c r="AC265" s="548"/>
      <c r="AD265" s="548"/>
      <c r="AE265" s="548"/>
      <c r="AF265" s="549"/>
    </row>
    <row r="266" spans="1:32" ht="25.5" customHeight="1" x14ac:dyDescent="0.5">
      <c r="A266" s="534"/>
      <c r="B266" s="535"/>
      <c r="C266" s="535"/>
      <c r="D266" s="535"/>
      <c r="E266" s="535"/>
      <c r="F266" s="535"/>
      <c r="G266" s="535"/>
      <c r="H266" s="535"/>
      <c r="I266" s="535"/>
      <c r="J266" s="535"/>
      <c r="K266" s="535"/>
      <c r="L266" s="536"/>
      <c r="M266" s="547"/>
      <c r="N266" s="548"/>
      <c r="O266" s="548"/>
      <c r="P266" s="548"/>
      <c r="Q266" s="548"/>
      <c r="R266" s="548"/>
      <c r="S266" s="548"/>
      <c r="T266" s="548"/>
      <c r="U266" s="548"/>
      <c r="V266" s="548"/>
      <c r="W266" s="548"/>
      <c r="X266" s="548"/>
      <c r="Y266" s="548"/>
      <c r="Z266" s="548"/>
      <c r="AA266" s="548"/>
      <c r="AB266" s="548"/>
      <c r="AC266" s="548"/>
      <c r="AD266" s="548"/>
      <c r="AE266" s="548"/>
      <c r="AF266" s="549"/>
    </row>
    <row r="267" spans="1:32" ht="25.5" customHeight="1" x14ac:dyDescent="0.5">
      <c r="A267" s="534"/>
      <c r="B267" s="535"/>
      <c r="C267" s="535"/>
      <c r="D267" s="535"/>
      <c r="E267" s="535"/>
      <c r="F267" s="535"/>
      <c r="G267" s="535"/>
      <c r="H267" s="535"/>
      <c r="I267" s="535"/>
      <c r="J267" s="535"/>
      <c r="K267" s="535"/>
      <c r="L267" s="536"/>
      <c r="M267" s="547"/>
      <c r="N267" s="548"/>
      <c r="O267" s="548"/>
      <c r="P267" s="548"/>
      <c r="Q267" s="548"/>
      <c r="R267" s="548"/>
      <c r="S267" s="548"/>
      <c r="T267" s="548"/>
      <c r="U267" s="548"/>
      <c r="V267" s="548"/>
      <c r="W267" s="548"/>
      <c r="X267" s="548"/>
      <c r="Y267" s="548"/>
      <c r="Z267" s="548"/>
      <c r="AA267" s="548"/>
      <c r="AB267" s="548"/>
      <c r="AC267" s="548"/>
      <c r="AD267" s="548"/>
      <c r="AE267" s="548"/>
      <c r="AF267" s="549"/>
    </row>
    <row r="268" spans="1:32" ht="25.5" customHeight="1" x14ac:dyDescent="0.5">
      <c r="A268" s="534"/>
      <c r="B268" s="535"/>
      <c r="C268" s="535"/>
      <c r="D268" s="535"/>
      <c r="E268" s="535"/>
      <c r="F268" s="535"/>
      <c r="G268" s="535"/>
      <c r="H268" s="535"/>
      <c r="I268" s="535"/>
      <c r="J268" s="535"/>
      <c r="K268" s="535"/>
      <c r="L268" s="536"/>
      <c r="M268" s="547"/>
      <c r="N268" s="548"/>
      <c r="O268" s="548"/>
      <c r="P268" s="548"/>
      <c r="Q268" s="548"/>
      <c r="R268" s="548"/>
      <c r="S268" s="548"/>
      <c r="T268" s="548"/>
      <c r="U268" s="548"/>
      <c r="V268" s="548"/>
      <c r="W268" s="548"/>
      <c r="X268" s="548"/>
      <c r="Y268" s="548"/>
      <c r="Z268" s="548"/>
      <c r="AA268" s="548"/>
      <c r="AB268" s="548"/>
      <c r="AC268" s="548"/>
      <c r="AD268" s="548"/>
      <c r="AE268" s="548"/>
      <c r="AF268" s="549"/>
    </row>
    <row r="269" spans="1:32" ht="25.5" customHeight="1" x14ac:dyDescent="0.5">
      <c r="A269" s="534"/>
      <c r="B269" s="535"/>
      <c r="C269" s="535"/>
      <c r="D269" s="535"/>
      <c r="E269" s="535"/>
      <c r="F269" s="535"/>
      <c r="G269" s="535"/>
      <c r="H269" s="535"/>
      <c r="I269" s="535"/>
      <c r="J269" s="535"/>
      <c r="K269" s="535"/>
      <c r="L269" s="536"/>
      <c r="M269" s="547"/>
      <c r="N269" s="548"/>
      <c r="O269" s="548"/>
      <c r="P269" s="548"/>
      <c r="Q269" s="548"/>
      <c r="R269" s="548"/>
      <c r="S269" s="548"/>
      <c r="T269" s="548"/>
      <c r="U269" s="548"/>
      <c r="V269" s="548"/>
      <c r="W269" s="548"/>
      <c r="X269" s="548"/>
      <c r="Y269" s="548"/>
      <c r="Z269" s="548"/>
      <c r="AA269" s="548"/>
      <c r="AB269" s="548"/>
      <c r="AC269" s="548"/>
      <c r="AD269" s="548"/>
      <c r="AE269" s="548"/>
      <c r="AF269" s="549"/>
    </row>
    <row r="270" spans="1:32" ht="25.5" customHeight="1" x14ac:dyDescent="0.5">
      <c r="A270" s="534"/>
      <c r="B270" s="535"/>
      <c r="C270" s="535"/>
      <c r="D270" s="535"/>
      <c r="E270" s="535"/>
      <c r="F270" s="535"/>
      <c r="G270" s="535"/>
      <c r="H270" s="535"/>
      <c r="I270" s="535"/>
      <c r="J270" s="535"/>
      <c r="K270" s="535"/>
      <c r="L270" s="536"/>
      <c r="M270" s="547"/>
      <c r="N270" s="548"/>
      <c r="O270" s="548"/>
      <c r="P270" s="548"/>
      <c r="Q270" s="548"/>
      <c r="R270" s="548"/>
      <c r="S270" s="548"/>
      <c r="T270" s="548"/>
      <c r="U270" s="548"/>
      <c r="V270" s="548"/>
      <c r="W270" s="548"/>
      <c r="X270" s="548"/>
      <c r="Y270" s="548"/>
      <c r="Z270" s="548"/>
      <c r="AA270" s="548"/>
      <c r="AB270" s="548"/>
      <c r="AC270" s="548"/>
      <c r="AD270" s="548"/>
      <c r="AE270" s="548"/>
      <c r="AF270" s="549"/>
    </row>
    <row r="271" spans="1:32" ht="25.5" customHeight="1" x14ac:dyDescent="0.5">
      <c r="A271" s="534"/>
      <c r="B271" s="535"/>
      <c r="C271" s="535"/>
      <c r="D271" s="535"/>
      <c r="E271" s="535"/>
      <c r="F271" s="535"/>
      <c r="G271" s="535"/>
      <c r="H271" s="535"/>
      <c r="I271" s="535"/>
      <c r="J271" s="535"/>
      <c r="K271" s="535"/>
      <c r="L271" s="536"/>
      <c r="M271" s="547"/>
      <c r="N271" s="548"/>
      <c r="O271" s="548"/>
      <c r="P271" s="548"/>
      <c r="Q271" s="548"/>
      <c r="R271" s="548"/>
      <c r="S271" s="548"/>
      <c r="T271" s="548"/>
      <c r="U271" s="548"/>
      <c r="V271" s="548"/>
      <c r="W271" s="548"/>
      <c r="X271" s="548"/>
      <c r="Y271" s="548"/>
      <c r="Z271" s="548"/>
      <c r="AA271" s="548"/>
      <c r="AB271" s="548"/>
      <c r="AC271" s="548"/>
      <c r="AD271" s="548"/>
      <c r="AE271" s="548"/>
      <c r="AF271" s="549"/>
    </row>
    <row r="272" spans="1:32" ht="25.5" customHeight="1" x14ac:dyDescent="0.5">
      <c r="A272" s="534"/>
      <c r="B272" s="535"/>
      <c r="C272" s="535"/>
      <c r="D272" s="535"/>
      <c r="E272" s="535"/>
      <c r="F272" s="535"/>
      <c r="G272" s="535"/>
      <c r="H272" s="535"/>
      <c r="I272" s="535"/>
      <c r="J272" s="535"/>
      <c r="K272" s="535"/>
      <c r="L272" s="536"/>
      <c r="M272" s="547"/>
      <c r="N272" s="548"/>
      <c r="O272" s="548"/>
      <c r="P272" s="548"/>
      <c r="Q272" s="548"/>
      <c r="R272" s="548"/>
      <c r="S272" s="548"/>
      <c r="T272" s="548"/>
      <c r="U272" s="548"/>
      <c r="V272" s="548"/>
      <c r="W272" s="548"/>
      <c r="X272" s="548"/>
      <c r="Y272" s="548"/>
      <c r="Z272" s="548"/>
      <c r="AA272" s="548"/>
      <c r="AB272" s="548"/>
      <c r="AC272" s="548"/>
      <c r="AD272" s="548"/>
      <c r="AE272" s="548"/>
      <c r="AF272" s="549"/>
    </row>
    <row r="273" spans="1:33" ht="25.5" customHeight="1" x14ac:dyDescent="0.5">
      <c r="A273" s="534"/>
      <c r="B273" s="535"/>
      <c r="C273" s="535"/>
      <c r="D273" s="535"/>
      <c r="E273" s="535"/>
      <c r="F273" s="535"/>
      <c r="G273" s="535"/>
      <c r="H273" s="535"/>
      <c r="I273" s="535"/>
      <c r="J273" s="535"/>
      <c r="K273" s="535"/>
      <c r="L273" s="536"/>
      <c r="M273" s="547"/>
      <c r="N273" s="548"/>
      <c r="O273" s="548"/>
      <c r="P273" s="548"/>
      <c r="Q273" s="548"/>
      <c r="R273" s="548"/>
      <c r="S273" s="548"/>
      <c r="T273" s="548"/>
      <c r="U273" s="548"/>
      <c r="V273" s="548"/>
      <c r="W273" s="548"/>
      <c r="X273" s="548"/>
      <c r="Y273" s="548"/>
      <c r="Z273" s="548"/>
      <c r="AA273" s="548"/>
      <c r="AB273" s="548"/>
      <c r="AC273" s="548"/>
      <c r="AD273" s="548"/>
      <c r="AE273" s="548"/>
      <c r="AF273" s="549"/>
    </row>
    <row r="274" spans="1:33" ht="25.5" customHeight="1" x14ac:dyDescent="0.5">
      <c r="A274" s="534"/>
      <c r="B274" s="535"/>
      <c r="C274" s="535"/>
      <c r="D274" s="535"/>
      <c r="E274" s="535"/>
      <c r="F274" s="535"/>
      <c r="G274" s="535"/>
      <c r="H274" s="535"/>
      <c r="I274" s="535"/>
      <c r="J274" s="535"/>
      <c r="K274" s="535"/>
      <c r="L274" s="536"/>
      <c r="M274" s="547"/>
      <c r="N274" s="548"/>
      <c r="O274" s="548"/>
      <c r="P274" s="548"/>
      <c r="Q274" s="548"/>
      <c r="R274" s="548"/>
      <c r="S274" s="548"/>
      <c r="T274" s="548"/>
      <c r="U274" s="548"/>
      <c r="V274" s="548"/>
      <c r="W274" s="548"/>
      <c r="X274" s="548"/>
      <c r="Y274" s="548"/>
      <c r="Z274" s="548"/>
      <c r="AA274" s="548"/>
      <c r="AB274" s="548"/>
      <c r="AC274" s="548"/>
      <c r="AD274" s="548"/>
      <c r="AE274" s="548"/>
      <c r="AF274" s="549"/>
    </row>
    <row r="275" spans="1:33" ht="25.5" customHeight="1" x14ac:dyDescent="0.5">
      <c r="A275" s="534"/>
      <c r="B275" s="535"/>
      <c r="C275" s="535"/>
      <c r="D275" s="535"/>
      <c r="E275" s="535"/>
      <c r="F275" s="535"/>
      <c r="G275" s="535"/>
      <c r="H275" s="535"/>
      <c r="I275" s="535"/>
      <c r="J275" s="535"/>
      <c r="K275" s="535"/>
      <c r="L275" s="536"/>
      <c r="M275" s="547"/>
      <c r="N275" s="548"/>
      <c r="O275" s="548"/>
      <c r="P275" s="548"/>
      <c r="Q275" s="548"/>
      <c r="R275" s="548"/>
      <c r="S275" s="548"/>
      <c r="T275" s="548"/>
      <c r="U275" s="548"/>
      <c r="V275" s="548"/>
      <c r="W275" s="548"/>
      <c r="X275" s="548"/>
      <c r="Y275" s="548"/>
      <c r="Z275" s="548"/>
      <c r="AA275" s="548"/>
      <c r="AB275" s="548"/>
      <c r="AC275" s="548"/>
      <c r="AD275" s="548"/>
      <c r="AE275" s="548"/>
      <c r="AF275" s="549"/>
    </row>
    <row r="276" spans="1:33" ht="26.25" customHeight="1" thickBot="1" x14ac:dyDescent="0.55000000000000004">
      <c r="A276" s="537"/>
      <c r="B276" s="538"/>
      <c r="C276" s="538"/>
      <c r="D276" s="538"/>
      <c r="E276" s="538"/>
      <c r="F276" s="538"/>
      <c r="G276" s="538"/>
      <c r="H276" s="538"/>
      <c r="I276" s="538"/>
      <c r="J276" s="538"/>
      <c r="K276" s="538"/>
      <c r="L276" s="539"/>
      <c r="M276" s="550"/>
      <c r="N276" s="551"/>
      <c r="O276" s="551"/>
      <c r="P276" s="551"/>
      <c r="Q276" s="551"/>
      <c r="R276" s="551"/>
      <c r="S276" s="551"/>
      <c r="T276" s="551"/>
      <c r="U276" s="551"/>
      <c r="V276" s="551"/>
      <c r="W276" s="551"/>
      <c r="X276" s="551"/>
      <c r="Y276" s="551"/>
      <c r="Z276" s="551"/>
      <c r="AA276" s="551"/>
      <c r="AB276" s="551"/>
      <c r="AC276" s="551"/>
      <c r="AD276" s="551"/>
      <c r="AE276" s="551"/>
      <c r="AF276" s="552"/>
    </row>
    <row r="277" spans="1:33" s="44" customFormat="1" ht="41.25" customHeight="1" thickBot="1" x14ac:dyDescent="0.8">
      <c r="A277" s="526" t="s">
        <v>62</v>
      </c>
      <c r="B277" s="527"/>
      <c r="C277" s="527"/>
      <c r="D277" s="527"/>
      <c r="E277" s="527"/>
      <c r="F277" s="527"/>
      <c r="G277" s="527"/>
      <c r="H277" s="527"/>
      <c r="I277" s="527"/>
      <c r="J277" s="527"/>
      <c r="K277" s="527"/>
      <c r="L277" s="528"/>
      <c r="M277" s="529" t="s">
        <v>64</v>
      </c>
      <c r="N277" s="529"/>
      <c r="O277" s="529"/>
      <c r="P277" s="529"/>
      <c r="Q277" s="529"/>
      <c r="R277" s="529"/>
      <c r="S277" s="529"/>
      <c r="T277" s="529"/>
      <c r="U277" s="529"/>
      <c r="V277" s="529"/>
      <c r="W277" s="529"/>
      <c r="X277" s="529"/>
      <c r="Y277" s="529"/>
      <c r="Z277" s="529"/>
      <c r="AA277" s="529"/>
      <c r="AB277" s="529"/>
      <c r="AC277" s="529"/>
      <c r="AD277" s="529"/>
      <c r="AE277" s="529"/>
      <c r="AF277" s="530"/>
      <c r="AG277" s="94"/>
    </row>
    <row r="278" spans="1:33" ht="30.75" customHeight="1" x14ac:dyDescent="0.5">
      <c r="A278" s="508" t="str">
        <f>CONCATENATE(AF110,AF24,AF61,AF67,AF119,AF186,AF203,AF217,AF231,AF245,AF157,AF149,AF142,AF135,AF52,AF45)</f>
        <v/>
      </c>
      <c r="B278" s="509"/>
      <c r="C278" s="509"/>
      <c r="D278" s="509"/>
      <c r="E278" s="509"/>
      <c r="F278" s="509"/>
      <c r="G278" s="509"/>
      <c r="H278" s="509"/>
      <c r="I278" s="509"/>
      <c r="J278" s="509"/>
      <c r="K278" s="509"/>
      <c r="L278" s="510"/>
      <c r="M278" s="517"/>
      <c r="N278" s="518"/>
      <c r="O278" s="518"/>
      <c r="P278" s="518"/>
      <c r="Q278" s="518"/>
      <c r="R278" s="518"/>
      <c r="S278" s="518"/>
      <c r="T278" s="518"/>
      <c r="U278" s="518"/>
      <c r="V278" s="518"/>
      <c r="W278" s="518"/>
      <c r="X278" s="518"/>
      <c r="Y278" s="518"/>
      <c r="Z278" s="518"/>
      <c r="AA278" s="518"/>
      <c r="AB278" s="518"/>
      <c r="AC278" s="518"/>
      <c r="AD278" s="518"/>
      <c r="AE278" s="518"/>
      <c r="AF278" s="519"/>
    </row>
    <row r="279" spans="1:33" ht="30.75" customHeight="1" x14ac:dyDescent="0.5">
      <c r="A279" s="511"/>
      <c r="B279" s="512"/>
      <c r="C279" s="512"/>
      <c r="D279" s="512"/>
      <c r="E279" s="512"/>
      <c r="F279" s="512"/>
      <c r="G279" s="512"/>
      <c r="H279" s="512"/>
      <c r="I279" s="512"/>
      <c r="J279" s="512"/>
      <c r="K279" s="512"/>
      <c r="L279" s="513"/>
      <c r="M279" s="520"/>
      <c r="N279" s="521"/>
      <c r="O279" s="521"/>
      <c r="P279" s="521"/>
      <c r="Q279" s="521"/>
      <c r="R279" s="521"/>
      <c r="S279" s="521"/>
      <c r="T279" s="521"/>
      <c r="U279" s="521"/>
      <c r="V279" s="521"/>
      <c r="W279" s="521"/>
      <c r="X279" s="521"/>
      <c r="Y279" s="521"/>
      <c r="Z279" s="521"/>
      <c r="AA279" s="521"/>
      <c r="AB279" s="521"/>
      <c r="AC279" s="521"/>
      <c r="AD279" s="521"/>
      <c r="AE279" s="521"/>
      <c r="AF279" s="522"/>
    </row>
    <row r="280" spans="1:33" ht="30.75" customHeight="1" x14ac:dyDescent="0.5">
      <c r="A280" s="511"/>
      <c r="B280" s="512"/>
      <c r="C280" s="512"/>
      <c r="D280" s="512"/>
      <c r="E280" s="512"/>
      <c r="F280" s="512"/>
      <c r="G280" s="512"/>
      <c r="H280" s="512"/>
      <c r="I280" s="512"/>
      <c r="J280" s="512"/>
      <c r="K280" s="512"/>
      <c r="L280" s="513"/>
      <c r="M280" s="520"/>
      <c r="N280" s="521"/>
      <c r="O280" s="521"/>
      <c r="P280" s="521"/>
      <c r="Q280" s="521"/>
      <c r="R280" s="521"/>
      <c r="S280" s="521"/>
      <c r="T280" s="521"/>
      <c r="U280" s="521"/>
      <c r="V280" s="521"/>
      <c r="W280" s="521"/>
      <c r="X280" s="521"/>
      <c r="Y280" s="521"/>
      <c r="Z280" s="521"/>
      <c r="AA280" s="521"/>
      <c r="AB280" s="521"/>
      <c r="AC280" s="521"/>
      <c r="AD280" s="521"/>
      <c r="AE280" s="521"/>
      <c r="AF280" s="522"/>
    </row>
    <row r="281" spans="1:33" ht="30.75" customHeight="1" x14ac:dyDescent="0.5">
      <c r="A281" s="511"/>
      <c r="B281" s="512"/>
      <c r="C281" s="512"/>
      <c r="D281" s="512"/>
      <c r="E281" s="512"/>
      <c r="F281" s="512"/>
      <c r="G281" s="512"/>
      <c r="H281" s="512"/>
      <c r="I281" s="512"/>
      <c r="J281" s="512"/>
      <c r="K281" s="512"/>
      <c r="L281" s="513"/>
      <c r="M281" s="520"/>
      <c r="N281" s="521"/>
      <c r="O281" s="521"/>
      <c r="P281" s="521"/>
      <c r="Q281" s="521"/>
      <c r="R281" s="521"/>
      <c r="S281" s="521"/>
      <c r="T281" s="521"/>
      <c r="U281" s="521"/>
      <c r="V281" s="521"/>
      <c r="W281" s="521"/>
      <c r="X281" s="521"/>
      <c r="Y281" s="521"/>
      <c r="Z281" s="521"/>
      <c r="AA281" s="521"/>
      <c r="AB281" s="521"/>
      <c r="AC281" s="521"/>
      <c r="AD281" s="521"/>
      <c r="AE281" s="521"/>
      <c r="AF281" s="522"/>
    </row>
    <row r="282" spans="1:33" ht="30.75" customHeight="1" x14ac:dyDescent="0.5">
      <c r="A282" s="511"/>
      <c r="B282" s="512"/>
      <c r="C282" s="512"/>
      <c r="D282" s="512"/>
      <c r="E282" s="512"/>
      <c r="F282" s="512"/>
      <c r="G282" s="512"/>
      <c r="H282" s="512"/>
      <c r="I282" s="512"/>
      <c r="J282" s="512"/>
      <c r="K282" s="512"/>
      <c r="L282" s="513"/>
      <c r="M282" s="520"/>
      <c r="N282" s="521"/>
      <c r="O282" s="521"/>
      <c r="P282" s="521"/>
      <c r="Q282" s="521"/>
      <c r="R282" s="521"/>
      <c r="S282" s="521"/>
      <c r="T282" s="521"/>
      <c r="U282" s="521"/>
      <c r="V282" s="521"/>
      <c r="W282" s="521"/>
      <c r="X282" s="521"/>
      <c r="Y282" s="521"/>
      <c r="Z282" s="521"/>
      <c r="AA282" s="521"/>
      <c r="AB282" s="521"/>
      <c r="AC282" s="521"/>
      <c r="AD282" s="521"/>
      <c r="AE282" s="521"/>
      <c r="AF282" s="522"/>
    </row>
    <row r="283" spans="1:33" ht="30.75" customHeight="1" x14ac:dyDescent="0.5">
      <c r="A283" s="511"/>
      <c r="B283" s="512"/>
      <c r="C283" s="512"/>
      <c r="D283" s="512"/>
      <c r="E283" s="512"/>
      <c r="F283" s="512"/>
      <c r="G283" s="512"/>
      <c r="H283" s="512"/>
      <c r="I283" s="512"/>
      <c r="J283" s="512"/>
      <c r="K283" s="512"/>
      <c r="L283" s="513"/>
      <c r="M283" s="520"/>
      <c r="N283" s="521"/>
      <c r="O283" s="521"/>
      <c r="P283" s="521"/>
      <c r="Q283" s="521"/>
      <c r="R283" s="521"/>
      <c r="S283" s="521"/>
      <c r="T283" s="521"/>
      <c r="U283" s="521"/>
      <c r="V283" s="521"/>
      <c r="W283" s="521"/>
      <c r="X283" s="521"/>
      <c r="Y283" s="521"/>
      <c r="Z283" s="521"/>
      <c r="AA283" s="521"/>
      <c r="AB283" s="521"/>
      <c r="AC283" s="521"/>
      <c r="AD283" s="521"/>
      <c r="AE283" s="521"/>
      <c r="AF283" s="522"/>
    </row>
    <row r="284" spans="1:33" ht="30.75" customHeight="1" x14ac:dyDescent="0.5">
      <c r="A284" s="511"/>
      <c r="B284" s="512"/>
      <c r="C284" s="512"/>
      <c r="D284" s="512"/>
      <c r="E284" s="512"/>
      <c r="F284" s="512"/>
      <c r="G284" s="512"/>
      <c r="H284" s="512"/>
      <c r="I284" s="512"/>
      <c r="J284" s="512"/>
      <c r="K284" s="512"/>
      <c r="L284" s="513"/>
      <c r="M284" s="520"/>
      <c r="N284" s="521"/>
      <c r="O284" s="521"/>
      <c r="P284" s="521"/>
      <c r="Q284" s="521"/>
      <c r="R284" s="521"/>
      <c r="S284" s="521"/>
      <c r="T284" s="521"/>
      <c r="U284" s="521"/>
      <c r="V284" s="521"/>
      <c r="W284" s="521"/>
      <c r="X284" s="521"/>
      <c r="Y284" s="521"/>
      <c r="Z284" s="521"/>
      <c r="AA284" s="521"/>
      <c r="AB284" s="521"/>
      <c r="AC284" s="521"/>
      <c r="AD284" s="521"/>
      <c r="AE284" s="521"/>
      <c r="AF284" s="522"/>
    </row>
    <row r="285" spans="1:33" ht="30.75" customHeight="1" x14ac:dyDescent="0.5">
      <c r="A285" s="511"/>
      <c r="B285" s="512"/>
      <c r="C285" s="512"/>
      <c r="D285" s="512"/>
      <c r="E285" s="512"/>
      <c r="F285" s="512"/>
      <c r="G285" s="512"/>
      <c r="H285" s="512"/>
      <c r="I285" s="512"/>
      <c r="J285" s="512"/>
      <c r="K285" s="512"/>
      <c r="L285" s="513"/>
      <c r="M285" s="520"/>
      <c r="N285" s="521"/>
      <c r="O285" s="521"/>
      <c r="P285" s="521"/>
      <c r="Q285" s="521"/>
      <c r="R285" s="521"/>
      <c r="S285" s="521"/>
      <c r="T285" s="521"/>
      <c r="U285" s="521"/>
      <c r="V285" s="521"/>
      <c r="W285" s="521"/>
      <c r="X285" s="521"/>
      <c r="Y285" s="521"/>
      <c r="Z285" s="521"/>
      <c r="AA285" s="521"/>
      <c r="AB285" s="521"/>
      <c r="AC285" s="521"/>
      <c r="AD285" s="521"/>
      <c r="AE285" s="521"/>
      <c r="AF285" s="522"/>
    </row>
    <row r="286" spans="1:33" ht="30.75" customHeight="1" x14ac:dyDescent="0.5">
      <c r="A286" s="511"/>
      <c r="B286" s="512"/>
      <c r="C286" s="512"/>
      <c r="D286" s="512"/>
      <c r="E286" s="512"/>
      <c r="F286" s="512"/>
      <c r="G286" s="512"/>
      <c r="H286" s="512"/>
      <c r="I286" s="512"/>
      <c r="J286" s="512"/>
      <c r="K286" s="512"/>
      <c r="L286" s="513"/>
      <c r="M286" s="520"/>
      <c r="N286" s="521"/>
      <c r="O286" s="521"/>
      <c r="P286" s="521"/>
      <c r="Q286" s="521"/>
      <c r="R286" s="521"/>
      <c r="S286" s="521"/>
      <c r="T286" s="521"/>
      <c r="U286" s="521"/>
      <c r="V286" s="521"/>
      <c r="W286" s="521"/>
      <c r="X286" s="521"/>
      <c r="Y286" s="521"/>
      <c r="Z286" s="521"/>
      <c r="AA286" s="521"/>
      <c r="AB286" s="521"/>
      <c r="AC286" s="521"/>
      <c r="AD286" s="521"/>
      <c r="AE286" s="521"/>
      <c r="AF286" s="522"/>
    </row>
    <row r="287" spans="1:33" ht="30.75" customHeight="1" x14ac:dyDescent="0.5">
      <c r="A287" s="511"/>
      <c r="B287" s="512"/>
      <c r="C287" s="512"/>
      <c r="D287" s="512"/>
      <c r="E287" s="512"/>
      <c r="F287" s="512"/>
      <c r="G287" s="512"/>
      <c r="H287" s="512"/>
      <c r="I287" s="512"/>
      <c r="J287" s="512"/>
      <c r="K287" s="512"/>
      <c r="L287" s="513"/>
      <c r="M287" s="520"/>
      <c r="N287" s="521"/>
      <c r="O287" s="521"/>
      <c r="P287" s="521"/>
      <c r="Q287" s="521"/>
      <c r="R287" s="521"/>
      <c r="S287" s="521"/>
      <c r="T287" s="521"/>
      <c r="U287" s="521"/>
      <c r="V287" s="521"/>
      <c r="W287" s="521"/>
      <c r="X287" s="521"/>
      <c r="Y287" s="521"/>
      <c r="Z287" s="521"/>
      <c r="AA287" s="521"/>
      <c r="AB287" s="521"/>
      <c r="AC287" s="521"/>
      <c r="AD287" s="521"/>
      <c r="AE287" s="521"/>
      <c r="AF287" s="522"/>
    </row>
    <row r="288" spans="1:33" ht="30.75" customHeight="1" x14ac:dyDescent="0.5">
      <c r="A288" s="511"/>
      <c r="B288" s="512"/>
      <c r="C288" s="512"/>
      <c r="D288" s="512"/>
      <c r="E288" s="512"/>
      <c r="F288" s="512"/>
      <c r="G288" s="512"/>
      <c r="H288" s="512"/>
      <c r="I288" s="512"/>
      <c r="J288" s="512"/>
      <c r="K288" s="512"/>
      <c r="L288" s="513"/>
      <c r="M288" s="520"/>
      <c r="N288" s="521"/>
      <c r="O288" s="521"/>
      <c r="P288" s="521"/>
      <c r="Q288" s="521"/>
      <c r="R288" s="521"/>
      <c r="S288" s="521"/>
      <c r="T288" s="521"/>
      <c r="U288" s="521"/>
      <c r="V288" s="521"/>
      <c r="W288" s="521"/>
      <c r="X288" s="521"/>
      <c r="Y288" s="521"/>
      <c r="Z288" s="521"/>
      <c r="AA288" s="521"/>
      <c r="AB288" s="521"/>
      <c r="AC288" s="521"/>
      <c r="AD288" s="521"/>
      <c r="AE288" s="521"/>
      <c r="AF288" s="522"/>
    </row>
    <row r="289" spans="1:32" ht="30.75" customHeight="1" x14ac:dyDescent="0.5">
      <c r="A289" s="511"/>
      <c r="B289" s="512"/>
      <c r="C289" s="512"/>
      <c r="D289" s="512"/>
      <c r="E289" s="512"/>
      <c r="F289" s="512"/>
      <c r="G289" s="512"/>
      <c r="H289" s="512"/>
      <c r="I289" s="512"/>
      <c r="J289" s="512"/>
      <c r="K289" s="512"/>
      <c r="L289" s="513"/>
      <c r="M289" s="520"/>
      <c r="N289" s="521"/>
      <c r="O289" s="521"/>
      <c r="P289" s="521"/>
      <c r="Q289" s="521"/>
      <c r="R289" s="521"/>
      <c r="S289" s="521"/>
      <c r="T289" s="521"/>
      <c r="U289" s="521"/>
      <c r="V289" s="521"/>
      <c r="W289" s="521"/>
      <c r="X289" s="521"/>
      <c r="Y289" s="521"/>
      <c r="Z289" s="521"/>
      <c r="AA289" s="521"/>
      <c r="AB289" s="521"/>
      <c r="AC289" s="521"/>
      <c r="AD289" s="521"/>
      <c r="AE289" s="521"/>
      <c r="AF289" s="522"/>
    </row>
    <row r="290" spans="1:32" ht="30.75" customHeight="1" x14ac:dyDescent="0.5">
      <c r="A290" s="511"/>
      <c r="B290" s="512"/>
      <c r="C290" s="512"/>
      <c r="D290" s="512"/>
      <c r="E290" s="512"/>
      <c r="F290" s="512"/>
      <c r="G290" s="512"/>
      <c r="H290" s="512"/>
      <c r="I290" s="512"/>
      <c r="J290" s="512"/>
      <c r="K290" s="512"/>
      <c r="L290" s="513"/>
      <c r="M290" s="520"/>
      <c r="N290" s="521"/>
      <c r="O290" s="521"/>
      <c r="P290" s="521"/>
      <c r="Q290" s="521"/>
      <c r="R290" s="521"/>
      <c r="S290" s="521"/>
      <c r="T290" s="521"/>
      <c r="U290" s="521"/>
      <c r="V290" s="521"/>
      <c r="W290" s="521"/>
      <c r="X290" s="521"/>
      <c r="Y290" s="521"/>
      <c r="Z290" s="521"/>
      <c r="AA290" s="521"/>
      <c r="AB290" s="521"/>
      <c r="AC290" s="521"/>
      <c r="AD290" s="521"/>
      <c r="AE290" s="521"/>
      <c r="AF290" s="522"/>
    </row>
    <row r="291" spans="1:32" ht="30.75" customHeight="1" x14ac:dyDescent="0.5">
      <c r="A291" s="511"/>
      <c r="B291" s="512"/>
      <c r="C291" s="512"/>
      <c r="D291" s="512"/>
      <c r="E291" s="512"/>
      <c r="F291" s="512"/>
      <c r="G291" s="512"/>
      <c r="H291" s="512"/>
      <c r="I291" s="512"/>
      <c r="J291" s="512"/>
      <c r="K291" s="512"/>
      <c r="L291" s="513"/>
      <c r="M291" s="520"/>
      <c r="N291" s="521"/>
      <c r="O291" s="521"/>
      <c r="P291" s="521"/>
      <c r="Q291" s="521"/>
      <c r="R291" s="521"/>
      <c r="S291" s="521"/>
      <c r="T291" s="521"/>
      <c r="U291" s="521"/>
      <c r="V291" s="521"/>
      <c r="W291" s="521"/>
      <c r="X291" s="521"/>
      <c r="Y291" s="521"/>
      <c r="Z291" s="521"/>
      <c r="AA291" s="521"/>
      <c r="AB291" s="521"/>
      <c r="AC291" s="521"/>
      <c r="AD291" s="521"/>
      <c r="AE291" s="521"/>
      <c r="AF291" s="522"/>
    </row>
    <row r="292" spans="1:32" ht="30.75" customHeight="1" x14ac:dyDescent="0.5">
      <c r="A292" s="511"/>
      <c r="B292" s="512"/>
      <c r="C292" s="512"/>
      <c r="D292" s="512"/>
      <c r="E292" s="512"/>
      <c r="F292" s="512"/>
      <c r="G292" s="512"/>
      <c r="H292" s="512"/>
      <c r="I292" s="512"/>
      <c r="J292" s="512"/>
      <c r="K292" s="512"/>
      <c r="L292" s="513"/>
      <c r="M292" s="520"/>
      <c r="N292" s="521"/>
      <c r="O292" s="521"/>
      <c r="P292" s="521"/>
      <c r="Q292" s="521"/>
      <c r="R292" s="521"/>
      <c r="S292" s="521"/>
      <c r="T292" s="521"/>
      <c r="U292" s="521"/>
      <c r="V292" s="521"/>
      <c r="W292" s="521"/>
      <c r="X292" s="521"/>
      <c r="Y292" s="521"/>
      <c r="Z292" s="521"/>
      <c r="AA292" s="521"/>
      <c r="AB292" s="521"/>
      <c r="AC292" s="521"/>
      <c r="AD292" s="521"/>
      <c r="AE292" s="521"/>
      <c r="AF292" s="522"/>
    </row>
    <row r="293" spans="1:32" ht="30.75" customHeight="1" x14ac:dyDescent="0.5">
      <c r="A293" s="511"/>
      <c r="B293" s="512"/>
      <c r="C293" s="512"/>
      <c r="D293" s="512"/>
      <c r="E293" s="512"/>
      <c r="F293" s="512"/>
      <c r="G293" s="512"/>
      <c r="H293" s="512"/>
      <c r="I293" s="512"/>
      <c r="J293" s="512"/>
      <c r="K293" s="512"/>
      <c r="L293" s="513"/>
      <c r="M293" s="520"/>
      <c r="N293" s="521"/>
      <c r="O293" s="521"/>
      <c r="P293" s="521"/>
      <c r="Q293" s="521"/>
      <c r="R293" s="521"/>
      <c r="S293" s="521"/>
      <c r="T293" s="521"/>
      <c r="U293" s="521"/>
      <c r="V293" s="521"/>
      <c r="W293" s="521"/>
      <c r="X293" s="521"/>
      <c r="Y293" s="521"/>
      <c r="Z293" s="521"/>
      <c r="AA293" s="521"/>
      <c r="AB293" s="521"/>
      <c r="AC293" s="521"/>
      <c r="AD293" s="521"/>
      <c r="AE293" s="521"/>
      <c r="AF293" s="522"/>
    </row>
    <row r="294" spans="1:32" ht="30.75" customHeight="1" x14ac:dyDescent="0.5">
      <c r="A294" s="511"/>
      <c r="B294" s="512"/>
      <c r="C294" s="512"/>
      <c r="D294" s="512"/>
      <c r="E294" s="512"/>
      <c r="F294" s="512"/>
      <c r="G294" s="512"/>
      <c r="H294" s="512"/>
      <c r="I294" s="512"/>
      <c r="J294" s="512"/>
      <c r="K294" s="512"/>
      <c r="L294" s="513"/>
      <c r="M294" s="520"/>
      <c r="N294" s="521"/>
      <c r="O294" s="521"/>
      <c r="P294" s="521"/>
      <c r="Q294" s="521"/>
      <c r="R294" s="521"/>
      <c r="S294" s="521"/>
      <c r="T294" s="521"/>
      <c r="U294" s="521"/>
      <c r="V294" s="521"/>
      <c r="W294" s="521"/>
      <c r="X294" s="521"/>
      <c r="Y294" s="521"/>
      <c r="Z294" s="521"/>
      <c r="AA294" s="521"/>
      <c r="AB294" s="521"/>
      <c r="AC294" s="521"/>
      <c r="AD294" s="521"/>
      <c r="AE294" s="521"/>
      <c r="AF294" s="522"/>
    </row>
    <row r="295" spans="1:32" ht="30.75" customHeight="1" x14ac:dyDescent="0.5">
      <c r="A295" s="511"/>
      <c r="B295" s="512"/>
      <c r="C295" s="512"/>
      <c r="D295" s="512"/>
      <c r="E295" s="512"/>
      <c r="F295" s="512"/>
      <c r="G295" s="512"/>
      <c r="H295" s="512"/>
      <c r="I295" s="512"/>
      <c r="J295" s="512"/>
      <c r="K295" s="512"/>
      <c r="L295" s="513"/>
      <c r="M295" s="520"/>
      <c r="N295" s="521"/>
      <c r="O295" s="521"/>
      <c r="P295" s="521"/>
      <c r="Q295" s="521"/>
      <c r="R295" s="521"/>
      <c r="S295" s="521"/>
      <c r="T295" s="521"/>
      <c r="U295" s="521"/>
      <c r="V295" s="521"/>
      <c r="W295" s="521"/>
      <c r="X295" s="521"/>
      <c r="Y295" s="521"/>
      <c r="Z295" s="521"/>
      <c r="AA295" s="521"/>
      <c r="AB295" s="521"/>
      <c r="AC295" s="521"/>
      <c r="AD295" s="521"/>
      <c r="AE295" s="521"/>
      <c r="AF295" s="522"/>
    </row>
    <row r="296" spans="1:32" ht="30.75" customHeight="1" x14ac:dyDescent="0.5">
      <c r="A296" s="511"/>
      <c r="B296" s="512"/>
      <c r="C296" s="512"/>
      <c r="D296" s="512"/>
      <c r="E296" s="512"/>
      <c r="F296" s="512"/>
      <c r="G296" s="512"/>
      <c r="H296" s="512"/>
      <c r="I296" s="512"/>
      <c r="J296" s="512"/>
      <c r="K296" s="512"/>
      <c r="L296" s="513"/>
      <c r="M296" s="520"/>
      <c r="N296" s="521"/>
      <c r="O296" s="521"/>
      <c r="P296" s="521"/>
      <c r="Q296" s="521"/>
      <c r="R296" s="521"/>
      <c r="S296" s="521"/>
      <c r="T296" s="521"/>
      <c r="U296" s="521"/>
      <c r="V296" s="521"/>
      <c r="W296" s="521"/>
      <c r="X296" s="521"/>
      <c r="Y296" s="521"/>
      <c r="Z296" s="521"/>
      <c r="AA296" s="521"/>
      <c r="AB296" s="521"/>
      <c r="AC296" s="521"/>
      <c r="AD296" s="521"/>
      <c r="AE296" s="521"/>
      <c r="AF296" s="522"/>
    </row>
    <row r="297" spans="1:32" ht="30.75" customHeight="1" x14ac:dyDescent="0.5">
      <c r="A297" s="511"/>
      <c r="B297" s="512"/>
      <c r="C297" s="512"/>
      <c r="D297" s="512"/>
      <c r="E297" s="512"/>
      <c r="F297" s="512"/>
      <c r="G297" s="512"/>
      <c r="H297" s="512"/>
      <c r="I297" s="512"/>
      <c r="J297" s="512"/>
      <c r="K297" s="512"/>
      <c r="L297" s="513"/>
      <c r="M297" s="520"/>
      <c r="N297" s="521"/>
      <c r="O297" s="521"/>
      <c r="P297" s="521"/>
      <c r="Q297" s="521"/>
      <c r="R297" s="521"/>
      <c r="S297" s="521"/>
      <c r="T297" s="521"/>
      <c r="U297" s="521"/>
      <c r="V297" s="521"/>
      <c r="W297" s="521"/>
      <c r="X297" s="521"/>
      <c r="Y297" s="521"/>
      <c r="Z297" s="521"/>
      <c r="AA297" s="521"/>
      <c r="AB297" s="521"/>
      <c r="AC297" s="521"/>
      <c r="AD297" s="521"/>
      <c r="AE297" s="521"/>
      <c r="AF297" s="522"/>
    </row>
    <row r="298" spans="1:32" ht="30.75" customHeight="1" x14ac:dyDescent="0.5">
      <c r="A298" s="511"/>
      <c r="B298" s="512"/>
      <c r="C298" s="512"/>
      <c r="D298" s="512"/>
      <c r="E298" s="512"/>
      <c r="F298" s="512"/>
      <c r="G298" s="512"/>
      <c r="H298" s="512"/>
      <c r="I298" s="512"/>
      <c r="J298" s="512"/>
      <c r="K298" s="512"/>
      <c r="L298" s="513"/>
      <c r="M298" s="520"/>
      <c r="N298" s="521"/>
      <c r="O298" s="521"/>
      <c r="P298" s="521"/>
      <c r="Q298" s="521"/>
      <c r="R298" s="521"/>
      <c r="S298" s="521"/>
      <c r="T298" s="521"/>
      <c r="U298" s="521"/>
      <c r="V298" s="521"/>
      <c r="W298" s="521"/>
      <c r="X298" s="521"/>
      <c r="Y298" s="521"/>
      <c r="Z298" s="521"/>
      <c r="AA298" s="521"/>
      <c r="AB298" s="521"/>
      <c r="AC298" s="521"/>
      <c r="AD298" s="521"/>
      <c r="AE298" s="521"/>
      <c r="AF298" s="522"/>
    </row>
    <row r="299" spans="1:32" ht="30.75" customHeight="1" x14ac:dyDescent="0.5">
      <c r="A299" s="511"/>
      <c r="B299" s="512"/>
      <c r="C299" s="512"/>
      <c r="D299" s="512"/>
      <c r="E299" s="512"/>
      <c r="F299" s="512"/>
      <c r="G299" s="512"/>
      <c r="H299" s="512"/>
      <c r="I299" s="512"/>
      <c r="J299" s="512"/>
      <c r="K299" s="512"/>
      <c r="L299" s="513"/>
      <c r="M299" s="520"/>
      <c r="N299" s="521"/>
      <c r="O299" s="521"/>
      <c r="P299" s="521"/>
      <c r="Q299" s="521"/>
      <c r="R299" s="521"/>
      <c r="S299" s="521"/>
      <c r="T299" s="521"/>
      <c r="U299" s="521"/>
      <c r="V299" s="521"/>
      <c r="W299" s="521"/>
      <c r="X299" s="521"/>
      <c r="Y299" s="521"/>
      <c r="Z299" s="521"/>
      <c r="AA299" s="521"/>
      <c r="AB299" s="521"/>
      <c r="AC299" s="521"/>
      <c r="AD299" s="521"/>
      <c r="AE299" s="521"/>
      <c r="AF299" s="522"/>
    </row>
    <row r="300" spans="1:32" ht="30.75" customHeight="1" x14ac:dyDescent="0.5">
      <c r="A300" s="511"/>
      <c r="B300" s="512"/>
      <c r="C300" s="512"/>
      <c r="D300" s="512"/>
      <c r="E300" s="512"/>
      <c r="F300" s="512"/>
      <c r="G300" s="512"/>
      <c r="H300" s="512"/>
      <c r="I300" s="512"/>
      <c r="J300" s="512"/>
      <c r="K300" s="512"/>
      <c r="L300" s="513"/>
      <c r="M300" s="520"/>
      <c r="N300" s="521"/>
      <c r="O300" s="521"/>
      <c r="P300" s="521"/>
      <c r="Q300" s="521"/>
      <c r="R300" s="521"/>
      <c r="S300" s="521"/>
      <c r="T300" s="521"/>
      <c r="U300" s="521"/>
      <c r="V300" s="521"/>
      <c r="W300" s="521"/>
      <c r="X300" s="521"/>
      <c r="Y300" s="521"/>
      <c r="Z300" s="521"/>
      <c r="AA300" s="521"/>
      <c r="AB300" s="521"/>
      <c r="AC300" s="521"/>
      <c r="AD300" s="521"/>
      <c r="AE300" s="521"/>
      <c r="AF300" s="522"/>
    </row>
    <row r="301" spans="1:32" ht="30.75" customHeight="1" x14ac:dyDescent="0.5">
      <c r="A301" s="511"/>
      <c r="B301" s="512"/>
      <c r="C301" s="512"/>
      <c r="D301" s="512"/>
      <c r="E301" s="512"/>
      <c r="F301" s="512"/>
      <c r="G301" s="512"/>
      <c r="H301" s="512"/>
      <c r="I301" s="512"/>
      <c r="J301" s="512"/>
      <c r="K301" s="512"/>
      <c r="L301" s="513"/>
      <c r="M301" s="520"/>
      <c r="N301" s="521"/>
      <c r="O301" s="521"/>
      <c r="P301" s="521"/>
      <c r="Q301" s="521"/>
      <c r="R301" s="521"/>
      <c r="S301" s="521"/>
      <c r="T301" s="521"/>
      <c r="U301" s="521"/>
      <c r="V301" s="521"/>
      <c r="W301" s="521"/>
      <c r="X301" s="521"/>
      <c r="Y301" s="521"/>
      <c r="Z301" s="521"/>
      <c r="AA301" s="521"/>
      <c r="AB301" s="521"/>
      <c r="AC301" s="521"/>
      <c r="AD301" s="521"/>
      <c r="AE301" s="521"/>
      <c r="AF301" s="522"/>
    </row>
    <row r="302" spans="1:32" ht="30.75" customHeight="1" x14ac:dyDescent="0.5">
      <c r="A302" s="511"/>
      <c r="B302" s="512"/>
      <c r="C302" s="512"/>
      <c r="D302" s="512"/>
      <c r="E302" s="512"/>
      <c r="F302" s="512"/>
      <c r="G302" s="512"/>
      <c r="H302" s="512"/>
      <c r="I302" s="512"/>
      <c r="J302" s="512"/>
      <c r="K302" s="512"/>
      <c r="L302" s="513"/>
      <c r="M302" s="520"/>
      <c r="N302" s="521"/>
      <c r="O302" s="521"/>
      <c r="P302" s="521"/>
      <c r="Q302" s="521"/>
      <c r="R302" s="521"/>
      <c r="S302" s="521"/>
      <c r="T302" s="521"/>
      <c r="U302" s="521"/>
      <c r="V302" s="521"/>
      <c r="W302" s="521"/>
      <c r="X302" s="521"/>
      <c r="Y302" s="521"/>
      <c r="Z302" s="521"/>
      <c r="AA302" s="521"/>
      <c r="AB302" s="521"/>
      <c r="AC302" s="521"/>
      <c r="AD302" s="521"/>
      <c r="AE302" s="521"/>
      <c r="AF302" s="522"/>
    </row>
    <row r="303" spans="1:32" ht="30.75" customHeight="1" x14ac:dyDescent="0.5">
      <c r="A303" s="511"/>
      <c r="B303" s="512"/>
      <c r="C303" s="512"/>
      <c r="D303" s="512"/>
      <c r="E303" s="512"/>
      <c r="F303" s="512"/>
      <c r="G303" s="512"/>
      <c r="H303" s="512"/>
      <c r="I303" s="512"/>
      <c r="J303" s="512"/>
      <c r="K303" s="512"/>
      <c r="L303" s="513"/>
      <c r="M303" s="520"/>
      <c r="N303" s="521"/>
      <c r="O303" s="521"/>
      <c r="P303" s="521"/>
      <c r="Q303" s="521"/>
      <c r="R303" s="521"/>
      <c r="S303" s="521"/>
      <c r="T303" s="521"/>
      <c r="U303" s="521"/>
      <c r="V303" s="521"/>
      <c r="W303" s="521"/>
      <c r="X303" s="521"/>
      <c r="Y303" s="521"/>
      <c r="Z303" s="521"/>
      <c r="AA303" s="521"/>
      <c r="AB303" s="521"/>
      <c r="AC303" s="521"/>
      <c r="AD303" s="521"/>
      <c r="AE303" s="521"/>
      <c r="AF303" s="522"/>
    </row>
    <row r="304" spans="1:32" ht="30.75" customHeight="1" x14ac:dyDescent="0.5">
      <c r="A304" s="511"/>
      <c r="B304" s="512"/>
      <c r="C304" s="512"/>
      <c r="D304" s="512"/>
      <c r="E304" s="512"/>
      <c r="F304" s="512"/>
      <c r="G304" s="512"/>
      <c r="H304" s="512"/>
      <c r="I304" s="512"/>
      <c r="J304" s="512"/>
      <c r="K304" s="512"/>
      <c r="L304" s="513"/>
      <c r="M304" s="520"/>
      <c r="N304" s="521"/>
      <c r="O304" s="521"/>
      <c r="P304" s="521"/>
      <c r="Q304" s="521"/>
      <c r="R304" s="521"/>
      <c r="S304" s="521"/>
      <c r="T304" s="521"/>
      <c r="U304" s="521"/>
      <c r="V304" s="521"/>
      <c r="W304" s="521"/>
      <c r="X304" s="521"/>
      <c r="Y304" s="521"/>
      <c r="Z304" s="521"/>
      <c r="AA304" s="521"/>
      <c r="AB304" s="521"/>
      <c r="AC304" s="521"/>
      <c r="AD304" s="521"/>
      <c r="AE304" s="521"/>
      <c r="AF304" s="522"/>
    </row>
    <row r="305" spans="1:32" ht="30.75" customHeight="1" x14ac:dyDescent="0.5">
      <c r="A305" s="511"/>
      <c r="B305" s="512"/>
      <c r="C305" s="512"/>
      <c r="D305" s="512"/>
      <c r="E305" s="512"/>
      <c r="F305" s="512"/>
      <c r="G305" s="512"/>
      <c r="H305" s="512"/>
      <c r="I305" s="512"/>
      <c r="J305" s="512"/>
      <c r="K305" s="512"/>
      <c r="L305" s="513"/>
      <c r="M305" s="520"/>
      <c r="N305" s="521"/>
      <c r="O305" s="521"/>
      <c r="P305" s="521"/>
      <c r="Q305" s="521"/>
      <c r="R305" s="521"/>
      <c r="S305" s="521"/>
      <c r="T305" s="521"/>
      <c r="U305" s="521"/>
      <c r="V305" s="521"/>
      <c r="W305" s="521"/>
      <c r="X305" s="521"/>
      <c r="Y305" s="521"/>
      <c r="Z305" s="521"/>
      <c r="AA305" s="521"/>
      <c r="AB305" s="521"/>
      <c r="AC305" s="521"/>
      <c r="AD305" s="521"/>
      <c r="AE305" s="521"/>
      <c r="AF305" s="522"/>
    </row>
    <row r="306" spans="1:32" ht="30.75" customHeight="1" x14ac:dyDescent="0.5">
      <c r="A306" s="511"/>
      <c r="B306" s="512"/>
      <c r="C306" s="512"/>
      <c r="D306" s="512"/>
      <c r="E306" s="512"/>
      <c r="F306" s="512"/>
      <c r="G306" s="512"/>
      <c r="H306" s="512"/>
      <c r="I306" s="512"/>
      <c r="J306" s="512"/>
      <c r="K306" s="512"/>
      <c r="L306" s="513"/>
      <c r="M306" s="520"/>
      <c r="N306" s="521"/>
      <c r="O306" s="521"/>
      <c r="P306" s="521"/>
      <c r="Q306" s="521"/>
      <c r="R306" s="521"/>
      <c r="S306" s="521"/>
      <c r="T306" s="521"/>
      <c r="U306" s="521"/>
      <c r="V306" s="521"/>
      <c r="W306" s="521"/>
      <c r="X306" s="521"/>
      <c r="Y306" s="521"/>
      <c r="Z306" s="521"/>
      <c r="AA306" s="521"/>
      <c r="AB306" s="521"/>
      <c r="AC306" s="521"/>
      <c r="AD306" s="521"/>
      <c r="AE306" s="521"/>
      <c r="AF306" s="522"/>
    </row>
    <row r="307" spans="1:32" ht="30.75" customHeight="1" thickBot="1" x14ac:dyDescent="0.55000000000000004">
      <c r="A307" s="514"/>
      <c r="B307" s="515"/>
      <c r="C307" s="515"/>
      <c r="D307" s="515"/>
      <c r="E307" s="515"/>
      <c r="F307" s="515"/>
      <c r="G307" s="515"/>
      <c r="H307" s="515"/>
      <c r="I307" s="515"/>
      <c r="J307" s="515"/>
      <c r="K307" s="515"/>
      <c r="L307" s="516"/>
      <c r="M307" s="523"/>
      <c r="N307" s="524"/>
      <c r="O307" s="524"/>
      <c r="P307" s="524"/>
      <c r="Q307" s="524"/>
      <c r="R307" s="524"/>
      <c r="S307" s="524"/>
      <c r="T307" s="524"/>
      <c r="U307" s="524"/>
      <c r="V307" s="524"/>
      <c r="W307" s="524"/>
      <c r="X307" s="524"/>
      <c r="Y307" s="524"/>
      <c r="Z307" s="524"/>
      <c r="AA307" s="524"/>
      <c r="AB307" s="524"/>
      <c r="AC307" s="524"/>
      <c r="AD307" s="524"/>
      <c r="AE307" s="524"/>
      <c r="AF307" s="525"/>
    </row>
  </sheetData>
  <sheetProtection algorithmName="SHA-512" hashValue="f8htKy7aXI0vY18jQDEh7LYTyfj8xJrkxQXxEuQVkeq5XRZYhiiGZNXQkETcL41Mskx9UFj1qPhWT+3eqyRB+g==" saltValue="HDNEJSbZN0NfGXwIT770AQ==" spinCount="100000" sheet="1" selectLockedCells="1"/>
  <mergeCells count="244">
    <mergeCell ref="AD8:AD18"/>
    <mergeCell ref="AF110:AF115"/>
    <mergeCell ref="AF119:AF133"/>
    <mergeCell ref="AD119:AD133"/>
    <mergeCell ref="AE108:AE109"/>
    <mergeCell ref="V65:W65"/>
    <mergeCell ref="X65:Y65"/>
    <mergeCell ref="Z65:AA65"/>
    <mergeCell ref="AD108:AD109"/>
    <mergeCell ref="AF65:AF66"/>
    <mergeCell ref="AE65:AE66"/>
    <mergeCell ref="AD65:AD66"/>
    <mergeCell ref="AB65:AB66"/>
    <mergeCell ref="AC65:AC66"/>
    <mergeCell ref="Z59:AA59"/>
    <mergeCell ref="V59:W59"/>
    <mergeCell ref="AF24:AF43"/>
    <mergeCell ref="A116:AF116"/>
    <mergeCell ref="AF67:AF106"/>
    <mergeCell ref="AD67:AD106"/>
    <mergeCell ref="A21:AF21"/>
    <mergeCell ref="AD24:AD43"/>
    <mergeCell ref="A15:A17"/>
    <mergeCell ref="A11:A13"/>
    <mergeCell ref="A202:AF202"/>
    <mergeCell ref="A216:AF216"/>
    <mergeCell ref="AD217:AD229"/>
    <mergeCell ref="AF217:AF229"/>
    <mergeCell ref="AD203:AD215"/>
    <mergeCell ref="AF203:AF215"/>
    <mergeCell ref="AF186:AF201"/>
    <mergeCell ref="L19:M19"/>
    <mergeCell ref="J19:K19"/>
    <mergeCell ref="D19:E19"/>
    <mergeCell ref="R19:S19"/>
    <mergeCell ref="P19:Q19"/>
    <mergeCell ref="T65:U65"/>
    <mergeCell ref="H59:I59"/>
    <mergeCell ref="A110:A115"/>
    <mergeCell ref="A117:A118"/>
    <mergeCell ref="B117:B118"/>
    <mergeCell ref="C117:C118"/>
    <mergeCell ref="D117:E117"/>
    <mergeCell ref="F117:G117"/>
    <mergeCell ref="H117:I117"/>
    <mergeCell ref="J117:K117"/>
    <mergeCell ref="L117:M117"/>
    <mergeCell ref="B65:B66"/>
    <mergeCell ref="A278:L307"/>
    <mergeCell ref="M278:AF307"/>
    <mergeCell ref="A277:L277"/>
    <mergeCell ref="M277:AF277"/>
    <mergeCell ref="A256:L276"/>
    <mergeCell ref="A255:L255"/>
    <mergeCell ref="M255:AF255"/>
    <mergeCell ref="M256:AF276"/>
    <mergeCell ref="A190:A195"/>
    <mergeCell ref="A196:A201"/>
    <mergeCell ref="AD245:AD251"/>
    <mergeCell ref="AD231:AD243"/>
    <mergeCell ref="AF231:AF243"/>
    <mergeCell ref="AF245:AF251"/>
    <mergeCell ref="A230:AF230"/>
    <mergeCell ref="A232:A237"/>
    <mergeCell ref="A238:A243"/>
    <mergeCell ref="A244:AF244"/>
    <mergeCell ref="AD186:AD201"/>
    <mergeCell ref="A187:A189"/>
    <mergeCell ref="A204:A209"/>
    <mergeCell ref="A210:A215"/>
    <mergeCell ref="A218:A223"/>
    <mergeCell ref="A224:A229"/>
    <mergeCell ref="D1:E1"/>
    <mergeCell ref="F1:G1"/>
    <mergeCell ref="H1:J1"/>
    <mergeCell ref="A7:AF7"/>
    <mergeCell ref="A5:A6"/>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C19:C20"/>
    <mergeCell ref="B19:B20"/>
    <mergeCell ref="A19:A20"/>
    <mergeCell ref="C108:C109"/>
    <mergeCell ref="A108:A109"/>
    <mergeCell ref="B108:B109"/>
    <mergeCell ref="AC33:AC34"/>
    <mergeCell ref="AC35:AC36"/>
    <mergeCell ref="AF108:AF109"/>
    <mergeCell ref="L108:M108"/>
    <mergeCell ref="N108:O108"/>
    <mergeCell ref="P108:Q108"/>
    <mergeCell ref="Z108:AA108"/>
    <mergeCell ref="AB108:AB109"/>
    <mergeCell ref="AE19:AE20"/>
    <mergeCell ref="A24:A28"/>
    <mergeCell ref="L65:M65"/>
    <mergeCell ref="J65:K65"/>
    <mergeCell ref="A29:A31"/>
    <mergeCell ref="A32:A34"/>
    <mergeCell ref="A35:A37"/>
    <mergeCell ref="A38:A40"/>
    <mergeCell ref="A41:A43"/>
    <mergeCell ref="A61:A63"/>
    <mergeCell ref="AF8:AF18"/>
    <mergeCell ref="A87:A90"/>
    <mergeCell ref="A8:A10"/>
    <mergeCell ref="F19:G19"/>
    <mergeCell ref="N19:O19"/>
    <mergeCell ref="AD19:AD20"/>
    <mergeCell ref="B1:C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AC37:AC38"/>
    <mergeCell ref="AF61:AF63"/>
    <mergeCell ref="AF59:AF60"/>
    <mergeCell ref="AE59:AE60"/>
    <mergeCell ref="AD59:AD60"/>
    <mergeCell ref="AD61:AD63"/>
    <mergeCell ref="AB59:AB60"/>
    <mergeCell ref="AC59:AC60"/>
    <mergeCell ref="P59:Q59"/>
    <mergeCell ref="AD135:AD140"/>
    <mergeCell ref="AF135:AF140"/>
    <mergeCell ref="AD142:AD147"/>
    <mergeCell ref="AF142:AF147"/>
    <mergeCell ref="A141:AF141"/>
    <mergeCell ref="A148:AF148"/>
    <mergeCell ref="AD149:AD154"/>
    <mergeCell ref="C65:C66"/>
    <mergeCell ref="D65:E65"/>
    <mergeCell ref="F65:G65"/>
    <mergeCell ref="H65:I65"/>
    <mergeCell ref="A67:A70"/>
    <mergeCell ref="A83:A86"/>
    <mergeCell ref="A71:A74"/>
    <mergeCell ref="A75:A78"/>
    <mergeCell ref="AC108:AC109"/>
    <mergeCell ref="X108:Y108"/>
    <mergeCell ref="V108:W108"/>
    <mergeCell ref="T108:U108"/>
    <mergeCell ref="R108:S108"/>
    <mergeCell ref="A107:AF107"/>
    <mergeCell ref="N117:O117"/>
    <mergeCell ref="A91:A94"/>
    <mergeCell ref="R184:S184"/>
    <mergeCell ref="T184:U184"/>
    <mergeCell ref="V184:W184"/>
    <mergeCell ref="X184:Y184"/>
    <mergeCell ref="Z184:AA184"/>
    <mergeCell ref="AD157:AD181"/>
    <mergeCell ref="AF157:AF181"/>
    <mergeCell ref="N59:O59"/>
    <mergeCell ref="A59:A60"/>
    <mergeCell ref="D59:E59"/>
    <mergeCell ref="F59:G59"/>
    <mergeCell ref="L59:M59"/>
    <mergeCell ref="J59:K59"/>
    <mergeCell ref="AE184:AE185"/>
    <mergeCell ref="P117:Q117"/>
    <mergeCell ref="R117:S117"/>
    <mergeCell ref="T117:U117"/>
    <mergeCell ref="V117:W117"/>
    <mergeCell ref="X117:Y117"/>
    <mergeCell ref="Z117:AA117"/>
    <mergeCell ref="AB117:AB118"/>
    <mergeCell ref="AC117:AC118"/>
    <mergeCell ref="AE117:AE118"/>
    <mergeCell ref="A134:AF134"/>
    <mergeCell ref="AB184:AB185"/>
    <mergeCell ref="A103:A106"/>
    <mergeCell ref="AC184:AC185"/>
    <mergeCell ref="B184:B185"/>
    <mergeCell ref="C184:C185"/>
    <mergeCell ref="D184:E184"/>
    <mergeCell ref="F184:G184"/>
    <mergeCell ref="H184:I184"/>
    <mergeCell ref="J184:K184"/>
    <mergeCell ref="L184:M184"/>
    <mergeCell ref="N184:O184"/>
    <mergeCell ref="P184:Q184"/>
    <mergeCell ref="D108:E108"/>
    <mergeCell ref="F108:G108"/>
    <mergeCell ref="H108:I108"/>
    <mergeCell ref="J108:K108"/>
    <mergeCell ref="A182:AF182"/>
    <mergeCell ref="AD110:AD115"/>
    <mergeCell ref="AF149:AF154"/>
    <mergeCell ref="A155:AF155"/>
    <mergeCell ref="A119:A120"/>
    <mergeCell ref="A131:A133"/>
    <mergeCell ref="A183:AF183"/>
    <mergeCell ref="A184:A185"/>
    <mergeCell ref="A95:A98"/>
    <mergeCell ref="A79:A82"/>
    <mergeCell ref="A99:A102"/>
    <mergeCell ref="A44:AF44"/>
    <mergeCell ref="AD45:AD50"/>
    <mergeCell ref="AF45:AF50"/>
    <mergeCell ref="AD52:AD57"/>
    <mergeCell ref="AF52:AF57"/>
    <mergeCell ref="A51:AF51"/>
    <mergeCell ref="A64:AF64"/>
    <mergeCell ref="X59:Y59"/>
    <mergeCell ref="T59:U59"/>
    <mergeCell ref="R59:S59"/>
    <mergeCell ref="C59:C60"/>
    <mergeCell ref="B59:B60"/>
    <mergeCell ref="A65:A66"/>
    <mergeCell ref="R65:S65"/>
    <mergeCell ref="P65:Q65"/>
    <mergeCell ref="N65:O65"/>
    <mergeCell ref="A58:AF58"/>
  </mergeCells>
  <phoneticPr fontId="2" type="noConversion"/>
  <conditionalFormatting sqref="AC24">
    <cfRule type="notContainsBlanks" dxfId="547" priority="2372">
      <formula>LEN(TRIM(AC24))&gt;0</formula>
    </cfRule>
  </conditionalFormatting>
  <conditionalFormatting sqref="AC28:AC29">
    <cfRule type="notContainsBlanks" dxfId="546" priority="2373">
      <formula>LEN(TRIM(AC28))&gt;0</formula>
    </cfRule>
  </conditionalFormatting>
  <conditionalFormatting sqref="AC33:AC34">
    <cfRule type="notContainsBlanks" dxfId="545" priority="2376">
      <formula>LEN(TRIM(AC33))&gt;0</formula>
    </cfRule>
  </conditionalFormatting>
  <conditionalFormatting sqref="AC35:AC36">
    <cfRule type="notContainsBlanks" dxfId="544" priority="2374">
      <formula>LEN(TRIM(AC35))&gt;0</formula>
    </cfRule>
  </conditionalFormatting>
  <conditionalFormatting sqref="AC37:AC38">
    <cfRule type="notContainsBlanks" dxfId="543" priority="2367">
      <formula>LEN(TRIM(AC37))&gt;0</formula>
    </cfRule>
  </conditionalFormatting>
  <conditionalFormatting sqref="AC39:AC40">
    <cfRule type="notContainsBlanks" dxfId="542" priority="2366">
      <formula>LEN(TRIM(AC39))&gt;0</formula>
    </cfRule>
  </conditionalFormatting>
  <conditionalFormatting sqref="AC41:AC42">
    <cfRule type="notContainsBlanks" dxfId="541" priority="2365">
      <formula>LEN(TRIM(AC41))&gt;0</formula>
    </cfRule>
  </conditionalFormatting>
  <conditionalFormatting sqref="AC43">
    <cfRule type="notContainsBlanks" dxfId="540" priority="2363">
      <formula>LEN(TRIM(AC43))&gt;0</formula>
    </cfRule>
  </conditionalFormatting>
  <conditionalFormatting sqref="AC71:AC72 AC85:AC86 AC79:AC80 AC75:AC76">
    <cfRule type="notContainsBlanks" dxfId="539" priority="2377">
      <formula>LEN(TRIM(AC71))&gt;0</formula>
    </cfRule>
  </conditionalFormatting>
  <conditionalFormatting sqref="AC89">
    <cfRule type="notContainsBlanks" dxfId="538" priority="2356">
      <formula>LEN(TRIM(AC89))&gt;0</formula>
    </cfRule>
  </conditionalFormatting>
  <conditionalFormatting sqref="AC26">
    <cfRule type="notContainsBlanks" dxfId="537" priority="2355">
      <formula>LEN(TRIM(AC26))&gt;0</formula>
    </cfRule>
  </conditionalFormatting>
  <conditionalFormatting sqref="AC90">
    <cfRule type="notContainsBlanks" dxfId="536" priority="2354">
      <formula>LEN(TRIM(AC90))&gt;0</formula>
    </cfRule>
  </conditionalFormatting>
  <conditionalFormatting sqref="AC91">
    <cfRule type="notContainsBlanks" dxfId="535" priority="2353">
      <formula>LEN(TRIM(AC91))&gt;0</formula>
    </cfRule>
  </conditionalFormatting>
  <conditionalFormatting sqref="AC92">
    <cfRule type="notContainsBlanks" dxfId="534" priority="2352">
      <formula>LEN(TRIM(AC92))&gt;0</formula>
    </cfRule>
  </conditionalFormatting>
  <conditionalFormatting sqref="AC111">
    <cfRule type="notContainsBlanks" dxfId="533" priority="2351">
      <formula>LEN(TRIM(AC111))&gt;0</formula>
    </cfRule>
  </conditionalFormatting>
  <conditionalFormatting sqref="AE35">
    <cfRule type="notContainsBlanks" dxfId="532" priority="2316">
      <formula>LEN(TRIM(AE35))&gt;0</formula>
    </cfRule>
  </conditionalFormatting>
  <conditionalFormatting sqref="AE61:AF61 AE110:AF110 AE67:AF67 AE24:AF24 AE62:AE63 AE25:AE43 AE111:AE115 AE119:AE133 AE201 AE203:AE215 AE68 AE85:AE86 AE79:AE80 AE71:AE72 AE75:AE76 AE89:AE92 AE95:AE96 AE48:AE49 AE152:AE153">
    <cfRule type="notContainsBlanks" dxfId="531" priority="2313">
      <formula>LEN(TRIM(AE24))&gt;0</formula>
    </cfRule>
  </conditionalFormatting>
  <conditionalFormatting sqref="AE37">
    <cfRule type="notContainsBlanks" dxfId="530" priority="2312">
      <formula>LEN(TRIM(AE37))&gt;0</formula>
    </cfRule>
  </conditionalFormatting>
  <conditionalFormatting sqref="AE39">
    <cfRule type="notContainsBlanks" dxfId="529" priority="2311">
      <formula>LEN(TRIM(AE39))&gt;0</formula>
    </cfRule>
  </conditionalFormatting>
  <conditionalFormatting sqref="AE41">
    <cfRule type="notContainsBlanks" dxfId="528" priority="2310">
      <formula>LEN(TRIM(AE41))&gt;0</formula>
    </cfRule>
  </conditionalFormatting>
  <conditionalFormatting sqref="AE43">
    <cfRule type="notContainsBlanks" dxfId="527" priority="2308">
      <formula>LEN(TRIM(AE43))&gt;0</formula>
    </cfRule>
  </conditionalFormatting>
  <conditionalFormatting sqref="AD61:AD63 AD67 AD24 AD110 AD119 AD203">
    <cfRule type="notContainsBlanks" dxfId="526" priority="2542">
      <formula>LEN(TRIM(AD24))&gt;0</formula>
    </cfRule>
  </conditionalFormatting>
  <conditionalFormatting sqref="AB61:AB63 AB30:AB31 AB67:AB68 AB110:AB115 AB124:AB127 AB206:AB208 AB129:AB133 AB210:AB214 AB121:AB122 AB75:AB76 AB85:AB86 AB79:AB80 AB89:AB92 AB95:AB96 AB48:AB49 AB152:AB153">
    <cfRule type="cellIs" dxfId="525" priority="2297" operator="equal">
      <formula>0</formula>
    </cfRule>
  </conditionalFormatting>
  <conditionalFormatting sqref="A1">
    <cfRule type="cellIs" dxfId="524" priority="2295" operator="equal">
      <formula>0</formula>
    </cfRule>
  </conditionalFormatting>
  <conditionalFormatting sqref="AB29">
    <cfRule type="cellIs" dxfId="523" priority="2287" operator="equal">
      <formula>0</formula>
    </cfRule>
  </conditionalFormatting>
  <conditionalFormatting sqref="AC10 AC13 AC17:AC18">
    <cfRule type="notContainsBlanks" dxfId="522" priority="2075">
      <formula>LEN(TRIM(AC10))&gt;0</formula>
    </cfRule>
  </conditionalFormatting>
  <conditionalFormatting sqref="AE8:AF8 AE9:AE18">
    <cfRule type="notContainsBlanks" dxfId="521" priority="2074">
      <formula>LEN(TRIM(AE8))&gt;0</formula>
    </cfRule>
  </conditionalFormatting>
  <conditionalFormatting sqref="AD8">
    <cfRule type="notContainsBlanks" dxfId="520" priority="2543">
      <formula>LEN(TRIM(AD8))&gt;0</formula>
    </cfRule>
  </conditionalFormatting>
  <conditionalFormatting sqref="AC8">
    <cfRule type="notContainsBlanks" dxfId="519" priority="1787">
      <formula>LEN(TRIM(AC8))&gt;0</formula>
    </cfRule>
  </conditionalFormatting>
  <conditionalFormatting sqref="AC9">
    <cfRule type="notContainsBlanks" dxfId="518" priority="1786">
      <formula>LEN(TRIM(AC9))&gt;0</formula>
    </cfRule>
  </conditionalFormatting>
  <conditionalFormatting sqref="AC68">
    <cfRule type="notContainsBlanks" dxfId="517" priority="1782">
      <formula>LEN(TRIM(AC68))&gt;0</formula>
    </cfRule>
  </conditionalFormatting>
  <conditionalFormatting sqref="D18:AB18">
    <cfRule type="cellIs" dxfId="516" priority="1298" operator="equal">
      <formula>0</formula>
    </cfRule>
  </conditionalFormatting>
  <conditionalFormatting sqref="AC11">
    <cfRule type="notContainsBlanks" dxfId="515" priority="1297">
      <formula>LEN(TRIM(AC11))&gt;0</formula>
    </cfRule>
  </conditionalFormatting>
  <conditionalFormatting sqref="AC12">
    <cfRule type="notContainsBlanks" dxfId="514" priority="1296">
      <formula>LEN(TRIM(AC12))&gt;0</formula>
    </cfRule>
  </conditionalFormatting>
  <conditionalFormatting sqref="AC16">
    <cfRule type="notContainsBlanks" dxfId="513" priority="1294">
      <formula>LEN(TRIM(AC16))&gt;0</formula>
    </cfRule>
  </conditionalFormatting>
  <conditionalFormatting sqref="AC15">
    <cfRule type="notContainsBlanks" dxfId="512" priority="1293">
      <formula>LEN(TRIM(AC15))&gt;0</formula>
    </cfRule>
  </conditionalFormatting>
  <conditionalFormatting sqref="D14:AA14">
    <cfRule type="cellIs" dxfId="511" priority="1277" operator="equal">
      <formula>0</formula>
    </cfRule>
  </conditionalFormatting>
  <conditionalFormatting sqref="AC14">
    <cfRule type="notContainsBlanks" dxfId="510" priority="1276">
      <formula>LEN(TRIM(AC14))&gt;0</formula>
    </cfRule>
  </conditionalFormatting>
  <conditionalFormatting sqref="AB12:AB13">
    <cfRule type="cellIs" dxfId="509" priority="1073" operator="equal">
      <formula>0</formula>
    </cfRule>
  </conditionalFormatting>
  <conditionalFormatting sqref="AB14">
    <cfRule type="cellIs" dxfId="508" priority="1072" operator="equal">
      <formula>0</formula>
    </cfRule>
  </conditionalFormatting>
  <conditionalFormatting sqref="AB15:AB17">
    <cfRule type="cellIs" dxfId="507" priority="1071" operator="equal">
      <formula>0</formula>
    </cfRule>
  </conditionalFormatting>
  <conditionalFormatting sqref="AB11">
    <cfRule type="cellIs" dxfId="506" priority="994" operator="equal">
      <formula>0</formula>
    </cfRule>
  </conditionalFormatting>
  <conditionalFormatting sqref="AB11">
    <cfRule type="cellIs" dxfId="505" priority="992" operator="equal">
      <formula>0</formula>
    </cfRule>
  </conditionalFormatting>
  <conditionalFormatting sqref="AB10">
    <cfRule type="cellIs" dxfId="504" priority="907" operator="equal">
      <formula>0</formula>
    </cfRule>
  </conditionalFormatting>
  <conditionalFormatting sqref="AB8:AB9">
    <cfRule type="cellIs" dxfId="503" priority="906" operator="equal">
      <formula>0</formula>
    </cfRule>
  </conditionalFormatting>
  <conditionalFormatting sqref="D14:AA14">
    <cfRule type="expression" dxfId="502" priority="2547">
      <formula>#REF!&gt;D14</formula>
    </cfRule>
  </conditionalFormatting>
  <conditionalFormatting sqref="L24:AB24">
    <cfRule type="cellIs" dxfId="501" priority="601" operator="equal">
      <formula>0</formula>
    </cfRule>
  </conditionalFormatting>
  <conditionalFormatting sqref="AB33:AB34">
    <cfRule type="cellIs" dxfId="500" priority="599" operator="equal">
      <formula>0</formula>
    </cfRule>
  </conditionalFormatting>
  <conditionalFormatting sqref="AB32">
    <cfRule type="cellIs" dxfId="499" priority="598" operator="equal">
      <formula>0</formula>
    </cfRule>
  </conditionalFormatting>
  <conditionalFormatting sqref="AB39:AB40">
    <cfRule type="cellIs" dxfId="498" priority="595" operator="equal">
      <formula>0</formula>
    </cfRule>
  </conditionalFormatting>
  <conditionalFormatting sqref="AB38">
    <cfRule type="cellIs" dxfId="497" priority="594" operator="equal">
      <formula>0</formula>
    </cfRule>
  </conditionalFormatting>
  <conditionalFormatting sqref="AB42:AB43">
    <cfRule type="cellIs" dxfId="496" priority="593" operator="equal">
      <formula>0</formula>
    </cfRule>
  </conditionalFormatting>
  <conditionalFormatting sqref="AB41">
    <cfRule type="cellIs" dxfId="495" priority="592" operator="equal">
      <formula>0</formula>
    </cfRule>
  </conditionalFormatting>
  <conditionalFormatting sqref="D119:AB119">
    <cfRule type="cellIs" dxfId="494" priority="591" operator="equal">
      <formula>0</formula>
    </cfRule>
  </conditionalFormatting>
  <conditionalFormatting sqref="D120:AB120">
    <cfRule type="cellIs" dxfId="493" priority="590" operator="equal">
      <formula>0</formula>
    </cfRule>
  </conditionalFormatting>
  <conditionalFormatting sqref="AE186:AE200">
    <cfRule type="notContainsBlanks" dxfId="492" priority="588">
      <formula>LEN(TRIM(AE186))&gt;0</formula>
    </cfRule>
  </conditionalFormatting>
  <conditionalFormatting sqref="AD186">
    <cfRule type="notContainsBlanks" dxfId="491" priority="589">
      <formula>LEN(TRIM(AD186))&gt;0</formula>
    </cfRule>
  </conditionalFormatting>
  <conditionalFormatting sqref="AB187:AB194 AB204:AB205 AB196:AB200">
    <cfRule type="cellIs" dxfId="490" priority="587" operator="equal">
      <formula>0</formula>
    </cfRule>
  </conditionalFormatting>
  <conditionalFormatting sqref="AE217:AE224 AE228:AE229 AE231:AE235">
    <cfRule type="notContainsBlanks" dxfId="489" priority="578">
      <formula>LEN(TRIM(AE217))&gt;0</formula>
    </cfRule>
  </conditionalFormatting>
  <conditionalFormatting sqref="AD217 AD231">
    <cfRule type="notContainsBlanks" dxfId="488" priority="579">
      <formula>LEN(TRIM(AD217))&gt;0</formula>
    </cfRule>
  </conditionalFormatting>
  <conditionalFormatting sqref="AB228 AB218:AB222 AB224">
    <cfRule type="cellIs" dxfId="487" priority="577" operator="equal">
      <formula>0</formula>
    </cfRule>
  </conditionalFormatting>
  <conditionalFormatting sqref="D217:AB217">
    <cfRule type="cellIs" dxfId="486" priority="576" operator="equal">
      <formula>0</formula>
    </cfRule>
  </conditionalFormatting>
  <conditionalFormatting sqref="AE236:AE237 AE248:AE250">
    <cfRule type="notContainsBlanks" dxfId="485" priority="573">
      <formula>LEN(TRIM(AE236))&gt;0</formula>
    </cfRule>
  </conditionalFormatting>
  <conditionalFormatting sqref="AB248:AB250">
    <cfRule type="cellIs" dxfId="484" priority="572" operator="equal">
      <formula>0</formula>
    </cfRule>
  </conditionalFormatting>
  <conditionalFormatting sqref="AE251">
    <cfRule type="notContainsBlanks" dxfId="483" priority="570">
      <formula>LEN(TRIM(AE251))&gt;0</formula>
    </cfRule>
  </conditionalFormatting>
  <conditionalFormatting sqref="AE225:AE227">
    <cfRule type="notContainsBlanks" dxfId="482" priority="567">
      <formula>LEN(TRIM(AE225))&gt;0</formula>
    </cfRule>
  </conditionalFormatting>
  <conditionalFormatting sqref="AB225:AB227">
    <cfRule type="cellIs" dxfId="481" priority="566" operator="equal">
      <formula>0</formula>
    </cfRule>
  </conditionalFormatting>
  <conditionalFormatting sqref="AE238:AE240">
    <cfRule type="notContainsBlanks" dxfId="480" priority="558">
      <formula>LEN(TRIM(AE238))&gt;0</formula>
    </cfRule>
  </conditionalFormatting>
  <conditionalFormatting sqref="AB232:AB236 AB238:AB242">
    <cfRule type="cellIs" dxfId="479" priority="557" operator="equal">
      <formula>0</formula>
    </cfRule>
  </conditionalFormatting>
  <conditionalFormatting sqref="AE246:AE247">
    <cfRule type="notContainsBlanks" dxfId="478" priority="555">
      <formula>LEN(TRIM(AE246))&gt;0</formula>
    </cfRule>
  </conditionalFormatting>
  <conditionalFormatting sqref="AB246:AB247">
    <cfRule type="cellIs" dxfId="477" priority="554" operator="equal">
      <formula>0</formula>
    </cfRule>
  </conditionalFormatting>
  <conditionalFormatting sqref="AE243 AE245">
    <cfRule type="notContainsBlanks" dxfId="476" priority="552">
      <formula>LEN(TRIM(AE243))&gt;0</formula>
    </cfRule>
  </conditionalFormatting>
  <conditionalFormatting sqref="AD245">
    <cfRule type="notContainsBlanks" dxfId="475" priority="553">
      <formula>LEN(TRIM(AD245))&gt;0</formula>
    </cfRule>
  </conditionalFormatting>
  <conditionalFormatting sqref="AE241:AE242">
    <cfRule type="notContainsBlanks" dxfId="474" priority="549">
      <formula>LEN(TRIM(AE241))&gt;0</formula>
    </cfRule>
  </conditionalFormatting>
  <conditionalFormatting sqref="D203:AB203">
    <cfRule type="cellIs" dxfId="473" priority="541" operator="equal">
      <formula>0</formula>
    </cfRule>
  </conditionalFormatting>
  <conditionalFormatting sqref="D231:AB231">
    <cfRule type="cellIs" dxfId="472" priority="540" operator="equal">
      <formula>0</formula>
    </cfRule>
  </conditionalFormatting>
  <conditionalFormatting sqref="D245:AB245">
    <cfRule type="cellIs" dxfId="471" priority="539" operator="equal">
      <formula>0</formula>
    </cfRule>
  </conditionalFormatting>
  <conditionalFormatting sqref="L68:AA68 L96:AA96">
    <cfRule type="expression" dxfId="470" priority="538">
      <formula>L68&gt;L67</formula>
    </cfRule>
  </conditionalFormatting>
  <conditionalFormatting sqref="L67:AA67">
    <cfRule type="expression" dxfId="469" priority="537">
      <formula>L68&gt;L67</formula>
    </cfRule>
  </conditionalFormatting>
  <conditionalFormatting sqref="M76 O76 Q76 S76 U76 W76 Y76 AA76">
    <cfRule type="expression" dxfId="468" priority="534">
      <formula>M76&gt;M75</formula>
    </cfRule>
  </conditionalFormatting>
  <conditionalFormatting sqref="M75 O75 Q75 S75 U75 W75 Y75 AA75">
    <cfRule type="expression" dxfId="467" priority="533">
      <formula>M76&gt;M75</formula>
    </cfRule>
  </conditionalFormatting>
  <conditionalFormatting sqref="L86 N86 P86 R86 T86 V86 X86 Z86">
    <cfRule type="expression" dxfId="466" priority="530">
      <formula>L86&gt;L85</formula>
    </cfRule>
  </conditionalFormatting>
  <conditionalFormatting sqref="L85 N85 P85 R85 T85 V85 X85 Z85">
    <cfRule type="expression" dxfId="465" priority="529">
      <formula>L86&gt;L85</formula>
    </cfRule>
  </conditionalFormatting>
  <conditionalFormatting sqref="L90:AA90">
    <cfRule type="expression" dxfId="464" priority="528">
      <formula>L90&gt;L89</formula>
    </cfRule>
  </conditionalFormatting>
  <conditionalFormatting sqref="L89:AA89">
    <cfRule type="expression" dxfId="463" priority="527">
      <formula>L90&gt;L89</formula>
    </cfRule>
  </conditionalFormatting>
  <conditionalFormatting sqref="L92:AA92">
    <cfRule type="expression" dxfId="462" priority="526">
      <formula>L92&gt;L91</formula>
    </cfRule>
  </conditionalFormatting>
  <conditionalFormatting sqref="L91:AA91">
    <cfRule type="expression" dxfId="461" priority="525">
      <formula>L92&gt;L91</formula>
    </cfRule>
  </conditionalFormatting>
  <conditionalFormatting sqref="L95:AA95">
    <cfRule type="expression" dxfId="460" priority="523">
      <formula>L96&gt;L95</formula>
    </cfRule>
  </conditionalFormatting>
  <conditionalFormatting sqref="L111:AA111">
    <cfRule type="expression" dxfId="459" priority="522">
      <formula>L111&gt;L110</formula>
    </cfRule>
  </conditionalFormatting>
  <conditionalFormatting sqref="L110:AA110">
    <cfRule type="expression" dxfId="458" priority="521">
      <formula>L111&gt;L110</formula>
    </cfRule>
  </conditionalFormatting>
  <conditionalFormatting sqref="L115:AA115">
    <cfRule type="expression" dxfId="457" priority="520">
      <formula>L115&gt;L114</formula>
    </cfRule>
  </conditionalFormatting>
  <conditionalFormatting sqref="L114:AA114">
    <cfRule type="expression" dxfId="456" priority="519">
      <formula>L115&gt;L114</formula>
    </cfRule>
  </conditionalFormatting>
  <conditionalFormatting sqref="L113:AA113">
    <cfRule type="expression" dxfId="455" priority="518">
      <formula>(L113+L114)&gt;L112</formula>
    </cfRule>
  </conditionalFormatting>
  <conditionalFormatting sqref="L114:AA114">
    <cfRule type="expression" dxfId="454" priority="517">
      <formula>(L113+L114)&gt;L112</formula>
    </cfRule>
  </conditionalFormatting>
  <conditionalFormatting sqref="L112:AA112">
    <cfRule type="expression" dxfId="453" priority="516">
      <formula>(L113+L114)&gt;L112</formula>
    </cfRule>
  </conditionalFormatting>
  <conditionalFormatting sqref="D186:AB186">
    <cfRule type="cellIs" dxfId="452" priority="515" operator="equal">
      <formula>0</formula>
    </cfRule>
  </conditionalFormatting>
  <conditionalFormatting sqref="L187:AA187">
    <cfRule type="expression" dxfId="451" priority="514">
      <formula>(L187+L188+L189)&lt;&gt;L186</formula>
    </cfRule>
  </conditionalFormatting>
  <conditionalFormatting sqref="L188:AA188">
    <cfRule type="expression" dxfId="450" priority="513">
      <formula>(L187+L188+L189)&lt;&gt;L186</formula>
    </cfRule>
  </conditionalFormatting>
  <conditionalFormatting sqref="L189:AA189">
    <cfRule type="expression" dxfId="449" priority="512">
      <formula>(L187+L188+L189)&lt;&gt;L186</formula>
    </cfRule>
  </conditionalFormatting>
  <conditionalFormatting sqref="L186:AB186">
    <cfRule type="expression" dxfId="448" priority="511">
      <formula>(L187+L188+L189)&lt;&gt;L186</formula>
    </cfRule>
  </conditionalFormatting>
  <conditionalFormatting sqref="AB201">
    <cfRule type="expression" dxfId="447" priority="506">
      <formula>AB201&gt;AB200</formula>
    </cfRule>
  </conditionalFormatting>
  <conditionalFormatting sqref="AB128">
    <cfRule type="expression" dxfId="446" priority="508">
      <formula>AB128&gt;AB127</formula>
    </cfRule>
  </conditionalFormatting>
  <conditionalFormatting sqref="AB195">
    <cfRule type="expression" dxfId="445" priority="507">
      <formula>AB195&gt;AB194</formula>
    </cfRule>
  </conditionalFormatting>
  <conditionalFormatting sqref="AB209">
    <cfRule type="expression" dxfId="444" priority="505">
      <formula>AB209&gt;AB208</formula>
    </cfRule>
  </conditionalFormatting>
  <conditionalFormatting sqref="AB215">
    <cfRule type="expression" dxfId="443" priority="504">
      <formula>AB215&gt;AB214</formula>
    </cfRule>
  </conditionalFormatting>
  <conditionalFormatting sqref="AB223">
    <cfRule type="expression" dxfId="442" priority="503">
      <formula>AB223&gt;AB222</formula>
    </cfRule>
  </conditionalFormatting>
  <conditionalFormatting sqref="AB229">
    <cfRule type="expression" dxfId="441" priority="502">
      <formula>AB229&gt;AB228</formula>
    </cfRule>
  </conditionalFormatting>
  <conditionalFormatting sqref="AB237">
    <cfRule type="expression" dxfId="440" priority="501">
      <formula>AB237&gt;AB236</formula>
    </cfRule>
  </conditionalFormatting>
  <conditionalFormatting sqref="AB243">
    <cfRule type="expression" dxfId="439" priority="500">
      <formula>AB243&gt;AB242</formula>
    </cfRule>
  </conditionalFormatting>
  <conditionalFormatting sqref="AB251">
    <cfRule type="expression" dxfId="438" priority="499">
      <formula>AB251&gt;AB250</formula>
    </cfRule>
  </conditionalFormatting>
  <conditionalFormatting sqref="L63:AA63">
    <cfRule type="expression" dxfId="437" priority="498">
      <formula>L63&gt;(L62+L61)</formula>
    </cfRule>
  </conditionalFormatting>
  <conditionalFormatting sqref="L62:AA62">
    <cfRule type="expression" dxfId="436" priority="497">
      <formula>L63&gt;(L62+L61)</formula>
    </cfRule>
  </conditionalFormatting>
  <conditionalFormatting sqref="L61:AA61">
    <cfRule type="expression" dxfId="435" priority="496">
      <formula>L63&gt;(L62+L61)</formula>
    </cfRule>
  </conditionalFormatting>
  <conditionalFormatting sqref="L79:AA79">
    <cfRule type="expression" dxfId="434" priority="2548">
      <formula>L80&gt;L79</formula>
    </cfRule>
  </conditionalFormatting>
  <conditionalFormatting sqref="L80:AA80">
    <cfRule type="expression" dxfId="433" priority="2551">
      <formula>L80&gt;L79</formula>
    </cfRule>
  </conditionalFormatting>
  <conditionalFormatting sqref="AC81:AC82">
    <cfRule type="notContainsBlanks" dxfId="432" priority="493">
      <formula>LEN(TRIM(AC81))&gt;0</formula>
    </cfRule>
  </conditionalFormatting>
  <conditionalFormatting sqref="AE81:AE82">
    <cfRule type="notContainsBlanks" dxfId="431" priority="492">
      <formula>LEN(TRIM(AE81))&gt;0</formula>
    </cfRule>
  </conditionalFormatting>
  <conditionalFormatting sqref="AB81:AB82">
    <cfRule type="cellIs" dxfId="430" priority="491" operator="equal">
      <formula>0</formula>
    </cfRule>
  </conditionalFormatting>
  <conditionalFormatting sqref="L81:AA81">
    <cfRule type="expression" dxfId="429" priority="494">
      <formula>L82&gt;L81</formula>
    </cfRule>
  </conditionalFormatting>
  <conditionalFormatting sqref="L82:AA82">
    <cfRule type="expression" dxfId="428" priority="495">
      <formula>L82&gt;L81</formula>
    </cfRule>
  </conditionalFormatting>
  <conditionalFormatting sqref="AC77:AC78">
    <cfRule type="notContainsBlanks" dxfId="427" priority="490">
      <formula>LEN(TRIM(AC77))&gt;0</formula>
    </cfRule>
  </conditionalFormatting>
  <conditionalFormatting sqref="AE77:AE78">
    <cfRule type="notContainsBlanks" dxfId="426" priority="489">
      <formula>LEN(TRIM(AE77))&gt;0</formula>
    </cfRule>
  </conditionalFormatting>
  <conditionalFormatting sqref="AB77:AB78">
    <cfRule type="cellIs" dxfId="425" priority="488" operator="equal">
      <formula>0</formula>
    </cfRule>
  </conditionalFormatting>
  <conditionalFormatting sqref="M78 O78 Q78 S78 U78 W78 Y78 AA78">
    <cfRule type="expression" dxfId="424" priority="487">
      <formula>M78&gt;M77</formula>
    </cfRule>
  </conditionalFormatting>
  <conditionalFormatting sqref="M77 O77 Q77 S77 U77 W77 Y77 AA77">
    <cfRule type="expression" dxfId="423" priority="486">
      <formula>M78&gt;M77</formula>
    </cfRule>
  </conditionalFormatting>
  <conditionalFormatting sqref="AC69">
    <cfRule type="notContainsBlanks" dxfId="422" priority="484">
      <formula>LEN(TRIM(AC69))&gt;0</formula>
    </cfRule>
  </conditionalFormatting>
  <conditionalFormatting sqref="AE69:AE70">
    <cfRule type="notContainsBlanks" dxfId="421" priority="483">
      <formula>LEN(TRIM(AE69))&gt;0</formula>
    </cfRule>
  </conditionalFormatting>
  <conditionalFormatting sqref="AB69:AB70">
    <cfRule type="cellIs" dxfId="420" priority="482" operator="equal">
      <formula>0</formula>
    </cfRule>
  </conditionalFormatting>
  <conditionalFormatting sqref="AC70">
    <cfRule type="notContainsBlanks" dxfId="419" priority="481">
      <formula>LEN(TRIM(AC70))&gt;0</formula>
    </cfRule>
  </conditionalFormatting>
  <conditionalFormatting sqref="L70:AA70">
    <cfRule type="expression" dxfId="418" priority="480">
      <formula>L70&gt;L69</formula>
    </cfRule>
  </conditionalFormatting>
  <conditionalFormatting sqref="L69:AA69">
    <cfRule type="expression" dxfId="417" priority="479">
      <formula>L70&gt;L69</formula>
    </cfRule>
  </conditionalFormatting>
  <conditionalFormatting sqref="AC73:AC74">
    <cfRule type="notContainsBlanks" dxfId="416" priority="478">
      <formula>LEN(TRIM(AC73))&gt;0</formula>
    </cfRule>
  </conditionalFormatting>
  <conditionalFormatting sqref="AE73:AE74">
    <cfRule type="notContainsBlanks" dxfId="415" priority="477">
      <formula>LEN(TRIM(AE73))&gt;0</formula>
    </cfRule>
  </conditionalFormatting>
  <conditionalFormatting sqref="L88:AA88">
    <cfRule type="expression" dxfId="414" priority="465">
      <formula>L88&gt;L87</formula>
    </cfRule>
  </conditionalFormatting>
  <conditionalFormatting sqref="AC83:AC84">
    <cfRule type="notContainsBlanks" dxfId="413" priority="474">
      <formula>LEN(TRIM(AC83))&gt;0</formula>
    </cfRule>
  </conditionalFormatting>
  <conditionalFormatting sqref="AE83:AE84">
    <cfRule type="notContainsBlanks" dxfId="412" priority="473">
      <formula>LEN(TRIM(AE83))&gt;0</formula>
    </cfRule>
  </conditionalFormatting>
  <conditionalFormatting sqref="AB83:AB84">
    <cfRule type="cellIs" dxfId="411" priority="472" operator="equal">
      <formula>0</formula>
    </cfRule>
  </conditionalFormatting>
  <conditionalFormatting sqref="L84 N84 P84 R84 T84 V84 X84 Z84">
    <cfRule type="expression" dxfId="410" priority="471">
      <formula>L84&gt;L83</formula>
    </cfRule>
  </conditionalFormatting>
  <conditionalFormatting sqref="L83 N83 P83 R83 T83 V83 X83 Z83">
    <cfRule type="expression" dxfId="409" priority="470">
      <formula>L84&gt;L83</formula>
    </cfRule>
  </conditionalFormatting>
  <conditionalFormatting sqref="AC87">
    <cfRule type="notContainsBlanks" dxfId="408" priority="469">
      <formula>LEN(TRIM(AC87))&gt;0</formula>
    </cfRule>
  </conditionalFormatting>
  <conditionalFormatting sqref="AC88">
    <cfRule type="notContainsBlanks" dxfId="407" priority="468">
      <formula>LEN(TRIM(AC88))&gt;0</formula>
    </cfRule>
  </conditionalFormatting>
  <conditionalFormatting sqref="AE87:AE88">
    <cfRule type="notContainsBlanks" dxfId="406" priority="467">
      <formula>LEN(TRIM(AE87))&gt;0</formula>
    </cfRule>
  </conditionalFormatting>
  <conditionalFormatting sqref="AB87:AB88">
    <cfRule type="cellIs" dxfId="405" priority="466" operator="equal">
      <formula>0</formula>
    </cfRule>
  </conditionalFormatting>
  <conditionalFormatting sqref="L87:AA87">
    <cfRule type="expression" dxfId="404" priority="464">
      <formula>L88&gt;L87</formula>
    </cfRule>
  </conditionalFormatting>
  <conditionalFormatting sqref="AC93">
    <cfRule type="notContainsBlanks" dxfId="403" priority="463">
      <formula>LEN(TRIM(AC93))&gt;0</formula>
    </cfRule>
  </conditionalFormatting>
  <conditionalFormatting sqref="AC94">
    <cfRule type="notContainsBlanks" dxfId="402" priority="462">
      <formula>LEN(TRIM(AC94))&gt;0</formula>
    </cfRule>
  </conditionalFormatting>
  <conditionalFormatting sqref="AE93:AE94">
    <cfRule type="notContainsBlanks" dxfId="401" priority="461">
      <formula>LEN(TRIM(AE93))&gt;0</formula>
    </cfRule>
  </conditionalFormatting>
  <conditionalFormatting sqref="AB93:AB94">
    <cfRule type="cellIs" dxfId="400" priority="460" operator="equal">
      <formula>0</formula>
    </cfRule>
  </conditionalFormatting>
  <conditionalFormatting sqref="L94:AA94">
    <cfRule type="expression" dxfId="399" priority="459">
      <formula>L94&gt;L93</formula>
    </cfRule>
  </conditionalFormatting>
  <conditionalFormatting sqref="L93:AA93">
    <cfRule type="expression" dxfId="398" priority="458">
      <formula>L94&gt;L93</formula>
    </cfRule>
  </conditionalFormatting>
  <conditionalFormatting sqref="AE97:AE98">
    <cfRule type="notContainsBlanks" dxfId="397" priority="457">
      <formula>LEN(TRIM(AE97))&gt;0</formula>
    </cfRule>
  </conditionalFormatting>
  <conditionalFormatting sqref="AB97:AB98">
    <cfRule type="cellIs" dxfId="396" priority="456" operator="equal">
      <formula>0</formula>
    </cfRule>
  </conditionalFormatting>
  <conditionalFormatting sqref="L98:AA98">
    <cfRule type="expression" dxfId="395" priority="455">
      <formula>L98&gt;L97</formula>
    </cfRule>
  </conditionalFormatting>
  <conditionalFormatting sqref="L97:AA97">
    <cfRule type="expression" dxfId="394" priority="454">
      <formula>L98&gt;L97</formula>
    </cfRule>
  </conditionalFormatting>
  <conditionalFormatting sqref="AE99:AE100">
    <cfRule type="notContainsBlanks" dxfId="393" priority="453">
      <formula>LEN(TRIM(AE99))&gt;0</formula>
    </cfRule>
  </conditionalFormatting>
  <conditionalFormatting sqref="AE101:AE102">
    <cfRule type="notContainsBlanks" dxfId="392" priority="449">
      <formula>LEN(TRIM(AE101))&gt;0</formula>
    </cfRule>
  </conditionalFormatting>
  <conditionalFormatting sqref="AB72">
    <cfRule type="expression" dxfId="391" priority="445">
      <formula>AB72&gt;AB71</formula>
    </cfRule>
  </conditionalFormatting>
  <conditionalFormatting sqref="AB71">
    <cfRule type="expression" dxfId="390" priority="173">
      <formula>(AB71+AB73)&gt;AB36</formula>
    </cfRule>
    <cfRule type="expression" dxfId="389" priority="444">
      <formula>AB72&gt;AB71</formula>
    </cfRule>
  </conditionalFormatting>
  <conditionalFormatting sqref="AB74">
    <cfRule type="expression" dxfId="388" priority="443">
      <formula>AB74&gt;AB73</formula>
    </cfRule>
  </conditionalFormatting>
  <conditionalFormatting sqref="AB73">
    <cfRule type="expression" dxfId="387" priority="172">
      <formula>(AB71+AB73)&gt;AB36</formula>
    </cfRule>
    <cfRule type="expression" dxfId="386" priority="442">
      <formula>AB74&gt;AB73</formula>
    </cfRule>
  </conditionalFormatting>
  <conditionalFormatting sqref="AE50">
    <cfRule type="notContainsBlanks" dxfId="385" priority="439">
      <formula>LEN(TRIM(AE50))&gt;0</formula>
    </cfRule>
  </conditionalFormatting>
  <conditionalFormatting sqref="AE46:AE47">
    <cfRule type="notContainsBlanks" dxfId="384" priority="438">
      <formula>LEN(TRIM(AE46))&gt;0</formula>
    </cfRule>
  </conditionalFormatting>
  <conditionalFormatting sqref="AB46:AB47">
    <cfRule type="cellIs" dxfId="383" priority="437" operator="equal">
      <formula>0</formula>
    </cfRule>
  </conditionalFormatting>
  <conditionalFormatting sqref="AE45">
    <cfRule type="notContainsBlanks" dxfId="382" priority="435">
      <formula>LEN(TRIM(AE45))&gt;0</formula>
    </cfRule>
  </conditionalFormatting>
  <conditionalFormatting sqref="AD45">
    <cfRule type="notContainsBlanks" dxfId="381" priority="436">
      <formula>LEN(TRIM(AD45))&gt;0</formula>
    </cfRule>
  </conditionalFormatting>
  <conditionalFormatting sqref="D45:AB45">
    <cfRule type="cellIs" dxfId="380" priority="434" operator="equal">
      <formula>0</formula>
    </cfRule>
  </conditionalFormatting>
  <conditionalFormatting sqref="AB50">
    <cfRule type="expression" dxfId="379" priority="183">
      <formula>AB50&gt;AB57</formula>
    </cfRule>
    <cfRule type="expression" dxfId="378" priority="244">
      <formula>AB57&gt;AB26</formula>
    </cfRule>
    <cfRule type="expression" dxfId="377" priority="433">
      <formula>AB50&gt;AB49</formula>
    </cfRule>
  </conditionalFormatting>
  <conditionalFormatting sqref="AE55:AE56">
    <cfRule type="notContainsBlanks" dxfId="376" priority="432">
      <formula>LEN(TRIM(AE55))&gt;0</formula>
    </cfRule>
  </conditionalFormatting>
  <conditionalFormatting sqref="AB55:AB56">
    <cfRule type="cellIs" dxfId="375" priority="431" operator="equal">
      <formula>0</formula>
    </cfRule>
  </conditionalFormatting>
  <conditionalFormatting sqref="AE57">
    <cfRule type="notContainsBlanks" dxfId="374" priority="430">
      <formula>LEN(TRIM(AE57))&gt;0</formula>
    </cfRule>
  </conditionalFormatting>
  <conditionalFormatting sqref="AE53:AE54">
    <cfRule type="notContainsBlanks" dxfId="373" priority="429">
      <formula>LEN(TRIM(AE53))&gt;0</formula>
    </cfRule>
  </conditionalFormatting>
  <conditionalFormatting sqref="AB53:AB54">
    <cfRule type="cellIs" dxfId="372" priority="428" operator="equal">
      <formula>0</formula>
    </cfRule>
  </conditionalFormatting>
  <conditionalFormatting sqref="AE52">
    <cfRule type="notContainsBlanks" dxfId="371" priority="426">
      <formula>LEN(TRIM(AE52))&gt;0</formula>
    </cfRule>
  </conditionalFormatting>
  <conditionalFormatting sqref="AD52">
    <cfRule type="notContainsBlanks" dxfId="370" priority="427">
      <formula>LEN(TRIM(AD52))&gt;0</formula>
    </cfRule>
  </conditionalFormatting>
  <conditionalFormatting sqref="D52:AB52">
    <cfRule type="cellIs" dxfId="369" priority="425" operator="equal">
      <formula>0</formula>
    </cfRule>
  </conditionalFormatting>
  <conditionalFormatting sqref="AB57">
    <cfRule type="expression" dxfId="368" priority="182">
      <formula>AB50&gt;AB57</formula>
    </cfRule>
    <cfRule type="expression" dxfId="367" priority="424">
      <formula>AB57&gt;AB56</formula>
    </cfRule>
  </conditionalFormatting>
  <conditionalFormatting sqref="AE138:AE139">
    <cfRule type="notContainsBlanks" dxfId="366" priority="423">
      <formula>LEN(TRIM(AE138))&gt;0</formula>
    </cfRule>
  </conditionalFormatting>
  <conditionalFormatting sqref="AB138:AB139">
    <cfRule type="cellIs" dxfId="365" priority="422" operator="equal">
      <formula>0</formula>
    </cfRule>
  </conditionalFormatting>
  <conditionalFormatting sqref="AE140">
    <cfRule type="notContainsBlanks" dxfId="364" priority="421">
      <formula>LEN(TRIM(AE140))&gt;0</formula>
    </cfRule>
  </conditionalFormatting>
  <conditionalFormatting sqref="AE136:AE137">
    <cfRule type="notContainsBlanks" dxfId="363" priority="420">
      <formula>LEN(TRIM(AE136))&gt;0</formula>
    </cfRule>
  </conditionalFormatting>
  <conditionalFormatting sqref="AB136:AB137">
    <cfRule type="cellIs" dxfId="362" priority="419" operator="equal">
      <formula>0</formula>
    </cfRule>
  </conditionalFormatting>
  <conditionalFormatting sqref="AE135">
    <cfRule type="notContainsBlanks" dxfId="361" priority="417">
      <formula>LEN(TRIM(AE135))&gt;0</formula>
    </cfRule>
  </conditionalFormatting>
  <conditionalFormatting sqref="AD135">
    <cfRule type="notContainsBlanks" dxfId="360" priority="418">
      <formula>LEN(TRIM(AD135))&gt;0</formula>
    </cfRule>
  </conditionalFormatting>
  <conditionalFormatting sqref="D135:AB135">
    <cfRule type="cellIs" dxfId="359" priority="416" operator="equal">
      <formula>0</formula>
    </cfRule>
  </conditionalFormatting>
  <conditionalFormatting sqref="AB140">
    <cfRule type="expression" dxfId="358" priority="415">
      <formula>AB140&gt;AB139</formula>
    </cfRule>
  </conditionalFormatting>
  <conditionalFormatting sqref="AE145:AE146">
    <cfRule type="notContainsBlanks" dxfId="357" priority="414">
      <formula>LEN(TRIM(AE145))&gt;0</formula>
    </cfRule>
  </conditionalFormatting>
  <conditionalFormatting sqref="AB145:AB146">
    <cfRule type="cellIs" dxfId="356" priority="413" operator="equal">
      <formula>0</formula>
    </cfRule>
  </conditionalFormatting>
  <conditionalFormatting sqref="AE147">
    <cfRule type="notContainsBlanks" dxfId="355" priority="412">
      <formula>LEN(TRIM(AE147))&gt;0</formula>
    </cfRule>
  </conditionalFormatting>
  <conditionalFormatting sqref="AE143:AE144">
    <cfRule type="notContainsBlanks" dxfId="354" priority="411">
      <formula>LEN(TRIM(AE143))&gt;0</formula>
    </cfRule>
  </conditionalFormatting>
  <conditionalFormatting sqref="AB143:AB144">
    <cfRule type="cellIs" dxfId="353" priority="410" operator="equal">
      <formula>0</formula>
    </cfRule>
  </conditionalFormatting>
  <conditionalFormatting sqref="AE142">
    <cfRule type="notContainsBlanks" dxfId="352" priority="408">
      <formula>LEN(TRIM(AE142))&gt;0</formula>
    </cfRule>
  </conditionalFormatting>
  <conditionalFormatting sqref="AD142">
    <cfRule type="notContainsBlanks" dxfId="351" priority="409">
      <formula>LEN(TRIM(AD142))&gt;0</formula>
    </cfRule>
  </conditionalFormatting>
  <conditionalFormatting sqref="D142:AB142">
    <cfRule type="cellIs" dxfId="350" priority="407" operator="equal">
      <formula>0</formula>
    </cfRule>
  </conditionalFormatting>
  <conditionalFormatting sqref="AB147">
    <cfRule type="expression" dxfId="349" priority="101">
      <formula>AB147&lt;(AB162+AB168)</formula>
    </cfRule>
    <cfRule type="expression" dxfId="348" priority="406">
      <formula>AB147&gt;AB146</formula>
    </cfRule>
  </conditionalFormatting>
  <conditionalFormatting sqref="AE154">
    <cfRule type="notContainsBlanks" dxfId="347" priority="403">
      <formula>LEN(TRIM(AE154))&gt;0</formula>
    </cfRule>
  </conditionalFormatting>
  <conditionalFormatting sqref="AE150:AE151">
    <cfRule type="notContainsBlanks" dxfId="346" priority="402">
      <formula>LEN(TRIM(AE150))&gt;0</formula>
    </cfRule>
  </conditionalFormatting>
  <conditionalFormatting sqref="AB150:AB151">
    <cfRule type="cellIs" dxfId="345" priority="401" operator="equal">
      <formula>0</formula>
    </cfRule>
  </conditionalFormatting>
  <conditionalFormatting sqref="AE149">
    <cfRule type="notContainsBlanks" dxfId="344" priority="399">
      <formula>LEN(TRIM(AE149))&gt;0</formula>
    </cfRule>
  </conditionalFormatting>
  <conditionalFormatting sqref="AD149">
    <cfRule type="notContainsBlanks" dxfId="343" priority="400">
      <formula>LEN(TRIM(AD149))&gt;0</formula>
    </cfRule>
  </conditionalFormatting>
  <conditionalFormatting sqref="D149:AB149">
    <cfRule type="cellIs" dxfId="342" priority="398" operator="equal">
      <formula>0</formula>
    </cfRule>
  </conditionalFormatting>
  <conditionalFormatting sqref="AB154">
    <cfRule type="expression" dxfId="341" priority="397">
      <formula>AB154&gt;AB153</formula>
    </cfRule>
  </conditionalFormatting>
  <conditionalFormatting sqref="AE160:AE161">
    <cfRule type="notContainsBlanks" dxfId="340" priority="396">
      <formula>LEN(TRIM(AE160))&gt;0</formula>
    </cfRule>
  </conditionalFormatting>
  <conditionalFormatting sqref="AB160:AB161">
    <cfRule type="cellIs" dxfId="339" priority="395" operator="equal">
      <formula>0</formula>
    </cfRule>
  </conditionalFormatting>
  <conditionalFormatting sqref="AE162">
    <cfRule type="notContainsBlanks" dxfId="338" priority="394">
      <formula>LEN(TRIM(AE162))&gt;0</formula>
    </cfRule>
  </conditionalFormatting>
  <conditionalFormatting sqref="AE158:AE159">
    <cfRule type="notContainsBlanks" dxfId="337" priority="393">
      <formula>LEN(TRIM(AE158))&gt;0</formula>
    </cfRule>
  </conditionalFormatting>
  <conditionalFormatting sqref="AB158:AB159">
    <cfRule type="cellIs" dxfId="336" priority="392" operator="equal">
      <formula>0</formula>
    </cfRule>
  </conditionalFormatting>
  <conditionalFormatting sqref="AE157">
    <cfRule type="notContainsBlanks" dxfId="335" priority="390">
      <formula>LEN(TRIM(AE157))&gt;0</formula>
    </cfRule>
  </conditionalFormatting>
  <conditionalFormatting sqref="AD157">
    <cfRule type="notContainsBlanks" dxfId="334" priority="391">
      <formula>LEN(TRIM(AD157))&gt;0</formula>
    </cfRule>
  </conditionalFormatting>
  <conditionalFormatting sqref="D157:AB157">
    <cfRule type="cellIs" dxfId="333" priority="389" operator="equal">
      <formula>0</formula>
    </cfRule>
  </conditionalFormatting>
  <conditionalFormatting sqref="AB162">
    <cfRule type="expression" dxfId="332" priority="100">
      <formula>AB147&lt;(AB162+AB168)</formula>
    </cfRule>
    <cfRule type="expression" dxfId="331" priority="307">
      <formula>AB175&gt;AB162</formula>
    </cfRule>
    <cfRule type="expression" dxfId="330" priority="388">
      <formula>AB162&gt;AB161</formula>
    </cfRule>
  </conditionalFormatting>
  <conditionalFormatting sqref="AE166:AE167">
    <cfRule type="notContainsBlanks" dxfId="329" priority="387">
      <formula>LEN(TRIM(AE166))&gt;0</formula>
    </cfRule>
  </conditionalFormatting>
  <conditionalFormatting sqref="AB166:AB167">
    <cfRule type="cellIs" dxfId="328" priority="386" operator="equal">
      <formula>0</formula>
    </cfRule>
  </conditionalFormatting>
  <conditionalFormatting sqref="AE168">
    <cfRule type="notContainsBlanks" dxfId="327" priority="385">
      <formula>LEN(TRIM(AE168))&gt;0</formula>
    </cfRule>
  </conditionalFormatting>
  <conditionalFormatting sqref="AE164:AE165">
    <cfRule type="notContainsBlanks" dxfId="326" priority="384">
      <formula>LEN(TRIM(AE164))&gt;0</formula>
    </cfRule>
  </conditionalFormatting>
  <conditionalFormatting sqref="AB164:AB165">
    <cfRule type="cellIs" dxfId="325" priority="383" operator="equal">
      <formula>0</formula>
    </cfRule>
  </conditionalFormatting>
  <conditionalFormatting sqref="AE163">
    <cfRule type="notContainsBlanks" dxfId="324" priority="381">
      <formula>LEN(TRIM(AE163))&gt;0</formula>
    </cfRule>
  </conditionalFormatting>
  <conditionalFormatting sqref="D163:AB163">
    <cfRule type="cellIs" dxfId="323" priority="380" operator="equal">
      <formula>0</formula>
    </cfRule>
  </conditionalFormatting>
  <conditionalFormatting sqref="AB168">
    <cfRule type="expression" dxfId="322" priority="345">
      <formula>AB181&gt;AB168</formula>
    </cfRule>
    <cfRule type="expression" dxfId="321" priority="379">
      <formula>AB168&gt;AB167</formula>
    </cfRule>
  </conditionalFormatting>
  <conditionalFormatting sqref="D156:AB156">
    <cfRule type="cellIs" dxfId="320" priority="378" operator="equal">
      <formula>0</formula>
    </cfRule>
  </conditionalFormatting>
  <conditionalFormatting sqref="AE173:AE174">
    <cfRule type="notContainsBlanks" dxfId="319" priority="377">
      <formula>LEN(TRIM(AE173))&gt;0</formula>
    </cfRule>
  </conditionalFormatting>
  <conditionalFormatting sqref="AB173:AB174">
    <cfRule type="cellIs" dxfId="318" priority="376" operator="equal">
      <formula>0</formula>
    </cfRule>
  </conditionalFormatting>
  <conditionalFormatting sqref="AE175">
    <cfRule type="notContainsBlanks" dxfId="317" priority="375">
      <formula>LEN(TRIM(AE175))&gt;0</formula>
    </cfRule>
  </conditionalFormatting>
  <conditionalFormatting sqref="AE171:AE172">
    <cfRule type="notContainsBlanks" dxfId="316" priority="374">
      <formula>LEN(TRIM(AE171))&gt;0</formula>
    </cfRule>
  </conditionalFormatting>
  <conditionalFormatting sqref="AB171:AB172">
    <cfRule type="cellIs" dxfId="315" priority="373" operator="equal">
      <formula>0</formula>
    </cfRule>
  </conditionalFormatting>
  <conditionalFormatting sqref="AE170">
    <cfRule type="notContainsBlanks" dxfId="314" priority="371">
      <formula>LEN(TRIM(AE170))&gt;0</formula>
    </cfRule>
  </conditionalFormatting>
  <conditionalFormatting sqref="D170:AB170">
    <cfRule type="cellIs" dxfId="313" priority="370" operator="equal">
      <formula>0</formula>
    </cfRule>
  </conditionalFormatting>
  <conditionalFormatting sqref="AE179:AE180">
    <cfRule type="notContainsBlanks" dxfId="312" priority="368">
      <formula>LEN(TRIM(AE179))&gt;0</formula>
    </cfRule>
  </conditionalFormatting>
  <conditionalFormatting sqref="AB179:AB180">
    <cfRule type="cellIs" dxfId="311" priority="367" operator="equal">
      <formula>0</formula>
    </cfRule>
  </conditionalFormatting>
  <conditionalFormatting sqref="AE181">
    <cfRule type="notContainsBlanks" dxfId="310" priority="366">
      <formula>LEN(TRIM(AE181))&gt;0</formula>
    </cfRule>
  </conditionalFormatting>
  <conditionalFormatting sqref="AE177:AE178">
    <cfRule type="notContainsBlanks" dxfId="309" priority="365">
      <formula>LEN(TRIM(AE177))&gt;0</formula>
    </cfRule>
  </conditionalFormatting>
  <conditionalFormatting sqref="AB177:AB178">
    <cfRule type="cellIs" dxfId="308" priority="364" operator="equal">
      <formula>0</formula>
    </cfRule>
  </conditionalFormatting>
  <conditionalFormatting sqref="AE176">
    <cfRule type="notContainsBlanks" dxfId="307" priority="362">
      <formula>LEN(TRIM(AE176))&gt;0</formula>
    </cfRule>
  </conditionalFormatting>
  <conditionalFormatting sqref="D176:AB176">
    <cfRule type="cellIs" dxfId="306" priority="361" operator="equal">
      <formula>0</formula>
    </cfRule>
  </conditionalFormatting>
  <conditionalFormatting sqref="AB181">
    <cfRule type="expression" dxfId="305" priority="346">
      <formula>AB181&gt;AB168</formula>
    </cfRule>
    <cfRule type="expression" dxfId="304" priority="360">
      <formula>AB181&gt;AB180</formula>
    </cfRule>
  </conditionalFormatting>
  <conditionalFormatting sqref="D169:AB169">
    <cfRule type="cellIs" dxfId="303" priority="359" operator="equal">
      <formula>0</formula>
    </cfRule>
  </conditionalFormatting>
  <conditionalFormatting sqref="AF157">
    <cfRule type="notContainsBlanks" dxfId="302" priority="2552">
      <formula>LEN(TRIM(AF157))&gt;0</formula>
    </cfRule>
  </conditionalFormatting>
  <conditionalFormatting sqref="AE103:AE104">
    <cfRule type="notContainsBlanks" dxfId="301" priority="357">
      <formula>LEN(TRIM(AE103))&gt;0</formula>
    </cfRule>
  </conditionalFormatting>
  <conditionalFormatting sqref="AE105:AE106">
    <cfRule type="notContainsBlanks" dxfId="300" priority="353">
      <formula>LEN(TRIM(AE105))&gt;0</formula>
    </cfRule>
  </conditionalFormatting>
  <conditionalFormatting sqref="D103:AB106">
    <cfRule type="cellIs" dxfId="299" priority="349" operator="equal">
      <formula>0</formula>
    </cfRule>
  </conditionalFormatting>
  <conditionalFormatting sqref="L180:AA180">
    <cfRule type="expression" dxfId="298" priority="348">
      <formula>L180&gt;L167</formula>
    </cfRule>
  </conditionalFormatting>
  <conditionalFormatting sqref="L167:AA167">
    <cfRule type="expression" dxfId="297" priority="347">
      <formula>L180&gt;L167</formula>
    </cfRule>
  </conditionalFormatting>
  <conditionalFormatting sqref="L179:AA179">
    <cfRule type="expression" dxfId="296" priority="344">
      <formula>L179&gt;L166</formula>
    </cfRule>
  </conditionalFormatting>
  <conditionalFormatting sqref="L166:AA166">
    <cfRule type="expression" dxfId="295" priority="343">
      <formula>L179&gt;L166</formula>
    </cfRule>
  </conditionalFormatting>
  <conditionalFormatting sqref="L178">
    <cfRule type="expression" dxfId="294" priority="342">
      <formula>L178&gt;L165</formula>
    </cfRule>
  </conditionalFormatting>
  <conditionalFormatting sqref="L165">
    <cfRule type="expression" dxfId="293" priority="93">
      <formula>(L165+L159)&gt;L144</formula>
    </cfRule>
    <cfRule type="expression" dxfId="292" priority="341">
      <formula>L178&gt;L165</formula>
    </cfRule>
  </conditionalFormatting>
  <conditionalFormatting sqref="N178">
    <cfRule type="expression" dxfId="291" priority="340">
      <formula>N178&gt;N165</formula>
    </cfRule>
  </conditionalFormatting>
  <conditionalFormatting sqref="P178">
    <cfRule type="expression" dxfId="290" priority="339">
      <formula>P178&gt;P165</formula>
    </cfRule>
  </conditionalFormatting>
  <conditionalFormatting sqref="R178">
    <cfRule type="expression" dxfId="289" priority="338">
      <formula>R178&gt;R165</formula>
    </cfRule>
  </conditionalFormatting>
  <conditionalFormatting sqref="T178">
    <cfRule type="expression" dxfId="288" priority="337">
      <formula>T178&gt;T165</formula>
    </cfRule>
  </conditionalFormatting>
  <conditionalFormatting sqref="V178">
    <cfRule type="expression" dxfId="287" priority="336">
      <formula>V178&gt;V165</formula>
    </cfRule>
  </conditionalFormatting>
  <conditionalFormatting sqref="X178">
    <cfRule type="expression" dxfId="286" priority="335">
      <formula>X178&gt;X165</formula>
    </cfRule>
  </conditionalFormatting>
  <conditionalFormatting sqref="Z178">
    <cfRule type="expression" dxfId="285" priority="334">
      <formula>Z178&gt;Z165</formula>
    </cfRule>
  </conditionalFormatting>
  <conditionalFormatting sqref="M177">
    <cfRule type="expression" dxfId="284" priority="326">
      <formula>M177&gt;M164</formula>
    </cfRule>
  </conditionalFormatting>
  <conditionalFormatting sqref="M164">
    <cfRule type="expression" dxfId="283" priority="17">
      <formula>M164&gt;M158</formula>
    </cfRule>
    <cfRule type="expression" dxfId="282" priority="55">
      <formula>(M164+M158)&gt;M143</formula>
    </cfRule>
    <cfRule type="expression" dxfId="281" priority="325">
      <formula>M177&gt;M164</formula>
    </cfRule>
  </conditionalFormatting>
  <conditionalFormatting sqref="O177">
    <cfRule type="expression" dxfId="280" priority="324">
      <formula>O177&gt;O164</formula>
    </cfRule>
  </conditionalFormatting>
  <conditionalFormatting sqref="Q177">
    <cfRule type="expression" dxfId="279" priority="323">
      <formula>Q177&gt;Q164</formula>
    </cfRule>
  </conditionalFormatting>
  <conditionalFormatting sqref="S177">
    <cfRule type="expression" dxfId="278" priority="322">
      <formula>S177&gt;S164</formula>
    </cfRule>
  </conditionalFormatting>
  <conditionalFormatting sqref="U177">
    <cfRule type="expression" dxfId="277" priority="321">
      <formula>U177&gt;U164</formula>
    </cfRule>
  </conditionalFormatting>
  <conditionalFormatting sqref="W177">
    <cfRule type="expression" dxfId="276" priority="320">
      <formula>W177&gt;W164</formula>
    </cfRule>
  </conditionalFormatting>
  <conditionalFormatting sqref="Y177">
    <cfRule type="expression" dxfId="275" priority="319">
      <formula>Y177&gt;Y164</formula>
    </cfRule>
  </conditionalFormatting>
  <conditionalFormatting sqref="AA177">
    <cfRule type="expression" dxfId="274" priority="318">
      <formula>AA177&gt;AA164</formula>
    </cfRule>
  </conditionalFormatting>
  <conditionalFormatting sqref="L176:AA176">
    <cfRule type="expression" dxfId="273" priority="310">
      <formula>L176&gt;L163</formula>
    </cfRule>
  </conditionalFormatting>
  <conditionalFormatting sqref="L163:AA163">
    <cfRule type="expression" dxfId="272" priority="309">
      <formula>L176&gt;L163</formula>
    </cfRule>
  </conditionalFormatting>
  <conditionalFormatting sqref="AB175">
    <cfRule type="expression" dxfId="271" priority="102">
      <formula>(AB162+AB168)&gt;AB147</formula>
    </cfRule>
    <cfRule type="expression" dxfId="270" priority="308">
      <formula>AB175&gt;AB162</formula>
    </cfRule>
  </conditionalFormatting>
  <conditionalFormatting sqref="L174:AA174">
    <cfRule type="expression" dxfId="269" priority="306">
      <formula>L174&gt;L161</formula>
    </cfRule>
  </conditionalFormatting>
  <conditionalFormatting sqref="L161:AA161">
    <cfRule type="expression" dxfId="268" priority="305">
      <formula>L174&gt;L161</formula>
    </cfRule>
  </conditionalFormatting>
  <conditionalFormatting sqref="L173:AA173">
    <cfRule type="expression" dxfId="267" priority="304">
      <formula>L173&gt;L160</formula>
    </cfRule>
  </conditionalFormatting>
  <conditionalFormatting sqref="L160:AA160">
    <cfRule type="expression" dxfId="266" priority="303">
      <formula>L173&gt;L160</formula>
    </cfRule>
  </conditionalFormatting>
  <conditionalFormatting sqref="L172">
    <cfRule type="expression" dxfId="265" priority="302">
      <formula>L172&gt;L159</formula>
    </cfRule>
  </conditionalFormatting>
  <conditionalFormatting sqref="L159">
    <cfRule type="expression" dxfId="264" priority="92">
      <formula>(L165+L159)&gt;L144</formula>
    </cfRule>
    <cfRule type="expression" dxfId="263" priority="301">
      <formula>L172&gt;L159</formula>
    </cfRule>
  </conditionalFormatting>
  <conditionalFormatting sqref="N172">
    <cfRule type="expression" dxfId="262" priority="300">
      <formula>N172&gt;N159</formula>
    </cfRule>
  </conditionalFormatting>
  <conditionalFormatting sqref="P172">
    <cfRule type="expression" dxfId="261" priority="299">
      <formula>P172&gt;P159</formula>
    </cfRule>
  </conditionalFormatting>
  <conditionalFormatting sqref="R172">
    <cfRule type="expression" dxfId="260" priority="298">
      <formula>R172&gt;R159</formula>
    </cfRule>
  </conditionalFormatting>
  <conditionalFormatting sqref="T172">
    <cfRule type="expression" dxfId="259" priority="297">
      <formula>T172&gt;T159</formula>
    </cfRule>
  </conditionalFormatting>
  <conditionalFormatting sqref="V172">
    <cfRule type="expression" dxfId="258" priority="296">
      <formula>V172&gt;V159</formula>
    </cfRule>
  </conditionalFormatting>
  <conditionalFormatting sqref="X172">
    <cfRule type="expression" dxfId="257" priority="295">
      <formula>X172&gt;X159</formula>
    </cfRule>
  </conditionalFormatting>
  <conditionalFormatting sqref="Z172">
    <cfRule type="expression" dxfId="256" priority="294">
      <formula>Z172&gt;Z159</formula>
    </cfRule>
  </conditionalFormatting>
  <conditionalFormatting sqref="M171">
    <cfRule type="expression" dxfId="255" priority="286">
      <formula>M171&gt;M158</formula>
    </cfRule>
  </conditionalFormatting>
  <conditionalFormatting sqref="M158">
    <cfRule type="expression" dxfId="254" priority="16">
      <formula>M164&gt;M158</formula>
    </cfRule>
    <cfRule type="expression" dxfId="253" priority="54">
      <formula>(M164+M158)&gt;M143</formula>
    </cfRule>
    <cfRule type="expression" dxfId="252" priority="285">
      <formula>M171&gt;M158</formula>
    </cfRule>
  </conditionalFormatting>
  <conditionalFormatting sqref="O171">
    <cfRule type="expression" dxfId="251" priority="284">
      <formula>O171&gt;O158</formula>
    </cfRule>
  </conditionalFormatting>
  <conditionalFormatting sqref="Q171">
    <cfRule type="expression" dxfId="250" priority="283">
      <formula>Q171&gt;Q158</formula>
    </cfRule>
  </conditionalFormatting>
  <conditionalFormatting sqref="S171">
    <cfRule type="expression" dxfId="249" priority="282">
      <formula>S171&gt;S158</formula>
    </cfRule>
  </conditionalFormatting>
  <conditionalFormatting sqref="U171">
    <cfRule type="expression" dxfId="248" priority="281">
      <formula>U171&gt;U158</formula>
    </cfRule>
  </conditionalFormatting>
  <conditionalFormatting sqref="W171">
    <cfRule type="expression" dxfId="247" priority="280">
      <formula>W171&gt;W158</formula>
    </cfRule>
  </conditionalFormatting>
  <conditionalFormatting sqref="Y171">
    <cfRule type="expression" dxfId="246" priority="279">
      <formula>Y171&gt;Y158</formula>
    </cfRule>
  </conditionalFormatting>
  <conditionalFormatting sqref="AA171">
    <cfRule type="expression" dxfId="245" priority="278">
      <formula>AA171&gt;AA158</formula>
    </cfRule>
  </conditionalFormatting>
  <conditionalFormatting sqref="L170:AB170">
    <cfRule type="expression" dxfId="244" priority="270">
      <formula>L170&gt;L157</formula>
    </cfRule>
  </conditionalFormatting>
  <conditionalFormatting sqref="L157:AB157">
    <cfRule type="expression" dxfId="243" priority="269">
      <formula>L170&gt;L157</formula>
    </cfRule>
  </conditionalFormatting>
  <conditionalFormatting sqref="M46">
    <cfRule type="expression" dxfId="242" priority="217">
      <formula>M46&gt;M53</formula>
    </cfRule>
    <cfRule type="expression" dxfId="241" priority="266">
      <formula>M46&gt;M27</formula>
    </cfRule>
  </conditionalFormatting>
  <conditionalFormatting sqref="L27:AA27">
    <cfRule type="expression" dxfId="240" priority="265">
      <formula>L46&gt;L27</formula>
    </cfRule>
  </conditionalFormatting>
  <conditionalFormatting sqref="O46">
    <cfRule type="expression" dxfId="239" priority="264">
      <formula>O46&gt;O27</formula>
    </cfRule>
  </conditionalFormatting>
  <conditionalFormatting sqref="Q46">
    <cfRule type="expression" dxfId="238" priority="263">
      <formula>Q46&gt;Q27</formula>
    </cfRule>
  </conditionalFormatting>
  <conditionalFormatting sqref="S46">
    <cfRule type="expression" dxfId="237" priority="262">
      <formula>S46&gt;S27</formula>
    </cfRule>
  </conditionalFormatting>
  <conditionalFormatting sqref="U46">
    <cfRule type="expression" dxfId="236" priority="261">
      <formula>U46&gt;U27</formula>
    </cfRule>
  </conditionalFormatting>
  <conditionalFormatting sqref="W46">
    <cfRule type="expression" dxfId="235" priority="260">
      <formula>W46&gt;W27</formula>
    </cfRule>
  </conditionalFormatting>
  <conditionalFormatting sqref="Y46">
    <cfRule type="expression" dxfId="234" priority="259">
      <formula>Y46&gt;Y27</formula>
    </cfRule>
  </conditionalFormatting>
  <conditionalFormatting sqref="AA46">
    <cfRule type="expression" dxfId="233" priority="258">
      <formula>AA46&gt;AA27</formula>
    </cfRule>
  </conditionalFormatting>
  <conditionalFormatting sqref="L47">
    <cfRule type="expression" dxfId="232" priority="208">
      <formula>L54&lt;L47</formula>
    </cfRule>
    <cfRule type="expression" dxfId="231" priority="257">
      <formula>L47&gt;L25</formula>
    </cfRule>
  </conditionalFormatting>
  <conditionalFormatting sqref="L25:AA25">
    <cfRule type="expression" dxfId="230" priority="256">
      <formula>L47&gt;L25</formula>
    </cfRule>
  </conditionalFormatting>
  <conditionalFormatting sqref="L48:AA48">
    <cfRule type="expression" dxfId="229" priority="248">
      <formula>L48&gt;L28</formula>
    </cfRule>
  </conditionalFormatting>
  <conditionalFormatting sqref="L28:AA28">
    <cfRule type="expression" dxfId="228" priority="247">
      <formula>L48&gt;L28</formula>
    </cfRule>
  </conditionalFormatting>
  <conditionalFormatting sqref="L49:AA49">
    <cfRule type="expression" dxfId="227" priority="246">
      <formula>L49&gt;L24</formula>
    </cfRule>
  </conditionalFormatting>
  <conditionalFormatting sqref="L24:AA24">
    <cfRule type="expression" dxfId="226" priority="245">
      <formula>L49&gt;L24</formula>
    </cfRule>
  </conditionalFormatting>
  <conditionalFormatting sqref="L25:AB28">
    <cfRule type="cellIs" dxfId="225" priority="242" operator="equal">
      <formula>0</formula>
    </cfRule>
  </conditionalFormatting>
  <conditionalFormatting sqref="AB26">
    <cfRule type="expression" dxfId="224" priority="241">
      <formula>AB50&gt;AB26</formula>
    </cfRule>
  </conditionalFormatting>
  <conditionalFormatting sqref="L43:AA43">
    <cfRule type="expression" dxfId="223" priority="240">
      <formula>L43&gt;0</formula>
    </cfRule>
  </conditionalFormatting>
  <conditionalFormatting sqref="M40">
    <cfRule type="expression" dxfId="222" priority="239">
      <formula>M40&gt;0</formula>
    </cfRule>
  </conditionalFormatting>
  <conditionalFormatting sqref="O40">
    <cfRule type="expression" dxfId="221" priority="238">
      <formula>O40&gt;0</formula>
    </cfRule>
  </conditionalFormatting>
  <conditionalFormatting sqref="Q40">
    <cfRule type="expression" dxfId="220" priority="237">
      <formula>Q40&gt;0</formula>
    </cfRule>
  </conditionalFormatting>
  <conditionalFormatting sqref="S40">
    <cfRule type="expression" dxfId="219" priority="236">
      <formula>S40&gt;0</formula>
    </cfRule>
  </conditionalFormatting>
  <conditionalFormatting sqref="U40">
    <cfRule type="expression" dxfId="218" priority="235">
      <formula>U40&gt;0</formula>
    </cfRule>
  </conditionalFormatting>
  <conditionalFormatting sqref="W40">
    <cfRule type="expression" dxfId="217" priority="234">
      <formula>W40&gt;0</formula>
    </cfRule>
  </conditionalFormatting>
  <conditionalFormatting sqref="Y40">
    <cfRule type="expression" dxfId="216" priority="233">
      <formula>Y40&gt;0</formula>
    </cfRule>
  </conditionalFormatting>
  <conditionalFormatting sqref="AA40">
    <cfRule type="expression" dxfId="215" priority="232">
      <formula>AA40&gt;0</formula>
    </cfRule>
  </conditionalFormatting>
  <conditionalFormatting sqref="L34">
    <cfRule type="expression" dxfId="214" priority="231">
      <formula>L34&gt;0</formula>
    </cfRule>
  </conditionalFormatting>
  <conditionalFormatting sqref="N34">
    <cfRule type="expression" dxfId="213" priority="230">
      <formula>N34&gt;0</formula>
    </cfRule>
  </conditionalFormatting>
  <conditionalFormatting sqref="P34">
    <cfRule type="expression" dxfId="212" priority="229">
      <formula>P34&gt;0</formula>
    </cfRule>
  </conditionalFormatting>
  <conditionalFormatting sqref="R34">
    <cfRule type="expression" dxfId="211" priority="228">
      <formula>R34&gt;0</formula>
    </cfRule>
  </conditionalFormatting>
  <conditionalFormatting sqref="T34">
    <cfRule type="expression" dxfId="210" priority="227">
      <formula>T34&gt;0</formula>
    </cfRule>
  </conditionalFormatting>
  <conditionalFormatting sqref="V34">
    <cfRule type="expression" dxfId="209" priority="226">
      <formula>V34&gt;0</formula>
    </cfRule>
  </conditionalFormatting>
  <conditionalFormatting sqref="X34">
    <cfRule type="expression" dxfId="208" priority="225">
      <formula>X34&gt;0</formula>
    </cfRule>
  </conditionalFormatting>
  <conditionalFormatting sqref="Z34">
    <cfRule type="expression" dxfId="207" priority="224">
      <formula>Z34&gt;0</formula>
    </cfRule>
  </conditionalFormatting>
  <conditionalFormatting sqref="L31:AA31">
    <cfRule type="expression" dxfId="206" priority="223">
      <formula>L31&gt;0</formula>
    </cfRule>
  </conditionalFormatting>
  <conditionalFormatting sqref="D23:AB23">
    <cfRule type="cellIs" dxfId="205" priority="222" operator="equal">
      <formula>0</formula>
    </cfRule>
  </conditionalFormatting>
  <conditionalFormatting sqref="AF45">
    <cfRule type="notContainsBlanks" dxfId="204" priority="221">
      <formula>LEN(TRIM(AF45))&gt;0</formula>
    </cfRule>
  </conditionalFormatting>
  <conditionalFormatting sqref="L45:AB45">
    <cfRule type="expression" dxfId="203" priority="220">
      <formula>L45&lt;L23</formula>
    </cfRule>
  </conditionalFormatting>
  <conditionalFormatting sqref="L23:AB23">
    <cfRule type="expression" dxfId="202" priority="219">
      <formula>L45&lt;L23</formula>
    </cfRule>
  </conditionalFormatting>
  <conditionalFormatting sqref="M53">
    <cfRule type="expression" dxfId="201" priority="218">
      <formula>M46&gt;M53</formula>
    </cfRule>
  </conditionalFormatting>
  <conditionalFormatting sqref="O53">
    <cfRule type="expression" dxfId="200" priority="216">
      <formula>O46&gt;O53</formula>
    </cfRule>
  </conditionalFormatting>
  <conditionalFormatting sqref="Q53">
    <cfRule type="expression" dxfId="199" priority="215">
      <formula>Q46&gt;Q53</formula>
    </cfRule>
  </conditionalFormatting>
  <conditionalFormatting sqref="S53">
    <cfRule type="expression" dxfId="198" priority="214">
      <formula>S46&gt;S53</formula>
    </cfRule>
  </conditionalFormatting>
  <conditionalFormatting sqref="U53">
    <cfRule type="expression" dxfId="197" priority="213">
      <formula>U46&gt;U53</formula>
    </cfRule>
  </conditionalFormatting>
  <conditionalFormatting sqref="W53">
    <cfRule type="expression" dxfId="196" priority="212">
      <formula>W46&gt;W53</formula>
    </cfRule>
  </conditionalFormatting>
  <conditionalFormatting sqref="Y53">
    <cfRule type="expression" dxfId="195" priority="211">
      <formula>Y46&gt;Y53</formula>
    </cfRule>
  </conditionalFormatting>
  <conditionalFormatting sqref="AA53">
    <cfRule type="expression" dxfId="194" priority="210">
      <formula>AA46&gt;AA53</formula>
    </cfRule>
  </conditionalFormatting>
  <conditionalFormatting sqref="L54">
    <cfRule type="expression" dxfId="193" priority="209">
      <formula>L54&lt;L47</formula>
    </cfRule>
  </conditionalFormatting>
  <conditionalFormatting sqref="N47">
    <cfRule type="expression" dxfId="192" priority="206">
      <formula>N54&lt;N47</formula>
    </cfRule>
    <cfRule type="expression" dxfId="191" priority="207">
      <formula>N47&gt;N25</formula>
    </cfRule>
  </conditionalFormatting>
  <conditionalFormatting sqref="P47">
    <cfRule type="expression" dxfId="190" priority="204">
      <formula>P54&lt;P47</formula>
    </cfRule>
    <cfRule type="expression" dxfId="189" priority="205">
      <formula>P47&gt;P25</formula>
    </cfRule>
  </conditionalFormatting>
  <conditionalFormatting sqref="R47">
    <cfRule type="expression" dxfId="188" priority="202">
      <formula>R54&lt;R47</formula>
    </cfRule>
    <cfRule type="expression" dxfId="187" priority="203">
      <formula>R47&gt;R25</formula>
    </cfRule>
  </conditionalFormatting>
  <conditionalFormatting sqref="T47">
    <cfRule type="expression" dxfId="186" priority="200">
      <formula>T54&lt;T47</formula>
    </cfRule>
    <cfRule type="expression" dxfId="185" priority="201">
      <formula>T47&gt;T25</formula>
    </cfRule>
  </conditionalFormatting>
  <conditionalFormatting sqref="V47">
    <cfRule type="expression" dxfId="184" priority="198">
      <formula>V54&lt;V47</formula>
    </cfRule>
    <cfRule type="expression" dxfId="183" priority="199">
      <formula>V47&gt;V25</formula>
    </cfRule>
  </conditionalFormatting>
  <conditionalFormatting sqref="X47">
    <cfRule type="expression" dxfId="182" priority="196">
      <formula>X54&lt;X47</formula>
    </cfRule>
    <cfRule type="expression" dxfId="181" priority="197">
      <formula>X47&gt;X25</formula>
    </cfRule>
  </conditionalFormatting>
  <conditionalFormatting sqref="Z47">
    <cfRule type="expression" dxfId="180" priority="194">
      <formula>Z54&lt;Z47</formula>
    </cfRule>
    <cfRule type="expression" dxfId="179" priority="195">
      <formula>Z47&gt;Z25</formula>
    </cfRule>
  </conditionalFormatting>
  <conditionalFormatting sqref="N54">
    <cfRule type="expression" dxfId="178" priority="193">
      <formula>N54&lt;N47</formula>
    </cfRule>
  </conditionalFormatting>
  <conditionalFormatting sqref="P54">
    <cfRule type="expression" dxfId="177" priority="192">
      <formula>P54&lt;P47</formula>
    </cfRule>
  </conditionalFormatting>
  <conditionalFormatting sqref="R54">
    <cfRule type="expression" dxfId="176" priority="191">
      <formula>R54&lt;R47</formula>
    </cfRule>
  </conditionalFormatting>
  <conditionalFormatting sqref="T54">
    <cfRule type="expression" dxfId="175" priority="190">
      <formula>T54&lt;T47</formula>
    </cfRule>
  </conditionalFormatting>
  <conditionalFormatting sqref="V54">
    <cfRule type="expression" dxfId="174" priority="189">
      <formula>V54&lt;V47</formula>
    </cfRule>
  </conditionalFormatting>
  <conditionalFormatting sqref="X54">
    <cfRule type="expression" dxfId="173" priority="188">
      <formula>X54&lt;X47</formula>
    </cfRule>
  </conditionalFormatting>
  <conditionalFormatting sqref="Z54">
    <cfRule type="expression" dxfId="172" priority="187">
      <formula>Z54&lt;Z47</formula>
    </cfRule>
  </conditionalFormatting>
  <conditionalFormatting sqref="L55:AA55">
    <cfRule type="expression" dxfId="171" priority="186">
      <formula>L55&lt;L48</formula>
    </cfRule>
  </conditionalFormatting>
  <conditionalFormatting sqref="L48:AA48">
    <cfRule type="expression" dxfId="170" priority="185">
      <formula>L55&lt;L48</formula>
    </cfRule>
  </conditionalFormatting>
  <conditionalFormatting sqref="L56:AA56">
    <cfRule type="expression" dxfId="169" priority="184">
      <formula>L49&gt;L56</formula>
    </cfRule>
  </conditionalFormatting>
  <conditionalFormatting sqref="L62:AA62">
    <cfRule type="expression" dxfId="168" priority="181">
      <formula>(L62+L61)&gt;L23</formula>
    </cfRule>
  </conditionalFormatting>
  <conditionalFormatting sqref="L61:AA61">
    <cfRule type="expression" dxfId="167" priority="180">
      <formula>(L62+L61)&gt;L23</formula>
    </cfRule>
  </conditionalFormatting>
  <conditionalFormatting sqref="L23:AB23">
    <cfRule type="expression" dxfId="166" priority="179">
      <formula>(L62+L61)&gt;$L$23</formula>
    </cfRule>
  </conditionalFormatting>
  <conditionalFormatting sqref="AB62">
    <cfRule type="expression" dxfId="165" priority="178">
      <formula>(AB62+AB61)&gt;AB23</formula>
    </cfRule>
  </conditionalFormatting>
  <conditionalFormatting sqref="AB61">
    <cfRule type="expression" dxfId="164" priority="177">
      <formula>(AB62+AB61)&gt;AB23</formula>
    </cfRule>
  </conditionalFormatting>
  <conditionalFormatting sqref="L69:AA69">
    <cfRule type="expression" dxfId="163" priority="176">
      <formula>(L69+L67)&gt;L30</formula>
    </cfRule>
  </conditionalFormatting>
  <conditionalFormatting sqref="L67:AA67">
    <cfRule type="expression" dxfId="162" priority="175">
      <formula>(L69+L67)&gt;L30</formula>
    </cfRule>
  </conditionalFormatting>
  <conditionalFormatting sqref="L30:AA30">
    <cfRule type="expression" dxfId="161" priority="174">
      <formula>(L69+L67)&gt;L30</formula>
    </cfRule>
  </conditionalFormatting>
  <conditionalFormatting sqref="AB36">
    <cfRule type="expression" dxfId="160" priority="171">
      <formula>(AB71+AB73)&gt;AB36</formula>
    </cfRule>
  </conditionalFormatting>
  <conditionalFormatting sqref="M75">
    <cfRule type="expression" dxfId="159" priority="170">
      <formula>(M75+M77)&gt;M39</formula>
    </cfRule>
  </conditionalFormatting>
  <conditionalFormatting sqref="M77">
    <cfRule type="expression" dxfId="158" priority="169">
      <formula>(M75+M77)&gt;M39</formula>
    </cfRule>
  </conditionalFormatting>
  <conditionalFormatting sqref="M39">
    <cfRule type="expression" dxfId="157" priority="168">
      <formula>(M75+M77)&gt;M39</formula>
    </cfRule>
  </conditionalFormatting>
  <conditionalFormatting sqref="O39">
    <cfRule type="expression" dxfId="156" priority="167">
      <formula>(O75+O77)&gt;O39</formula>
    </cfRule>
  </conditionalFormatting>
  <conditionalFormatting sqref="Q39">
    <cfRule type="expression" dxfId="155" priority="166">
      <formula>(Q75+Q77)&gt;Q39</formula>
    </cfRule>
  </conditionalFormatting>
  <conditionalFormatting sqref="S39">
    <cfRule type="expression" dxfId="154" priority="165">
      <formula>(S75+S77)&gt;S39</formula>
    </cfRule>
  </conditionalFormatting>
  <conditionalFormatting sqref="U39">
    <cfRule type="expression" dxfId="153" priority="164">
      <formula>(U75+U77)&gt;U39</formula>
    </cfRule>
  </conditionalFormatting>
  <conditionalFormatting sqref="W39">
    <cfRule type="expression" dxfId="152" priority="163">
      <formula>(W75+W77)&gt;W39</formula>
    </cfRule>
  </conditionalFormatting>
  <conditionalFormatting sqref="Y39">
    <cfRule type="expression" dxfId="151" priority="162">
      <formula>(Y75+Y77)&gt;Y39</formula>
    </cfRule>
  </conditionalFormatting>
  <conditionalFormatting sqref="AA39">
    <cfRule type="expression" dxfId="150" priority="161">
      <formula>(AA75+AA77)&gt;AA39</formula>
    </cfRule>
  </conditionalFormatting>
  <conditionalFormatting sqref="O75">
    <cfRule type="expression" dxfId="149" priority="160">
      <formula>(O75+O77)&gt;O39</formula>
    </cfRule>
  </conditionalFormatting>
  <conditionalFormatting sqref="Q75">
    <cfRule type="expression" dxfId="148" priority="159">
      <formula>(Q75+Q77)&gt;Q39</formula>
    </cfRule>
  </conditionalFormatting>
  <conditionalFormatting sqref="S75">
    <cfRule type="expression" dxfId="147" priority="158">
      <formula>(S75+S77)&gt;S39</formula>
    </cfRule>
  </conditionalFormatting>
  <conditionalFormatting sqref="U75">
    <cfRule type="expression" dxfId="146" priority="157">
      <formula>(U75+U77)&gt;U39</formula>
    </cfRule>
  </conditionalFormatting>
  <conditionalFormatting sqref="W75">
    <cfRule type="expression" dxfId="145" priority="156">
      <formula>(W75+W77)&gt;W39</formula>
    </cfRule>
  </conditionalFormatting>
  <conditionalFormatting sqref="Y75">
    <cfRule type="expression" dxfId="144" priority="155">
      <formula>(Y75+Y77)&gt;Y39</formula>
    </cfRule>
  </conditionalFormatting>
  <conditionalFormatting sqref="O77">
    <cfRule type="expression" dxfId="143" priority="154">
      <formula>(O75+O77)&gt;O39</formula>
    </cfRule>
  </conditionalFormatting>
  <conditionalFormatting sqref="Q77">
    <cfRule type="expression" dxfId="142" priority="153">
      <formula>(Q75+Q77)&gt;Q39</formula>
    </cfRule>
  </conditionalFormatting>
  <conditionalFormatting sqref="S77">
    <cfRule type="expression" dxfId="141" priority="152">
      <formula>(S75+S77)&gt;S39</formula>
    </cfRule>
  </conditionalFormatting>
  <conditionalFormatting sqref="U77">
    <cfRule type="expression" dxfId="140" priority="151">
      <formula>(U75+U77)&gt;U39</formula>
    </cfRule>
  </conditionalFormatting>
  <conditionalFormatting sqref="W77">
    <cfRule type="expression" dxfId="139" priority="150">
      <formula>(W75+W77)&gt;W39</formula>
    </cfRule>
  </conditionalFormatting>
  <conditionalFormatting sqref="Y77">
    <cfRule type="expression" dxfId="138" priority="149">
      <formula>(Y75+Y77)&gt;Y39</formula>
    </cfRule>
  </conditionalFormatting>
  <conditionalFormatting sqref="AA77">
    <cfRule type="expression" dxfId="137" priority="148">
      <formula>(AA75+AA77)&gt;AA39</formula>
    </cfRule>
  </conditionalFormatting>
  <conditionalFormatting sqref="AA75">
    <cfRule type="expression" dxfId="136" priority="147">
      <formula>(AA75+AA77)&gt;AA39</formula>
    </cfRule>
  </conditionalFormatting>
  <conditionalFormatting sqref="L79:AA79">
    <cfRule type="expression" dxfId="135" priority="146">
      <formula>(L79+L81)&gt;L42</formula>
    </cfRule>
  </conditionalFormatting>
  <conditionalFormatting sqref="L81:AA81">
    <cfRule type="expression" dxfId="134" priority="145">
      <formula>(L79+L81)&gt;L42</formula>
    </cfRule>
  </conditionalFormatting>
  <conditionalFormatting sqref="L42:AA42">
    <cfRule type="expression" dxfId="133" priority="144">
      <formula>(L79+L81)&gt;L42</formula>
    </cfRule>
  </conditionalFormatting>
  <conditionalFormatting sqref="L83">
    <cfRule type="expression" dxfId="132" priority="143">
      <formula>(L83+L85)&gt;L33</formula>
    </cfRule>
  </conditionalFormatting>
  <conditionalFormatting sqref="L85">
    <cfRule type="expression" dxfId="131" priority="142">
      <formula>(L83+L85)&gt;L33</formula>
    </cfRule>
  </conditionalFormatting>
  <conditionalFormatting sqref="L33">
    <cfRule type="expression" dxfId="130" priority="141">
      <formula>(L83+L85)&gt;L33</formula>
    </cfRule>
  </conditionalFormatting>
  <conditionalFormatting sqref="N33">
    <cfRule type="expression" dxfId="129" priority="140">
      <formula>(N83+N85)&gt;N33</formula>
    </cfRule>
  </conditionalFormatting>
  <conditionalFormatting sqref="P33">
    <cfRule type="expression" dxfId="128" priority="139">
      <formula>(P83+P85)&gt;P33</formula>
    </cfRule>
  </conditionalFormatting>
  <conditionalFormatting sqref="R33">
    <cfRule type="expression" dxfId="127" priority="138">
      <formula>(R83+R85)&gt;R33</formula>
    </cfRule>
  </conditionalFormatting>
  <conditionalFormatting sqref="T33">
    <cfRule type="expression" dxfId="126" priority="137">
      <formula>(T83+T85)&gt;T33</formula>
    </cfRule>
  </conditionalFormatting>
  <conditionalFormatting sqref="V33">
    <cfRule type="expression" dxfId="125" priority="136">
      <formula>(V83+V85)&gt;V33</formula>
    </cfRule>
  </conditionalFormatting>
  <conditionalFormatting sqref="X33">
    <cfRule type="expression" dxfId="124" priority="135">
      <formula>(X83+X85)&gt;X33</formula>
    </cfRule>
  </conditionalFormatting>
  <conditionalFormatting sqref="Z33">
    <cfRule type="expression" dxfId="123" priority="134">
      <formula>(Z83+Z85)&gt;Z33</formula>
    </cfRule>
  </conditionalFormatting>
  <conditionalFormatting sqref="N83">
    <cfRule type="expression" dxfId="122" priority="133">
      <formula>(N83+N85)&gt;N33</formula>
    </cfRule>
  </conditionalFormatting>
  <conditionalFormatting sqref="P83">
    <cfRule type="expression" dxfId="121" priority="132">
      <formula>(P83+P85)&gt;P33</formula>
    </cfRule>
  </conditionalFormatting>
  <conditionalFormatting sqref="R83">
    <cfRule type="expression" dxfId="120" priority="131">
      <formula>(R83+R85)&gt;R33</formula>
    </cfRule>
  </conditionalFormatting>
  <conditionalFormatting sqref="T83">
    <cfRule type="expression" dxfId="119" priority="130">
      <formula>(T83+T85)&gt;T33</formula>
    </cfRule>
  </conditionalFormatting>
  <conditionalFormatting sqref="V83">
    <cfRule type="expression" dxfId="118" priority="129">
      <formula>(V83+V85)&gt;V33</formula>
    </cfRule>
  </conditionalFormatting>
  <conditionalFormatting sqref="X83">
    <cfRule type="expression" dxfId="117" priority="128">
      <formula>(X83+X85)&gt;X33</formula>
    </cfRule>
  </conditionalFormatting>
  <conditionalFormatting sqref="Z83">
    <cfRule type="expression" dxfId="116" priority="127">
      <formula>(Z83+Z85)&gt;Z33</formula>
    </cfRule>
  </conditionalFormatting>
  <conditionalFormatting sqref="N85">
    <cfRule type="expression" dxfId="115" priority="126">
      <formula>(N83+N85)&gt;N33</formula>
    </cfRule>
  </conditionalFormatting>
  <conditionalFormatting sqref="P85">
    <cfRule type="expression" dxfId="114" priority="125">
      <formula>(P83+P85)&gt;P33</formula>
    </cfRule>
  </conditionalFormatting>
  <conditionalFormatting sqref="R85">
    <cfRule type="expression" dxfId="113" priority="124">
      <formula>(R83+R85)&gt;R33</formula>
    </cfRule>
  </conditionalFormatting>
  <conditionalFormatting sqref="T85">
    <cfRule type="expression" dxfId="112" priority="123">
      <formula>(T83+T85)&gt;T33</formula>
    </cfRule>
  </conditionalFormatting>
  <conditionalFormatting sqref="V85">
    <cfRule type="expression" dxfId="111" priority="122">
      <formula>(V83+V85)&gt;V33</formula>
    </cfRule>
  </conditionalFormatting>
  <conditionalFormatting sqref="X85">
    <cfRule type="expression" dxfId="110" priority="121">
      <formula>(X83+X85)&gt;X33</formula>
    </cfRule>
  </conditionalFormatting>
  <conditionalFormatting sqref="Z85">
    <cfRule type="expression" dxfId="109" priority="120">
      <formula>(Z83+Z85)&gt;Z33</formula>
    </cfRule>
  </conditionalFormatting>
  <conditionalFormatting sqref="D99:AB102">
    <cfRule type="cellIs" dxfId="108" priority="119" operator="equal">
      <formula>0</formula>
    </cfRule>
  </conditionalFormatting>
  <conditionalFormatting sqref="D103:AB103">
    <cfRule type="expression" dxfId="107" priority="118">
      <formula>D103&lt;&gt;D99</formula>
    </cfRule>
  </conditionalFormatting>
  <conditionalFormatting sqref="D99:AB99">
    <cfRule type="expression" dxfId="106" priority="117">
      <formula>D103&lt;&gt;D99</formula>
    </cfRule>
  </conditionalFormatting>
  <conditionalFormatting sqref="D100:AB100">
    <cfRule type="expression" dxfId="105" priority="116">
      <formula>D100&lt;&gt;D104</formula>
    </cfRule>
  </conditionalFormatting>
  <conditionalFormatting sqref="D101:AB101">
    <cfRule type="expression" dxfId="104" priority="115">
      <formula>D101&lt;&gt;D105</formula>
    </cfRule>
  </conditionalFormatting>
  <conditionalFormatting sqref="D102:AB102">
    <cfRule type="expression" dxfId="103" priority="113">
      <formula>D102&lt;&gt;D106</formula>
    </cfRule>
  </conditionalFormatting>
  <conditionalFormatting sqref="D106:AB106">
    <cfRule type="expression" dxfId="102" priority="112">
      <formula>D102&lt;&gt;D106</formula>
    </cfRule>
  </conditionalFormatting>
  <conditionalFormatting sqref="D105:AB105">
    <cfRule type="expression" dxfId="101" priority="111">
      <formula>D101&lt;&gt;D105</formula>
    </cfRule>
  </conditionalFormatting>
  <conditionalFormatting sqref="D104:AB104">
    <cfRule type="expression" dxfId="100" priority="110">
      <formula>D100&lt;&gt;D104</formula>
    </cfRule>
  </conditionalFormatting>
  <conditionalFormatting sqref="L131:AA131">
    <cfRule type="expression" dxfId="99" priority="109">
      <formula>(L131+L132+L133)&lt;&gt;L120</formula>
    </cfRule>
  </conditionalFormatting>
  <conditionalFormatting sqref="L132:AA132">
    <cfRule type="expression" dxfId="98" priority="108">
      <formula>(L131+L132+L133)&lt;&gt;L120</formula>
    </cfRule>
  </conditionalFormatting>
  <conditionalFormatting sqref="L133:AA133">
    <cfRule type="expression" dxfId="97" priority="107">
      <formula>(L131+L132+L133)&lt;&gt;L120</formula>
    </cfRule>
  </conditionalFormatting>
  <conditionalFormatting sqref="L120:AA120">
    <cfRule type="expression" dxfId="96" priority="106">
      <formula>(L131+L132+L133)&lt;&gt;L120</formula>
    </cfRule>
  </conditionalFormatting>
  <conditionalFormatting sqref="D104:AB104">
    <cfRule type="expression" dxfId="95" priority="105">
      <formula>(D104+D106)&lt;D135</formula>
    </cfRule>
  </conditionalFormatting>
  <conditionalFormatting sqref="D106:AB106">
    <cfRule type="expression" dxfId="94" priority="104">
      <formula>(D104+D106)&lt;D135</formula>
    </cfRule>
  </conditionalFormatting>
  <conditionalFormatting sqref="D135:AA135">
    <cfRule type="expression" dxfId="93" priority="103">
      <formula>(D104+D106)&lt;D135</formula>
    </cfRule>
  </conditionalFormatting>
  <conditionalFormatting sqref="L167:AA167">
    <cfRule type="expression" dxfId="92" priority="99">
      <formula>(L167+L161)&gt;L146</formula>
    </cfRule>
  </conditionalFormatting>
  <conditionalFormatting sqref="L161:AA161">
    <cfRule type="expression" dxfId="91" priority="98">
      <formula>(L167+L161)&gt;L146</formula>
    </cfRule>
  </conditionalFormatting>
  <conditionalFormatting sqref="L146:AA146">
    <cfRule type="expression" dxfId="90" priority="97">
      <formula>(L167+L161)&gt;L146</formula>
    </cfRule>
  </conditionalFormatting>
  <conditionalFormatting sqref="L166:AA166">
    <cfRule type="expression" dxfId="89" priority="96">
      <formula>(L166+L160)&gt;L145</formula>
    </cfRule>
  </conditionalFormatting>
  <conditionalFormatting sqref="L160:AA160">
    <cfRule type="expression" dxfId="88" priority="95">
      <formula>(L166+L160)&gt;L145</formula>
    </cfRule>
  </conditionalFormatting>
  <conditionalFormatting sqref="L145:AA145">
    <cfRule type="expression" dxfId="87" priority="94">
      <formula>(L166+L160)&gt;L145</formula>
    </cfRule>
  </conditionalFormatting>
  <conditionalFormatting sqref="L144">
    <cfRule type="expression" dxfId="86" priority="91">
      <formula>(L165+L159)&gt;L144</formula>
    </cfRule>
  </conditionalFormatting>
  <conditionalFormatting sqref="N144">
    <cfRule type="expression" dxfId="85" priority="90">
      <formula>(N165+N159)&gt;N144</formula>
    </cfRule>
  </conditionalFormatting>
  <conditionalFormatting sqref="P144">
    <cfRule type="expression" dxfId="84" priority="89">
      <formula>(P165+P159)&gt;P144</formula>
    </cfRule>
  </conditionalFormatting>
  <conditionalFormatting sqref="R144">
    <cfRule type="expression" dxfId="83" priority="88">
      <formula>(R165+R159)&gt;R144</formula>
    </cfRule>
  </conditionalFormatting>
  <conditionalFormatting sqref="T144">
    <cfRule type="expression" dxfId="82" priority="87">
      <formula>(T165+T159)&gt;T144</formula>
    </cfRule>
  </conditionalFormatting>
  <conditionalFormatting sqref="V144">
    <cfRule type="expression" dxfId="81" priority="86">
      <formula>(V165+V159)&gt;V144</formula>
    </cfRule>
  </conditionalFormatting>
  <conditionalFormatting sqref="X144">
    <cfRule type="expression" dxfId="80" priority="85">
      <formula>(X165+X159)&gt;X144</formula>
    </cfRule>
  </conditionalFormatting>
  <conditionalFormatting sqref="Z144">
    <cfRule type="expression" dxfId="79" priority="84">
      <formula>(Z165+Z159)&gt;Z144</formula>
    </cfRule>
  </conditionalFormatting>
  <conditionalFormatting sqref="N159">
    <cfRule type="expression" dxfId="78" priority="82">
      <formula>(N165+N159)&gt;N144</formula>
    </cfRule>
    <cfRule type="expression" dxfId="77" priority="83">
      <formula>N172&gt;N159</formula>
    </cfRule>
  </conditionalFormatting>
  <conditionalFormatting sqref="P159">
    <cfRule type="expression" dxfId="76" priority="80">
      <formula>(P165+P159)&gt;P144</formula>
    </cfRule>
    <cfRule type="expression" dxfId="75" priority="81">
      <formula>P172&gt;P159</formula>
    </cfRule>
  </conditionalFormatting>
  <conditionalFormatting sqref="R159">
    <cfRule type="expression" dxfId="74" priority="78">
      <formula>(R165+R159)&gt;R144</formula>
    </cfRule>
    <cfRule type="expression" dxfId="73" priority="79">
      <formula>R172&gt;R159</formula>
    </cfRule>
  </conditionalFormatting>
  <conditionalFormatting sqref="T159">
    <cfRule type="expression" dxfId="72" priority="76">
      <formula>(T165+T159)&gt;T144</formula>
    </cfRule>
    <cfRule type="expression" dxfId="71" priority="77">
      <formula>T172&gt;T159</formula>
    </cfRule>
  </conditionalFormatting>
  <conditionalFormatting sqref="V159">
    <cfRule type="expression" dxfId="70" priority="74">
      <formula>(V165+V159)&gt;V144</formula>
    </cfRule>
    <cfRule type="expression" dxfId="69" priority="75">
      <formula>V172&gt;V159</formula>
    </cfRule>
  </conditionalFormatting>
  <conditionalFormatting sqref="X159">
    <cfRule type="expression" dxfId="68" priority="72">
      <formula>(X165+X159)&gt;X144</formula>
    </cfRule>
    <cfRule type="expression" dxfId="67" priority="73">
      <formula>X172&gt;X159</formula>
    </cfRule>
  </conditionalFormatting>
  <conditionalFormatting sqref="Z159">
    <cfRule type="expression" dxfId="66" priority="70">
      <formula>(Z165+Z159)&gt;Z144</formula>
    </cfRule>
    <cfRule type="expression" dxfId="65" priority="71">
      <formula>Z172&gt;Z159</formula>
    </cfRule>
  </conditionalFormatting>
  <conditionalFormatting sqref="N165">
    <cfRule type="expression" dxfId="64" priority="68">
      <formula>(N165+N159)&gt;N144</formula>
    </cfRule>
    <cfRule type="expression" dxfId="63" priority="69">
      <formula>N178&gt;N165</formula>
    </cfRule>
  </conditionalFormatting>
  <conditionalFormatting sqref="P165">
    <cfRule type="expression" dxfId="62" priority="66">
      <formula>(P165+P159)&gt;P144</formula>
    </cfRule>
    <cfRule type="expression" dxfId="61" priority="67">
      <formula>P178&gt;P165</formula>
    </cfRule>
  </conditionalFormatting>
  <conditionalFormatting sqref="R165">
    <cfRule type="expression" dxfId="60" priority="64">
      <formula>(R165+R159)&gt;R144</formula>
    </cfRule>
    <cfRule type="expression" dxfId="59" priority="65">
      <formula>R178&gt;R165</formula>
    </cfRule>
  </conditionalFormatting>
  <conditionalFormatting sqref="T165">
    <cfRule type="expression" dxfId="58" priority="62">
      <formula>(T165+T159)&gt;T144</formula>
    </cfRule>
    <cfRule type="expression" dxfId="57" priority="63">
      <formula>T178&gt;T165</formula>
    </cfRule>
  </conditionalFormatting>
  <conditionalFormatting sqref="V165">
    <cfRule type="expression" dxfId="56" priority="60">
      <formula>(V165+V159)&gt;V144</formula>
    </cfRule>
    <cfRule type="expression" dxfId="55" priority="61">
      <formula>V178&gt;V165</formula>
    </cfRule>
  </conditionalFormatting>
  <conditionalFormatting sqref="X165">
    <cfRule type="expression" dxfId="54" priority="58">
      <formula>(X165+X159)&gt;X144</formula>
    </cfRule>
    <cfRule type="expression" dxfId="53" priority="59">
      <formula>X178&gt;X165</formula>
    </cfRule>
  </conditionalFormatting>
  <conditionalFormatting sqref="Z165">
    <cfRule type="expression" dxfId="52" priority="56">
      <formula>(Z165+Z159)&gt;Z144</formula>
    </cfRule>
    <cfRule type="expression" dxfId="51" priority="57">
      <formula>Z178&gt;Z165</formula>
    </cfRule>
  </conditionalFormatting>
  <conditionalFormatting sqref="M143">
    <cfRule type="expression" dxfId="50" priority="53">
      <formula>(M164+M158)&gt;M143</formula>
    </cfRule>
  </conditionalFormatting>
  <conditionalFormatting sqref="O143">
    <cfRule type="expression" dxfId="49" priority="52">
      <formula>(O164+O158)&gt;O143</formula>
    </cfRule>
  </conditionalFormatting>
  <conditionalFormatting sqref="Q143">
    <cfRule type="expression" dxfId="48" priority="51">
      <formula>(Q164+Q158)&gt;Q143</formula>
    </cfRule>
  </conditionalFormatting>
  <conditionalFormatting sqref="S143">
    <cfRule type="expression" dxfId="47" priority="50">
      <formula>(S164+S158)&gt;S143</formula>
    </cfRule>
  </conditionalFormatting>
  <conditionalFormatting sqref="U143">
    <cfRule type="expression" dxfId="46" priority="49">
      <formula>(U164+U158)&gt;U143</formula>
    </cfRule>
  </conditionalFormatting>
  <conditionalFormatting sqref="W143">
    <cfRule type="expression" dxfId="45" priority="48">
      <formula>(W164+W158)&gt;W143</formula>
    </cfRule>
  </conditionalFormatting>
  <conditionalFormatting sqref="Y143">
    <cfRule type="expression" dxfId="44" priority="47">
      <formula>(Y164+Y158)&gt;Y143</formula>
    </cfRule>
  </conditionalFormatting>
  <conditionalFormatting sqref="AA143">
    <cfRule type="expression" dxfId="43" priority="46">
      <formula>(AA164+AA158)&gt;AA143</formula>
    </cfRule>
  </conditionalFormatting>
  <conditionalFormatting sqref="O164">
    <cfRule type="expression" dxfId="42" priority="44">
      <formula>(O164+O158)&gt;O143</formula>
    </cfRule>
    <cfRule type="expression" dxfId="41" priority="45">
      <formula>O177&gt;O164</formula>
    </cfRule>
  </conditionalFormatting>
  <conditionalFormatting sqref="Q164">
    <cfRule type="expression" dxfId="40" priority="42">
      <formula>(Q164+Q158)&gt;Q143</formula>
    </cfRule>
    <cfRule type="expression" dxfId="39" priority="43">
      <formula>Q177&gt;Q164</formula>
    </cfRule>
  </conditionalFormatting>
  <conditionalFormatting sqref="S164">
    <cfRule type="expression" dxfId="38" priority="40">
      <formula>(S164+S158)&gt;S143</formula>
    </cfRule>
    <cfRule type="expression" dxfId="37" priority="41">
      <formula>S177&gt;S164</formula>
    </cfRule>
  </conditionalFormatting>
  <conditionalFormatting sqref="U164">
    <cfRule type="expression" dxfId="36" priority="38">
      <formula>(U164+U158)&gt;U143</formula>
    </cfRule>
    <cfRule type="expression" dxfId="35" priority="39">
      <formula>U177&gt;U164</formula>
    </cfRule>
  </conditionalFormatting>
  <conditionalFormatting sqref="W164">
    <cfRule type="expression" dxfId="34" priority="36">
      <formula>(W164+W158)&gt;W143</formula>
    </cfRule>
    <cfRule type="expression" dxfId="33" priority="37">
      <formula>W177&gt;W164</formula>
    </cfRule>
  </conditionalFormatting>
  <conditionalFormatting sqref="Y164">
    <cfRule type="expression" dxfId="32" priority="34">
      <formula>(Y164+Y158)&gt;Y143</formula>
    </cfRule>
    <cfRule type="expression" dxfId="31" priority="35">
      <formula>Y177&gt;Y164</formula>
    </cfRule>
  </conditionalFormatting>
  <conditionalFormatting sqref="AA164">
    <cfRule type="expression" dxfId="30" priority="32">
      <formula>(AA164+AA158)&gt;AA143</formula>
    </cfRule>
    <cfRule type="expression" dxfId="29" priority="33">
      <formula>AA177&gt;AA164</formula>
    </cfRule>
  </conditionalFormatting>
  <conditionalFormatting sqref="O158">
    <cfRule type="expression" dxfId="28" priority="30">
      <formula>(O164+O158)&gt;O143</formula>
    </cfRule>
    <cfRule type="expression" dxfId="27" priority="31">
      <formula>O171&gt;O158</formula>
    </cfRule>
  </conditionalFormatting>
  <conditionalFormatting sqref="Q158">
    <cfRule type="expression" dxfId="26" priority="28">
      <formula>(Q164+Q158)&gt;Q143</formula>
    </cfRule>
    <cfRule type="expression" dxfId="25" priority="29">
      <formula>Q171&gt;Q158</formula>
    </cfRule>
  </conditionalFormatting>
  <conditionalFormatting sqref="S158">
    <cfRule type="expression" dxfId="24" priority="26">
      <formula>(S164+S158)&gt;S143</formula>
    </cfRule>
    <cfRule type="expression" dxfId="23" priority="27">
      <formula>S171&gt;S158</formula>
    </cfRule>
  </conditionalFormatting>
  <conditionalFormatting sqref="U158">
    <cfRule type="expression" dxfId="22" priority="24">
      <formula>(U164+U158)&gt;U143</formula>
    </cfRule>
    <cfRule type="expression" dxfId="21" priority="25">
      <formula>U171&gt;U158</formula>
    </cfRule>
  </conditionalFormatting>
  <conditionalFormatting sqref="W158">
    <cfRule type="expression" dxfId="20" priority="22">
      <formula>(W164+W158)&gt;W143</formula>
    </cfRule>
    <cfRule type="expression" dxfId="19" priority="23">
      <formula>W171&gt;W158</formula>
    </cfRule>
  </conditionalFormatting>
  <conditionalFormatting sqref="Y158">
    <cfRule type="expression" dxfId="18" priority="20">
      <formula>(Y164+Y158)&gt;Y143</formula>
    </cfRule>
    <cfRule type="expression" dxfId="17" priority="21">
      <formula>Y171&gt;Y158</formula>
    </cfRule>
  </conditionalFormatting>
  <conditionalFormatting sqref="AA158">
    <cfRule type="expression" dxfId="16" priority="18">
      <formula>(AA164+AA158)&gt;AA143</formula>
    </cfRule>
    <cfRule type="expression" dxfId="15" priority="19">
      <formula>AA171&gt;AA158</formula>
    </cfRule>
  </conditionalFormatting>
  <conditionalFormatting sqref="AB203">
    <cfRule type="expression" dxfId="14" priority="15">
      <formula>(AB203+AB135)&gt;(AB104+AB106)</formula>
    </cfRule>
  </conditionalFormatting>
  <conditionalFormatting sqref="AB135">
    <cfRule type="expression" dxfId="13" priority="14">
      <formula>(AB203+AB135)&gt;(AB104+AB106)</formula>
    </cfRule>
  </conditionalFormatting>
  <conditionalFormatting sqref="AB104">
    <cfRule type="expression" dxfId="12" priority="13">
      <formula>(AB203+AB135)&gt;(AB104+AB106)</formula>
    </cfRule>
  </conditionalFormatting>
  <conditionalFormatting sqref="AB106">
    <cfRule type="expression" dxfId="11" priority="12">
      <formula>(AB203+AB135)&gt;(AB104+AB106)</formula>
    </cfRule>
  </conditionalFormatting>
  <conditionalFormatting sqref="AF52:AF57">
    <cfRule type="notContainsBlanks" dxfId="10" priority="11">
      <formula>LEN(TRIM(AF52))&gt;0</formula>
    </cfRule>
  </conditionalFormatting>
  <conditionalFormatting sqref="AF119:AF133">
    <cfRule type="notContainsBlanks" dxfId="9" priority="10">
      <formula>LEN(TRIM(AF119))&gt;0</formula>
    </cfRule>
  </conditionalFormatting>
  <conditionalFormatting sqref="AF135:AF140">
    <cfRule type="notContainsBlanks" dxfId="8" priority="9">
      <formula>LEN(TRIM(AF135))&gt;0</formula>
    </cfRule>
  </conditionalFormatting>
  <conditionalFormatting sqref="AF142:AF147">
    <cfRule type="notContainsBlanks" dxfId="7" priority="8">
      <formula>LEN(TRIM(AF142))&gt;0</formula>
    </cfRule>
  </conditionalFormatting>
  <conditionalFormatting sqref="AF149:AF154">
    <cfRule type="notContainsBlanks" dxfId="6" priority="7">
      <formula>LEN(TRIM(AF149))&gt;0</formula>
    </cfRule>
  </conditionalFormatting>
  <conditionalFormatting sqref="AF186:AF201">
    <cfRule type="notContainsBlanks" dxfId="5" priority="6">
      <formula>LEN(TRIM(AF186))&gt;0</formula>
    </cfRule>
  </conditionalFormatting>
  <conditionalFormatting sqref="AF203:AF215">
    <cfRule type="notContainsBlanks" dxfId="4" priority="5">
      <formula>LEN(TRIM(AF203))&gt;0</formula>
    </cfRule>
  </conditionalFormatting>
  <conditionalFormatting sqref="AF217:AF229">
    <cfRule type="notContainsBlanks" dxfId="3" priority="4">
      <formula>LEN(TRIM(AF217))&gt;0</formula>
    </cfRule>
  </conditionalFormatting>
  <conditionalFormatting sqref="AF231:AF243">
    <cfRule type="notContainsBlanks" dxfId="2" priority="3">
      <formula>LEN(TRIM(AF231))&gt;0</formula>
    </cfRule>
  </conditionalFormatting>
  <conditionalFormatting sqref="AF245:AF251">
    <cfRule type="notContainsBlanks" dxfId="1" priority="2">
      <formula>LEN(TRIM(AF245))&gt;0</formula>
    </cfRule>
  </conditionalFormatting>
  <conditionalFormatting sqref="AC67">
    <cfRule type="notContainsBlanks" dxfId="0" priority="1">
      <formula>LEN(TRIM(AC67))&gt;0</formula>
    </cfRule>
  </conditionalFormatting>
  <dataValidations count="1">
    <dataValidation type="whole" allowBlank="1" showInputMessage="1" showErrorMessage="1" errorTitle="Non-Numeric or abnormal value" error="Enter Numbers only between 0 and 99999" sqref="D8:AA18 D245:AA251 AB18 AB203 AB11 AB186 AB119:AB120 AB245 D110:AA115 AB231 AB217 D231:AA243 AB24:AB28 D217:AA229 D203:AA215 D186:AA201 AB52 AB71:AB74 N46:AA50 D24:AA43 M142:AB142 N45:AB45 D119:AA133 D61:AA63 D67:AA106 M156:AB157 AB149 D149:AA154 M143:AA147 D156:L181 M176:AB176 M177:AA181 E135:AB135 M163:AB163 AB169:AB170 D142:L147 M164:AA175 D52:AA57 D45:M50 AB99:AB106 D135:D140 E136:AA140 M158:AA162" xr:uid="{B89F7BEB-D895-441B-9690-CF40DBC25312}">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06"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office/2006/metadata/properties"/>
    <ds:schemaRef ds:uri="http://schemas.microsoft.com/office/2006/documentManagement/types"/>
    <ds:schemaRef ds:uri="http://schemas.microsoft.com/sharepoint/v3"/>
    <ds:schemaRef ds:uri="dac3fa0a-9923-49c3-b4ba-df6390fa58ea"/>
    <ds:schemaRef ds:uri="http://purl.org/dc/terms/"/>
    <ds:schemaRef ds:uri="http://schemas.openxmlformats.org/package/2006/metadata/core-properties"/>
    <ds:schemaRef ds:uri="http://purl.org/dc/dcmitype/"/>
    <ds:schemaRef ds:uri="http://schemas.microsoft.com/office/infopath/2007/PartnerControls"/>
    <ds:schemaRef ds:uri="1ed6e237-7a44-4d6d-bfbc-e270d277b5ad"/>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2021-06-27T21:21:39Z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