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InstructionsForm1A!$B$2:$F$327</definedName>
    <definedName name="ART">Jul!$D$278</definedName>
    <definedName name="CXCA">Jul!$M$145</definedName>
    <definedName name="GEND_GBV">Jul!$D$208</definedName>
    <definedName name="HAART">Jul!$K$260</definedName>
    <definedName name="HIV_TEST">Jul!$F$22</definedName>
    <definedName name="HTS_SELF">Jul!$J$82</definedName>
    <definedName name="IPT">Jul!$D$130</definedName>
    <definedName name="PMTCT_TST">Jul!$K$226</definedName>
    <definedName name="PREP">Jul!$J$92</definedName>
    <definedName name="_xlnm.Print_Area" localSheetId="0">InstructionsForm1A!$B$1:$F$327</definedName>
    <definedName name="_xlnm.Print_Area" localSheetId="1">Jul!$A$1:$AH$360</definedName>
    <definedName name="_xlnm.Print_Titles" localSheetId="1">Jul!$1:$6</definedName>
    <definedName name="TB">Jul!$D$347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17" i="1" l="1"/>
  <c r="AB300" i="1" l="1"/>
  <c r="AC300" i="1"/>
  <c r="AD300" i="1"/>
  <c r="AE300" i="1"/>
  <c r="AF300" i="1"/>
  <c r="AG300" i="1"/>
  <c r="E52" i="1" l="1"/>
  <c r="E53" i="1"/>
  <c r="D53" i="1"/>
  <c r="D52" i="1"/>
  <c r="AA277" i="1"/>
  <c r="Y277" i="1"/>
  <c r="W277" i="1"/>
  <c r="U277" i="1"/>
  <c r="S277" i="1"/>
  <c r="Q277" i="1"/>
  <c r="O277" i="1"/>
  <c r="M277" i="1"/>
  <c r="AA286" i="1" l="1"/>
  <c r="Z286" i="1"/>
  <c r="AA288" i="1"/>
  <c r="AA289" i="1"/>
  <c r="AA290" i="1"/>
  <c r="AA291" i="1"/>
  <c r="AA292" i="1"/>
  <c r="AA293" i="1"/>
  <c r="AA294" i="1"/>
  <c r="AA295" i="1"/>
  <c r="AA296" i="1"/>
  <c r="AA297" i="1"/>
  <c r="AA298" i="1"/>
  <c r="AA299" i="1"/>
  <c r="AA300" i="1"/>
  <c r="AA301" i="1"/>
  <c r="Z288" i="1"/>
  <c r="Z289" i="1"/>
  <c r="Z290" i="1"/>
  <c r="Z291" i="1"/>
  <c r="Z292" i="1"/>
  <c r="Z293" i="1"/>
  <c r="Z294" i="1"/>
  <c r="Z295" i="1"/>
  <c r="Z296" i="1"/>
  <c r="Z297" i="1"/>
  <c r="Z298" i="1"/>
  <c r="Z299" i="1"/>
  <c r="Z300" i="1"/>
  <c r="Z301" i="1"/>
  <c r="AB287" i="1"/>
  <c r="Z287" i="1" s="1"/>
  <c r="AC287" i="1"/>
  <c r="AD287" i="1"/>
  <c r="AE287" i="1"/>
  <c r="AA287" i="1" s="1"/>
  <c r="AF287" i="1"/>
  <c r="AG287" i="1"/>
  <c r="AI50" i="1"/>
  <c r="AH51" i="1"/>
  <c r="AH50" i="1"/>
  <c r="AH75" i="1"/>
  <c r="AH76" i="1"/>
  <c r="AH77" i="1"/>
  <c r="AH78" i="1"/>
  <c r="AH74" i="1"/>
  <c r="AH73" i="1"/>
  <c r="AH72" i="1"/>
  <c r="AH71" i="1"/>
  <c r="AH70" i="1"/>
  <c r="AH69" i="1"/>
  <c r="AH68" i="1"/>
  <c r="AH67" i="1"/>
  <c r="AH66" i="1"/>
  <c r="AH65" i="1"/>
  <c r="AH64" i="1"/>
  <c r="AH63" i="1"/>
  <c r="AH62" i="1"/>
  <c r="AH61" i="1"/>
  <c r="AH60" i="1"/>
  <c r="AH59" i="1"/>
  <c r="AH58" i="1"/>
  <c r="AH26" i="1"/>
  <c r="AH57" i="1" l="1"/>
  <c r="AH107" i="1"/>
  <c r="AI273" i="1" l="1"/>
  <c r="AI271" i="1"/>
  <c r="AK271" i="1"/>
  <c r="AK265" i="1"/>
  <c r="AK264" i="1"/>
  <c r="AK263" i="1"/>
  <c r="AH349" i="1" l="1"/>
  <c r="AO21" i="1" l="1"/>
  <c r="AO20" i="1"/>
  <c r="AO19" i="1"/>
  <c r="AO4" i="1"/>
  <c r="AO3" i="1"/>
  <c r="AN21" i="1"/>
  <c r="AN20" i="1"/>
  <c r="AN19" i="1"/>
  <c r="AN4" i="1"/>
  <c r="AN3" i="1"/>
  <c r="A3" i="1" l="1"/>
  <c r="G350" i="1" l="1"/>
  <c r="H350" i="1"/>
  <c r="I350" i="1"/>
  <c r="J350" i="1"/>
  <c r="K350" i="1"/>
  <c r="L350" i="1"/>
  <c r="M350" i="1"/>
  <c r="N350" i="1"/>
  <c r="O350" i="1"/>
  <c r="P350" i="1"/>
  <c r="Q350" i="1"/>
  <c r="R350" i="1"/>
  <c r="S350" i="1"/>
  <c r="T350" i="1"/>
  <c r="U350" i="1"/>
  <c r="V350" i="1"/>
  <c r="W350" i="1"/>
  <c r="X350" i="1"/>
  <c r="Y350" i="1"/>
  <c r="Z350" i="1"/>
  <c r="AA350" i="1"/>
  <c r="F350" i="1"/>
  <c r="AA148" i="1" l="1"/>
  <c r="Y148" i="1"/>
  <c r="W148" i="1"/>
  <c r="U148" i="1"/>
  <c r="S148" i="1"/>
  <c r="Q148" i="1"/>
  <c r="O148" i="1"/>
  <c r="M148" i="1"/>
  <c r="AA164" i="1"/>
  <c r="Y164" i="1"/>
  <c r="W164" i="1"/>
  <c r="U164" i="1"/>
  <c r="S164" i="1"/>
  <c r="Q164" i="1"/>
  <c r="O164" i="1"/>
  <c r="M164" i="1"/>
  <c r="AA156" i="1"/>
  <c r="Y156" i="1"/>
  <c r="W156" i="1"/>
  <c r="U156" i="1"/>
  <c r="S156" i="1"/>
  <c r="Q156" i="1"/>
  <c r="O156" i="1"/>
  <c r="AI95" i="1" l="1"/>
  <c r="AI93" i="1"/>
  <c r="AI94" i="1"/>
  <c r="AH285" i="1" l="1"/>
  <c r="G43" i="1"/>
  <c r="G53" i="1" s="1"/>
  <c r="H43" i="1"/>
  <c r="H53" i="1" s="1"/>
  <c r="I43" i="1"/>
  <c r="I53" i="1" s="1"/>
  <c r="J43" i="1"/>
  <c r="J53" i="1" s="1"/>
  <c r="K43" i="1"/>
  <c r="K53" i="1" s="1"/>
  <c r="L43" i="1"/>
  <c r="L53" i="1" s="1"/>
  <c r="M43" i="1"/>
  <c r="M53" i="1" s="1"/>
  <c r="N43" i="1"/>
  <c r="N53" i="1" s="1"/>
  <c r="O43" i="1"/>
  <c r="O53" i="1" s="1"/>
  <c r="P43" i="1"/>
  <c r="P53" i="1" s="1"/>
  <c r="Q43" i="1"/>
  <c r="Q53" i="1" s="1"/>
  <c r="R43" i="1"/>
  <c r="R53" i="1" s="1"/>
  <c r="S43" i="1"/>
  <c r="S53" i="1" s="1"/>
  <c r="T43" i="1"/>
  <c r="T53" i="1" s="1"/>
  <c r="U43" i="1"/>
  <c r="U53" i="1" s="1"/>
  <c r="V43" i="1"/>
  <c r="V53" i="1" s="1"/>
  <c r="W43" i="1"/>
  <c r="W53" i="1" s="1"/>
  <c r="X43" i="1"/>
  <c r="X53" i="1" s="1"/>
  <c r="Y43" i="1"/>
  <c r="Y53" i="1" s="1"/>
  <c r="Z43" i="1"/>
  <c r="Z53" i="1" s="1"/>
  <c r="AA43" i="1"/>
  <c r="AA53" i="1" s="1"/>
  <c r="F43" i="1"/>
  <c r="F53" i="1" s="1"/>
  <c r="G42" i="1" l="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77" i="1"/>
  <c r="E256" i="1"/>
  <c r="AH8" i="1" l="1"/>
  <c r="F277" i="1" l="1"/>
  <c r="G277" i="1"/>
  <c r="H277" i="1"/>
  <c r="I277" i="1"/>
  <c r="J277" i="1"/>
  <c r="K277" i="1"/>
  <c r="L277" i="1"/>
  <c r="N277" i="1"/>
  <c r="P277" i="1"/>
  <c r="R277" i="1"/>
  <c r="T277" i="1"/>
  <c r="V277" i="1"/>
  <c r="X277" i="1"/>
  <c r="Z277" i="1"/>
  <c r="AH359" i="1" l="1"/>
  <c r="AH9" i="1"/>
  <c r="AH10" i="1"/>
  <c r="K83" i="1" l="1"/>
  <c r="L83" i="1"/>
  <c r="M83" i="1"/>
  <c r="N83" i="1"/>
  <c r="O83" i="1"/>
  <c r="P83" i="1"/>
  <c r="Q83" i="1"/>
  <c r="R83" i="1"/>
  <c r="S83" i="1"/>
  <c r="T83" i="1"/>
  <c r="U83" i="1"/>
  <c r="V83" i="1"/>
  <c r="W83" i="1"/>
  <c r="X83" i="1"/>
  <c r="Y83" i="1"/>
  <c r="Z83" i="1"/>
  <c r="AA83" i="1"/>
  <c r="J83" i="1"/>
  <c r="AK303" i="1" l="1"/>
  <c r="AK302" i="1"/>
  <c r="E304" i="1"/>
  <c r="F304" i="1"/>
  <c r="G304" i="1"/>
  <c r="H304" i="1"/>
  <c r="I304" i="1"/>
  <c r="J304" i="1"/>
  <c r="K304" i="1"/>
  <c r="L304" i="1"/>
  <c r="M304" i="1"/>
  <c r="N304" i="1"/>
  <c r="O304" i="1"/>
  <c r="P304" i="1"/>
  <c r="Q304" i="1"/>
  <c r="R304" i="1"/>
  <c r="S304" i="1"/>
  <c r="T304" i="1"/>
  <c r="U304" i="1"/>
  <c r="V304" i="1"/>
  <c r="W304" i="1"/>
  <c r="X304" i="1"/>
  <c r="Y304" i="1"/>
  <c r="Z304" i="1"/>
  <c r="AA304" i="1"/>
  <c r="E311" i="1"/>
  <c r="F311" i="1"/>
  <c r="G311" i="1"/>
  <c r="H311" i="1"/>
  <c r="I311" i="1"/>
  <c r="J311" i="1"/>
  <c r="K311" i="1"/>
  <c r="L311" i="1"/>
  <c r="M311" i="1"/>
  <c r="N311" i="1"/>
  <c r="O311" i="1"/>
  <c r="P311" i="1"/>
  <c r="Q311" i="1"/>
  <c r="R311" i="1"/>
  <c r="S311" i="1"/>
  <c r="T311" i="1"/>
  <c r="U311" i="1"/>
  <c r="V311" i="1"/>
  <c r="W311" i="1"/>
  <c r="X311" i="1"/>
  <c r="Y311" i="1"/>
  <c r="Z311" i="1"/>
  <c r="AA311" i="1"/>
  <c r="AI8" i="1" l="1"/>
  <c r="AI9" i="1"/>
  <c r="G352" i="1" l="1"/>
  <c r="H352" i="1"/>
  <c r="I352" i="1"/>
  <c r="J352" i="1"/>
  <c r="K352" i="1"/>
  <c r="L352" i="1"/>
  <c r="M352" i="1"/>
  <c r="N352" i="1"/>
  <c r="O352" i="1"/>
  <c r="P352" i="1"/>
  <c r="Q352" i="1"/>
  <c r="R352" i="1"/>
  <c r="S352" i="1"/>
  <c r="T352" i="1"/>
  <c r="U352" i="1"/>
  <c r="V352" i="1"/>
  <c r="W352" i="1"/>
  <c r="X352" i="1"/>
  <c r="Y352" i="1"/>
  <c r="Z352" i="1"/>
  <c r="AA352" i="1"/>
  <c r="W354" i="1"/>
  <c r="AH319" i="1"/>
  <c r="AH320" i="1"/>
  <c r="AH321" i="1"/>
  <c r="AH322" i="1"/>
  <c r="AH323" i="1"/>
  <c r="E316" i="1"/>
  <c r="F316" i="1"/>
  <c r="G316" i="1"/>
  <c r="H316" i="1"/>
  <c r="I316" i="1"/>
  <c r="J316" i="1"/>
  <c r="K316" i="1"/>
  <c r="L316" i="1"/>
  <c r="M316" i="1"/>
  <c r="N316" i="1"/>
  <c r="O316" i="1"/>
  <c r="P316" i="1"/>
  <c r="Q316" i="1"/>
  <c r="R316" i="1"/>
  <c r="S316" i="1"/>
  <c r="T316" i="1"/>
  <c r="U316" i="1"/>
  <c r="V316" i="1"/>
  <c r="W316" i="1"/>
  <c r="X316" i="1"/>
  <c r="Y316" i="1"/>
  <c r="Z316" i="1"/>
  <c r="AA316" i="1"/>
  <c r="D316" i="1"/>
  <c r="AH266" i="1"/>
  <c r="AH265" i="1"/>
  <c r="AH269" i="1"/>
  <c r="AH268" i="1"/>
  <c r="AH263" i="1"/>
  <c r="AH264" i="1"/>
  <c r="AH238" i="1"/>
  <c r="AH239" i="1"/>
  <c r="AH111" i="1"/>
  <c r="AH112" i="1"/>
  <c r="AH113" i="1"/>
  <c r="AH114" i="1"/>
  <c r="AH110" i="1"/>
  <c r="AH109" i="1"/>
  <c r="AH103" i="1"/>
  <c r="AH105" i="1"/>
  <c r="AH106" i="1"/>
  <c r="AH104" i="1"/>
  <c r="AH97" i="1"/>
  <c r="AH98" i="1"/>
  <c r="AH99" i="1"/>
  <c r="AH100" i="1"/>
  <c r="AH101" i="1"/>
  <c r="AH102" i="1"/>
  <c r="AH94" i="1"/>
  <c r="AH93" i="1"/>
  <c r="D256" i="1" l="1"/>
  <c r="E315" i="1"/>
  <c r="F315" i="1"/>
  <c r="G315" i="1"/>
  <c r="H315" i="1"/>
  <c r="I315" i="1"/>
  <c r="J315" i="1"/>
  <c r="K315" i="1"/>
  <c r="L315" i="1"/>
  <c r="M315" i="1"/>
  <c r="N315" i="1"/>
  <c r="O315" i="1"/>
  <c r="P315" i="1"/>
  <c r="Q315" i="1"/>
  <c r="R315" i="1"/>
  <c r="S315" i="1"/>
  <c r="T315" i="1"/>
  <c r="U315" i="1"/>
  <c r="V315" i="1"/>
  <c r="W315" i="1"/>
  <c r="X315" i="1"/>
  <c r="Y315" i="1"/>
  <c r="Z315" i="1"/>
  <c r="AA315" i="1"/>
  <c r="AL316" i="1"/>
  <c r="AJ316" i="1"/>
  <c r="D311" i="1"/>
  <c r="AI215" i="1" l="1"/>
  <c r="AI216" i="1"/>
  <c r="AI213" i="1"/>
  <c r="AI204" i="1"/>
  <c r="AI195" i="1"/>
  <c r="AI193" i="1"/>
  <c r="AI190" i="1"/>
  <c r="AI186" i="1"/>
  <c r="AI184" i="1"/>
  <c r="E199" i="1"/>
  <c r="F199" i="1"/>
  <c r="G199" i="1"/>
  <c r="H199" i="1"/>
  <c r="I199" i="1"/>
  <c r="J199" i="1"/>
  <c r="K199" i="1"/>
  <c r="L199" i="1"/>
  <c r="M199" i="1"/>
  <c r="N199" i="1"/>
  <c r="O199" i="1"/>
  <c r="P199" i="1"/>
  <c r="Q199" i="1"/>
  <c r="R199" i="1"/>
  <c r="S199" i="1"/>
  <c r="T199" i="1"/>
  <c r="U199" i="1"/>
  <c r="V199" i="1"/>
  <c r="W199" i="1"/>
  <c r="X199" i="1"/>
  <c r="Y199" i="1"/>
  <c r="Z199" i="1"/>
  <c r="AA199" i="1"/>
  <c r="D199" i="1"/>
  <c r="E181" i="1"/>
  <c r="F181" i="1"/>
  <c r="G181" i="1"/>
  <c r="H181" i="1"/>
  <c r="I181" i="1"/>
  <c r="J181" i="1"/>
  <c r="K181" i="1"/>
  <c r="L181" i="1"/>
  <c r="M181" i="1"/>
  <c r="N181" i="1"/>
  <c r="O181" i="1"/>
  <c r="P181" i="1"/>
  <c r="Q181" i="1"/>
  <c r="R181" i="1"/>
  <c r="S181" i="1"/>
  <c r="T181" i="1"/>
  <c r="U181" i="1"/>
  <c r="V181" i="1"/>
  <c r="W181" i="1"/>
  <c r="X181" i="1"/>
  <c r="Y181" i="1"/>
  <c r="Z181" i="1"/>
  <c r="AA181" i="1"/>
  <c r="D181" i="1"/>
  <c r="AA201" i="1"/>
  <c r="Z201" i="1"/>
  <c r="Y201" i="1"/>
  <c r="X201" i="1"/>
  <c r="W201" i="1"/>
  <c r="V201" i="1"/>
  <c r="U201" i="1"/>
  <c r="T201" i="1"/>
  <c r="S201" i="1"/>
  <c r="R201" i="1"/>
  <c r="Q201" i="1"/>
  <c r="P201" i="1"/>
  <c r="O201" i="1"/>
  <c r="N201" i="1"/>
  <c r="M201" i="1"/>
  <c r="L201" i="1"/>
  <c r="K201" i="1"/>
  <c r="J201" i="1"/>
  <c r="I201" i="1"/>
  <c r="H201" i="1"/>
  <c r="G201" i="1"/>
  <c r="F201" i="1"/>
  <c r="E201" i="1"/>
  <c r="D201" i="1"/>
  <c r="AA192" i="1"/>
  <c r="Z192" i="1"/>
  <c r="Y192" i="1"/>
  <c r="X192" i="1"/>
  <c r="W192" i="1"/>
  <c r="V192" i="1"/>
  <c r="U192" i="1"/>
  <c r="T192" i="1"/>
  <c r="S192" i="1"/>
  <c r="R192" i="1"/>
  <c r="Q192" i="1"/>
  <c r="P192" i="1"/>
  <c r="O192" i="1"/>
  <c r="N192" i="1"/>
  <c r="M192" i="1"/>
  <c r="L192" i="1"/>
  <c r="K192" i="1"/>
  <c r="J192" i="1"/>
  <c r="I192" i="1"/>
  <c r="H192" i="1"/>
  <c r="G192" i="1"/>
  <c r="F192" i="1"/>
  <c r="E192" i="1"/>
  <c r="D192" i="1"/>
  <c r="AH190" i="1"/>
  <c r="AA183" i="1"/>
  <c r="Z183" i="1"/>
  <c r="Y183" i="1"/>
  <c r="X183" i="1"/>
  <c r="W183" i="1"/>
  <c r="V183" i="1"/>
  <c r="U183" i="1"/>
  <c r="T183" i="1"/>
  <c r="S183" i="1"/>
  <c r="R183" i="1"/>
  <c r="Q183" i="1"/>
  <c r="P183" i="1"/>
  <c r="O183" i="1"/>
  <c r="N183" i="1"/>
  <c r="M183" i="1"/>
  <c r="L183" i="1"/>
  <c r="K183" i="1"/>
  <c r="J183" i="1"/>
  <c r="I183" i="1"/>
  <c r="H183" i="1"/>
  <c r="G183" i="1"/>
  <c r="F183" i="1"/>
  <c r="E183" i="1"/>
  <c r="D183" i="1"/>
  <c r="AI202" i="1"/>
  <c r="AI177" i="1"/>
  <c r="AI175" i="1"/>
  <c r="E174" i="1"/>
  <c r="F174" i="1"/>
  <c r="G174" i="1"/>
  <c r="H174" i="1"/>
  <c r="I174" i="1"/>
  <c r="J174" i="1"/>
  <c r="K174" i="1"/>
  <c r="L174" i="1"/>
  <c r="M174" i="1"/>
  <c r="N174" i="1"/>
  <c r="O174" i="1"/>
  <c r="P174" i="1"/>
  <c r="Q174" i="1"/>
  <c r="R174" i="1"/>
  <c r="S174" i="1"/>
  <c r="T174" i="1"/>
  <c r="U174" i="1"/>
  <c r="V174" i="1"/>
  <c r="W174" i="1"/>
  <c r="X174" i="1"/>
  <c r="Y174" i="1"/>
  <c r="Z174" i="1"/>
  <c r="AA174" i="1"/>
  <c r="E172" i="1"/>
  <c r="F172" i="1"/>
  <c r="G172" i="1"/>
  <c r="H172" i="1"/>
  <c r="I172" i="1"/>
  <c r="J172" i="1"/>
  <c r="K172" i="1"/>
  <c r="L172" i="1"/>
  <c r="M172" i="1"/>
  <c r="N172" i="1"/>
  <c r="O172" i="1"/>
  <c r="P172" i="1"/>
  <c r="Q172" i="1"/>
  <c r="R172" i="1"/>
  <c r="S172" i="1"/>
  <c r="T172" i="1"/>
  <c r="U172" i="1"/>
  <c r="V172" i="1"/>
  <c r="W172" i="1"/>
  <c r="X172" i="1"/>
  <c r="Y172" i="1"/>
  <c r="Z172" i="1"/>
  <c r="AA172" i="1"/>
  <c r="D18" i="1"/>
  <c r="E18" i="1"/>
  <c r="AH16" i="1"/>
  <c r="AH17" i="1"/>
  <c r="AH15" i="1"/>
  <c r="AH12" i="1"/>
  <c r="AH13" i="1"/>
  <c r="AH172" i="1"/>
  <c r="D172" i="1"/>
  <c r="D14" i="1"/>
  <c r="E14" i="1"/>
  <c r="AH210" i="1"/>
  <c r="AH191" i="1"/>
  <c r="AH193" i="1"/>
  <c r="AH194" i="1"/>
  <c r="AH195" i="1"/>
  <c r="AH196" i="1"/>
  <c r="AH197" i="1"/>
  <c r="AH198" i="1"/>
  <c r="AH200" i="1"/>
  <c r="AH202" i="1"/>
  <c r="AH203" i="1"/>
  <c r="AH204" i="1"/>
  <c r="AH205" i="1"/>
  <c r="AH206" i="1"/>
  <c r="AH207" i="1"/>
  <c r="AH189" i="1"/>
  <c r="AH182" i="1"/>
  <c r="AH184" i="1"/>
  <c r="AH185" i="1"/>
  <c r="AH186" i="1"/>
  <c r="AH187" i="1"/>
  <c r="AH188" i="1"/>
  <c r="AH180" i="1"/>
  <c r="D174" i="1"/>
  <c r="AH175" i="1"/>
  <c r="AH176" i="1"/>
  <c r="AH177" i="1"/>
  <c r="AH178" i="1"/>
  <c r="AH179" i="1"/>
  <c r="G14" i="1"/>
  <c r="H14" i="1"/>
  <c r="I14" i="1"/>
  <c r="J14" i="1"/>
  <c r="K14" i="1"/>
  <c r="L14" i="1"/>
  <c r="M14" i="1"/>
  <c r="N14" i="1"/>
  <c r="O14" i="1"/>
  <c r="P14" i="1"/>
  <c r="Q14" i="1"/>
  <c r="R14" i="1"/>
  <c r="S14" i="1"/>
  <c r="T14" i="1"/>
  <c r="U14" i="1"/>
  <c r="V14" i="1"/>
  <c r="W14" i="1"/>
  <c r="X14" i="1"/>
  <c r="Y14" i="1"/>
  <c r="Z14" i="1"/>
  <c r="AA14" i="1"/>
  <c r="M156" i="1"/>
  <c r="F14" i="1"/>
  <c r="AH18" i="1" l="1"/>
  <c r="AH192" i="1"/>
  <c r="AH201" i="1"/>
  <c r="AI154" i="1"/>
  <c r="AH183" i="1"/>
  <c r="AI199" i="1"/>
  <c r="AJ199" i="1" s="1"/>
  <c r="AH181" i="1"/>
  <c r="AH316" i="1"/>
  <c r="AI181" i="1"/>
  <c r="AJ181" i="1" s="1"/>
  <c r="AH14" i="1"/>
  <c r="AI172" i="1"/>
  <c r="AJ172" i="1" s="1"/>
  <c r="AH199" i="1"/>
  <c r="AJ190" i="1"/>
  <c r="AI210" i="1"/>
  <c r="AI208" i="1"/>
  <c r="AH174" i="1"/>
  <c r="AI162" i="1"/>
  <c r="AI146" i="1"/>
  <c r="AH164" i="1"/>
  <c r="AH148" i="1"/>
  <c r="AH156" i="1"/>
  <c r="AI16" i="1"/>
  <c r="AI15" i="1"/>
  <c r="AI12" i="1"/>
  <c r="AI11" i="1"/>
  <c r="G18" i="1"/>
  <c r="H18" i="1"/>
  <c r="I18" i="1"/>
  <c r="J18" i="1"/>
  <c r="K18" i="1"/>
  <c r="L18" i="1"/>
  <c r="M18" i="1"/>
  <c r="N18" i="1"/>
  <c r="O18" i="1"/>
  <c r="P18" i="1"/>
  <c r="Q18" i="1"/>
  <c r="R18" i="1"/>
  <c r="S18" i="1"/>
  <c r="T18" i="1"/>
  <c r="U18" i="1"/>
  <c r="V18" i="1"/>
  <c r="W18" i="1"/>
  <c r="X18" i="1"/>
  <c r="Y18" i="1"/>
  <c r="Z18" i="1"/>
  <c r="AA18" i="1"/>
  <c r="F18" i="1"/>
  <c r="AI244" i="1" l="1"/>
  <c r="AI356" i="1" l="1"/>
  <c r="AI130" i="1"/>
  <c r="AK355" i="1"/>
  <c r="AI353" i="1"/>
  <c r="AI351" i="1"/>
  <c r="AI347" i="1"/>
  <c r="AI333" i="1"/>
  <c r="F283" i="4"/>
  <c r="E287" i="1"/>
  <c r="F287" i="1"/>
  <c r="G287" i="1"/>
  <c r="H287" i="1"/>
  <c r="I287" i="1"/>
  <c r="J287" i="1"/>
  <c r="K287" i="1"/>
  <c r="L287" i="1"/>
  <c r="M287" i="1"/>
  <c r="N287" i="1"/>
  <c r="O287" i="1"/>
  <c r="P287" i="1"/>
  <c r="Q287" i="1"/>
  <c r="R287" i="1"/>
  <c r="S287" i="1"/>
  <c r="T287" i="1"/>
  <c r="U287" i="1"/>
  <c r="V287" i="1"/>
  <c r="W287" i="1"/>
  <c r="X287" i="1"/>
  <c r="Y287" i="1"/>
  <c r="AI303" i="1"/>
  <c r="AI302" i="1"/>
  <c r="AH305" i="1" l="1"/>
  <c r="AH306" i="1"/>
  <c r="AH308" i="1"/>
  <c r="AH309" i="1"/>
  <c r="AH310" i="1"/>
  <c r="AH312" i="1"/>
  <c r="AH301" i="1"/>
  <c r="AH302" i="1"/>
  <c r="AH303" i="1"/>
  <c r="AH311" i="1" l="1"/>
  <c r="AI311" i="1"/>
  <c r="E300" i="1" l="1"/>
  <c r="F300" i="1"/>
  <c r="G300" i="1"/>
  <c r="H300" i="1"/>
  <c r="I300" i="1"/>
  <c r="J300" i="1"/>
  <c r="K300" i="1"/>
  <c r="L300" i="1"/>
  <c r="M300" i="1"/>
  <c r="N300" i="1"/>
  <c r="O300" i="1"/>
  <c r="P300" i="1"/>
  <c r="Q300" i="1"/>
  <c r="R300" i="1"/>
  <c r="S300" i="1"/>
  <c r="T300" i="1"/>
  <c r="U300" i="1"/>
  <c r="V300" i="1"/>
  <c r="W300" i="1"/>
  <c r="X300" i="1"/>
  <c r="Y300" i="1"/>
  <c r="D287" i="1"/>
  <c r="AI134" i="1" s="1"/>
  <c r="AH278" i="1"/>
  <c r="AH279" i="1"/>
  <c r="AH280" i="1"/>
  <c r="AH281" i="1"/>
  <c r="AH282" i="1"/>
  <c r="AH283" i="1"/>
  <c r="AI286" i="1" l="1"/>
  <c r="AI269" i="1"/>
  <c r="AI268" i="1"/>
  <c r="AI266" i="1"/>
  <c r="AI265" i="1"/>
  <c r="AK261" i="1" l="1"/>
  <c r="AK260" i="1"/>
  <c r="AI227" i="1"/>
  <c r="D250" i="1"/>
  <c r="D253" i="1"/>
  <c r="AK252" i="1"/>
  <c r="AK251" i="1"/>
  <c r="AI251" i="1"/>
  <c r="AI252" i="1"/>
  <c r="AI249" i="1"/>
  <c r="AI248" i="1"/>
  <c r="AI246" i="1"/>
  <c r="E253" i="1"/>
  <c r="E250" i="1"/>
  <c r="AI242" i="1"/>
  <c r="AI240" i="1"/>
  <c r="AI238" i="1"/>
  <c r="AI253" i="1" l="1"/>
  <c r="AK253" i="1"/>
  <c r="AH253" i="1"/>
  <c r="AK227" i="1" l="1"/>
  <c r="AL226" i="1" s="1"/>
  <c r="AI234" i="1"/>
  <c r="AI232" i="1"/>
  <c r="AI132" i="1"/>
  <c r="AI131" i="1"/>
  <c r="K108" i="1"/>
  <c r="L108" i="1"/>
  <c r="M108" i="1"/>
  <c r="N108" i="1"/>
  <c r="O108" i="1"/>
  <c r="P108" i="1"/>
  <c r="Q108" i="1"/>
  <c r="R108" i="1"/>
  <c r="S108" i="1"/>
  <c r="T108" i="1"/>
  <c r="U108" i="1"/>
  <c r="V108" i="1"/>
  <c r="W108" i="1"/>
  <c r="X108" i="1"/>
  <c r="Y108" i="1"/>
  <c r="Z108" i="1"/>
  <c r="AA108" i="1"/>
  <c r="J108" i="1"/>
  <c r="K96" i="1"/>
  <c r="L96" i="1"/>
  <c r="M96" i="1"/>
  <c r="N96" i="1"/>
  <c r="O96" i="1"/>
  <c r="P96" i="1"/>
  <c r="Q96" i="1"/>
  <c r="R96" i="1"/>
  <c r="S96" i="1"/>
  <c r="T96" i="1"/>
  <c r="U96" i="1"/>
  <c r="V96" i="1"/>
  <c r="W96" i="1"/>
  <c r="X96" i="1"/>
  <c r="Y96" i="1"/>
  <c r="Z96" i="1"/>
  <c r="AA96" i="1"/>
  <c r="AI92" i="1"/>
  <c r="AI48" i="1"/>
  <c r="AI46" i="1"/>
  <c r="AI44" i="1"/>
  <c r="AI42" i="1"/>
  <c r="AI40" i="1"/>
  <c r="AI38" i="1"/>
  <c r="AI36" i="1"/>
  <c r="AI34" i="1"/>
  <c r="AI27" i="1"/>
  <c r="AK24" i="1"/>
  <c r="AI22" i="1"/>
  <c r="AH108" i="1" l="1"/>
  <c r="AH317" i="1" l="1"/>
  <c r="D315" i="1"/>
  <c r="AI314" i="1" s="1"/>
  <c r="AH313" i="1"/>
  <c r="E307" i="1"/>
  <c r="F307" i="1"/>
  <c r="G307" i="1"/>
  <c r="H307" i="1"/>
  <c r="J307" i="1"/>
  <c r="K307" i="1"/>
  <c r="L307" i="1"/>
  <c r="M307" i="1"/>
  <c r="N307" i="1"/>
  <c r="O307" i="1"/>
  <c r="P307" i="1"/>
  <c r="Q307" i="1"/>
  <c r="R307" i="1"/>
  <c r="S307" i="1"/>
  <c r="T307" i="1"/>
  <c r="U307" i="1"/>
  <c r="V307" i="1"/>
  <c r="W307" i="1"/>
  <c r="X307" i="1"/>
  <c r="Y307" i="1"/>
  <c r="Z307" i="1"/>
  <c r="AA307" i="1"/>
  <c r="D304" i="1"/>
  <c r="AI312" i="1" s="1"/>
  <c r="AH314" i="1"/>
  <c r="J96" i="1"/>
  <c r="AI96" i="1" s="1"/>
  <c r="D277" i="1"/>
  <c r="AH286" i="1"/>
  <c r="AI256" i="1" l="1"/>
  <c r="AI260" i="1"/>
  <c r="I307" i="1"/>
  <c r="D307" i="1"/>
  <c r="AH304" i="1"/>
  <c r="AH318" i="1"/>
  <c r="AH315" i="1"/>
  <c r="AH307" i="1" l="1"/>
  <c r="AI307" i="1"/>
  <c r="AI315" i="1"/>
  <c r="AK307" i="1"/>
  <c r="AL302" i="1" s="1"/>
  <c r="AH351" i="1"/>
  <c r="AH353" i="1"/>
  <c r="AH355" i="1"/>
  <c r="AH356" i="1"/>
  <c r="F357" i="1"/>
  <c r="G357" i="1"/>
  <c r="H357" i="1"/>
  <c r="I357" i="1"/>
  <c r="J357" i="1"/>
  <c r="K357" i="1"/>
  <c r="L357" i="1"/>
  <c r="M357" i="1"/>
  <c r="N357" i="1"/>
  <c r="O357" i="1"/>
  <c r="P357" i="1"/>
  <c r="Q357" i="1"/>
  <c r="R357" i="1"/>
  <c r="S357" i="1"/>
  <c r="T357" i="1"/>
  <c r="U357" i="1"/>
  <c r="V357" i="1"/>
  <c r="W357" i="1"/>
  <c r="X357" i="1"/>
  <c r="Y357" i="1"/>
  <c r="Z357" i="1"/>
  <c r="AA357" i="1"/>
  <c r="F354" i="1"/>
  <c r="G354" i="1"/>
  <c r="H354" i="1"/>
  <c r="I354" i="1"/>
  <c r="J354" i="1"/>
  <c r="K354" i="1"/>
  <c r="L354" i="1"/>
  <c r="M354" i="1"/>
  <c r="N354" i="1"/>
  <c r="O354" i="1"/>
  <c r="P354" i="1"/>
  <c r="Q354" i="1"/>
  <c r="R354" i="1"/>
  <c r="S354" i="1"/>
  <c r="T354" i="1"/>
  <c r="U354" i="1"/>
  <c r="V354" i="1"/>
  <c r="X354" i="1"/>
  <c r="Y354" i="1"/>
  <c r="Z354" i="1"/>
  <c r="AA354" i="1"/>
  <c r="F352" i="1"/>
  <c r="AI352" i="1" s="1"/>
  <c r="AK350" i="1"/>
  <c r="AH348" i="1"/>
  <c r="AH347" i="1"/>
  <c r="AH173" i="1"/>
  <c r="AH208" i="1"/>
  <c r="AH256" i="1"/>
  <c r="AH245" i="1"/>
  <c r="AH246" i="1"/>
  <c r="AH247" i="1"/>
  <c r="AH248" i="1"/>
  <c r="AH249" i="1"/>
  <c r="AH251" i="1"/>
  <c r="AH252" i="1"/>
  <c r="AH254" i="1"/>
  <c r="AH255" i="1"/>
  <c r="AH234" i="1"/>
  <c r="AH235" i="1"/>
  <c r="AH236" i="1"/>
  <c r="AH237" i="1"/>
  <c r="AH240" i="1"/>
  <c r="AH241" i="1"/>
  <c r="AH242" i="1"/>
  <c r="AH243" i="1"/>
  <c r="AH244" i="1"/>
  <c r="AH232" i="1"/>
  <c r="AH250" i="1"/>
  <c r="AK359" i="1" l="1"/>
  <c r="AL347" i="1"/>
  <c r="AI357" i="1"/>
  <c r="AJ347" i="1" s="1"/>
  <c r="AH350" i="1"/>
  <c r="AH352" i="1"/>
  <c r="AH357" i="1"/>
  <c r="AH354" i="1"/>
  <c r="Y262" i="1"/>
  <c r="W262" i="1"/>
  <c r="U262" i="1"/>
  <c r="S262" i="1"/>
  <c r="Q262" i="1"/>
  <c r="O262" i="1"/>
  <c r="M262" i="1"/>
  <c r="K262" i="1"/>
  <c r="AH262" i="1" l="1"/>
  <c r="Y231" i="1"/>
  <c r="W231" i="1"/>
  <c r="U231" i="1"/>
  <c r="S231" i="1"/>
  <c r="Q231" i="1"/>
  <c r="O231" i="1"/>
  <c r="M231" i="1"/>
  <c r="K231" i="1"/>
  <c r="Y230" i="1"/>
  <c r="W230" i="1"/>
  <c r="U230" i="1"/>
  <c r="S230" i="1"/>
  <c r="Q230" i="1"/>
  <c r="O230" i="1"/>
  <c r="M230" i="1"/>
  <c r="K230" i="1"/>
  <c r="AH230" i="1" l="1"/>
  <c r="AH231" i="1"/>
  <c r="AH334" i="1" l="1"/>
  <c r="AH335" i="1"/>
  <c r="AH336" i="1"/>
  <c r="AH337" i="1"/>
  <c r="D338" i="1" l="1"/>
  <c r="E338" i="1"/>
  <c r="F338" i="1"/>
  <c r="G338" i="1"/>
  <c r="H338" i="1"/>
  <c r="I338" i="1"/>
  <c r="J338" i="1"/>
  <c r="K338" i="1"/>
  <c r="L338" i="1"/>
  <c r="M338" i="1"/>
  <c r="N338" i="1"/>
  <c r="O338" i="1"/>
  <c r="P338" i="1"/>
  <c r="Q338" i="1"/>
  <c r="R338" i="1"/>
  <c r="S338" i="1"/>
  <c r="T338" i="1"/>
  <c r="U338" i="1"/>
  <c r="V338" i="1"/>
  <c r="W338" i="1"/>
  <c r="X338" i="1"/>
  <c r="Y338" i="1"/>
  <c r="Z338" i="1"/>
  <c r="AA338" i="1"/>
  <c r="AL327" i="1" l="1"/>
  <c r="AH284" i="1" l="1"/>
  <c r="AH288" i="1"/>
  <c r="AH289" i="1"/>
  <c r="AH290" i="1"/>
  <c r="AH291" i="1"/>
  <c r="AH292" i="1"/>
  <c r="AH293" i="1"/>
  <c r="AH294" i="1"/>
  <c r="AH295" i="1"/>
  <c r="AH296" i="1"/>
  <c r="AH297" i="1"/>
  <c r="AH298" i="1"/>
  <c r="AH299" i="1"/>
  <c r="AH327" i="1"/>
  <c r="AH328" i="1"/>
  <c r="AH329" i="1"/>
  <c r="AH330" i="1"/>
  <c r="AH331" i="1"/>
  <c r="AH332" i="1"/>
  <c r="AH333" i="1"/>
  <c r="D300" i="1"/>
  <c r="AI287" i="1" l="1"/>
  <c r="AH300" i="1"/>
  <c r="AH287" i="1"/>
  <c r="AI306" i="1" s="1"/>
  <c r="AJ302" i="1" s="1"/>
  <c r="AI277" i="1"/>
  <c r="AL82" i="1" l="1"/>
  <c r="AL130" i="1"/>
  <c r="AL145" i="1"/>
  <c r="AL172" i="1"/>
  <c r="AK35" i="1"/>
  <c r="AJ82" i="1"/>
  <c r="AH277" i="1"/>
  <c r="AH338" i="1"/>
  <c r="AH339" i="1"/>
  <c r="AH340" i="1"/>
  <c r="AH341" i="1"/>
  <c r="AH342" i="1"/>
  <c r="AH343" i="1"/>
  <c r="AH344" i="1"/>
  <c r="AH345" i="1"/>
  <c r="AH261" i="1"/>
  <c r="AH267" i="1"/>
  <c r="AK267" i="1" s="1"/>
  <c r="AH270" i="1"/>
  <c r="AH271" i="1"/>
  <c r="AH272" i="1"/>
  <c r="AH273" i="1"/>
  <c r="AH260" i="1"/>
  <c r="AH227" i="1"/>
  <c r="AH228" i="1"/>
  <c r="AH229" i="1"/>
  <c r="AH233" i="1"/>
  <c r="AH226" i="1"/>
  <c r="AH209" i="1"/>
  <c r="AH211" i="1"/>
  <c r="AH212" i="1"/>
  <c r="AI212" i="1" s="1"/>
  <c r="AH213" i="1"/>
  <c r="AH214" i="1"/>
  <c r="AH215" i="1"/>
  <c r="AH216" i="1"/>
  <c r="AH217" i="1"/>
  <c r="AH218" i="1"/>
  <c r="AH219" i="1"/>
  <c r="AH220" i="1"/>
  <c r="AH221" i="1"/>
  <c r="AH222" i="1"/>
  <c r="AH146" i="1"/>
  <c r="AH147" i="1"/>
  <c r="AH150" i="1"/>
  <c r="AH151" i="1"/>
  <c r="AH152" i="1"/>
  <c r="AH153" i="1"/>
  <c r="AH154" i="1"/>
  <c r="AH155" i="1"/>
  <c r="AH158" i="1"/>
  <c r="AH159" i="1"/>
  <c r="AH160" i="1"/>
  <c r="AH161" i="1"/>
  <c r="AH162" i="1"/>
  <c r="AH163" i="1"/>
  <c r="AH166" i="1"/>
  <c r="AH167" i="1"/>
  <c r="AH168" i="1"/>
  <c r="AH145" i="1"/>
  <c r="AH86" i="1"/>
  <c r="AH83" i="1"/>
  <c r="AH84" i="1"/>
  <c r="AH85" i="1"/>
  <c r="AH82" i="1"/>
  <c r="AH95" i="1"/>
  <c r="AH96" i="1"/>
  <c r="AH115" i="1"/>
  <c r="AH116" i="1"/>
  <c r="AH117" i="1"/>
  <c r="AH118" i="1"/>
  <c r="AH119" i="1"/>
  <c r="AH120" i="1"/>
  <c r="AH121" i="1"/>
  <c r="AH122" i="1"/>
  <c r="AH123" i="1"/>
  <c r="AH124" i="1"/>
  <c r="AH92" i="1"/>
  <c r="AH131" i="1"/>
  <c r="AH132" i="1"/>
  <c r="AH133" i="1"/>
  <c r="AH134" i="1"/>
  <c r="AH135" i="1"/>
  <c r="AH136" i="1"/>
  <c r="AH137" i="1"/>
  <c r="AH138" i="1"/>
  <c r="AH139" i="1"/>
  <c r="AH140" i="1"/>
  <c r="AH141" i="1"/>
  <c r="AH130" i="1"/>
  <c r="AH29" i="1"/>
  <c r="AH30" i="1"/>
  <c r="AH31" i="1"/>
  <c r="AH32" i="1"/>
  <c r="AH33" i="1"/>
  <c r="AH34" i="1"/>
  <c r="AH35" i="1"/>
  <c r="AH36" i="1"/>
  <c r="AH37" i="1"/>
  <c r="AH38" i="1"/>
  <c r="AH39" i="1"/>
  <c r="AH40" i="1"/>
  <c r="AH41" i="1"/>
  <c r="AH42" i="1"/>
  <c r="AH43" i="1"/>
  <c r="AH44" i="1"/>
  <c r="AH45" i="1"/>
  <c r="AH46" i="1"/>
  <c r="AH47" i="1"/>
  <c r="AH48" i="1"/>
  <c r="AH49" i="1"/>
  <c r="AH22" i="1"/>
  <c r="AH23" i="1"/>
  <c r="AH24" i="1"/>
  <c r="AI24" i="1" s="1"/>
  <c r="AH25" i="1"/>
  <c r="AH27" i="1"/>
  <c r="AH28" i="1"/>
  <c r="AK272" i="1" l="1"/>
  <c r="AI272" i="1"/>
  <c r="AI214" i="1"/>
  <c r="AK250" i="1"/>
  <c r="AL248" i="1" s="1"/>
  <c r="AJ8" i="1"/>
  <c r="AJ248" i="1"/>
  <c r="AI261" i="1"/>
  <c r="AI226" i="1"/>
  <c r="AK96" i="1"/>
  <c r="AL92" i="1" s="1"/>
  <c r="AI229" i="1"/>
  <c r="AI52" i="1"/>
  <c r="AI222" i="1"/>
  <c r="AK48" i="1"/>
  <c r="AI115" i="1"/>
  <c r="AJ92" i="1" s="1"/>
  <c r="AK32" i="1"/>
  <c r="AI284" i="1"/>
  <c r="AJ277" i="1" s="1"/>
  <c r="AK46" i="1"/>
  <c r="AK42" i="1"/>
  <c r="AK38" i="1"/>
  <c r="AI217" i="1"/>
  <c r="AI221" i="1"/>
  <c r="AI32" i="1"/>
  <c r="AJ327" i="1"/>
  <c r="AK44" i="1"/>
  <c r="AK36" i="1"/>
  <c r="AH53" i="1"/>
  <c r="AH52" i="1"/>
  <c r="AL8" i="1" s="1"/>
  <c r="AI219" i="1"/>
  <c r="AI236" i="1"/>
  <c r="AI228" i="1"/>
  <c r="AK34" i="1"/>
  <c r="AI133" i="1"/>
  <c r="AJ130" i="1" s="1"/>
  <c r="AK53" i="1"/>
  <c r="AK27" i="1"/>
  <c r="AK40" i="1"/>
  <c r="AK52" i="1"/>
  <c r="AK284" i="1"/>
  <c r="AL277" i="1" s="1"/>
  <c r="AK273" i="1"/>
  <c r="AI267" i="1"/>
  <c r="AJ226" i="1" l="1"/>
  <c r="AJ208" i="1"/>
  <c r="AL260" i="1"/>
  <c r="AJ260" i="1"/>
  <c r="AJ22" i="1"/>
  <c r="AJ145" i="1"/>
  <c r="AL22" i="1"/>
  <c r="A386" i="1" l="1"/>
  <c r="AL6" i="1" s="1"/>
  <c r="A364" i="1"/>
  <c r="AJ6" i="1" s="1"/>
  <c r="M364" i="1" l="1"/>
</calcChain>
</file>

<file path=xl/sharedStrings.xml><?xml version="1.0" encoding="utf-8"?>
<sst xmlns="http://schemas.openxmlformats.org/spreadsheetml/2006/main" count="2516" uniqueCount="1139">
  <si>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</si>
  <si>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</si>
  <si>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</si>
  <si>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</si>
  <si>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</si>
  <si>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</si>
  <si>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</si>
  <si>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</si>
  <si>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</si>
  <si>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</si>
  <si>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</si>
  <si>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</si>
  <si>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</si>
  <si>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</si>
  <si>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</si>
  <si>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</si>
  <si>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</si>
  <si>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</si>
  <si>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</si>
  <si>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</si>
  <si>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</si>
  <si>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</si>
  <si>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</si>
  <si>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</si>
  <si>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</si>
  <si>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</si>
  <si>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</si>
  <si>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</si>
  <si>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</si>
  <si>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</si>
  <si>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</si>
  <si>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</si>
  <si>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</si>
  <si>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</si>
  <si>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</si>
  <si>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</si>
  <si>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</si>
  <si>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</si>
  <si>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</si>
  <si>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</si>
  <si>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</si>
  <si>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</si>
  <si>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</si>
  <si>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</si>
  <si>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</si>
  <si>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</si>
  <si>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</si>
  <si>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</si>
  <si>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</si>
  <si>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</si>
  <si>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</si>
  <si>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</si>
  <si>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</si>
  <si>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</si>
  <si>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</si>
  <si>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</si>
  <si>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</si>
  <si>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</si>
  <si>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</si>
  <si>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</si>
  <si>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</si>
  <si>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</si>
  <si>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</si>
  <si>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</si>
  <si>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</si>
  <si>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</si>
  <si>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</si>
  <si>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</si>
  <si>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</si>
  <si>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</si>
  <si>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</si>
  <si>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</si>
  <si>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</si>
  <si>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</si>
  <si>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</si>
  <si>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</si>
  <si>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</si>
  <si>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</si>
  <si>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</si>
  <si>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</si>
  <si>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</si>
  <si>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</si>
  <si>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</si>
  <si>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</si>
  <si>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</si>
  <si>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</si>
  <si>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</si>
  <si>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</si>
  <si>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</si>
  <si>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</si>
  <si>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</si>
  <si>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</si>
  <si>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</si>
  <si>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</si>
  <si>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</si>
  <si>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</si>
  <si>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</si>
  <si>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</si>
  <si>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</si>
  <si>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</si>
  <si>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</si>
  <si>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</si>
  <si>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</si>
  <si>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</si>
  <si>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</si>
  <si>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</si>
  <si>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</si>
  <si>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</si>
  <si>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</si>
  <si>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</si>
  <si>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</si>
  <si>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</si>
  <si>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</si>
  <si>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</si>
  <si>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</si>
  <si>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</si>
  <si>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</si>
  <si>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</si>
  <si>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</si>
  <si>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</si>
  <si>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</si>
  <si>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</si>
  <si>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</si>
  <si>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</si>
  <si>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</si>
  <si>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</si>
  <si>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</si>
  <si>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</si>
  <si>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</si>
  <si>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</si>
  <si>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</si>
  <si>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</si>
  <si>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</si>
  <si>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</si>
  <si>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</si>
  <si>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</si>
  <si>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</si>
  <si>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</si>
  <si>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</si>
  <si>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</si>
  <si>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</si>
  <si>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</si>
  <si>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</si>
  <si>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</si>
  <si>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</si>
  <si>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</si>
  <si>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</si>
  <si>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</si>
  <si>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</si>
  <si>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</si>
  <si>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</si>
  <si>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</si>
  <si>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</si>
  <si>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</si>
  <si>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</si>
  <si>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</si>
  <si>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</si>
  <si>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</si>
  <si>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</si>
  <si>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</si>
  <si>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</si>
  <si>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</si>
  <si>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</si>
  <si>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</si>
  <si>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</si>
  <si>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</si>
  <si>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</si>
  <si>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</si>
  <si>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</si>
  <si>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</si>
  <si>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</si>
  <si>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</si>
  <si>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</si>
  <si>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</si>
  <si>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</si>
  <si>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</si>
  <si>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</si>
  <si>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</si>
  <si>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</si>
  <si>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</si>
  <si>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</si>
  <si>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</si>
  <si>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</si>
  <si>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</si>
  <si>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</si>
  <si>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</si>
  <si>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</si>
  <si>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</si>
  <si>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</si>
  <si>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</si>
  <si>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</si>
  <si>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</si>
  <si>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</si>
  <si>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</si>
  <si>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</si>
  <si>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</si>
  <si>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</si>
  <si>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</si>
  <si>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</si>
  <si>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</si>
  <si>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</si>
  <si>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</si>
  <si>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</si>
  <si>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</si>
  <si>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</si>
  <si>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</si>
  <si>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</si>
  <si>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</si>
  <si>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</si>
  <si>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</si>
  <si>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</si>
  <si>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</si>
  <si>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</si>
  <si>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</si>
  <si>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</si>
  <si>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</si>
  <si>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</si>
  <si>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</si>
  <si>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</si>
  <si>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</si>
  <si>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</si>
  <si>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</si>
  <si>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</si>
  <si>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</si>
  <si>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</si>
  <si>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</si>
  <si>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</si>
  <si>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</si>
  <si>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</si>
  <si>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</si>
  <si>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</si>
  <si>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</si>
  <si>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</si>
  <si>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</si>
  <si>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</si>
  <si>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</si>
  <si>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</si>
  <si>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</si>
  <si>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</si>
  <si>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</si>
  <si>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</si>
  <si>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</si>
  <si>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</si>
  <si>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</si>
  <si>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</si>
  <si>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</si>
  <si>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</si>
  <si>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</si>
  <si>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</si>
  <si>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</si>
  <si>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</si>
  <si>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</si>
  <si>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</si>
  <si>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</si>
  <si>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</si>
  <si>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</si>
  <si>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</si>
  <si>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</si>
  <si>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</si>
  <si>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</si>
  <si>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</si>
  <si>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</si>
  <si>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</si>
  <si>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</si>
  <si>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</si>
  <si>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</si>
  <si>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</si>
  <si>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</si>
  <si>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</si>
  <si>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</si>
  <si>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</si>
  <si>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</si>
  <si>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</si>
  <si>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</si>
  <si>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</si>
  <si>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</si>
  <si>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</si>
  <si>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</si>
  <si>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</si>
  <si>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</si>
  <si>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</si>
  <si>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</si>
  <si>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</si>
  <si>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</si>
  <si>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</si>
  <si>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</si>
  <si>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</si>
  <si>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</si>
  <si>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</si>
  <si>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</si>
  <si>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</si>
  <si>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</si>
  <si>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</si>
  <si>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</si>
  <si>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</si>
  <si>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</si>
  <si>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</si>
  <si>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</si>
  <si>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</si>
  <si>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</si>
  <si>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</si>
  <si>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</si>
  <si>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</si>
  <si>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</si>
  <si>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</si>
  <si>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</si>
  <si>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</si>
  <si>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</si>
  <si>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</si>
  <si>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</si>
  <si>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</si>
  <si>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</si>
  <si>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</si>
  <si>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</si>
  <si>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</si>
  <si>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</si>
  <si>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</si>
  <si>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</si>
  <si>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</si>
  <si>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</si>
  <si>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</si>
  <si>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</si>
  <si>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</si>
  <si>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</si>
  <si>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</si>
  <si>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</si>
  <si>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</si>
  <si>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</si>
  <si>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</si>
  <si>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</si>
  <si>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</si>
  <si>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</si>
  <si>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</si>
  <si>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</si>
  <si>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</si>
  <si>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</si>
  <si>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</si>
  <si>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</si>
  <si>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</si>
  <si>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</si>
  <si>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</si>
  <si>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</si>
  <si>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</si>
  <si>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</si>
  <si>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</si>
  <si>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</si>
  <si>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</si>
  <si>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</si>
  <si>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</si>
  <si>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</si>
  <si>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</si>
  <si>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</si>
  <si>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</si>
  <si>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</si>
  <si>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</si>
  <si>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</si>
  <si>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</si>
  <si>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</si>
  <si>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</si>
  <si>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</si>
  <si>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</si>
  <si>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</si>
  <si>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</si>
  <si>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</si>
  <si>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</si>
  <si>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</si>
  <si>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</si>
  <si>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</si>
  <si>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</si>
  <si>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</si>
  <si>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</si>
  <si>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</si>
  <si>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</si>
  <si>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</si>
  <si>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</si>
  <si>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</si>
  <si>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</si>
  <si>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</si>
  <si>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</si>
  <si>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</si>
  <si>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</si>
  <si>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</si>
  <si>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</si>
  <si>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</si>
  <si>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</si>
  <si>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</si>
  <si>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</si>
  <si>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</si>
  <si>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</si>
  <si>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</si>
  <si>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</si>
  <si>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</si>
  <si>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</si>
  <si>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</si>
  <si>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</si>
  <si>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</si>
  <si>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</si>
  <si>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</si>
  <si>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</si>
  <si>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</si>
  <si>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</si>
  <si>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</si>
  <si>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</si>
  <si>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</si>
  <si>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</si>
  <si>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</si>
  <si>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</si>
  <si>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</si>
  <si>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</si>
  <si>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</si>
  <si>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</si>
  <si>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</si>
  <si>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</si>
  <si>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</si>
  <si>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</si>
  <si>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</si>
  <si>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</si>
  <si>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</si>
  <si>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</si>
  <si>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</si>
  <si>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</si>
  <si>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</si>
  <si>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</si>
  <si>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</si>
  <si>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</si>
  <si>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</si>
  <si>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</si>
  <si>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</si>
  <si>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</si>
  <si>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</si>
  <si>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</si>
  <si>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</si>
  <si>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</si>
  <si>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</si>
  <si>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</si>
  <si>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</si>
  <si>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</si>
  <si>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</si>
  <si>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</si>
  <si>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</si>
  <si>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</si>
  <si>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</si>
  <si>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</si>
  <si>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</si>
  <si>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</si>
  <si>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</si>
  <si>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</si>
  <si>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</si>
  <si>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</si>
  <si>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</si>
  <si>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</si>
  <si>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</si>
  <si>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</si>
  <si>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</si>
  <si>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</si>
  <si>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</si>
  <si>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</si>
  <si>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</si>
  <si>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</si>
  <si>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</si>
  <si>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</si>
  <si>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</si>
  <si>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</si>
  <si>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</si>
  <si>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</si>
  <si>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</si>
  <si>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</si>
  <si>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</si>
  <si>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</si>
  <si>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</si>
  <si>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</si>
  <si>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</si>
  <si>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</si>
  <si>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</si>
  <si>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</si>
  <si>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</si>
  <si>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</si>
  <si>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</si>
  <si>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</si>
  <si>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</si>
  <si>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</si>
  <si>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</si>
  <si>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</si>
  <si>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</si>
  <si>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</si>
  <si>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</si>
  <si>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</si>
  <si>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</si>
  <si>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</si>
  <si>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</si>
  <si>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</si>
  <si>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</si>
  <si>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</si>
  <si>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</si>
  <si>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</si>
  <si>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</si>
  <si>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</si>
  <si>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</si>
  <si>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</si>
  <si>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</si>
  <si>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</si>
  <si>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</si>
  <si>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</si>
  <si>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</si>
  <si>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</si>
  <si>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</si>
  <si>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</si>
  <si>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</si>
  <si>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</si>
  <si>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</si>
  <si>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</si>
  <si>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</si>
  <si>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</si>
  <si>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</si>
  <si>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</si>
  <si>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</si>
  <si>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</si>
  <si>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</si>
  <si>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</si>
  <si>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</si>
  <si>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</si>
  <si>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</si>
  <si>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</si>
  <si>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</si>
  <si>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</si>
  <si>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</si>
  <si>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</si>
  <si>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</si>
  <si>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</si>
  <si>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</si>
  <si>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</si>
  <si>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</si>
  <si>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</si>
  <si>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</si>
  <si>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</si>
  <si>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</si>
  <si>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</si>
  <si>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</si>
  <si>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</si>
  <si>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</si>
  <si>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</si>
  <si>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</si>
  <si>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</si>
  <si>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</si>
  <si>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</si>
  <si>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</si>
  <si>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</si>
  <si>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</si>
  <si>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</si>
  <si>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</si>
  <si>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</si>
  <si>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</si>
  <si>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</si>
  <si>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</si>
  <si>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</si>
  <si>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</si>
  <si>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</si>
  <si>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</si>
  <si>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</si>
  <si>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</si>
  <si>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</si>
  <si>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</si>
  <si>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</si>
  <si>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</si>
  <si>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</si>
  <si>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</si>
  <si>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</si>
  <si>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</si>
  <si>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</si>
  <si>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</si>
  <si>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</si>
  <si>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</si>
  <si>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</si>
  <si>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</si>
  <si>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</si>
  <si>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</si>
  <si>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</si>
  <si>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</si>
  <si>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</si>
  <si>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</si>
  <si>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</si>
  <si>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</si>
  <si>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</si>
  <si>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</si>
  <si>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</si>
  <si>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</si>
  <si>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</si>
  <si>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</si>
  <si>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</si>
  <si>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</si>
  <si>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</si>
  <si>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</si>
  <si>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</si>
  <si>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</si>
  <si>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</si>
  <si>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</si>
  <si>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</si>
  <si>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</si>
  <si>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</si>
  <si>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</si>
  <si>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</si>
  <si>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</si>
  <si>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</si>
  <si>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</si>
  <si>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</si>
  <si>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</si>
  <si>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</si>
  <si>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</si>
  <si>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</si>
  <si>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</si>
  <si>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</si>
  <si>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</si>
  <si>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</si>
  <si>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</si>
  <si>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</si>
  <si>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</si>
  <si>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</si>
  <si>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</si>
  <si>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</si>
  <si>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</si>
  <si>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</si>
  <si>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</si>
  <si>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</si>
  <si>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</si>
  <si>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</si>
  <si>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</si>
  <si>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</si>
  <si>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</si>
  <si>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</si>
  <si>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</si>
  <si>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</si>
  <si>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</si>
  <si>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</si>
  <si>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</si>
  <si>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</si>
  <si>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</si>
  <si>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</si>
  <si>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</si>
  <si>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</si>
  <si>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</si>
  <si>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</si>
  <si>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</si>
  <si>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</si>
  <si>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</si>
  <si>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</si>
  <si>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</si>
  <si>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</si>
  <si>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</si>
  <si>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</si>
  <si>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</si>
  <si>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</si>
  <si>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</si>
  <si>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</si>
  <si>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</si>
  <si>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</si>
  <si>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</si>
  <si>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</si>
  <si>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</si>
  <si>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</si>
  <si>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</si>
  <si>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</si>
  <si>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</si>
  <si>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</si>
  <si>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</si>
  <si>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</si>
  <si>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</si>
  <si>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</si>
  <si>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</si>
  <si>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</si>
  <si>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</si>
  <si>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</si>
  <si>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</si>
  <si>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</si>
  <si>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</si>
  <si>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</si>
  <si>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</si>
  <si>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</si>
  <si>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</si>
  <si>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</si>
  <si>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</si>
  <si>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</si>
  <si>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</si>
  <si>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</si>
  <si>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</si>
  <si>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</si>
  <si>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</si>
  <si>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</si>
  <si>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</si>
  <si>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</si>
  <si>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</si>
  <si>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</si>
  <si>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</si>
  <si>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</si>
  <si>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</si>
  <si>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</si>
  <si>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</si>
  <si>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</si>
  <si>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</si>
  <si>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</si>
  <si>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</si>
  <si>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</si>
  <si>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</si>
  <si>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</si>
  <si>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</si>
  <si>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</si>
  <si>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</si>
  <si>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</si>
  <si>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</si>
  <si>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</si>
  <si>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</si>
  <si>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</si>
  <si>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</si>
  <si>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</si>
  <si>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</si>
  <si>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</si>
  <si>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</si>
  <si>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</si>
  <si>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</si>
  <si>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</si>
  <si>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</si>
  <si>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</si>
  <si>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</si>
  <si>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</si>
  <si>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</si>
  <si>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</si>
  <si>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</si>
  <si>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</si>
  <si>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</si>
  <si>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</si>
  <si>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</si>
  <si>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</si>
  <si>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</si>
  <si>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</si>
  <si>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</si>
  <si>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</si>
  <si>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</si>
  <si>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</si>
  <si>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</si>
  <si>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</si>
  <si>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</si>
  <si>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</si>
  <si>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</si>
  <si>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</si>
  <si>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</si>
  <si>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</si>
  <si>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</si>
  <si>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</si>
  <si>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</si>
  <si>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</si>
  <si>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</si>
  <si>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</si>
  <si>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</si>
  <si>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</si>
  <si>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</si>
  <si>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</si>
  <si>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</si>
  <si>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</si>
  <si>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</si>
  <si>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</si>
  <si>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</si>
  <si>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</si>
  <si>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</si>
  <si>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</si>
  <si>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</si>
  <si>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</si>
  <si>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</si>
  <si>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</si>
  <si>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</si>
  <si>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</si>
  <si>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</si>
  <si>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</si>
  <si>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</si>
  <si>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</si>
  <si>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</si>
  <si>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</si>
  <si>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</si>
  <si>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</si>
  <si>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</si>
  <si>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</si>
  <si>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</si>
  <si>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</si>
  <si>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</si>
  <si>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</si>
  <si>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</si>
  <si>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</si>
  <si>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</si>
  <si>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</si>
  <si>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</si>
  <si>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</si>
  <si>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</si>
  <si>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</si>
  <si>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</si>
  <si>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</si>
  <si>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</si>
  <si>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</si>
  <si>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</si>
  <si>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</si>
  <si>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</si>
  <si>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</si>
  <si>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</si>
  <si>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</si>
  <si>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</si>
  <si>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</si>
  <si>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</si>
  <si>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</si>
  <si>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</si>
  <si>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</si>
  <si>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</si>
  <si>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</si>
  <si>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</si>
  <si>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</si>
  <si>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</si>
  <si>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</si>
  <si>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</si>
  <si>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</si>
  <si>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</si>
  <si>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</si>
  <si>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</si>
  <si>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</si>
  <si>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</si>
  <si>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</si>
  <si>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</si>
  <si>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</si>
  <si>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</si>
  <si>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</si>
  <si>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</si>
  <si>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</si>
  <si>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</si>
  <si>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</si>
  <si>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</si>
  <si>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</si>
  <si>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</si>
  <si>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</si>
  <si>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</si>
  <si>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</si>
  <si>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</si>
  <si>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</si>
  <si>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</si>
  <si>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</si>
  <si>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</si>
  <si>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</si>
  <si>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</si>
  <si>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</si>
  <si>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</si>
  <si>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</si>
  <si>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</si>
  <si>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</si>
  <si>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</si>
  <si>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</si>
  <si>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</si>
  <si>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</si>
  <si>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</si>
  <si>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</si>
  <si>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</si>
  <si>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</si>
  <si>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</si>
  <si>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</si>
  <si>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</si>
  <si>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</si>
  <si>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</si>
  <si>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</si>
  <si>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</si>
  <si>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</si>
  <si>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</si>
  <si>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</si>
  <si>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</si>
  <si>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</si>
  <si>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</si>
  <si>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</si>
  <si>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</si>
  <si>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</si>
  <si>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</si>
  <si>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</si>
  <si>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</si>
  <si>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</si>
  <si>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</si>
  <si>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</si>
  <si>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</si>
  <si>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</si>
  <si>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</si>
  <si>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</si>
  <si>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</si>
  <si>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</si>
  <si>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</si>
  <si>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</si>
  <si>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</si>
  <si>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</si>
  <si>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</si>
  <si>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</si>
  <si>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</si>
  <si>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</si>
  <si>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</si>
  <si>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</si>
  <si>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</si>
  <si>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</si>
  <si>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</si>
  <si>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</si>
  <si>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</si>
  <si>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</si>
  <si>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</si>
  <si>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</si>
  <si>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</si>
  <si>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</si>
  <si>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</si>
  <si>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</si>
  <si>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</si>
  <si>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</si>
  <si>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</si>
  <si>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</si>
  <si>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</si>
  <si>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</si>
  <si>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</si>
  <si>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</si>
  <si>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</si>
  <si>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</si>
  <si>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</si>
  <si>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</si>
  <si>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</si>
  <si>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</si>
  <si>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</si>
  <si>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</si>
  <si>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</si>
  <si>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</si>
  <si>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</si>
  <si>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</si>
  <si>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</si>
  <si>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</si>
  <si>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</si>
  <si>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</si>
  <si>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</si>
  <si>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</si>
  <si>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</si>
  <si>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</si>
  <si>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</si>
  <si>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</si>
  <si>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</si>
  <si>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</si>
  <si>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</si>
  <si>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</si>
  <si>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</si>
  <si>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</si>
  <si>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</si>
  <si>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</si>
  <si>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</si>
  <si>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</si>
  <si>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</si>
  <si>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</si>
  <si>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</si>
  <si>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</si>
  <si>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</si>
  <si>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</si>
  <si>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</si>
  <si>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</si>
  <si>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</si>
  <si>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</si>
  <si>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</si>
  <si>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</si>
  <si>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</si>
  <si>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</si>
  <si>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</si>
  <si>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</si>
  <si>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</si>
  <si>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</si>
  <si>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</si>
  <si>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</si>
  <si>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</si>
  <si>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</si>
  <si>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</si>
  <si>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</si>
  <si>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</si>
  <si>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</si>
  <si>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</si>
  <si>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</si>
  <si>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</si>
  <si>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</si>
  <si>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</si>
  <si>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</si>
  <si>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</si>
  <si>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</si>
  <si>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</si>
  <si>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</si>
  <si>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</si>
  <si>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</si>
  <si>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</si>
  <si>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</si>
  <si>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</si>
  <si>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</si>
  <si>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</si>
  <si>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</si>
  <si>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</si>
  <si>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</si>
  <si>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</si>
  <si>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</si>
  <si>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</si>
  <si>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</si>
  <si>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</si>
  <si>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</si>
  <si>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</si>
  <si>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</si>
  <si>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</si>
  <si>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</si>
  <si>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</si>
  <si>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</si>
  <si>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</si>
  <si>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</si>
  <si>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</si>
  <si>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</si>
  <si>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</si>
  <si>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</si>
  <si>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</si>
  <si>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</si>
  <si>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</si>
  <si>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</si>
  <si>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</si>
  <si>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</si>
  <si>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</si>
  <si>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</si>
  <si>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</si>
  <si>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</si>
  <si>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</si>
  <si>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</si>
  <si>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</si>
  <si>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</si>
  <si>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</si>
  <si>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</si>
  <si>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</si>
  <si>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</si>
  <si>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</si>
  <si>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</si>
  <si>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</si>
  <si>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Form 1A  version 5.0.0</t>
  </si>
  <si>
    <t>Index clients offered safe index testing services</t>
  </si>
  <si>
    <t>Index accepted safe index testing services</t>
  </si>
  <si>
    <t>PREP_CT</t>
  </si>
  <si>
    <t>F02-058</t>
  </si>
  <si>
    <t>50-54</t>
  </si>
  <si>
    <t>55-59</t>
  </si>
  <si>
    <t>60+</t>
  </si>
  <si>
    <t>1.12 HTS_RECENT</t>
  </si>
  <si>
    <t>Recent</t>
  </si>
  <si>
    <t>Long-Term</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</si>
  <si>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</si>
  <si>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</si>
  <si>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</si>
  <si>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</si>
  <si>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</si>
  <si>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</si>
  <si>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</si>
  <si>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</si>
  <si>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</si>
  <si>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</si>
  <si>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</si>
  <si>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</si>
  <si>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</si>
  <si>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</si>
  <si>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</si>
  <si>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</si>
  <si>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</si>
  <si>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</si>
  <si>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</si>
  <si>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</si>
  <si>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</si>
  <si>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</si>
  <si>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</si>
  <si>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</si>
  <si>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</si>
  <si>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</si>
  <si>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</si>
  <si>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</si>
  <si>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</si>
  <si>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</si>
  <si>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</si>
  <si>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</si>
  <si>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</si>
  <si>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</si>
  <si>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</si>
  <si>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</si>
  <si>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</si>
  <si>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</si>
  <si>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</si>
  <si>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</si>
  <si>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</si>
  <si>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</si>
  <si>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</si>
  <si>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</si>
  <si>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</si>
  <si>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</si>
  <si>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</si>
  <si>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</si>
  <si>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</si>
  <si>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</si>
  <si>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</si>
  <si>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</si>
  <si>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</si>
  <si>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</si>
  <si>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</si>
  <si>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</si>
  <si>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</si>
  <si>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</si>
  <si>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</si>
  <si>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</si>
  <si>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</si>
  <si>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</si>
  <si>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</si>
  <si>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</si>
  <si>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</si>
  <si>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</si>
  <si>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</si>
  <si>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</si>
  <si>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</si>
  <si>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</si>
  <si>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</si>
  <si>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</si>
  <si>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</si>
  <si>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</si>
  <si>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</si>
  <si>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</si>
  <si>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</si>
  <si>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</si>
  <si>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</si>
  <si>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</si>
  <si>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</si>
  <si>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</si>
  <si>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</si>
  <si>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</si>
  <si>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</si>
  <si>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</si>
  <si>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</si>
  <si>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</si>
  <si>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</si>
  <si>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</si>
  <si>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</si>
  <si>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</si>
  <si>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</si>
  <si>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r>
      <t xml:space="preserve">Clients that return for a followup visit or re-initiation to receive Prep during the quarter ( </t>
    </r>
    <r>
      <rPr>
        <b/>
        <sz val="20"/>
        <color rgb="FFFF0000"/>
        <rFont val="Calibri"/>
        <family val="2"/>
        <scheme val="minor"/>
      </rPr>
      <t>excluding those newly enrolled on prep within the quarter</t>
    </r>
    <r>
      <rPr>
        <sz val="20"/>
        <color rgb="FFFF0000"/>
        <rFont val="Calibri"/>
        <family val="2"/>
        <scheme val="minor"/>
      </rPr>
      <t xml:space="preserve"> )
</t>
    </r>
    <r>
      <rPr>
        <sz val="20"/>
        <color rgb="FF7030A0"/>
        <rFont val="Calibri"/>
        <family val="2"/>
        <scheme val="minor"/>
      </rPr>
      <t>Note: a client cannot be reported on both prep_new and prep_ct within the same quarter</t>
    </r>
  </si>
  <si>
    <t>Clients that return for a followup visit or re-initiation to receive Prep during the quarter ( excluding those newly enrolled on prep within the quarter )</t>
  </si>
  <si>
    <t>Prep_CT test result</t>
  </si>
  <si>
    <t>Tested for HIV while on PrEP_CT</t>
  </si>
  <si>
    <t>Tested HIV Positive while on PrEP_CT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</si>
</sst>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i/>
      <sz val="22"/>
      <color rgb="FFFF0000"/>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9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style="thin">
        <color theme="2" tint="-0.249977111117893"/>
      </left>
      <right/>
      <top/>
      <bottom style="medium">
        <color theme="9"/>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right style="thin">
        <color theme="2" tint="-0.249977111117893"/>
      </right>
      <top/>
      <bottom style="medium">
        <color theme="9"/>
      </bottom>
      <diagonal/>
    </border>
    <border>
      <left style="medium">
        <color theme="9"/>
      </left>
      <right style="thin">
        <color theme="9"/>
      </right>
      <top/>
      <bottom style="medium">
        <color theme="9"/>
      </bottom>
      <diagonal/>
    </border>
    <border>
      <left style="thin">
        <color theme="9"/>
      </left>
      <right style="medium">
        <color theme="9"/>
      </right>
      <top/>
      <bottom style="medium">
        <color theme="9"/>
      </bottom>
      <diagonal/>
    </border>
    <border>
      <left style="thin">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style="medium">
        <color theme="9"/>
      </right>
      <top style="thin">
        <color theme="9"/>
      </top>
      <bottom style="thin">
        <color theme="2" tint="-0.249977111117893"/>
      </bottom>
      <diagonal/>
    </border>
    <border>
      <left style="thin">
        <color indexed="64"/>
      </left>
      <right style="medium">
        <color theme="9"/>
      </right>
      <top style="medium">
        <color theme="9"/>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911">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60" xfId="0" applyFont="1" applyFill="1" applyBorder="1" applyAlignment="1">
      <alignment horizontal="center" vertical="center"/>
    </xf>
    <xf numFmtId="0" fontId="7" fillId="4" borderId="141" xfId="0" applyFont="1" applyFill="1" applyBorder="1" applyAlignment="1" applyProtection="1">
      <alignment horizontal="center" vertical="center"/>
    </xf>
    <xf numFmtId="0" fontId="7" fillId="4" borderId="163" xfId="0" applyFont="1" applyFill="1" applyBorder="1" applyAlignment="1" applyProtection="1">
      <alignment horizontal="center" vertical="center"/>
    </xf>
    <xf numFmtId="0" fontId="7" fillId="5" borderId="155" xfId="0" applyFont="1" applyFill="1" applyBorder="1" applyAlignment="1" applyProtection="1">
      <alignment horizontal="center" vertical="center"/>
      <protection locked="0"/>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5" xfId="0" applyFont="1" applyFill="1" applyBorder="1" applyAlignment="1" applyProtection="1">
      <alignment horizontal="center" vertical="center"/>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30"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5" borderId="166" xfId="0" applyFont="1" applyFill="1" applyBorder="1" applyAlignment="1" applyProtection="1">
      <alignment horizontal="center" vertical="center"/>
      <protection locked="0"/>
    </xf>
    <xf numFmtId="0" fontId="7" fillId="5" borderId="167" xfId="0" applyFont="1" applyFill="1" applyBorder="1" applyAlignment="1" applyProtection="1">
      <alignment horizontal="center" vertical="center"/>
      <protection locked="0"/>
    </xf>
    <xf numFmtId="0" fontId="7" fillId="5" borderId="168" xfId="0" applyFont="1" applyFill="1" applyBorder="1" applyAlignment="1" applyProtection="1">
      <alignment horizontal="center" vertical="center"/>
      <protection locked="0"/>
    </xf>
    <xf numFmtId="0" fontId="7" fillId="4" borderId="16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4" borderId="162" xfId="0" applyFont="1" applyFill="1" applyBorder="1" applyAlignment="1" applyProtection="1">
      <alignment horizontal="center" vertical="center"/>
    </xf>
    <xf numFmtId="0" fontId="7" fillId="5" borderId="154" xfId="0" applyFont="1" applyFill="1" applyBorder="1" applyAlignment="1" applyProtection="1">
      <alignment horizontal="center" vertical="center"/>
      <protection locked="0"/>
    </xf>
    <xf numFmtId="0" fontId="7" fillId="5" borderId="138"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40" xfId="0" applyFont="1" applyFill="1" applyBorder="1" applyAlignment="1" applyProtection="1">
      <alignment horizontal="center" vertical="center"/>
    </xf>
    <xf numFmtId="0" fontId="7" fillId="4" borderId="142" xfId="0" applyFont="1" applyFill="1" applyBorder="1" applyAlignment="1" applyProtection="1">
      <alignment horizontal="center" vertical="center"/>
    </xf>
    <xf numFmtId="0" fontId="8" fillId="0" borderId="131" xfId="0" applyFont="1" applyBorder="1" applyAlignment="1" applyProtection="1">
      <alignment horizontal="center" vertical="center"/>
      <protection locked="0"/>
    </xf>
    <xf numFmtId="0" fontId="16" fillId="4" borderId="50" xfId="0" applyFont="1" applyFill="1" applyBorder="1" applyAlignment="1">
      <alignment horizontal="center" vertical="center"/>
    </xf>
    <xf numFmtId="0" fontId="7" fillId="4" borderId="135"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0" fontId="7" fillId="4" borderId="136"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16" fillId="4" borderId="61" xfId="0" applyFont="1" applyFill="1" applyBorder="1" applyAlignment="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7" fillId="4" borderId="139" xfId="0" applyFont="1" applyFill="1" applyBorder="1" applyAlignment="1" applyProtection="1">
      <alignment horizontal="center" vertical="center"/>
    </xf>
    <xf numFmtId="0" fontId="8" fillId="6" borderId="131"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0" fontId="16" fillId="4" borderId="60" xfId="0" applyFont="1" applyFill="1" applyBorder="1" applyAlignment="1">
      <alignment horizontal="center" vertical="center"/>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7" fillId="4" borderId="134"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0" fontId="7" fillId="4" borderId="11"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24" xfId="0" applyFont="1" applyFill="1" applyBorder="1" applyAlignment="1">
      <alignment horizontal="center" vertical="center"/>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25" xfId="0" applyFont="1" applyFill="1" applyBorder="1" applyAlignment="1">
      <alignment horizontal="center" vertical="center"/>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7" fillId="4" borderId="26" xfId="0" applyFont="1" applyFill="1" applyBorder="1" applyAlignment="1">
      <alignment horizontal="center" vertical="center"/>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41" xfId="0" applyFont="1" applyFill="1" applyBorder="1" applyAlignment="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4" borderId="42" xfId="0" applyFont="1" applyFill="1" applyBorder="1" applyAlignment="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18" fillId="4" borderId="24" xfId="0" applyFont="1" applyFill="1" applyBorder="1" applyAlignment="1">
      <alignment horizontal="center" vertical="center"/>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18" fillId="4" borderId="26" xfId="0" applyFont="1" applyFill="1" applyBorder="1" applyAlignment="1">
      <alignment horizontal="center" vertical="center"/>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18" fillId="4" borderId="41" xfId="0" applyFont="1" applyFill="1" applyBorder="1" applyAlignment="1">
      <alignment horizontal="center" vertical="center"/>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16" fillId="4" borderId="25" xfId="0" applyFont="1" applyFill="1" applyBorder="1" applyAlignment="1">
      <alignment horizontal="center" vertical="center"/>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3" xfId="0" applyFont="1" applyFill="1" applyBorder="1" applyAlignment="1" applyProtection="1">
      <alignment horizontal="center" vertical="center" wrapText="1"/>
      <protection locked="0"/>
    </xf>
    <xf numFmtId="0" fontId="8" fillId="5" borderId="144"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5"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9" xfId="0" applyFont="1" applyFill="1" applyBorder="1" applyAlignment="1" applyProtection="1">
      <alignment horizontal="center" vertical="center" wrapText="1"/>
      <protection locked="0"/>
    </xf>
    <xf numFmtId="0" fontId="8" fillId="5" borderId="150" xfId="0" applyFont="1" applyFill="1" applyBorder="1" applyAlignment="1" applyProtection="1">
      <alignment horizontal="center" vertical="center" wrapText="1"/>
      <protection locked="0"/>
    </xf>
    <xf numFmtId="0" fontId="7" fillId="4" borderId="61" xfId="0" applyFont="1" applyFill="1" applyBorder="1" applyAlignment="1">
      <alignment horizontal="center" vertical="center"/>
    </xf>
    <xf numFmtId="0" fontId="8" fillId="5" borderId="147" xfId="0" applyFont="1" applyFill="1" applyBorder="1" applyAlignment="1" applyProtection="1">
      <alignment horizontal="center" vertical="center" wrapText="1"/>
      <protection locked="0"/>
    </xf>
    <xf numFmtId="0" fontId="8" fillId="5" borderId="148"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4" borderId="20"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16" fillId="4" borderId="24" xfId="0" applyFont="1" applyFill="1" applyBorder="1" applyAlignment="1">
      <alignment horizontal="center" vertical="center"/>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25" fillId="6" borderId="15" xfId="2" applyFont="1" applyFill="1" applyBorder="1" applyAlignment="1" applyProtection="1">
      <alignment horizontal="center" vertical="center"/>
    </xf>
    <xf numFmtId="0" fontId="25" fillId="6" borderId="16"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27" fillId="3" borderId="26" xfId="0" applyFont="1" applyFill="1" applyBorder="1" applyAlignment="1">
      <alignment horizontal="center" vertical="center"/>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6" xfId="0" applyFont="1" applyFill="1" applyBorder="1" applyAlignment="1">
      <alignment horizontal="left" vertical="center"/>
    </xf>
    <xf numFmtId="0" fontId="9" fillId="0" borderId="0" xfId="0" applyFont="1" applyAlignment="1">
      <alignment horizontal="left" vertical="top" wrapText="1"/>
    </xf>
    <xf numFmtId="0" fontId="8" fillId="0" borderId="48" xfId="0" applyFont="1" applyBorder="1" applyAlignment="1" applyProtection="1">
      <alignment horizontal="left" vertical="center" wrapText="1"/>
      <protection locked="0"/>
    </xf>
    <xf numFmtId="0" fontId="7" fillId="0" borderId="0" xfId="0" applyFont="1" applyAlignment="1">
      <alignment horizontal="center"/>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5" fillId="0" borderId="0" xfId="0" applyFont="1" applyAlignment="1">
      <alignment horizontal="center"/>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5"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6"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6"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8"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8"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8"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8"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8"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8"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80" xfId="0" applyFont="1" applyFill="1" applyBorder="1" applyAlignment="1" applyProtection="1">
      <alignment horizontal="center" vertical="center" wrapText="1"/>
      <protection locked="0"/>
    </xf>
    <xf numFmtId="0" fontId="8" fillId="5" borderId="181"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46" xfId="2"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8"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80" xfId="1" applyNumberFormat="1" applyFont="1" applyFill="1" applyBorder="1" applyAlignment="1">
      <alignment horizontal="center" vertical="center"/>
    </xf>
    <xf numFmtId="49" fontId="18" fillId="4" borderId="131"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5"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8" fillId="6" borderId="177"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5"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5" xfId="0" applyFont="1" applyFill="1" applyBorder="1" applyAlignment="1" applyProtection="1">
      <alignment horizontal="center" vertical="center"/>
      <protection locked="0"/>
    </xf>
    <xf numFmtId="0" fontId="8" fillId="5" borderId="186" xfId="0" applyFont="1" applyFill="1" applyBorder="1" applyAlignment="1" applyProtection="1">
      <alignment horizontal="center" vertical="center" wrapText="1"/>
      <protection locked="0"/>
    </xf>
    <xf numFmtId="0" fontId="8" fillId="5" borderId="187" xfId="0" applyFont="1" applyFill="1" applyBorder="1" applyAlignment="1" applyProtection="1">
      <alignment horizontal="center" vertical="center" wrapText="1"/>
      <protection locked="0"/>
    </xf>
    <xf numFmtId="0" fontId="8" fillId="6" borderId="146"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5"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16" fillId="0" borderId="23" xfId="0" applyFont="1" applyBorder="1" applyAlignment="1">
      <alignment horizontal="left" vertical="center" wrapText="1"/>
    </xf>
    <xf numFmtId="0" fontId="16" fillId="4" borderId="57" xfId="0" applyFont="1" applyFill="1" applyBorder="1" applyAlignment="1">
      <alignment horizontal="center" vertical="center"/>
    </xf>
    <xf numFmtId="0" fontId="16" fillId="4" borderId="58" xfId="0" applyFont="1" applyFill="1" applyBorder="1" applyAlignment="1">
      <alignment horizontal="center" vertical="center"/>
    </xf>
    <xf numFmtId="0" fontId="16" fillId="4" borderId="59" xfId="0" applyFont="1" applyFill="1" applyBorder="1" applyAlignment="1">
      <alignment horizontal="center" vertical="center"/>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8" fillId="6" borderId="11"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25" fillId="6" borderId="74" xfId="2" applyFont="1" applyFill="1" applyBorder="1" applyAlignment="1" applyProtection="1">
      <alignment horizontal="center" vertical="center"/>
    </xf>
    <xf numFmtId="0" fontId="8" fillId="6" borderId="91" xfId="0" applyFont="1" applyFill="1" applyBorder="1" applyAlignment="1">
      <alignment horizontal="center" vertical="center"/>
    </xf>
    <xf numFmtId="0" fontId="8" fillId="6" borderId="93" xfId="0" applyFont="1" applyFill="1" applyBorder="1" applyAlignment="1">
      <alignment horizontal="center" vertical="center"/>
    </xf>
    <xf numFmtId="0" fontId="8" fillId="6" borderId="94" xfId="0" applyFont="1" applyFill="1" applyBorder="1" applyAlignment="1">
      <alignment horizontal="center" vertical="center"/>
    </xf>
    <xf numFmtId="0" fontId="8" fillId="6" borderId="95" xfId="0" applyFont="1" applyFill="1" applyBorder="1" applyAlignment="1">
      <alignment horizontal="center" vertical="center"/>
    </xf>
    <xf numFmtId="0" fontId="8" fillId="6" borderId="96" xfId="0" applyFont="1" applyFill="1" applyBorder="1" applyAlignment="1">
      <alignment horizontal="center" vertical="center"/>
    </xf>
    <xf numFmtId="0" fontId="8" fillId="6" borderId="98" xfId="0" applyFont="1" applyFill="1" applyBorder="1" applyAlignment="1">
      <alignment horizontal="center" vertical="center"/>
    </xf>
    <xf numFmtId="0" fontId="7" fillId="0" borderId="188" xfId="0" applyFont="1" applyBorder="1" applyAlignment="1" applyProtection="1">
      <alignment horizontal="center" vertical="center"/>
      <protection locked="0"/>
    </xf>
    <xf numFmtId="0" fontId="7" fillId="0" borderId="182" xfId="0" applyFont="1" applyBorder="1" applyAlignment="1" applyProtection="1">
      <alignment horizontal="center" vertical="center"/>
      <protection locked="0"/>
    </xf>
    <xf numFmtId="0" fontId="7" fillId="0" borderId="184" xfId="0" applyFont="1" applyBorder="1" applyAlignment="1" applyProtection="1">
      <alignment horizontal="center" vertical="center"/>
      <protection locked="0"/>
    </xf>
    <xf numFmtId="0" fontId="8" fillId="6" borderId="189" xfId="0" applyFont="1" applyFill="1" applyBorder="1" applyAlignment="1">
      <alignment horizontal="center" vertical="center"/>
    </xf>
    <xf numFmtId="0" fontId="8" fillId="6" borderId="190" xfId="0" applyFont="1" applyFill="1" applyBorder="1" applyAlignment="1">
      <alignment horizontal="center" vertical="center"/>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6"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0" borderId="60" xfId="0" applyFont="1" applyBorder="1" applyAlignment="1">
      <alignment vertical="top" wrapText="1"/>
    </xf>
    <xf numFmtId="0" fontId="42" fillId="0" borderId="0"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76"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12" borderId="93" xfId="0" applyFont="1" applyFill="1" applyBorder="1" applyAlignment="1"/>
    <xf numFmtId="0" fontId="38" fillId="0" borderId="103" xfId="0" applyFont="1" applyBorder="1" applyAlignment="1">
      <alignment vertical="center" wrapText="1"/>
    </xf>
    <xf numFmtId="0" fontId="38" fillId="12" borderId="76" xfId="0" applyFont="1" applyFill="1" applyBorder="1" applyAlignment="1">
      <alignment wrapText="1"/>
    </xf>
    <xf numFmtId="0" fontId="38" fillId="12" borderId="95" xfId="0" applyFont="1" applyFill="1" applyBorder="1" applyAlignment="1"/>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38" fillId="12" borderId="98" xfId="0" applyFont="1" applyFill="1" applyBorder="1" applyAlignment="1"/>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38" fillId="12" borderId="98" xfId="0" applyFont="1" applyFill="1" applyBorder="1" applyAlignment="1">
      <alignment vertical="center"/>
    </xf>
    <xf numFmtId="0" fontId="29" fillId="6" borderId="90" xfId="0" applyFont="1" applyFill="1" applyBorder="1" applyAlignment="1">
      <alignment horizontal="left" vertical="center" wrapText="1"/>
    </xf>
    <xf numFmtId="0" fontId="38" fillId="5" borderId="90" xfId="0" applyFont="1" applyFill="1" applyBorder="1" applyAlignment="1"/>
    <xf numFmtId="0" fontId="29" fillId="6" borderId="76" xfId="0" applyFont="1" applyFill="1" applyBorder="1" applyAlignment="1">
      <alignment horizontal="left" vertical="center" wrapText="1"/>
    </xf>
    <xf numFmtId="0" fontId="38" fillId="5" borderId="76" xfId="0" applyFont="1" applyFill="1" applyBorder="1" applyAlignment="1"/>
    <xf numFmtId="0" fontId="38" fillId="12" borderId="76" xfId="0" applyFont="1" applyFill="1" applyBorder="1" applyAlignment="1"/>
    <xf numFmtId="0" fontId="38" fillId="0" borderId="76" xfId="0" applyFont="1" applyBorder="1" applyAlignment="1">
      <alignment vertical="center" wrapText="1"/>
    </xf>
    <xf numFmtId="0" fontId="38" fillId="5" borderId="76" xfId="0" applyFont="1" applyFill="1" applyBorder="1" applyAlignment="1">
      <alignment horizontal="lef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49" fontId="29" fillId="6" borderId="76" xfId="0" applyNumberFormat="1" applyFont="1" applyFill="1" applyBorder="1" applyAlignment="1">
      <alignment horizontal="center" vertical="center"/>
    </xf>
    <xf numFmtId="0" fontId="38" fillId="12" borderId="76" xfId="0" applyFont="1" applyFill="1" applyBorder="1"/>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29" fillId="12" borderId="76" xfId="0" applyFont="1" applyFill="1" applyBorder="1" applyAlignment="1"/>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13" borderId="76" xfId="0" applyFont="1" applyFill="1" applyBorder="1" applyAlignment="1"/>
    <xf numFmtId="0" fontId="38" fillId="0" borderId="0" xfId="0" applyFont="1" applyAlignment="1"/>
    <xf numFmtId="0" fontId="38" fillId="6" borderId="76" xfId="0" applyFont="1" applyFill="1" applyBorder="1" applyAlignment="1">
      <alignment horizontal="left" vertical="center" wrapText="1"/>
    </xf>
    <xf numFmtId="0" fontId="45"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5" borderId="76" xfId="0" applyFont="1" applyFill="1" applyBorder="1" applyAlignment="1">
      <alignment horizontal="left" vertical="center"/>
    </xf>
    <xf numFmtId="0" fontId="38" fillId="0" borderId="76" xfId="0" applyFont="1" applyBorder="1" applyAlignment="1" applyProtection="1">
      <alignment horizontal="left" vertical="center" wrapText="1"/>
    </xf>
    <xf numFmtId="0" fontId="38" fillId="0" borderId="76" xfId="0" applyFont="1" applyBorder="1" applyAlignment="1" applyProtection="1">
      <alignment horizontal="center" vertical="center"/>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3" fillId="3" borderId="17" xfId="0" applyFont="1" applyFill="1" applyBorder="1" applyAlignment="1">
      <alignment vertical="center"/>
    </xf>
    <xf numFmtId="0" fontId="29" fillId="3" borderId="17" xfId="0" applyFont="1" applyFill="1" applyBorder="1" applyAlignment="1">
      <alignment vertical="center"/>
    </xf>
    <xf numFmtId="0" fontId="43" fillId="3" borderId="33" xfId="0" applyFont="1" applyFill="1" applyBorder="1" applyAlignment="1">
      <alignment vertical="center"/>
    </xf>
    <xf numFmtId="0" fontId="43" fillId="0" borderId="0" xfId="0" applyFont="1" applyFill="1" applyBorder="1" applyAlignment="1">
      <alignment vertical="center"/>
    </xf>
    <xf numFmtId="0" fontId="38" fillId="0" borderId="0" xfId="0" applyFont="1" applyFill="1" applyAlignment="1"/>
    <xf numFmtId="0" fontId="43" fillId="5" borderId="28" xfId="0" applyFont="1" applyFill="1" applyBorder="1" applyAlignment="1">
      <alignment horizontal="left" vertical="center" wrapText="1"/>
    </xf>
    <xf numFmtId="49" fontId="47"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3"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16" fillId="4" borderId="49" xfId="0" applyFont="1" applyFill="1" applyBorder="1" applyAlignment="1">
      <alignment horizontal="center" vertical="center"/>
    </xf>
    <xf numFmtId="0" fontId="38" fillId="12" borderId="191" xfId="0" applyFont="1" applyFill="1" applyBorder="1" applyAlignment="1">
      <alignment wrapText="1"/>
    </xf>
    <xf numFmtId="0" fontId="38" fillId="12" borderId="192" xfId="0" applyFont="1" applyFill="1" applyBorder="1" applyAlignment="1"/>
    <xf numFmtId="0" fontId="43" fillId="0" borderId="76" xfId="0" applyFont="1" applyFill="1" applyBorder="1" applyAlignment="1">
      <alignment horizontal="left" vertical="center"/>
    </xf>
    <xf numFmtId="0" fontId="7" fillId="4" borderId="24" xfId="0" applyFont="1" applyFill="1" applyBorder="1" applyAlignment="1">
      <alignment horizontal="center" vertical="center"/>
    </xf>
    <xf numFmtId="0" fontId="7" fillId="4" borderId="42" xfId="0" applyFont="1" applyFill="1" applyBorder="1" applyAlignment="1">
      <alignment horizontal="center" vertical="center"/>
    </xf>
    <xf numFmtId="0" fontId="7" fillId="2" borderId="23" xfId="0" applyFont="1" applyFill="1" applyBorder="1" applyAlignment="1">
      <alignment horizontal="left" vertical="top"/>
    </xf>
    <xf numFmtId="0" fontId="7" fillId="4" borderId="26" xfId="0" applyFont="1" applyFill="1" applyBorder="1" applyAlignment="1">
      <alignment horizontal="center" vertical="center"/>
    </xf>
    <xf numFmtId="0" fontId="8" fillId="6" borderId="146"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7" fillId="0" borderId="0" xfId="0" applyFont="1" applyBorder="1" applyAlignment="1" applyProtection="1">
      <alignment horizontal="center" vertical="center"/>
      <protection locked="0"/>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7" fillId="0" borderId="49" xfId="0" applyFont="1" applyBorder="1" applyAlignment="1" applyProtection="1">
      <alignment horizontal="center" vertical="center"/>
      <protection locked="0"/>
    </xf>
    <xf numFmtId="0" fontId="7" fillId="0" borderId="67" xfId="0" applyFont="1" applyBorder="1" applyAlignment="1" applyProtection="1">
      <alignment horizontal="center" vertical="center"/>
      <protection locked="0"/>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3" xfId="0" applyFont="1" applyFill="1" applyBorder="1" applyAlignment="1" applyProtection="1">
      <alignment horizontal="center" vertical="center"/>
    </xf>
    <xf numFmtId="49" fontId="8" fillId="6" borderId="44" xfId="0" applyNumberFormat="1" applyFont="1" applyFill="1" applyBorder="1" applyAlignment="1">
      <alignment horizontal="left" vertical="center" wrapText="1"/>
    </xf>
    <xf numFmtId="0" fontId="7" fillId="0" borderId="193" xfId="0" applyFont="1" applyBorder="1" applyAlignment="1">
      <alignment horizontal="left" vertical="center" wrapText="1"/>
    </xf>
    <xf numFmtId="0" fontId="7" fillId="5" borderId="39" xfId="0" applyFont="1" applyFill="1" applyBorder="1" applyAlignment="1">
      <alignment horizontal="left" vertical="top" wrapText="1"/>
    </xf>
    <xf numFmtId="0" fontId="16" fillId="0" borderId="194" xfId="0" applyFont="1" applyBorder="1" applyAlignment="1">
      <alignment horizontal="left" vertical="center" wrapText="1"/>
    </xf>
    <xf numFmtId="0" fontId="16" fillId="4" borderId="11" xfId="0" applyFont="1" applyFill="1" applyBorder="1" applyAlignment="1">
      <alignment horizontal="center" vertical="center"/>
    </xf>
    <xf numFmtId="0" fontId="16" fillId="0" borderId="44" xfId="0" applyFont="1" applyBorder="1" applyAlignment="1">
      <alignment horizontal="left" vertical="center" wrapText="1"/>
    </xf>
    <xf numFmtId="0" fontId="16" fillId="4" borderId="41" xfId="0" applyFont="1" applyFill="1" applyBorder="1" applyAlignment="1">
      <alignment horizontal="center" vertical="center"/>
    </xf>
    <xf numFmtId="0" fontId="38" fillId="0" borderId="76" xfId="0" applyFont="1" applyBorder="1" applyAlignment="1">
      <alignment horizontal="left" vertical="center" wrapText="1"/>
    </xf>
    <xf numFmtId="0" fontId="29" fillId="5" borderId="3" xfId="0" applyFont="1" applyFill="1" applyBorder="1" applyAlignment="1">
      <alignment horizontal="center"/>
    </xf>
    <xf numFmtId="0" fontId="29" fillId="5" borderId="4" xfId="0" applyFont="1" applyFill="1" applyBorder="1" applyAlignment="1">
      <alignment horizontal="center"/>
    </xf>
    <xf numFmtId="0" fontId="38" fillId="0" borderId="76" xfId="0" applyFont="1" applyBorder="1" applyAlignment="1">
      <alignment horizontal="center" vertical="center" wrapText="1"/>
    </xf>
    <xf numFmtId="0" fontId="43" fillId="3" borderId="76" xfId="0" applyFont="1" applyFill="1" applyBorder="1" applyAlignment="1">
      <alignment horizontal="left" vertical="center"/>
    </xf>
    <xf numFmtId="0" fontId="43" fillId="3" borderId="151" xfId="0" applyFont="1" applyFill="1" applyBorder="1" applyAlignment="1">
      <alignment horizontal="left" vertical="center"/>
    </xf>
    <xf numFmtId="0" fontId="43" fillId="3" borderId="152" xfId="0" applyFont="1" applyFill="1" applyBorder="1" applyAlignment="1">
      <alignment horizontal="left" vertical="center"/>
    </xf>
    <xf numFmtId="0" fontId="43" fillId="3" borderId="103" xfId="0" applyFont="1" applyFill="1" applyBorder="1" applyAlignment="1">
      <alignment horizontal="left" vertical="center"/>
    </xf>
    <xf numFmtId="0" fontId="43" fillId="5" borderId="76" xfId="0" applyFont="1" applyFill="1" applyBorder="1" applyAlignment="1">
      <alignment horizontal="left" vertical="center" wrapText="1"/>
    </xf>
    <xf numFmtId="0" fontId="29" fillId="0" borderId="76" xfId="0" applyFont="1" applyBorder="1" applyAlignment="1">
      <alignment horizontal="center" vertical="center" wrapText="1"/>
    </xf>
    <xf numFmtId="0" fontId="29"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0" fontId="29" fillId="5" borderId="76" xfId="0" applyFont="1" applyFill="1" applyBorder="1" applyAlignment="1">
      <alignment horizontal="left" vertical="center" wrapText="1"/>
    </xf>
    <xf numFmtId="0" fontId="29" fillId="0" borderId="76" xfId="0" applyFont="1" applyFill="1" applyBorder="1" applyAlignment="1">
      <alignment horizontal="left" vertical="center" wrapText="1"/>
    </xf>
    <xf numFmtId="0" fontId="38" fillId="0" borderId="91" xfId="0" applyFont="1" applyBorder="1" applyAlignment="1">
      <alignment horizontal="left" vertical="center" wrapText="1"/>
    </xf>
    <xf numFmtId="0" fontId="38" fillId="0" borderId="96" xfId="0" applyFont="1" applyBorder="1" applyAlignment="1">
      <alignment horizontal="left" vertical="center" wrapText="1"/>
    </xf>
    <xf numFmtId="0" fontId="38" fillId="0" borderId="60" xfId="0" applyFont="1" applyBorder="1" applyAlignment="1">
      <alignment horizontal="left" vertical="center" wrapText="1"/>
    </xf>
    <xf numFmtId="0" fontId="38" fillId="0" borderId="61" xfId="0" applyFont="1" applyBorder="1" applyAlignment="1">
      <alignment horizontal="left" vertical="center" wrapText="1"/>
    </xf>
    <xf numFmtId="0" fontId="7" fillId="0" borderId="24" xfId="0" applyFont="1" applyBorder="1" applyAlignment="1">
      <alignment horizontal="left" vertical="top" wrapText="1"/>
    </xf>
    <xf numFmtId="0" fontId="7" fillId="0" borderId="26" xfId="0" applyFont="1" applyBorder="1" applyAlignment="1">
      <alignment horizontal="left" vertical="top" wrapText="1"/>
    </xf>
    <xf numFmtId="0" fontId="38" fillId="5" borderId="129" xfId="0" applyFont="1" applyFill="1" applyBorder="1" applyAlignment="1">
      <alignment horizontal="center" wrapText="1"/>
    </xf>
    <xf numFmtId="0" fontId="38" fillId="5" borderId="0" xfId="0" applyFont="1" applyFill="1" applyAlignment="1">
      <alignment horizontal="center" wrapText="1"/>
    </xf>
    <xf numFmtId="0" fontId="43" fillId="3" borderId="47" xfId="0" applyFont="1" applyFill="1" applyBorder="1" applyAlignment="1">
      <alignment horizontal="left" vertical="center"/>
    </xf>
    <xf numFmtId="0" fontId="43" fillId="3" borderId="100" xfId="0" applyFont="1" applyFill="1" applyBorder="1" applyAlignment="1">
      <alignment horizontal="left" vertical="center"/>
    </xf>
    <xf numFmtId="0" fontId="43" fillId="3" borderId="101" xfId="0" applyFont="1" applyFill="1" applyBorder="1" applyAlignment="1">
      <alignment horizontal="lef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43" fillId="3" borderId="106" xfId="0" applyFont="1" applyFill="1" applyBorder="1" applyAlignment="1">
      <alignment horizontal="left" vertical="center"/>
    </xf>
    <xf numFmtId="0" fontId="38" fillId="0" borderId="57" xfId="0" applyFont="1" applyBorder="1" applyAlignment="1">
      <alignment horizontal="left" vertical="center" wrapText="1"/>
    </xf>
    <xf numFmtId="0" fontId="38" fillId="0" borderId="58" xfId="0" applyFont="1" applyBorder="1" applyAlignment="1">
      <alignment horizontal="left" vertical="center" wrapText="1"/>
    </xf>
    <xf numFmtId="0" fontId="38" fillId="0" borderId="59" xfId="0" applyFont="1" applyBorder="1" applyAlignment="1">
      <alignment horizontal="left" vertical="center" wrapText="1"/>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4" xfId="0" applyFont="1" applyBorder="1" applyAlignment="1">
      <alignment horizontal="left" vertical="top" wrapText="1"/>
    </xf>
    <xf numFmtId="0" fontId="16" fillId="0" borderId="26" xfId="0" applyFont="1" applyBorder="1" applyAlignment="1">
      <alignment horizontal="left" vertical="top" wrapText="1"/>
    </xf>
    <xf numFmtId="0" fontId="22" fillId="2" borderId="42"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10" borderId="51" xfId="0" applyFont="1" applyFill="1" applyBorder="1" applyAlignment="1">
      <alignment horizontal="center" vertical="top" wrapText="1"/>
    </xf>
    <xf numFmtId="0" fontId="7" fillId="10" borderId="80" xfId="0" applyFont="1" applyFill="1" applyBorder="1" applyAlignment="1">
      <alignment horizontal="center"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42" xfId="0" applyFont="1" applyFill="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49" fontId="18" fillId="4" borderId="12" xfId="1" applyNumberFormat="1" applyFont="1" applyFill="1" applyBorder="1" applyAlignment="1">
      <alignment horizontal="center" vertical="center"/>
    </xf>
    <xf numFmtId="0" fontId="7" fillId="0" borderId="25" xfId="0" applyFont="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6"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6" xfId="0" applyFont="1" applyBorder="1" applyAlignment="1">
      <alignment horizontal="left" vertical="center" wrapText="1"/>
    </xf>
    <xf numFmtId="0" fontId="22" fillId="2" borderId="60" xfId="0" applyFont="1" applyFill="1" applyBorder="1" applyAlignment="1">
      <alignment horizontal="center" vertical="top" wrapText="1"/>
    </xf>
    <xf numFmtId="0" fontId="22" fillId="2" borderId="41" xfId="0" applyFont="1" applyFill="1" applyBorder="1" applyAlignment="1">
      <alignment horizontal="center" vertical="top" wrapText="1"/>
    </xf>
    <xf numFmtId="0" fontId="15" fillId="2" borderId="42"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49" fontId="14" fillId="4" borderId="10" xfId="1" applyNumberFormat="1" applyFont="1" applyFill="1" applyBorder="1" applyAlignment="1">
      <alignment horizontal="center" vertical="center"/>
    </xf>
    <xf numFmtId="0" fontId="8" fillId="2" borderId="23" xfId="0" applyFont="1" applyFill="1" applyBorder="1" applyAlignment="1">
      <alignment horizontal="left" vertical="top"/>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82" xfId="0" applyFont="1" applyFill="1" applyBorder="1" applyAlignment="1">
      <alignment horizontal="left" vertical="center"/>
    </xf>
    <xf numFmtId="0" fontId="9" fillId="3" borderId="52" xfId="0" applyFont="1" applyFill="1" applyBorder="1" applyAlignment="1">
      <alignment horizontal="left" vertical="center"/>
    </xf>
    <xf numFmtId="0" fontId="9" fillId="3" borderId="64" xfId="0" applyFont="1" applyFill="1" applyBorder="1" applyAlignment="1">
      <alignment horizontal="left" vertical="center"/>
    </xf>
    <xf numFmtId="0" fontId="9" fillId="3" borderId="17" xfId="0" applyFont="1" applyFill="1" applyBorder="1" applyAlignment="1">
      <alignment horizontal="left" vertical="center"/>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9" fillId="3" borderId="33" xfId="0" applyFont="1" applyFill="1" applyBorder="1" applyAlignment="1">
      <alignment horizontal="left" vertical="center"/>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26" fillId="2" borderId="60"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26" fillId="2" borderId="42" xfId="0" applyFont="1" applyFill="1" applyBorder="1" applyAlignment="1">
      <alignment horizontal="center" vertical="top"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7" fillId="5" borderId="26" xfId="0" applyFont="1" applyFill="1" applyBorder="1" applyAlignment="1">
      <alignment horizontal="left" vertical="top" wrapText="1"/>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7" fillId="4" borderId="24" xfId="0" applyFont="1" applyFill="1" applyBorder="1" applyAlignment="1">
      <alignment horizontal="center" vertical="center"/>
    </xf>
    <xf numFmtId="0" fontId="7" fillId="4" borderId="26" xfId="0" applyFont="1" applyFill="1" applyBorder="1" applyAlignment="1">
      <alignment horizontal="center" vertical="center"/>
    </xf>
    <xf numFmtId="0" fontId="8" fillId="0" borderId="41" xfId="0" applyFont="1" applyBorder="1" applyAlignment="1">
      <alignment horizontal="left" vertical="top" wrapText="1"/>
    </xf>
    <xf numFmtId="0" fontId="7" fillId="2" borderId="23" xfId="0" applyFont="1" applyFill="1" applyBorder="1" applyAlignment="1">
      <alignment horizontal="left" vertical="top"/>
    </xf>
    <xf numFmtId="49" fontId="18" fillId="4" borderId="178" xfId="1" applyNumberFormat="1" applyFont="1" applyFill="1" applyBorder="1" applyAlignment="1">
      <alignment horizontal="center" vertical="center"/>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15" fillId="2" borderId="41"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8" fillId="2" borderId="24" xfId="0" applyFont="1" applyFill="1" applyBorder="1" applyAlignment="1">
      <alignment horizontal="left" vertical="center" wrapText="1"/>
    </xf>
    <xf numFmtId="0" fontId="8" fillId="2" borderId="42" xfId="0" applyFont="1" applyFill="1" applyBorder="1" applyAlignment="1">
      <alignment horizontal="left" vertical="center" wrapText="1"/>
    </xf>
    <xf numFmtId="0" fontId="7" fillId="0" borderId="45" xfId="0" applyFont="1" applyBorder="1" applyAlignment="1">
      <alignment horizontal="left" vertical="top" wrapText="1"/>
    </xf>
    <xf numFmtId="0" fontId="7" fillId="0" borderId="30" xfId="0" applyFont="1" applyBorder="1" applyAlignment="1">
      <alignment horizontal="left" vertical="top" wrapText="1"/>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16" fillId="4" borderId="173" xfId="0" applyFont="1" applyFill="1" applyBorder="1" applyAlignment="1">
      <alignment horizontal="center" vertical="center" wrapText="1"/>
    </xf>
    <xf numFmtId="0" fontId="16" fillId="4" borderId="174" xfId="0" applyFont="1" applyFill="1" applyBorder="1" applyAlignment="1">
      <alignment horizontal="center" vertical="center"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8" borderId="44" xfId="0" applyFont="1" applyFill="1" applyBorder="1" applyAlignment="1">
      <alignment horizontal="center" vertical="center"/>
    </xf>
    <xf numFmtId="0" fontId="8" fillId="8" borderId="23" xfId="0" applyFont="1" applyFill="1" applyBorder="1" applyAlignment="1">
      <alignment horizontal="center" vertical="center"/>
    </xf>
    <xf numFmtId="49" fontId="18" fillId="4" borderId="10" xfId="1" applyNumberFormat="1" applyFont="1" applyFill="1" applyBorder="1" applyAlignment="1">
      <alignment horizontal="center" vertical="center"/>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8" fillId="6" borderId="39" xfId="0" applyFont="1" applyFill="1" applyBorder="1" applyAlignment="1">
      <alignment horizontal="center" vertical="center"/>
    </xf>
    <xf numFmtId="0" fontId="8" fillId="6" borderId="146" xfId="0" applyFont="1" applyFill="1" applyBorder="1" applyAlignment="1">
      <alignment horizontal="center" vertical="center"/>
    </xf>
    <xf numFmtId="0" fontId="8" fillId="0" borderId="39" xfId="0" applyFont="1" applyBorder="1" applyAlignment="1">
      <alignment horizontal="center" vertical="center"/>
    </xf>
    <xf numFmtId="0" fontId="8" fillId="0" borderId="146" xfId="0" applyFont="1" applyBorder="1" applyAlignment="1">
      <alignment horizontal="center" vertical="center"/>
    </xf>
    <xf numFmtId="0" fontId="8" fillId="6" borderId="48" xfId="0" applyFont="1" applyFill="1" applyBorder="1" applyAlignment="1">
      <alignment horizontal="center" vertical="center"/>
    </xf>
    <xf numFmtId="0" fontId="9" fillId="3" borderId="56"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4" borderId="41" xfId="0" applyFont="1" applyFill="1" applyBorder="1" applyAlignment="1">
      <alignment horizontal="center" vertical="center"/>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12" fillId="7" borderId="24" xfId="0" applyFont="1" applyFill="1" applyBorder="1" applyAlignment="1">
      <alignment horizontal="center" vertical="center" wrapText="1"/>
    </xf>
    <xf numFmtId="0" fontId="9" fillId="0" borderId="48" xfId="0" applyFont="1" applyBorder="1" applyAlignment="1">
      <alignment horizontal="center" vertical="center" wrapText="1"/>
    </xf>
    <xf numFmtId="0" fontId="8" fillId="0" borderId="48" xfId="0" applyFont="1" applyBorder="1" applyAlignment="1">
      <alignment horizontal="center" vertical="center"/>
    </xf>
    <xf numFmtId="0" fontId="7" fillId="4" borderId="12"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6" xfId="0" applyFont="1" applyBorder="1" applyAlignment="1">
      <alignment horizontal="left" vertical="center"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0" borderId="42" xfId="0" applyFont="1" applyBorder="1" applyAlignment="1">
      <alignment horizontal="left" vertical="top" wrapText="1"/>
    </xf>
    <xf numFmtId="0" fontId="8" fillId="5" borderId="42" xfId="0" applyFont="1" applyFill="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49" fontId="18" fillId="4" borderId="31" xfId="1" applyNumberFormat="1" applyFont="1" applyFill="1" applyBorder="1" applyAlignment="1">
      <alignment horizontal="center" vertical="center"/>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7" fillId="0" borderId="41" xfId="0" applyFont="1" applyBorder="1" applyAlignment="1">
      <alignment horizontal="left" vertical="top" wrapText="1"/>
    </xf>
    <xf numFmtId="0" fontId="18" fillId="5" borderId="24" xfId="0" applyFont="1" applyFill="1" applyBorder="1" applyAlignment="1">
      <alignment horizontal="left" vertical="top" wrapText="1"/>
    </xf>
    <xf numFmtId="0" fontId="18" fillId="5" borderId="26" xfId="0" applyFont="1" applyFill="1" applyBorder="1" applyAlignment="1">
      <alignment horizontal="left" vertical="top" wrapText="1"/>
    </xf>
    <xf numFmtId="0" fontId="7" fillId="12" borderId="63"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0" borderId="42" xfId="0" applyFont="1" applyBorder="1" applyAlignment="1">
      <alignment horizontal="left" vertical="top" wrapText="1"/>
    </xf>
    <xf numFmtId="0" fontId="7" fillId="4" borderId="42" xfId="0" applyFont="1" applyFill="1" applyBorder="1" applyAlignment="1">
      <alignment horizontal="center" vertical="center"/>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8" fillId="10" borderId="28"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0" fontId="8" fillId="0" borderId="39" xfId="0" applyFont="1" applyBorder="1" applyAlignment="1">
      <alignment horizontal="center" vertical="center" wrapText="1"/>
    </xf>
    <xf numFmtId="0" fontId="8" fillId="0" borderId="146" xfId="0" applyFont="1" applyBorder="1" applyAlignment="1">
      <alignment horizontal="center" vertical="center" wrapText="1"/>
    </xf>
    <xf numFmtId="0" fontId="8" fillId="2" borderId="44" xfId="0" applyFont="1" applyFill="1" applyBorder="1" applyAlignment="1">
      <alignment horizontal="left" vertical="top"/>
    </xf>
    <xf numFmtId="0" fontId="9" fillId="3" borderId="20" xfId="0" applyFont="1" applyFill="1" applyBorder="1" applyAlignment="1">
      <alignment horizontal="left" vertical="center"/>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49" fontId="18" fillId="4" borderId="55" xfId="1" applyNumberFormat="1" applyFont="1" applyFill="1" applyBorder="1" applyAlignment="1">
      <alignment horizontal="center" vertical="center"/>
    </xf>
    <xf numFmtId="49" fontId="18" fillId="4" borderId="179"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0" fontId="15" fillId="2" borderId="6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8" fillId="10" borderId="45" xfId="0" applyFont="1" applyFill="1" applyBorder="1" applyAlignment="1">
      <alignment horizontal="left" vertical="top" wrapText="1"/>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7" fillId="0" borderId="61" xfId="0" applyFont="1" applyBorder="1" applyAlignment="1">
      <alignment horizontal="left" vertical="top" wrapText="1"/>
    </xf>
    <xf numFmtId="0" fontId="7" fillId="4" borderId="28" xfId="0" applyFont="1" applyFill="1" applyBorder="1" applyAlignment="1">
      <alignment horizontal="center" vertical="center"/>
    </xf>
    <xf numFmtId="0" fontId="7" fillId="4" borderId="30" xfId="0" applyFont="1" applyFill="1" applyBorder="1" applyAlignment="1">
      <alignment horizontal="center" vertical="center"/>
    </xf>
    <xf numFmtId="0" fontId="7" fillId="4" borderId="64" xfId="0" applyFont="1" applyFill="1" applyBorder="1" applyAlignment="1">
      <alignment horizontal="center" vertical="center" wrapText="1"/>
    </xf>
    <xf numFmtId="0" fontId="7" fillId="4" borderId="182" xfId="0" applyFont="1" applyFill="1" applyBorder="1" applyAlignment="1">
      <alignment horizontal="center" vertical="center" wrapText="1"/>
    </xf>
    <xf numFmtId="0" fontId="8" fillId="5" borderId="39" xfId="0" applyFont="1" applyFill="1" applyBorder="1" applyAlignment="1">
      <alignment horizontal="center" vertical="center"/>
    </xf>
    <xf numFmtId="0" fontId="8" fillId="5" borderId="146"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10" xfId="0" applyFont="1" applyFill="1" applyBorder="1" applyAlignment="1">
      <alignment horizontal="center" vertical="center" wrapText="1"/>
    </xf>
    <xf numFmtId="0" fontId="8" fillId="7" borderId="22" xfId="0" applyFont="1" applyFill="1" applyBorder="1" applyAlignment="1">
      <alignment horizontal="center" vertical="center"/>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8" fillId="8" borderId="45" xfId="0" applyFont="1" applyFill="1" applyBorder="1" applyAlignment="1">
      <alignment horizontal="center" vertical="center" wrapText="1"/>
    </xf>
    <xf numFmtId="0" fontId="8" fillId="2" borderId="42" xfId="0" applyFont="1" applyFill="1" applyBorder="1" applyAlignment="1">
      <alignment horizontal="left" vertical="top" wrapText="1"/>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8" fillId="8" borderId="53" xfId="0" applyFont="1" applyFill="1" applyBorder="1" applyAlignment="1">
      <alignment horizontal="center" vertical="center"/>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26" fillId="2" borderId="61" xfId="0" applyFont="1" applyFill="1" applyBorder="1" applyAlignment="1">
      <alignment horizontal="center" vertical="top" wrapText="1"/>
    </xf>
    <xf numFmtId="0" fontId="8" fillId="7" borderId="183" xfId="0" applyFont="1" applyFill="1" applyBorder="1" applyAlignment="1">
      <alignment horizontal="center" vertical="center"/>
    </xf>
    <xf numFmtId="0" fontId="8" fillId="7" borderId="35" xfId="0" applyFont="1" applyFill="1" applyBorder="1" applyAlignment="1">
      <alignment horizontal="center" vertical="center"/>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5" fillId="2" borderId="24" xfId="0" applyFont="1" applyFill="1" applyBorder="1" applyAlignment="1">
      <alignment horizontal="left" vertical="top"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7" fillId="4" borderId="10" xfId="0" applyFont="1" applyFill="1" applyBorder="1" applyAlignment="1">
      <alignment horizontal="center" wrapText="1"/>
    </xf>
    <xf numFmtId="0" fontId="7" fillId="4" borderId="15" xfId="0" applyFont="1" applyFill="1" applyBorder="1" applyAlignment="1">
      <alignment horizontal="center" wrapText="1"/>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2" fillId="7" borderId="42" xfId="0" applyFont="1" applyFill="1" applyBorder="1" applyAlignment="1">
      <alignment horizontal="center" vertical="center" wrapText="1"/>
    </xf>
    <xf numFmtId="0" fontId="7" fillId="5" borderId="41" xfId="0" applyFont="1" applyFill="1" applyBorder="1" applyAlignment="1">
      <alignment horizontal="left" vertical="top" wrapText="1"/>
    </xf>
    <xf numFmtId="0" fontId="18" fillId="5" borderId="42" xfId="0" applyFont="1" applyFill="1" applyBorder="1" applyAlignment="1">
      <alignment horizontal="left" vertical="top" wrapText="1"/>
    </xf>
    <xf numFmtId="0" fontId="8" fillId="5" borderId="41" xfId="0" applyFont="1" applyFill="1" applyBorder="1" applyAlignment="1">
      <alignment horizontal="left" vertical="top" wrapText="1"/>
    </xf>
  </cellXfs>
  <cellStyles count="4">
    <cellStyle name="Hyperlink" xfId="3" builtinId="8"/>
    <cellStyle name="Neutral" xfId="2" builtinId="28"/>
    <cellStyle name="Normal" xfId="0" builtinId="0"/>
    <cellStyle name="Normal 3" xfId="1"/>
  </cellStyles>
  <dxfs count="120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04"/>
      <tableStyleElement type="headerRow" dxfId="12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2</xdr:col>
      <xdr:colOff>677333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359833</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29"/>
  <sheetViews>
    <sheetView showGridLines="0" showWhiteSpace="0" zoomScale="50" zoomScaleNormal="50" zoomScalePageLayoutView="30" workbookViewId="0">
      <pane xSplit="4" ySplit="2" topLeftCell="E105" activePane="bottomRight" state="frozen"/>
      <selection pane="topRight" activeCell="D1" sqref="D1"/>
      <selection pane="bottomLeft" activeCell="A3" sqref="A3"/>
      <selection pane="bottomRight" activeCell="E111" sqref="E111"/>
    </sheetView>
  </sheetViews>
  <sheetFormatPr defaultColWidth="9" defaultRowHeight="28.5" x14ac:dyDescent="0.85"/>
  <cols>
    <col min="1" max="1" width="6.3984375" style="491" customWidth="1"/>
    <col min="2" max="2" width="66.3984375" style="585" customWidth="1" collapsed="1"/>
    <col min="3" max="3" width="79.59765625" style="586" customWidth="1" collapsed="1"/>
    <col min="4" max="4" width="20.1328125" style="587" bestFit="1" customWidth="1" collapsed="1"/>
    <col min="5" max="5" width="116.1328125" style="588" customWidth="1" collapsed="1"/>
    <col min="6" max="6" width="86" style="589" customWidth="1" collapsed="1"/>
    <col min="7" max="35" width="9" style="491"/>
    <col min="36" max="16384" width="9" style="491" collapsed="1"/>
  </cols>
  <sheetData>
    <row r="1" spans="2:6" ht="79.5" customHeight="1" x14ac:dyDescent="0.85">
      <c r="B1" s="619" t="s">
        <v>110</v>
      </c>
      <c r="C1" s="620"/>
      <c r="D1" s="620"/>
      <c r="E1" s="620"/>
      <c r="F1" s="492"/>
    </row>
    <row r="2" spans="2:6" s="493" customFormat="1" x14ac:dyDescent="0.85">
      <c r="B2" s="494" t="s">
        <v>37</v>
      </c>
      <c r="C2" s="495" t="s">
        <v>38</v>
      </c>
      <c r="D2" s="496" t="s">
        <v>144</v>
      </c>
      <c r="E2" s="497" t="s">
        <v>36</v>
      </c>
      <c r="F2" s="498" t="s">
        <v>133</v>
      </c>
    </row>
    <row r="3" spans="2:6" s="493" customFormat="1" ht="7.5" customHeight="1" x14ac:dyDescent="0.85">
      <c r="B3" s="499"/>
      <c r="C3" s="500"/>
      <c r="D3" s="501"/>
      <c r="E3" s="502"/>
      <c r="F3" s="503"/>
    </row>
    <row r="4" spans="2:6" s="493" customFormat="1" ht="28.9" hidden="1" thickBot="1" x14ac:dyDescent="0.9">
      <c r="B4" s="640" t="s">
        <v>470</v>
      </c>
      <c r="C4" s="641"/>
      <c r="D4" s="641"/>
      <c r="E4" s="641"/>
      <c r="F4" s="642"/>
    </row>
    <row r="5" spans="2:6" hidden="1" x14ac:dyDescent="0.85">
      <c r="B5" s="643" t="s">
        <v>853</v>
      </c>
      <c r="C5" s="504" t="s">
        <v>713</v>
      </c>
      <c r="D5" s="505" t="s">
        <v>472</v>
      </c>
      <c r="E5" s="506" t="s">
        <v>714</v>
      </c>
      <c r="F5" s="507" t="s">
        <v>973</v>
      </c>
    </row>
    <row r="6" spans="2:6" ht="57" hidden="1" x14ac:dyDescent="0.85">
      <c r="B6" s="644"/>
      <c r="C6" s="508" t="s">
        <v>716</v>
      </c>
      <c r="D6" s="509" t="s">
        <v>473</v>
      </c>
      <c r="E6" s="510" t="s">
        <v>717</v>
      </c>
      <c r="F6" s="511" t="s">
        <v>718</v>
      </c>
    </row>
    <row r="7" spans="2:6" ht="57.4" hidden="1" thickBot="1" x14ac:dyDescent="0.9">
      <c r="B7" s="645"/>
      <c r="C7" s="512" t="s">
        <v>719</v>
      </c>
      <c r="D7" s="513" t="s">
        <v>474</v>
      </c>
      <c r="E7" s="514" t="s">
        <v>720</v>
      </c>
      <c r="F7" s="515" t="s">
        <v>718</v>
      </c>
    </row>
    <row r="8" spans="2:6" s="516" customFormat="1" hidden="1" x14ac:dyDescent="0.85">
      <c r="B8" s="643" t="s">
        <v>854</v>
      </c>
      <c r="C8" s="517" t="s">
        <v>863</v>
      </c>
      <c r="D8" s="518" t="s">
        <v>856</v>
      </c>
      <c r="E8" s="519" t="s">
        <v>714</v>
      </c>
      <c r="F8" s="520" t="s">
        <v>973</v>
      </c>
    </row>
    <row r="9" spans="2:6" s="516" customFormat="1" ht="57" hidden="1" x14ac:dyDescent="0.85">
      <c r="B9" s="644"/>
      <c r="C9" s="508" t="s">
        <v>649</v>
      </c>
      <c r="D9" s="509" t="s">
        <v>857</v>
      </c>
      <c r="E9" s="521" t="s">
        <v>717</v>
      </c>
      <c r="F9" s="522" t="s">
        <v>718</v>
      </c>
    </row>
    <row r="10" spans="2:6" s="516" customFormat="1" ht="57.4" hidden="1" thickBot="1" x14ac:dyDescent="0.9">
      <c r="B10" s="645"/>
      <c r="C10" s="512" t="s">
        <v>471</v>
      </c>
      <c r="D10" s="513" t="s">
        <v>858</v>
      </c>
      <c r="E10" s="523" t="s">
        <v>720</v>
      </c>
      <c r="F10" s="524" t="s">
        <v>718</v>
      </c>
    </row>
    <row r="11" spans="2:6" s="516" customFormat="1" hidden="1" x14ac:dyDescent="0.85">
      <c r="B11" s="650" t="s">
        <v>855</v>
      </c>
      <c r="C11" s="525" t="s">
        <v>864</v>
      </c>
      <c r="D11" s="518" t="s">
        <v>860</v>
      </c>
      <c r="E11" s="519" t="s">
        <v>714</v>
      </c>
      <c r="F11" s="520" t="s">
        <v>715</v>
      </c>
    </row>
    <row r="12" spans="2:6" s="516" customFormat="1" ht="57" hidden="1" x14ac:dyDescent="0.85">
      <c r="B12" s="651"/>
      <c r="C12" s="526" t="s">
        <v>649</v>
      </c>
      <c r="D12" s="509" t="s">
        <v>861</v>
      </c>
      <c r="E12" s="521" t="s">
        <v>717</v>
      </c>
      <c r="F12" s="522" t="s">
        <v>718</v>
      </c>
    </row>
    <row r="13" spans="2:6" s="516" customFormat="1" ht="57.4" hidden="1" thickBot="1" x14ac:dyDescent="0.9">
      <c r="B13" s="652"/>
      <c r="C13" s="527" t="s">
        <v>471</v>
      </c>
      <c r="D13" s="513" t="s">
        <v>862</v>
      </c>
      <c r="E13" s="523" t="s">
        <v>720</v>
      </c>
      <c r="F13" s="524" t="s">
        <v>718</v>
      </c>
    </row>
    <row r="14" spans="2:6" ht="28.9" thickBot="1" x14ac:dyDescent="0.9">
      <c r="B14" s="646" t="s">
        <v>12</v>
      </c>
      <c r="C14" s="646"/>
      <c r="D14" s="646"/>
      <c r="E14" s="646"/>
      <c r="F14" s="646"/>
    </row>
    <row r="15" spans="2:6" ht="114" x14ac:dyDescent="0.85">
      <c r="B15" s="647" t="s">
        <v>121</v>
      </c>
      <c r="C15" s="76" t="s">
        <v>1031</v>
      </c>
      <c r="D15" s="518" t="s">
        <v>143</v>
      </c>
      <c r="E15" s="528" t="s">
        <v>92</v>
      </c>
      <c r="F15" s="529" t="s">
        <v>630</v>
      </c>
    </row>
    <row r="16" spans="2:6" ht="114" x14ac:dyDescent="0.85">
      <c r="B16" s="648"/>
      <c r="C16" s="84" t="s">
        <v>1032</v>
      </c>
      <c r="D16" s="509" t="s">
        <v>145</v>
      </c>
      <c r="E16" s="531" t="s">
        <v>93</v>
      </c>
      <c r="F16" s="532" t="s">
        <v>631</v>
      </c>
    </row>
    <row r="17" spans="2:6" ht="114" x14ac:dyDescent="0.85">
      <c r="B17" s="648"/>
      <c r="C17" s="530" t="s">
        <v>146</v>
      </c>
      <c r="D17" s="509" t="s">
        <v>347</v>
      </c>
      <c r="E17" s="531" t="s">
        <v>623</v>
      </c>
      <c r="F17" s="532" t="s">
        <v>632</v>
      </c>
    </row>
    <row r="18" spans="2:6" x14ac:dyDescent="0.85">
      <c r="B18" s="648"/>
      <c r="C18" s="530" t="s">
        <v>1077</v>
      </c>
      <c r="D18" s="509" t="s">
        <v>1076</v>
      </c>
      <c r="E18" s="531"/>
      <c r="F18" s="532"/>
    </row>
    <row r="19" spans="2:6" ht="57" x14ac:dyDescent="0.85">
      <c r="B19" s="648"/>
      <c r="C19" s="508" t="s">
        <v>147</v>
      </c>
      <c r="D19" s="509" t="s">
        <v>148</v>
      </c>
      <c r="E19" s="531" t="s">
        <v>43</v>
      </c>
      <c r="F19" s="532" t="s">
        <v>633</v>
      </c>
    </row>
    <row r="20" spans="2:6" ht="57" x14ac:dyDescent="0.85">
      <c r="B20" s="648"/>
      <c r="C20" s="508" t="s">
        <v>160</v>
      </c>
      <c r="D20" s="509" t="s">
        <v>149</v>
      </c>
      <c r="E20" s="531" t="s">
        <v>150</v>
      </c>
      <c r="F20" s="532" t="s">
        <v>634</v>
      </c>
    </row>
    <row r="21" spans="2:6" ht="57" x14ac:dyDescent="0.85">
      <c r="B21" s="648"/>
      <c r="C21" s="533" t="s">
        <v>152</v>
      </c>
      <c r="D21" s="534" t="s">
        <v>151</v>
      </c>
      <c r="E21" s="531" t="s">
        <v>39</v>
      </c>
      <c r="F21" s="532" t="s">
        <v>326</v>
      </c>
    </row>
    <row r="22" spans="2:6" ht="57" x14ac:dyDescent="0.85">
      <c r="B22" s="648"/>
      <c r="C22" s="508" t="s">
        <v>153</v>
      </c>
      <c r="D22" s="509" t="s">
        <v>154</v>
      </c>
      <c r="E22" s="531" t="s">
        <v>40</v>
      </c>
      <c r="F22" s="532" t="s">
        <v>635</v>
      </c>
    </row>
    <row r="23" spans="2:6" ht="57" x14ac:dyDescent="0.85">
      <c r="B23" s="648"/>
      <c r="C23" s="508" t="s">
        <v>640</v>
      </c>
      <c r="D23" s="509" t="s">
        <v>155</v>
      </c>
      <c r="E23" s="531" t="s">
        <v>41</v>
      </c>
      <c r="F23" s="532" t="s">
        <v>636</v>
      </c>
    </row>
    <row r="24" spans="2:6" ht="57.4" thickBot="1" x14ac:dyDescent="0.9">
      <c r="B24" s="649"/>
      <c r="C24" s="512" t="s">
        <v>156</v>
      </c>
      <c r="D24" s="513" t="s">
        <v>157</v>
      </c>
      <c r="E24" s="535" t="s">
        <v>42</v>
      </c>
      <c r="F24" s="536" t="s">
        <v>158</v>
      </c>
    </row>
    <row r="25" spans="2:6" ht="85.5" x14ac:dyDescent="0.85">
      <c r="B25" s="632" t="s">
        <v>13</v>
      </c>
      <c r="C25" s="525" t="s">
        <v>160</v>
      </c>
      <c r="D25" s="518" t="s">
        <v>159</v>
      </c>
      <c r="E25" s="528" t="s">
        <v>94</v>
      </c>
      <c r="F25" s="529" t="s">
        <v>637</v>
      </c>
    </row>
    <row r="26" spans="2:6" ht="85.9" thickBot="1" x14ac:dyDescent="0.9">
      <c r="B26" s="633"/>
      <c r="C26" s="537" t="s">
        <v>152</v>
      </c>
      <c r="D26" s="513" t="s">
        <v>161</v>
      </c>
      <c r="E26" s="535" t="s">
        <v>102</v>
      </c>
      <c r="F26" s="536" t="s">
        <v>637</v>
      </c>
    </row>
    <row r="27" spans="2:6" ht="57" x14ac:dyDescent="0.85">
      <c r="B27" s="632" t="s">
        <v>14</v>
      </c>
      <c r="C27" s="525" t="s">
        <v>1081</v>
      </c>
      <c r="D27" s="518" t="s">
        <v>162</v>
      </c>
      <c r="E27" s="528" t="s">
        <v>95</v>
      </c>
      <c r="F27" s="529" t="s">
        <v>637</v>
      </c>
    </row>
    <row r="28" spans="2:6" ht="57.4" thickBot="1" x14ac:dyDescent="0.9">
      <c r="B28" s="633"/>
      <c r="C28" s="537" t="s">
        <v>462</v>
      </c>
      <c r="D28" s="513" t="s">
        <v>163</v>
      </c>
      <c r="E28" s="535" t="s">
        <v>103</v>
      </c>
      <c r="F28" s="536" t="s">
        <v>637</v>
      </c>
    </row>
    <row r="29" spans="2:6" ht="57" x14ac:dyDescent="0.85">
      <c r="B29" s="632" t="s">
        <v>15</v>
      </c>
      <c r="C29" s="525" t="s">
        <v>1081</v>
      </c>
      <c r="D29" s="518" t="s">
        <v>164</v>
      </c>
      <c r="E29" s="528" t="s">
        <v>96</v>
      </c>
      <c r="F29" s="529" t="s">
        <v>637</v>
      </c>
    </row>
    <row r="30" spans="2:6" ht="85.9" thickBot="1" x14ac:dyDescent="0.9">
      <c r="B30" s="633"/>
      <c r="C30" s="537" t="s">
        <v>462</v>
      </c>
      <c r="D30" s="513" t="s">
        <v>165</v>
      </c>
      <c r="E30" s="535" t="s">
        <v>104</v>
      </c>
      <c r="F30" s="536" t="s">
        <v>637</v>
      </c>
    </row>
    <row r="31" spans="2:6" ht="57" x14ac:dyDescent="0.85">
      <c r="B31" s="632" t="s">
        <v>442</v>
      </c>
      <c r="C31" s="525" t="s">
        <v>1082</v>
      </c>
      <c r="D31" s="518" t="s">
        <v>166</v>
      </c>
      <c r="E31" s="528" t="s">
        <v>97</v>
      </c>
      <c r="F31" s="529" t="s">
        <v>637</v>
      </c>
    </row>
    <row r="32" spans="2:6" ht="57.4" thickBot="1" x14ac:dyDescent="0.9">
      <c r="B32" s="633"/>
      <c r="C32" s="537" t="s">
        <v>462</v>
      </c>
      <c r="D32" s="513" t="s">
        <v>167</v>
      </c>
      <c r="E32" s="535" t="s">
        <v>105</v>
      </c>
      <c r="F32" s="536" t="s">
        <v>637</v>
      </c>
    </row>
    <row r="33" spans="2:6" ht="57" x14ac:dyDescent="0.85">
      <c r="B33" s="632" t="s">
        <v>16</v>
      </c>
      <c r="C33" s="525" t="s">
        <v>1082</v>
      </c>
      <c r="D33" s="518" t="s">
        <v>168</v>
      </c>
      <c r="E33" s="528" t="s">
        <v>98</v>
      </c>
      <c r="F33" s="529" t="s">
        <v>637</v>
      </c>
    </row>
    <row r="34" spans="2:6" ht="57.4" thickBot="1" x14ac:dyDescent="0.9">
      <c r="B34" s="633"/>
      <c r="C34" s="537" t="s">
        <v>462</v>
      </c>
      <c r="D34" s="513" t="s">
        <v>169</v>
      </c>
      <c r="E34" s="535" t="s">
        <v>106</v>
      </c>
      <c r="F34" s="536" t="s">
        <v>637</v>
      </c>
    </row>
    <row r="35" spans="2:6" ht="57" x14ac:dyDescent="0.85">
      <c r="B35" s="632" t="s">
        <v>17</v>
      </c>
      <c r="C35" s="525" t="s">
        <v>1082</v>
      </c>
      <c r="D35" s="518" t="s">
        <v>348</v>
      </c>
      <c r="E35" s="528" t="s">
        <v>99</v>
      </c>
      <c r="F35" s="529" t="s">
        <v>637</v>
      </c>
    </row>
    <row r="36" spans="2:6" s="538" customFormat="1" ht="57.4" thickBot="1" x14ac:dyDescent="0.5">
      <c r="B36" s="633"/>
      <c r="C36" s="537" t="s">
        <v>462</v>
      </c>
      <c r="D36" s="513" t="s">
        <v>170</v>
      </c>
      <c r="E36" s="539" t="s">
        <v>107</v>
      </c>
      <c r="F36" s="540" t="s">
        <v>637</v>
      </c>
    </row>
    <row r="37" spans="2:6" ht="85.5" x14ac:dyDescent="0.85">
      <c r="B37" s="632" t="s">
        <v>22</v>
      </c>
      <c r="C37" s="525" t="s">
        <v>1082</v>
      </c>
      <c r="D37" s="518" t="s">
        <v>171</v>
      </c>
      <c r="E37" s="528" t="s">
        <v>100</v>
      </c>
      <c r="F37" s="529" t="s">
        <v>637</v>
      </c>
    </row>
    <row r="38" spans="2:6" ht="114.4" thickBot="1" x14ac:dyDescent="0.9">
      <c r="B38" s="633"/>
      <c r="C38" s="537" t="s">
        <v>462</v>
      </c>
      <c r="D38" s="513" t="s">
        <v>172</v>
      </c>
      <c r="E38" s="535" t="s">
        <v>108</v>
      </c>
      <c r="F38" s="536" t="s">
        <v>637</v>
      </c>
    </row>
    <row r="39" spans="2:6" ht="57" x14ac:dyDescent="0.85">
      <c r="B39" s="632" t="s">
        <v>18</v>
      </c>
      <c r="C39" s="525" t="s">
        <v>1082</v>
      </c>
      <c r="D39" s="518" t="s">
        <v>173</v>
      </c>
      <c r="E39" s="528" t="s">
        <v>101</v>
      </c>
      <c r="F39" s="529" t="s">
        <v>637</v>
      </c>
    </row>
    <row r="40" spans="2:6" ht="85.9" thickBot="1" x14ac:dyDescent="0.9">
      <c r="B40" s="633"/>
      <c r="C40" s="537" t="s">
        <v>462</v>
      </c>
      <c r="D40" s="513" t="s">
        <v>174</v>
      </c>
      <c r="E40" s="535" t="s">
        <v>109</v>
      </c>
      <c r="F40" s="536" t="s">
        <v>637</v>
      </c>
    </row>
    <row r="41" spans="2:6" ht="57" x14ac:dyDescent="0.85">
      <c r="B41" s="632" t="s">
        <v>113</v>
      </c>
      <c r="C41" s="525" t="s">
        <v>1082</v>
      </c>
      <c r="D41" s="518" t="s">
        <v>349</v>
      </c>
      <c r="E41" s="528" t="s">
        <v>135</v>
      </c>
      <c r="F41" s="529" t="s">
        <v>637</v>
      </c>
    </row>
    <row r="42" spans="2:6" ht="57.4" thickBot="1" x14ac:dyDescent="0.9">
      <c r="B42" s="633"/>
      <c r="C42" s="537" t="s">
        <v>462</v>
      </c>
      <c r="D42" s="513" t="s">
        <v>175</v>
      </c>
      <c r="E42" s="591" t="s">
        <v>624</v>
      </c>
      <c r="F42" s="592" t="s">
        <v>637</v>
      </c>
    </row>
    <row r="43" spans="2:6" x14ac:dyDescent="0.85">
      <c r="B43" s="653" t="s">
        <v>1073</v>
      </c>
      <c r="C43" s="102" t="s">
        <v>160</v>
      </c>
      <c r="D43" s="590" t="s">
        <v>1074</v>
      </c>
      <c r="E43" s="531"/>
      <c r="F43" s="545"/>
    </row>
    <row r="44" spans="2:6" ht="28.9" thickBot="1" x14ac:dyDescent="0.9">
      <c r="B44" s="654"/>
      <c r="C44" s="106" t="s">
        <v>152</v>
      </c>
      <c r="D44" s="590" t="s">
        <v>1075</v>
      </c>
      <c r="E44" s="531"/>
      <c r="F44" s="545"/>
    </row>
    <row r="45" spans="2:6" ht="57" x14ac:dyDescent="0.85">
      <c r="B45" s="541" t="s">
        <v>131</v>
      </c>
      <c r="C45" s="485" t="s">
        <v>642</v>
      </c>
      <c r="D45" s="505" t="s">
        <v>350</v>
      </c>
      <c r="E45" s="506" t="s">
        <v>951</v>
      </c>
      <c r="F45" s="542"/>
    </row>
    <row r="46" spans="2:6" ht="57" x14ac:dyDescent="0.85">
      <c r="B46" s="543"/>
      <c r="C46" s="486" t="s">
        <v>651</v>
      </c>
      <c r="D46" s="509" t="s">
        <v>351</v>
      </c>
      <c r="E46" s="510" t="s">
        <v>952</v>
      </c>
      <c r="F46" s="544"/>
    </row>
    <row r="47" spans="2:6" ht="28.9" thickBot="1" x14ac:dyDescent="0.9">
      <c r="B47" s="622" t="s">
        <v>1038</v>
      </c>
      <c r="C47" s="622"/>
      <c r="D47" s="622"/>
      <c r="E47" s="622"/>
      <c r="F47" s="622"/>
    </row>
    <row r="48" spans="2:6" x14ac:dyDescent="0.85">
      <c r="B48" s="636" t="s">
        <v>1053</v>
      </c>
      <c r="C48" s="1" t="s">
        <v>1039</v>
      </c>
      <c r="D48" s="458" t="s">
        <v>1041</v>
      </c>
      <c r="E48" s="593"/>
      <c r="F48" s="593"/>
    </row>
    <row r="49" spans="2:6" ht="28.9" thickBot="1" x14ac:dyDescent="0.9">
      <c r="B49" s="637"/>
      <c r="C49" s="415" t="s">
        <v>1040</v>
      </c>
      <c r="D49" s="459" t="s">
        <v>1042</v>
      </c>
      <c r="E49" s="593"/>
      <c r="F49" s="593"/>
    </row>
    <row r="50" spans="2:6" x14ac:dyDescent="0.85">
      <c r="B50" s="636" t="s">
        <v>1054</v>
      </c>
      <c r="C50" s="1" t="s">
        <v>1039</v>
      </c>
      <c r="D50" s="459" t="s">
        <v>1043</v>
      </c>
      <c r="E50" s="593"/>
      <c r="F50" s="593"/>
    </row>
    <row r="51" spans="2:6" ht="28.9" thickBot="1" x14ac:dyDescent="0.9">
      <c r="B51" s="637"/>
      <c r="C51" s="415" t="s">
        <v>1040</v>
      </c>
      <c r="D51" s="459" t="s">
        <v>1044</v>
      </c>
      <c r="E51" s="593"/>
      <c r="F51" s="593"/>
    </row>
    <row r="52" spans="2:6" x14ac:dyDescent="0.85">
      <c r="B52" s="636" t="s">
        <v>1055</v>
      </c>
      <c r="C52" s="1" t="s">
        <v>1039</v>
      </c>
      <c r="D52" s="459" t="s">
        <v>1045</v>
      </c>
      <c r="E52" s="593"/>
      <c r="F52" s="593"/>
    </row>
    <row r="53" spans="2:6" ht="28.9" thickBot="1" x14ac:dyDescent="0.9">
      <c r="B53" s="637"/>
      <c r="C53" s="415" t="s">
        <v>1040</v>
      </c>
      <c r="D53" s="459" t="s">
        <v>1046</v>
      </c>
      <c r="E53" s="593"/>
      <c r="F53" s="593"/>
    </row>
    <row r="54" spans="2:6" x14ac:dyDescent="0.85">
      <c r="B54" s="636" t="s">
        <v>1056</v>
      </c>
      <c r="C54" s="1" t="s">
        <v>1039</v>
      </c>
      <c r="D54" s="459" t="s">
        <v>1047</v>
      </c>
      <c r="E54" s="593"/>
      <c r="F54" s="593"/>
    </row>
    <row r="55" spans="2:6" ht="28.9" thickBot="1" x14ac:dyDescent="0.9">
      <c r="B55" s="637"/>
      <c r="C55" s="415" t="s">
        <v>1040</v>
      </c>
      <c r="D55" s="459" t="s">
        <v>1048</v>
      </c>
      <c r="E55" s="593"/>
      <c r="F55" s="593"/>
    </row>
    <row r="56" spans="2:6" x14ac:dyDescent="0.85">
      <c r="B56" s="636" t="s">
        <v>1064</v>
      </c>
      <c r="C56" s="1" t="s">
        <v>1039</v>
      </c>
      <c r="D56" s="459" t="s">
        <v>1049</v>
      </c>
      <c r="E56" s="593"/>
      <c r="F56" s="593"/>
    </row>
    <row r="57" spans="2:6" ht="28.9" thickBot="1" x14ac:dyDescent="0.9">
      <c r="B57" s="637"/>
      <c r="C57" s="415" t="s">
        <v>1040</v>
      </c>
      <c r="D57" s="459" t="s">
        <v>1050</v>
      </c>
      <c r="E57" s="593"/>
      <c r="F57" s="593"/>
    </row>
    <row r="58" spans="2:6" x14ac:dyDescent="0.85">
      <c r="B58" s="636" t="s">
        <v>1057</v>
      </c>
      <c r="C58" s="1" t="s">
        <v>1039</v>
      </c>
      <c r="D58" s="459" t="s">
        <v>1051</v>
      </c>
      <c r="E58" s="593"/>
      <c r="F58" s="593"/>
    </row>
    <row r="59" spans="2:6" ht="28.9" thickBot="1" x14ac:dyDescent="0.9">
      <c r="B59" s="637"/>
      <c r="C59" s="415" t="s">
        <v>1040</v>
      </c>
      <c r="D59" s="459" t="s">
        <v>1052</v>
      </c>
      <c r="E59" s="593"/>
      <c r="F59" s="593"/>
    </row>
    <row r="60" spans="2:6" x14ac:dyDescent="0.85">
      <c r="B60" s="636" t="s">
        <v>1058</v>
      </c>
      <c r="C60" s="1" t="s">
        <v>1039</v>
      </c>
      <c r="D60" s="459" t="s">
        <v>1065</v>
      </c>
      <c r="E60" s="593"/>
      <c r="F60" s="593"/>
    </row>
    <row r="61" spans="2:6" ht="28.9" thickBot="1" x14ac:dyDescent="0.9">
      <c r="B61" s="637"/>
      <c r="C61" s="415" t="s">
        <v>1040</v>
      </c>
      <c r="D61" s="460" t="s">
        <v>1066</v>
      </c>
      <c r="E61" s="593"/>
      <c r="F61" s="593"/>
    </row>
    <row r="62" spans="2:6" x14ac:dyDescent="0.85">
      <c r="B62" s="636" t="s">
        <v>1059</v>
      </c>
      <c r="C62" s="1" t="s">
        <v>1039</v>
      </c>
      <c r="D62" s="459" t="s">
        <v>1067</v>
      </c>
      <c r="E62" s="593"/>
      <c r="F62" s="593"/>
    </row>
    <row r="63" spans="2:6" ht="28.9" thickBot="1" x14ac:dyDescent="0.9">
      <c r="B63" s="637"/>
      <c r="C63" s="415" t="s">
        <v>1040</v>
      </c>
      <c r="D63" s="460" t="s">
        <v>1068</v>
      </c>
      <c r="E63" s="593"/>
      <c r="F63" s="593"/>
    </row>
    <row r="64" spans="2:6" s="579" customFormat="1" x14ac:dyDescent="0.85">
      <c r="B64" s="636" t="s">
        <v>1060</v>
      </c>
      <c r="C64" s="1" t="s">
        <v>1039</v>
      </c>
      <c r="D64" s="459" t="s">
        <v>1069</v>
      </c>
      <c r="E64" s="593"/>
      <c r="F64" s="593"/>
    </row>
    <row r="65" spans="2:6" s="579" customFormat="1" ht="28.9" thickBot="1" x14ac:dyDescent="0.9">
      <c r="B65" s="637"/>
      <c r="C65" s="415" t="s">
        <v>1040</v>
      </c>
      <c r="D65" s="460" t="s">
        <v>1070</v>
      </c>
      <c r="E65" s="593"/>
      <c r="F65" s="593"/>
    </row>
    <row r="66" spans="2:6" s="579" customFormat="1" x14ac:dyDescent="0.85">
      <c r="B66" s="636" t="s">
        <v>1078</v>
      </c>
      <c r="C66" s="1" t="s">
        <v>1039</v>
      </c>
      <c r="D66" s="459" t="s">
        <v>1071</v>
      </c>
      <c r="E66" s="593"/>
      <c r="F66" s="593"/>
    </row>
    <row r="67" spans="2:6" s="579" customFormat="1" ht="28.9" thickBot="1" x14ac:dyDescent="0.9">
      <c r="B67" s="637"/>
      <c r="C67" s="415" t="s">
        <v>1040</v>
      </c>
      <c r="D67" s="460" t="s">
        <v>1072</v>
      </c>
      <c r="E67" s="593"/>
      <c r="F67" s="593"/>
    </row>
    <row r="68" spans="2:6" s="579" customFormat="1" x14ac:dyDescent="0.85">
      <c r="B68" s="636" t="s">
        <v>1061</v>
      </c>
      <c r="C68" s="1" t="s">
        <v>1062</v>
      </c>
      <c r="D68" s="459" t="s">
        <v>1079</v>
      </c>
      <c r="E68" s="593"/>
      <c r="F68" s="593"/>
    </row>
    <row r="69" spans="2:6" s="579" customFormat="1" ht="28.9" thickBot="1" x14ac:dyDescent="0.9">
      <c r="B69" s="637"/>
      <c r="C69" s="415" t="s">
        <v>1063</v>
      </c>
      <c r="D69" s="460" t="s">
        <v>1080</v>
      </c>
      <c r="E69" s="593"/>
      <c r="F69" s="593"/>
    </row>
    <row r="70" spans="2:6" x14ac:dyDescent="0.85">
      <c r="B70" s="622" t="s">
        <v>112</v>
      </c>
      <c r="C70" s="622"/>
      <c r="D70" s="622"/>
      <c r="E70" s="622"/>
      <c r="F70" s="622"/>
    </row>
    <row r="71" spans="2:6" ht="85.5" x14ac:dyDescent="0.85">
      <c r="B71" s="618" t="s">
        <v>20</v>
      </c>
      <c r="C71" s="526" t="s">
        <v>1083</v>
      </c>
      <c r="D71" s="509" t="s">
        <v>176</v>
      </c>
      <c r="E71" s="531" t="s">
        <v>44</v>
      </c>
      <c r="F71" s="545" t="s">
        <v>182</v>
      </c>
    </row>
    <row r="72" spans="2:6" ht="57" x14ac:dyDescent="0.85">
      <c r="B72" s="618"/>
      <c r="C72" s="526" t="s">
        <v>177</v>
      </c>
      <c r="D72" s="509" t="s">
        <v>178</v>
      </c>
      <c r="E72" s="531" t="s">
        <v>122</v>
      </c>
      <c r="F72" s="545"/>
    </row>
    <row r="73" spans="2:6" ht="57" x14ac:dyDescent="0.85">
      <c r="B73" s="618"/>
      <c r="C73" s="526" t="s">
        <v>328</v>
      </c>
      <c r="D73" s="509" t="s">
        <v>179</v>
      </c>
      <c r="E73" s="531" t="s">
        <v>45</v>
      </c>
      <c r="F73" s="545"/>
    </row>
    <row r="74" spans="2:6" ht="57" x14ac:dyDescent="0.85">
      <c r="B74" s="618"/>
      <c r="C74" s="546" t="s">
        <v>1084</v>
      </c>
      <c r="D74" s="509" t="s">
        <v>180</v>
      </c>
      <c r="E74" s="531" t="s">
        <v>46</v>
      </c>
      <c r="F74" s="545"/>
    </row>
    <row r="75" spans="2:6" ht="85.9" thickBot="1" x14ac:dyDescent="0.9">
      <c r="B75" s="618"/>
      <c r="C75" s="546" t="s">
        <v>329</v>
      </c>
      <c r="D75" s="509" t="s">
        <v>181</v>
      </c>
      <c r="E75" s="531" t="s">
        <v>47</v>
      </c>
      <c r="F75" s="545"/>
    </row>
    <row r="76" spans="2:6" ht="57" x14ac:dyDescent="0.85">
      <c r="B76" s="634" t="s">
        <v>986</v>
      </c>
      <c r="C76" s="487" t="s">
        <v>160</v>
      </c>
      <c r="D76" s="509" t="s">
        <v>989</v>
      </c>
      <c r="E76" s="531" t="s">
        <v>995</v>
      </c>
      <c r="F76" s="545" t="s">
        <v>996</v>
      </c>
    </row>
    <row r="77" spans="2:6" ht="57.4" thickBot="1" x14ac:dyDescent="0.9">
      <c r="B77" s="635"/>
      <c r="C77" s="488" t="s">
        <v>152</v>
      </c>
      <c r="D77" s="509" t="s">
        <v>990</v>
      </c>
      <c r="E77" s="531" t="s">
        <v>997</v>
      </c>
      <c r="F77" s="545" t="s">
        <v>996</v>
      </c>
    </row>
    <row r="78" spans="2:6" x14ac:dyDescent="0.85">
      <c r="B78" s="622" t="s">
        <v>124</v>
      </c>
      <c r="C78" s="622"/>
      <c r="D78" s="622"/>
      <c r="E78" s="622"/>
      <c r="F78" s="622"/>
    </row>
    <row r="79" spans="2:6" ht="85.5" x14ac:dyDescent="0.85">
      <c r="B79" s="629" t="s">
        <v>589</v>
      </c>
      <c r="C79" s="526" t="s">
        <v>1085</v>
      </c>
      <c r="D79" s="509" t="s">
        <v>186</v>
      </c>
      <c r="E79" s="531" t="s">
        <v>49</v>
      </c>
      <c r="F79" s="545" t="s">
        <v>199</v>
      </c>
    </row>
    <row r="80" spans="2:6" ht="57" x14ac:dyDescent="0.85">
      <c r="B80" s="629"/>
      <c r="C80" s="526" t="s">
        <v>721</v>
      </c>
      <c r="D80" s="509" t="s">
        <v>563</v>
      </c>
      <c r="E80" s="510" t="s">
        <v>722</v>
      </c>
      <c r="F80" s="544" t="s">
        <v>723</v>
      </c>
    </row>
    <row r="81" spans="2:6" ht="57" x14ac:dyDescent="0.85">
      <c r="B81" s="629"/>
      <c r="C81" s="526" t="s">
        <v>724</v>
      </c>
      <c r="D81" s="509" t="s">
        <v>564</v>
      </c>
      <c r="E81" s="510" t="s">
        <v>725</v>
      </c>
      <c r="F81" s="544" t="s">
        <v>723</v>
      </c>
    </row>
    <row r="82" spans="2:6" ht="142.5" x14ac:dyDescent="0.85">
      <c r="B82" s="629"/>
      <c r="C82" s="526" t="s">
        <v>1086</v>
      </c>
      <c r="D82" s="509" t="s">
        <v>187</v>
      </c>
      <c r="E82" s="531" t="s">
        <v>48</v>
      </c>
      <c r="F82" s="545" t="s">
        <v>200</v>
      </c>
    </row>
    <row r="83" spans="2:6" ht="85.5" x14ac:dyDescent="0.85">
      <c r="B83" s="547" t="s">
        <v>590</v>
      </c>
      <c r="C83" s="548" t="s">
        <v>641</v>
      </c>
      <c r="D83" s="509" t="s">
        <v>188</v>
      </c>
      <c r="E83" s="531" t="s">
        <v>120</v>
      </c>
      <c r="F83" s="545" t="s">
        <v>201</v>
      </c>
    </row>
    <row r="84" spans="2:6" ht="57" x14ac:dyDescent="0.85">
      <c r="B84" s="629" t="s">
        <v>582</v>
      </c>
      <c r="C84" s="546" t="s">
        <v>395</v>
      </c>
      <c r="D84" s="509" t="s">
        <v>583</v>
      </c>
      <c r="E84" s="510" t="s">
        <v>726</v>
      </c>
      <c r="F84" s="544" t="s">
        <v>727</v>
      </c>
    </row>
    <row r="85" spans="2:6" ht="57" x14ac:dyDescent="0.85">
      <c r="B85" s="629"/>
      <c r="C85" s="546" t="s">
        <v>390</v>
      </c>
      <c r="D85" s="509" t="s">
        <v>584</v>
      </c>
      <c r="E85" s="510" t="s">
        <v>728</v>
      </c>
      <c r="F85" s="544" t="s">
        <v>727</v>
      </c>
    </row>
    <row r="86" spans="2:6" ht="57" x14ac:dyDescent="0.85">
      <c r="B86" s="629"/>
      <c r="C86" s="526" t="s">
        <v>391</v>
      </c>
      <c r="D86" s="509" t="s">
        <v>585</v>
      </c>
      <c r="E86" s="510" t="s">
        <v>729</v>
      </c>
      <c r="F86" s="544" t="s">
        <v>727</v>
      </c>
    </row>
    <row r="87" spans="2:6" ht="57" x14ac:dyDescent="0.85">
      <c r="B87" s="629"/>
      <c r="C87" s="526" t="s">
        <v>392</v>
      </c>
      <c r="D87" s="509" t="s">
        <v>586</v>
      </c>
      <c r="E87" s="510" t="s">
        <v>730</v>
      </c>
      <c r="F87" s="544" t="s">
        <v>727</v>
      </c>
    </row>
    <row r="88" spans="2:6" ht="57" x14ac:dyDescent="0.85">
      <c r="B88" s="629"/>
      <c r="C88" s="526" t="s">
        <v>393</v>
      </c>
      <c r="D88" s="509" t="s">
        <v>587</v>
      </c>
      <c r="E88" s="510" t="s">
        <v>731</v>
      </c>
      <c r="F88" s="544" t="s">
        <v>727</v>
      </c>
    </row>
    <row r="89" spans="2:6" ht="57" x14ac:dyDescent="0.85">
      <c r="B89" s="629"/>
      <c r="C89" s="526" t="s">
        <v>394</v>
      </c>
      <c r="D89" s="509" t="s">
        <v>588</v>
      </c>
      <c r="E89" s="510" t="s">
        <v>732</v>
      </c>
      <c r="F89" s="544" t="s">
        <v>727</v>
      </c>
    </row>
    <row r="90" spans="2:6" ht="57" x14ac:dyDescent="0.85">
      <c r="B90" s="629" t="s">
        <v>1132</v>
      </c>
      <c r="C90" s="526" t="s">
        <v>561</v>
      </c>
      <c r="D90" s="509" t="s">
        <v>352</v>
      </c>
      <c r="E90" s="531" t="s">
        <v>733</v>
      </c>
      <c r="F90" s="545" t="s">
        <v>734</v>
      </c>
    </row>
    <row r="91" spans="2:6" ht="57" x14ac:dyDescent="0.85">
      <c r="B91" s="629"/>
      <c r="C91" s="526" t="s">
        <v>735</v>
      </c>
      <c r="D91" s="509" t="s">
        <v>567</v>
      </c>
      <c r="E91" s="510" t="s">
        <v>736</v>
      </c>
      <c r="F91" s="544" t="s">
        <v>737</v>
      </c>
    </row>
    <row r="92" spans="2:6" ht="57" x14ac:dyDescent="0.85">
      <c r="B92" s="629"/>
      <c r="C92" s="526" t="s">
        <v>738</v>
      </c>
      <c r="D92" s="509" t="s">
        <v>568</v>
      </c>
      <c r="E92" s="510" t="s">
        <v>739</v>
      </c>
      <c r="F92" s="544" t="s">
        <v>740</v>
      </c>
    </row>
    <row r="93" spans="2:6" ht="85.5" x14ac:dyDescent="0.85">
      <c r="B93" s="629"/>
      <c r="C93" s="526" t="s">
        <v>1087</v>
      </c>
      <c r="D93" s="509" t="s">
        <v>189</v>
      </c>
      <c r="E93" s="531" t="s">
        <v>50</v>
      </c>
      <c r="F93" s="545" t="s">
        <v>202</v>
      </c>
    </row>
    <row r="94" spans="2:6" ht="85.5" hidden="1" x14ac:dyDescent="0.85">
      <c r="B94" s="629"/>
      <c r="C94" s="548" t="s">
        <v>569</v>
      </c>
      <c r="D94" s="509" t="s">
        <v>570</v>
      </c>
      <c r="E94" s="510" t="s">
        <v>741</v>
      </c>
      <c r="F94" s="544" t="s">
        <v>742</v>
      </c>
    </row>
    <row r="95" spans="2:6" ht="85.5" hidden="1" x14ac:dyDescent="0.85">
      <c r="B95" s="629" t="s">
        <v>581</v>
      </c>
      <c r="C95" s="526" t="s">
        <v>395</v>
      </c>
      <c r="D95" s="509" t="s">
        <v>591</v>
      </c>
      <c r="E95" s="510" t="s">
        <v>743</v>
      </c>
      <c r="F95" s="544"/>
    </row>
    <row r="96" spans="2:6" ht="85.5" hidden="1" x14ac:dyDescent="0.85">
      <c r="B96" s="629"/>
      <c r="C96" s="526" t="s">
        <v>390</v>
      </c>
      <c r="D96" s="509" t="s">
        <v>592</v>
      </c>
      <c r="E96" s="510" t="s">
        <v>744</v>
      </c>
      <c r="F96" s="544"/>
    </row>
    <row r="97" spans="2:6" ht="85.5" hidden="1" x14ac:dyDescent="0.85">
      <c r="B97" s="629"/>
      <c r="C97" s="526" t="s">
        <v>391</v>
      </c>
      <c r="D97" s="509" t="s">
        <v>593</v>
      </c>
      <c r="E97" s="510" t="s">
        <v>745</v>
      </c>
      <c r="F97" s="544"/>
    </row>
    <row r="98" spans="2:6" ht="85.5" hidden="1" x14ac:dyDescent="0.85">
      <c r="B98" s="629"/>
      <c r="C98" s="526" t="s">
        <v>392</v>
      </c>
      <c r="D98" s="509" t="s">
        <v>594</v>
      </c>
      <c r="E98" s="510" t="s">
        <v>746</v>
      </c>
      <c r="F98" s="544"/>
    </row>
    <row r="99" spans="2:6" ht="85.5" hidden="1" x14ac:dyDescent="0.85">
      <c r="B99" s="629"/>
      <c r="C99" s="526" t="s">
        <v>393</v>
      </c>
      <c r="D99" s="509" t="s">
        <v>595</v>
      </c>
      <c r="E99" s="510" t="s">
        <v>747</v>
      </c>
      <c r="F99" s="544"/>
    </row>
    <row r="100" spans="2:6" ht="85.5" hidden="1" x14ac:dyDescent="0.85">
      <c r="B100" s="629"/>
      <c r="C100" s="526" t="s">
        <v>394</v>
      </c>
      <c r="D100" s="509" t="s">
        <v>596</v>
      </c>
      <c r="E100" s="510" t="s">
        <v>748</v>
      </c>
      <c r="F100" s="544"/>
    </row>
    <row r="101" spans="2:6" ht="57" hidden="1" x14ac:dyDescent="0.85">
      <c r="B101" s="618" t="s">
        <v>28</v>
      </c>
      <c r="C101" s="526" t="s">
        <v>190</v>
      </c>
      <c r="D101" s="509" t="s">
        <v>191</v>
      </c>
      <c r="E101" s="531" t="s">
        <v>51</v>
      </c>
      <c r="F101" s="545" t="s">
        <v>202</v>
      </c>
    </row>
    <row r="102" spans="2:6" ht="57" hidden="1" x14ac:dyDescent="0.85">
      <c r="B102" s="618"/>
      <c r="C102" s="526" t="s">
        <v>330</v>
      </c>
      <c r="D102" s="509" t="s">
        <v>192</v>
      </c>
      <c r="E102" s="531" t="s">
        <v>52</v>
      </c>
      <c r="F102" s="545" t="s">
        <v>202</v>
      </c>
    </row>
    <row r="103" spans="2:6" ht="85.5" hidden="1" x14ac:dyDescent="0.85">
      <c r="B103" s="618"/>
      <c r="C103" s="526" t="s">
        <v>331</v>
      </c>
      <c r="D103" s="509" t="s">
        <v>353</v>
      </c>
      <c r="E103" s="531" t="s">
        <v>53</v>
      </c>
      <c r="F103" s="545" t="s">
        <v>206</v>
      </c>
    </row>
    <row r="104" spans="2:6" ht="57" x14ac:dyDescent="0.85">
      <c r="B104" s="618" t="s">
        <v>21</v>
      </c>
      <c r="C104" s="526" t="s">
        <v>1088</v>
      </c>
      <c r="D104" s="509" t="s">
        <v>354</v>
      </c>
      <c r="E104" s="531" t="s">
        <v>54</v>
      </c>
      <c r="F104" s="545" t="s">
        <v>203</v>
      </c>
    </row>
    <row r="105" spans="2:6" ht="57" x14ac:dyDescent="0.85">
      <c r="B105" s="618"/>
      <c r="C105" s="526" t="s">
        <v>1089</v>
      </c>
      <c r="D105" s="509" t="s">
        <v>355</v>
      </c>
      <c r="E105" s="531" t="s">
        <v>86</v>
      </c>
      <c r="F105" s="545" t="s">
        <v>204</v>
      </c>
    </row>
    <row r="106" spans="2:6" ht="57" x14ac:dyDescent="0.85">
      <c r="B106" s="618"/>
      <c r="C106" s="526" t="s">
        <v>193</v>
      </c>
      <c r="D106" s="509" t="s">
        <v>194</v>
      </c>
      <c r="E106" s="531" t="s">
        <v>87</v>
      </c>
      <c r="F106" s="545" t="s">
        <v>205</v>
      </c>
    </row>
    <row r="107" spans="2:6" ht="57" x14ac:dyDescent="0.85">
      <c r="B107" s="618"/>
      <c r="C107" s="526" t="s">
        <v>1090</v>
      </c>
      <c r="D107" s="509" t="s">
        <v>195</v>
      </c>
      <c r="E107" s="531" t="s">
        <v>88</v>
      </c>
      <c r="F107" s="545" t="s">
        <v>205</v>
      </c>
    </row>
    <row r="108" spans="2:6" ht="57" x14ac:dyDescent="0.85">
      <c r="B108" s="618"/>
      <c r="C108" s="526" t="s">
        <v>1091</v>
      </c>
      <c r="D108" s="509" t="s">
        <v>196</v>
      </c>
      <c r="E108" s="531" t="s">
        <v>89</v>
      </c>
      <c r="F108" s="545" t="s">
        <v>638</v>
      </c>
    </row>
    <row r="109" spans="2:6" ht="57" x14ac:dyDescent="0.85">
      <c r="B109" s="618"/>
      <c r="C109" s="526" t="s">
        <v>332</v>
      </c>
      <c r="D109" s="509" t="s">
        <v>197</v>
      </c>
      <c r="E109" s="531" t="s">
        <v>90</v>
      </c>
      <c r="F109" s="545" t="s">
        <v>207</v>
      </c>
    </row>
    <row r="110" spans="2:6" x14ac:dyDescent="0.85">
      <c r="B110" s="618"/>
      <c r="C110" s="526" t="s">
        <v>1092</v>
      </c>
      <c r="D110" s="509" t="s">
        <v>198</v>
      </c>
      <c r="E110" s="531" t="s">
        <v>91</v>
      </c>
      <c r="F110" s="545" t="s">
        <v>639</v>
      </c>
    </row>
    <row r="111" spans="2:6" ht="76.900000000000006" thickBot="1" x14ac:dyDescent="0.9">
      <c r="B111" s="352" t="s">
        <v>1033</v>
      </c>
      <c r="C111" s="355" t="s">
        <v>1135</v>
      </c>
      <c r="D111" s="51" t="s">
        <v>1034</v>
      </c>
      <c r="E111" s="531"/>
      <c r="F111" s="545"/>
    </row>
    <row r="112" spans="2:6" ht="142.5" x14ac:dyDescent="0.85">
      <c r="B112" s="618" t="s">
        <v>114</v>
      </c>
      <c r="C112" s="547" t="s">
        <v>1093</v>
      </c>
      <c r="D112" s="509" t="s">
        <v>356</v>
      </c>
      <c r="E112" s="531" t="s">
        <v>137</v>
      </c>
      <c r="F112" s="545" t="s">
        <v>208</v>
      </c>
    </row>
    <row r="113" spans="2:14" ht="114" x14ac:dyDescent="0.85">
      <c r="B113" s="618"/>
      <c r="C113" s="547" t="s">
        <v>333</v>
      </c>
      <c r="D113" s="509" t="s">
        <v>357</v>
      </c>
      <c r="E113" s="531" t="s">
        <v>136</v>
      </c>
      <c r="F113" s="545" t="s">
        <v>209</v>
      </c>
    </row>
    <row r="114" spans="2:14" x14ac:dyDescent="0.85">
      <c r="B114" s="622" t="s">
        <v>125</v>
      </c>
      <c r="C114" s="622"/>
      <c r="D114" s="622"/>
      <c r="E114" s="622"/>
      <c r="F114" s="622"/>
    </row>
    <row r="115" spans="2:14" ht="85.5" x14ac:dyDescent="0.85">
      <c r="B115" s="618" t="s">
        <v>960</v>
      </c>
      <c r="C115" s="526" t="s">
        <v>1094</v>
      </c>
      <c r="D115" s="509" t="s">
        <v>212</v>
      </c>
      <c r="E115" s="531" t="s">
        <v>81</v>
      </c>
      <c r="F115" s="545" t="s">
        <v>210</v>
      </c>
    </row>
    <row r="116" spans="2:14" ht="85.5" x14ac:dyDescent="0.85">
      <c r="B116" s="618"/>
      <c r="C116" s="526" t="s">
        <v>1095</v>
      </c>
      <c r="D116" s="509" t="s">
        <v>213</v>
      </c>
      <c r="E116" s="531" t="s">
        <v>962</v>
      </c>
      <c r="F116" s="545" t="s">
        <v>210</v>
      </c>
      <c r="G116" s="638"/>
      <c r="H116" s="639"/>
      <c r="I116" s="639"/>
      <c r="J116" s="639"/>
      <c r="K116" s="639"/>
      <c r="L116" s="639"/>
      <c r="M116" s="639"/>
      <c r="N116" s="639"/>
    </row>
    <row r="117" spans="2:14" ht="57" x14ac:dyDescent="0.85">
      <c r="B117" s="618" t="s">
        <v>961</v>
      </c>
      <c r="C117" s="526" t="s">
        <v>1096</v>
      </c>
      <c r="D117" s="509" t="s">
        <v>214</v>
      </c>
      <c r="E117" s="531" t="s">
        <v>964</v>
      </c>
      <c r="F117" s="545" t="s">
        <v>210</v>
      </c>
    </row>
    <row r="118" spans="2:14" ht="85.5" x14ac:dyDescent="0.85">
      <c r="B118" s="618"/>
      <c r="C118" s="526" t="s">
        <v>1095</v>
      </c>
      <c r="D118" s="509" t="s">
        <v>215</v>
      </c>
      <c r="E118" s="531" t="s">
        <v>965</v>
      </c>
      <c r="F118" s="545" t="s">
        <v>210</v>
      </c>
    </row>
    <row r="119" spans="2:14" ht="85.5" x14ac:dyDescent="0.85">
      <c r="B119" s="618" t="s">
        <v>29</v>
      </c>
      <c r="C119" s="547" t="s">
        <v>334</v>
      </c>
      <c r="D119" s="509" t="s">
        <v>216</v>
      </c>
      <c r="E119" s="531" t="s">
        <v>82</v>
      </c>
      <c r="F119" s="545" t="s">
        <v>210</v>
      </c>
    </row>
    <row r="120" spans="2:14" ht="85.5" x14ac:dyDescent="0.85">
      <c r="B120" s="618"/>
      <c r="C120" s="547" t="s">
        <v>335</v>
      </c>
      <c r="D120" s="509" t="s">
        <v>217</v>
      </c>
      <c r="E120" s="531" t="s">
        <v>211</v>
      </c>
      <c r="F120" s="545" t="s">
        <v>210</v>
      </c>
    </row>
    <row r="121" spans="2:14" ht="85.5" x14ac:dyDescent="0.85">
      <c r="B121" s="618" t="s">
        <v>30</v>
      </c>
      <c r="C121" s="547" t="s">
        <v>334</v>
      </c>
      <c r="D121" s="509" t="s">
        <v>218</v>
      </c>
      <c r="E121" s="531" t="s">
        <v>83</v>
      </c>
      <c r="F121" s="545" t="s">
        <v>210</v>
      </c>
    </row>
    <row r="122" spans="2:14" ht="85.5" x14ac:dyDescent="0.85">
      <c r="B122" s="618"/>
      <c r="C122" s="549" t="s">
        <v>1097</v>
      </c>
      <c r="D122" s="509" t="s">
        <v>219</v>
      </c>
      <c r="E122" s="531" t="s">
        <v>211</v>
      </c>
      <c r="F122" s="545" t="s">
        <v>210</v>
      </c>
    </row>
    <row r="123" spans="2:14" ht="57" x14ac:dyDescent="0.85">
      <c r="B123" s="618" t="s">
        <v>31</v>
      </c>
      <c r="C123" s="549" t="s">
        <v>334</v>
      </c>
      <c r="D123" s="509" t="s">
        <v>220</v>
      </c>
      <c r="E123" s="531" t="s">
        <v>84</v>
      </c>
      <c r="F123" s="545" t="s">
        <v>210</v>
      </c>
    </row>
    <row r="124" spans="2:14" ht="85.5" x14ac:dyDescent="0.85">
      <c r="B124" s="618"/>
      <c r="C124" s="547" t="s">
        <v>1098</v>
      </c>
      <c r="D124" s="509" t="s">
        <v>221</v>
      </c>
      <c r="E124" s="531" t="s">
        <v>211</v>
      </c>
      <c r="F124" s="545" t="s">
        <v>210</v>
      </c>
    </row>
    <row r="125" spans="2:14" ht="85.5" x14ac:dyDescent="0.85">
      <c r="B125" s="618" t="s">
        <v>32</v>
      </c>
      <c r="C125" s="547" t="s">
        <v>334</v>
      </c>
      <c r="D125" s="509" t="s">
        <v>222</v>
      </c>
      <c r="E125" s="531" t="s">
        <v>85</v>
      </c>
      <c r="F125" s="545" t="s">
        <v>210</v>
      </c>
    </row>
    <row r="126" spans="2:14" ht="85.5" x14ac:dyDescent="0.85">
      <c r="B126" s="618"/>
      <c r="C126" s="547" t="s">
        <v>336</v>
      </c>
      <c r="D126" s="509" t="s">
        <v>223</v>
      </c>
      <c r="E126" s="531" t="s">
        <v>211</v>
      </c>
      <c r="F126" s="545" t="s">
        <v>210</v>
      </c>
    </row>
    <row r="127" spans="2:14" x14ac:dyDescent="0.85">
      <c r="B127" s="622" t="s">
        <v>126</v>
      </c>
      <c r="C127" s="622"/>
      <c r="D127" s="622"/>
      <c r="E127" s="622"/>
      <c r="F127" s="622"/>
    </row>
    <row r="128" spans="2:14" ht="85.5" x14ac:dyDescent="0.85">
      <c r="B128" s="618" t="s">
        <v>33</v>
      </c>
      <c r="C128" s="526" t="s">
        <v>1099</v>
      </c>
      <c r="D128" s="509" t="s">
        <v>358</v>
      </c>
      <c r="E128" s="531" t="s">
        <v>55</v>
      </c>
      <c r="F128" s="545" t="s">
        <v>226</v>
      </c>
    </row>
    <row r="129" spans="2:6" ht="85.5" x14ac:dyDescent="0.85">
      <c r="B129" s="618"/>
      <c r="C129" s="526" t="s">
        <v>225</v>
      </c>
      <c r="D129" s="509" t="s">
        <v>224</v>
      </c>
      <c r="E129" s="531" t="s">
        <v>57</v>
      </c>
      <c r="F129" s="545" t="s">
        <v>227</v>
      </c>
    </row>
    <row r="130" spans="2:6" ht="57" customHeight="1" x14ac:dyDescent="0.85">
      <c r="B130" s="618"/>
      <c r="C130" s="550" t="s">
        <v>1006</v>
      </c>
      <c r="D130" s="551" t="s">
        <v>1003</v>
      </c>
      <c r="E130" s="531"/>
      <c r="F130" s="545"/>
    </row>
    <row r="131" spans="2:6" ht="85.5" x14ac:dyDescent="0.85">
      <c r="B131" s="618"/>
      <c r="C131" s="526" t="s">
        <v>1100</v>
      </c>
      <c r="D131" s="509" t="s">
        <v>359</v>
      </c>
      <c r="E131" s="531" t="s">
        <v>56</v>
      </c>
      <c r="F131" s="545" t="s">
        <v>228</v>
      </c>
    </row>
    <row r="132" spans="2:6" ht="57" x14ac:dyDescent="0.85">
      <c r="B132" s="618"/>
      <c r="C132" s="526" t="s">
        <v>1101</v>
      </c>
      <c r="D132" s="509" t="s">
        <v>229</v>
      </c>
      <c r="E132" s="531" t="s">
        <v>58</v>
      </c>
      <c r="F132" s="545" t="s">
        <v>232</v>
      </c>
    </row>
    <row r="133" spans="2:6" ht="85.5" x14ac:dyDescent="0.85">
      <c r="B133" s="618"/>
      <c r="C133" s="526" t="s">
        <v>1102</v>
      </c>
      <c r="D133" s="509" t="s">
        <v>230</v>
      </c>
      <c r="E133" s="531" t="s">
        <v>59</v>
      </c>
      <c r="F133" s="545" t="s">
        <v>233</v>
      </c>
    </row>
    <row r="134" spans="2:6" ht="114" x14ac:dyDescent="0.85">
      <c r="B134" s="618"/>
      <c r="C134" s="526" t="s">
        <v>1103</v>
      </c>
      <c r="D134" s="509" t="s">
        <v>231</v>
      </c>
      <c r="E134" s="531" t="s">
        <v>60</v>
      </c>
      <c r="F134" s="545" t="s">
        <v>233</v>
      </c>
    </row>
    <row r="135" spans="2:6" ht="85.5" x14ac:dyDescent="0.85">
      <c r="B135" s="618" t="s">
        <v>468</v>
      </c>
      <c r="C135" s="526" t="s">
        <v>237</v>
      </c>
      <c r="D135" s="509" t="s">
        <v>360</v>
      </c>
      <c r="E135" s="531" t="s">
        <v>55</v>
      </c>
      <c r="F135" s="545" t="s">
        <v>234</v>
      </c>
    </row>
    <row r="136" spans="2:6" ht="85.5" x14ac:dyDescent="0.85">
      <c r="B136" s="618"/>
      <c r="C136" s="526" t="s">
        <v>1104</v>
      </c>
      <c r="D136" s="509" t="s">
        <v>361</v>
      </c>
      <c r="E136" s="531" t="s">
        <v>57</v>
      </c>
      <c r="F136" s="545" t="s">
        <v>235</v>
      </c>
    </row>
    <row r="137" spans="2:6" ht="85.5" x14ac:dyDescent="0.85">
      <c r="B137" s="618"/>
      <c r="C137" s="526" t="s">
        <v>238</v>
      </c>
      <c r="D137" s="509" t="s">
        <v>239</v>
      </c>
      <c r="E137" s="531" t="s">
        <v>56</v>
      </c>
      <c r="F137" s="545" t="s">
        <v>236</v>
      </c>
    </row>
    <row r="138" spans="2:6" x14ac:dyDescent="0.85">
      <c r="B138" s="618"/>
      <c r="C138" s="550" t="s">
        <v>1006</v>
      </c>
      <c r="D138" s="551" t="s">
        <v>1003</v>
      </c>
      <c r="E138" s="531"/>
      <c r="F138" s="545"/>
    </row>
    <row r="139" spans="2:6" ht="57" x14ac:dyDescent="0.85">
      <c r="B139" s="618"/>
      <c r="C139" s="546" t="s">
        <v>337</v>
      </c>
      <c r="D139" s="509" t="s">
        <v>240</v>
      </c>
      <c r="E139" s="531" t="s">
        <v>58</v>
      </c>
      <c r="F139" s="545" t="s">
        <v>243</v>
      </c>
    </row>
    <row r="140" spans="2:6" ht="85.5" x14ac:dyDescent="0.85">
      <c r="B140" s="618"/>
      <c r="C140" s="546" t="s">
        <v>1102</v>
      </c>
      <c r="D140" s="509" t="s">
        <v>362</v>
      </c>
      <c r="E140" s="531" t="s">
        <v>59</v>
      </c>
      <c r="F140" s="545" t="s">
        <v>244</v>
      </c>
    </row>
    <row r="141" spans="2:6" ht="114" x14ac:dyDescent="0.85">
      <c r="B141" s="618"/>
      <c r="C141" s="526" t="s">
        <v>241</v>
      </c>
      <c r="D141" s="509" t="s">
        <v>242</v>
      </c>
      <c r="E141" s="531" t="s">
        <v>60</v>
      </c>
      <c r="F141" s="545" t="s">
        <v>244</v>
      </c>
    </row>
    <row r="142" spans="2:6" ht="85.5" x14ac:dyDescent="0.85">
      <c r="B142" s="618" t="s">
        <v>25</v>
      </c>
      <c r="C142" s="526" t="s">
        <v>1105</v>
      </c>
      <c r="D142" s="509" t="s">
        <v>363</v>
      </c>
      <c r="E142" s="531" t="s">
        <v>55</v>
      </c>
      <c r="F142" s="545" t="s">
        <v>245</v>
      </c>
    </row>
    <row r="143" spans="2:6" ht="85.5" x14ac:dyDescent="0.85">
      <c r="B143" s="618"/>
      <c r="C143" s="546" t="s">
        <v>225</v>
      </c>
      <c r="D143" s="509" t="s">
        <v>364</v>
      </c>
      <c r="E143" s="531" t="s">
        <v>57</v>
      </c>
      <c r="F143" s="545" t="s">
        <v>246</v>
      </c>
    </row>
    <row r="144" spans="2:6" ht="85.5" x14ac:dyDescent="0.85">
      <c r="B144" s="618"/>
      <c r="C144" s="526" t="s">
        <v>238</v>
      </c>
      <c r="D144" s="509" t="s">
        <v>365</v>
      </c>
      <c r="E144" s="531" t="s">
        <v>56</v>
      </c>
      <c r="F144" s="545" t="s">
        <v>247</v>
      </c>
    </row>
    <row r="145" spans="2:6" x14ac:dyDescent="0.85">
      <c r="B145" s="618"/>
      <c r="C145" s="550" t="s">
        <v>1006</v>
      </c>
      <c r="D145" s="551" t="s">
        <v>1003</v>
      </c>
      <c r="E145" s="531"/>
      <c r="F145" s="545"/>
    </row>
    <row r="146" spans="2:6" ht="57" x14ac:dyDescent="0.85">
      <c r="B146" s="618"/>
      <c r="C146" s="526" t="s">
        <v>1101</v>
      </c>
      <c r="D146" s="509" t="s">
        <v>250</v>
      </c>
      <c r="E146" s="531" t="s">
        <v>58</v>
      </c>
      <c r="F146" s="545" t="s">
        <v>249</v>
      </c>
    </row>
    <row r="147" spans="2:6" ht="85.5" x14ac:dyDescent="0.85">
      <c r="B147" s="618"/>
      <c r="C147" s="526" t="s">
        <v>1102</v>
      </c>
      <c r="D147" s="509" t="s">
        <v>366</v>
      </c>
      <c r="E147" s="531" t="s">
        <v>59</v>
      </c>
      <c r="F147" s="545" t="s">
        <v>248</v>
      </c>
    </row>
    <row r="148" spans="2:6" ht="114" x14ac:dyDescent="0.85">
      <c r="B148" s="618"/>
      <c r="C148" s="526" t="s">
        <v>241</v>
      </c>
      <c r="D148" s="509" t="s">
        <v>367</v>
      </c>
      <c r="E148" s="531" t="s">
        <v>60</v>
      </c>
      <c r="F148" s="545" t="s">
        <v>248</v>
      </c>
    </row>
    <row r="149" spans="2:6" x14ac:dyDescent="0.85">
      <c r="B149" s="622" t="s">
        <v>127</v>
      </c>
      <c r="C149" s="622"/>
      <c r="D149" s="622"/>
      <c r="E149" s="622"/>
      <c r="F149" s="622"/>
    </row>
    <row r="150" spans="2:6" hidden="1" x14ac:dyDescent="0.85">
      <c r="B150" s="621" t="s">
        <v>875</v>
      </c>
      <c r="C150" s="526" t="s">
        <v>677</v>
      </c>
      <c r="D150" s="552" t="s">
        <v>522</v>
      </c>
      <c r="E150" s="531" t="s">
        <v>714</v>
      </c>
      <c r="F150" s="553" t="s">
        <v>749</v>
      </c>
    </row>
    <row r="151" spans="2:6" ht="57" hidden="1" x14ac:dyDescent="0.85">
      <c r="B151" s="621"/>
      <c r="C151" s="526" t="s">
        <v>914</v>
      </c>
      <c r="D151" s="552" t="s">
        <v>523</v>
      </c>
      <c r="E151" s="531" t="s">
        <v>750</v>
      </c>
      <c r="F151" s="554" t="s">
        <v>751</v>
      </c>
    </row>
    <row r="152" spans="2:6" hidden="1" x14ac:dyDescent="0.85">
      <c r="B152" s="621"/>
      <c r="C152" s="543" t="s">
        <v>918</v>
      </c>
      <c r="D152" s="552" t="s">
        <v>879</v>
      </c>
      <c r="E152" s="531" t="s">
        <v>929</v>
      </c>
      <c r="F152" s="554" t="s">
        <v>930</v>
      </c>
    </row>
    <row r="153" spans="2:6" ht="57" hidden="1" x14ac:dyDescent="0.85">
      <c r="B153" s="621"/>
      <c r="C153" s="526" t="s">
        <v>870</v>
      </c>
      <c r="D153" s="552" t="s">
        <v>880</v>
      </c>
      <c r="E153" s="531" t="s">
        <v>931</v>
      </c>
      <c r="F153" s="554" t="s">
        <v>930</v>
      </c>
    </row>
    <row r="154" spans="2:6" s="555" customFormat="1" ht="57" hidden="1" x14ac:dyDescent="0.85">
      <c r="B154" s="621"/>
      <c r="C154" s="526" t="s">
        <v>871</v>
      </c>
      <c r="D154" s="552" t="s">
        <v>881</v>
      </c>
      <c r="E154" s="531" t="s">
        <v>932</v>
      </c>
      <c r="F154" s="554" t="s">
        <v>933</v>
      </c>
    </row>
    <row r="155" spans="2:6" ht="57" hidden="1" x14ac:dyDescent="0.85">
      <c r="B155" s="621"/>
      <c r="C155" s="526" t="s">
        <v>872</v>
      </c>
      <c r="D155" s="552" t="s">
        <v>882</v>
      </c>
      <c r="E155" s="531" t="s">
        <v>934</v>
      </c>
      <c r="F155" s="554" t="s">
        <v>930</v>
      </c>
    </row>
    <row r="156" spans="2:6" ht="57" hidden="1" x14ac:dyDescent="0.85">
      <c r="B156" s="621"/>
      <c r="C156" s="526" t="s">
        <v>873</v>
      </c>
      <c r="D156" s="552" t="s">
        <v>883</v>
      </c>
      <c r="E156" s="531" t="s">
        <v>935</v>
      </c>
      <c r="F156" s="554" t="s">
        <v>933</v>
      </c>
    </row>
    <row r="157" spans="2:6" ht="57" hidden="1" x14ac:dyDescent="0.85">
      <c r="B157" s="621"/>
      <c r="C157" s="526" t="s">
        <v>874</v>
      </c>
      <c r="D157" s="552" t="s">
        <v>884</v>
      </c>
      <c r="E157" s="531" t="s">
        <v>936</v>
      </c>
      <c r="F157" s="554" t="s">
        <v>930</v>
      </c>
    </row>
    <row r="158" spans="2:6" ht="57" hidden="1" x14ac:dyDescent="0.85">
      <c r="B158" s="621"/>
      <c r="C158" s="526" t="s">
        <v>909</v>
      </c>
      <c r="D158" s="552" t="s">
        <v>885</v>
      </c>
      <c r="E158" s="531" t="s">
        <v>940</v>
      </c>
      <c r="F158" s="554" t="s">
        <v>930</v>
      </c>
    </row>
    <row r="159" spans="2:6" hidden="1" x14ac:dyDescent="0.85">
      <c r="B159" s="621" t="s">
        <v>876</v>
      </c>
      <c r="C159" s="526" t="s">
        <v>920</v>
      </c>
      <c r="D159" s="552" t="s">
        <v>886</v>
      </c>
      <c r="E159" s="531" t="s">
        <v>937</v>
      </c>
      <c r="F159" s="554" t="s">
        <v>938</v>
      </c>
    </row>
    <row r="160" spans="2:6" ht="57" hidden="1" x14ac:dyDescent="0.85">
      <c r="B160" s="621"/>
      <c r="C160" s="526" t="s">
        <v>915</v>
      </c>
      <c r="D160" s="552" t="s">
        <v>887</v>
      </c>
      <c r="E160" s="531" t="s">
        <v>939</v>
      </c>
      <c r="F160" s="554" t="s">
        <v>751</v>
      </c>
    </row>
    <row r="161" spans="2:6" hidden="1" x14ac:dyDescent="0.85">
      <c r="B161" s="621"/>
      <c r="C161" s="543" t="s">
        <v>923</v>
      </c>
      <c r="D161" s="552" t="s">
        <v>888</v>
      </c>
      <c r="E161" s="531" t="s">
        <v>929</v>
      </c>
      <c r="F161" s="554" t="s">
        <v>930</v>
      </c>
    </row>
    <row r="162" spans="2:6" ht="57" hidden="1" x14ac:dyDescent="0.85">
      <c r="B162" s="621"/>
      <c r="C162" s="526" t="s">
        <v>870</v>
      </c>
      <c r="D162" s="552" t="s">
        <v>889</v>
      </c>
      <c r="E162" s="531" t="s">
        <v>931</v>
      </c>
      <c r="F162" s="554" t="s">
        <v>930</v>
      </c>
    </row>
    <row r="163" spans="2:6" ht="57" hidden="1" x14ac:dyDescent="0.85">
      <c r="B163" s="621"/>
      <c r="C163" s="526" t="s">
        <v>871</v>
      </c>
      <c r="D163" s="552" t="s">
        <v>890</v>
      </c>
      <c r="E163" s="531" t="s">
        <v>932</v>
      </c>
      <c r="F163" s="554" t="s">
        <v>933</v>
      </c>
    </row>
    <row r="164" spans="2:6" ht="57" hidden="1" x14ac:dyDescent="0.85">
      <c r="B164" s="621"/>
      <c r="C164" s="526" t="s">
        <v>872</v>
      </c>
      <c r="D164" s="552" t="s">
        <v>891</v>
      </c>
      <c r="E164" s="531" t="s">
        <v>934</v>
      </c>
      <c r="F164" s="554" t="s">
        <v>930</v>
      </c>
    </row>
    <row r="165" spans="2:6" ht="57" hidden="1" x14ac:dyDescent="0.85">
      <c r="B165" s="621"/>
      <c r="C165" s="526" t="s">
        <v>873</v>
      </c>
      <c r="D165" s="552" t="s">
        <v>892</v>
      </c>
      <c r="E165" s="531" t="s">
        <v>935</v>
      </c>
      <c r="F165" s="554" t="s">
        <v>933</v>
      </c>
    </row>
    <row r="166" spans="2:6" ht="57" hidden="1" x14ac:dyDescent="0.85">
      <c r="B166" s="621"/>
      <c r="C166" s="526" t="s">
        <v>874</v>
      </c>
      <c r="D166" s="552" t="s">
        <v>893</v>
      </c>
      <c r="E166" s="531" t="s">
        <v>936</v>
      </c>
      <c r="F166" s="554" t="s">
        <v>930</v>
      </c>
    </row>
    <row r="167" spans="2:6" ht="57" hidden="1" x14ac:dyDescent="0.85">
      <c r="B167" s="621"/>
      <c r="C167" s="526" t="s">
        <v>909</v>
      </c>
      <c r="D167" s="552" t="s">
        <v>894</v>
      </c>
      <c r="E167" s="531" t="s">
        <v>940</v>
      </c>
      <c r="F167" s="554" t="s">
        <v>930</v>
      </c>
    </row>
    <row r="168" spans="2:6" hidden="1" x14ac:dyDescent="0.85">
      <c r="B168" s="621" t="s">
        <v>878</v>
      </c>
      <c r="C168" s="526" t="s">
        <v>921</v>
      </c>
      <c r="D168" s="552" t="s">
        <v>895</v>
      </c>
      <c r="E168" s="531" t="s">
        <v>941</v>
      </c>
      <c r="F168" s="554" t="s">
        <v>942</v>
      </c>
    </row>
    <row r="169" spans="2:6" ht="57" hidden="1" x14ac:dyDescent="0.85">
      <c r="B169" s="621"/>
      <c r="C169" s="526" t="s">
        <v>916</v>
      </c>
      <c r="D169" s="552" t="s">
        <v>896</v>
      </c>
      <c r="E169" s="531" t="s">
        <v>943</v>
      </c>
      <c r="F169" s="554" t="s">
        <v>751</v>
      </c>
    </row>
    <row r="170" spans="2:6" hidden="1" x14ac:dyDescent="0.85">
      <c r="B170" s="621"/>
      <c r="C170" s="543" t="s">
        <v>924</v>
      </c>
      <c r="D170" s="552" t="s">
        <v>897</v>
      </c>
      <c r="E170" s="531" t="s">
        <v>929</v>
      </c>
      <c r="F170" s="554" t="s">
        <v>930</v>
      </c>
    </row>
    <row r="171" spans="2:6" ht="57" hidden="1" x14ac:dyDescent="0.85">
      <c r="B171" s="621"/>
      <c r="C171" s="526" t="s">
        <v>870</v>
      </c>
      <c r="D171" s="552" t="s">
        <v>898</v>
      </c>
      <c r="E171" s="531" t="s">
        <v>944</v>
      </c>
      <c r="F171" s="554" t="s">
        <v>930</v>
      </c>
    </row>
    <row r="172" spans="2:6" ht="57" hidden="1" x14ac:dyDescent="0.85">
      <c r="B172" s="621"/>
      <c r="C172" s="526" t="s">
        <v>871</v>
      </c>
      <c r="D172" s="552" t="s">
        <v>899</v>
      </c>
      <c r="E172" s="531" t="s">
        <v>945</v>
      </c>
      <c r="F172" s="554" t="s">
        <v>933</v>
      </c>
    </row>
    <row r="173" spans="2:6" ht="57" hidden="1" x14ac:dyDescent="0.85">
      <c r="B173" s="621"/>
      <c r="C173" s="526" t="s">
        <v>872</v>
      </c>
      <c r="D173" s="552" t="s">
        <v>900</v>
      </c>
      <c r="E173" s="531" t="s">
        <v>946</v>
      </c>
      <c r="F173" s="554" t="s">
        <v>930</v>
      </c>
    </row>
    <row r="174" spans="2:6" ht="57" hidden="1" x14ac:dyDescent="0.85">
      <c r="B174" s="621"/>
      <c r="C174" s="526" t="s">
        <v>873</v>
      </c>
      <c r="D174" s="552" t="s">
        <v>901</v>
      </c>
      <c r="E174" s="531" t="s">
        <v>947</v>
      </c>
      <c r="F174" s="554" t="s">
        <v>933</v>
      </c>
    </row>
    <row r="175" spans="2:6" ht="57" hidden="1" x14ac:dyDescent="0.85">
      <c r="B175" s="621"/>
      <c r="C175" s="526" t="s">
        <v>874</v>
      </c>
      <c r="D175" s="552" t="s">
        <v>902</v>
      </c>
      <c r="E175" s="531" t="s">
        <v>936</v>
      </c>
      <c r="F175" s="554" t="s">
        <v>930</v>
      </c>
    </row>
    <row r="176" spans="2:6" ht="57" hidden="1" x14ac:dyDescent="0.85">
      <c r="B176" s="621"/>
      <c r="C176" s="526" t="s">
        <v>909</v>
      </c>
      <c r="D176" s="552" t="s">
        <v>903</v>
      </c>
      <c r="E176" s="531" t="s">
        <v>940</v>
      </c>
      <c r="F176" s="554" t="s">
        <v>930</v>
      </c>
    </row>
    <row r="177" spans="2:6" hidden="1" x14ac:dyDescent="0.85">
      <c r="B177" s="621" t="s">
        <v>877</v>
      </c>
      <c r="C177" s="526" t="s">
        <v>922</v>
      </c>
      <c r="D177" s="552" t="s">
        <v>904</v>
      </c>
      <c r="E177" s="531" t="s">
        <v>714</v>
      </c>
      <c r="F177" s="554" t="s">
        <v>948</v>
      </c>
    </row>
    <row r="178" spans="2:6" ht="57" hidden="1" x14ac:dyDescent="0.85">
      <c r="B178" s="621"/>
      <c r="C178" s="526" t="s">
        <v>917</v>
      </c>
      <c r="D178" s="552" t="s">
        <v>905</v>
      </c>
      <c r="E178" s="531" t="s">
        <v>750</v>
      </c>
      <c r="F178" s="554" t="s">
        <v>751</v>
      </c>
    </row>
    <row r="179" spans="2:6" hidden="1" x14ac:dyDescent="0.85">
      <c r="B179" s="621"/>
      <c r="C179" s="543" t="s">
        <v>925</v>
      </c>
      <c r="D179" s="552" t="s">
        <v>906</v>
      </c>
      <c r="E179" s="531" t="s">
        <v>929</v>
      </c>
      <c r="F179" s="554" t="s">
        <v>930</v>
      </c>
    </row>
    <row r="180" spans="2:6" ht="57" hidden="1" x14ac:dyDescent="0.85">
      <c r="B180" s="621"/>
      <c r="C180" s="526" t="s">
        <v>870</v>
      </c>
      <c r="D180" s="552" t="s">
        <v>907</v>
      </c>
      <c r="E180" s="531" t="s">
        <v>931</v>
      </c>
      <c r="F180" s="554" t="s">
        <v>930</v>
      </c>
    </row>
    <row r="181" spans="2:6" ht="57" hidden="1" x14ac:dyDescent="0.85">
      <c r="B181" s="621"/>
      <c r="C181" s="526" t="s">
        <v>871</v>
      </c>
      <c r="D181" s="552" t="s">
        <v>908</v>
      </c>
      <c r="E181" s="531" t="s">
        <v>932</v>
      </c>
      <c r="F181" s="554" t="s">
        <v>933</v>
      </c>
    </row>
    <row r="182" spans="2:6" ht="57" hidden="1" x14ac:dyDescent="0.85">
      <c r="B182" s="621"/>
      <c r="C182" s="526" t="s">
        <v>872</v>
      </c>
      <c r="D182" s="552" t="s">
        <v>910</v>
      </c>
      <c r="E182" s="531" t="s">
        <v>934</v>
      </c>
      <c r="F182" s="554" t="s">
        <v>930</v>
      </c>
    </row>
    <row r="183" spans="2:6" ht="57" hidden="1" x14ac:dyDescent="0.85">
      <c r="B183" s="621"/>
      <c r="C183" s="526" t="s">
        <v>873</v>
      </c>
      <c r="D183" s="552" t="s">
        <v>911</v>
      </c>
      <c r="E183" s="531" t="s">
        <v>935</v>
      </c>
      <c r="F183" s="554" t="s">
        <v>933</v>
      </c>
    </row>
    <row r="184" spans="2:6" ht="57" hidden="1" x14ac:dyDescent="0.85">
      <c r="B184" s="621"/>
      <c r="C184" s="526" t="s">
        <v>874</v>
      </c>
      <c r="D184" s="552" t="s">
        <v>912</v>
      </c>
      <c r="E184" s="531" t="s">
        <v>936</v>
      </c>
      <c r="F184" s="554" t="s">
        <v>930</v>
      </c>
    </row>
    <row r="185" spans="2:6" ht="57" hidden="1" x14ac:dyDescent="0.85">
      <c r="B185" s="621"/>
      <c r="C185" s="526" t="s">
        <v>909</v>
      </c>
      <c r="D185" s="552" t="s">
        <v>913</v>
      </c>
      <c r="E185" s="531" t="s">
        <v>940</v>
      </c>
      <c r="F185" s="554" t="s">
        <v>930</v>
      </c>
    </row>
    <row r="186" spans="2:6" ht="57" x14ac:dyDescent="0.85">
      <c r="B186" s="618" t="s">
        <v>34</v>
      </c>
      <c r="C186" s="526" t="s">
        <v>183</v>
      </c>
      <c r="D186" s="509" t="s">
        <v>185</v>
      </c>
      <c r="E186" s="531" t="s">
        <v>274</v>
      </c>
      <c r="F186" s="545" t="s">
        <v>252</v>
      </c>
    </row>
    <row r="187" spans="2:6" ht="57" x14ac:dyDescent="0.85">
      <c r="B187" s="618"/>
      <c r="C187" s="526" t="s">
        <v>1106</v>
      </c>
      <c r="D187" s="509" t="s">
        <v>184</v>
      </c>
      <c r="E187" s="531" t="s">
        <v>64</v>
      </c>
      <c r="F187" s="545" t="s">
        <v>253</v>
      </c>
    </row>
    <row r="188" spans="2:6" ht="57" x14ac:dyDescent="0.85">
      <c r="B188" s="618" t="s">
        <v>35</v>
      </c>
      <c r="C188" s="556" t="s">
        <v>1107</v>
      </c>
      <c r="D188" s="509" t="s">
        <v>251</v>
      </c>
      <c r="E188" s="557" t="s">
        <v>320</v>
      </c>
      <c r="F188" s="558" t="s">
        <v>252</v>
      </c>
    </row>
    <row r="189" spans="2:6" ht="57" x14ac:dyDescent="0.85">
      <c r="B189" s="618"/>
      <c r="C189" s="546" t="s">
        <v>254</v>
      </c>
      <c r="D189" s="509" t="s">
        <v>255</v>
      </c>
      <c r="E189" s="531" t="s">
        <v>61</v>
      </c>
      <c r="F189" s="545" t="s">
        <v>253</v>
      </c>
    </row>
    <row r="190" spans="2:6" x14ac:dyDescent="0.85">
      <c r="B190" s="629" t="s">
        <v>26</v>
      </c>
      <c r="C190" s="547" t="s">
        <v>1108</v>
      </c>
      <c r="D190" s="509" t="s">
        <v>256</v>
      </c>
      <c r="E190" s="531" t="s">
        <v>62</v>
      </c>
      <c r="F190" s="545" t="s">
        <v>265</v>
      </c>
    </row>
    <row r="191" spans="2:6" x14ac:dyDescent="0.85">
      <c r="B191" s="629"/>
      <c r="C191" s="547" t="s">
        <v>338</v>
      </c>
      <c r="D191" s="509" t="s">
        <v>257</v>
      </c>
      <c r="E191" s="531" t="s">
        <v>65</v>
      </c>
      <c r="F191" s="545" t="s">
        <v>265</v>
      </c>
    </row>
    <row r="192" spans="2:6" ht="57" x14ac:dyDescent="0.85">
      <c r="B192" s="629"/>
      <c r="C192" s="547" t="s">
        <v>1109</v>
      </c>
      <c r="D192" s="509" t="s">
        <v>258</v>
      </c>
      <c r="E192" s="531" t="s">
        <v>63</v>
      </c>
      <c r="F192" s="545" t="s">
        <v>266</v>
      </c>
    </row>
    <row r="193" spans="2:6" ht="85.5" x14ac:dyDescent="0.85">
      <c r="B193" s="629"/>
      <c r="C193" s="547" t="s">
        <v>339</v>
      </c>
      <c r="D193" s="509" t="s">
        <v>259</v>
      </c>
      <c r="E193" s="531" t="s">
        <v>269</v>
      </c>
      <c r="F193" s="545" t="s">
        <v>268</v>
      </c>
    </row>
    <row r="194" spans="2:6" ht="57" x14ac:dyDescent="0.85">
      <c r="B194" s="629"/>
      <c r="C194" s="547" t="s">
        <v>340</v>
      </c>
      <c r="D194" s="509" t="s">
        <v>260</v>
      </c>
      <c r="E194" s="531" t="s">
        <v>270</v>
      </c>
      <c r="F194" s="545" t="s">
        <v>267</v>
      </c>
    </row>
    <row r="195" spans="2:6" ht="57" x14ac:dyDescent="0.85">
      <c r="B195" s="629"/>
      <c r="C195" s="549" t="s">
        <v>1110</v>
      </c>
      <c r="D195" s="509" t="s">
        <v>261</v>
      </c>
      <c r="E195" s="531" t="s">
        <v>66</v>
      </c>
      <c r="F195" s="545" t="s">
        <v>271</v>
      </c>
    </row>
    <row r="196" spans="2:6" ht="57" x14ac:dyDescent="0.85">
      <c r="B196" s="629"/>
      <c r="C196" s="549" t="s">
        <v>1111</v>
      </c>
      <c r="D196" s="509" t="s">
        <v>262</v>
      </c>
      <c r="E196" s="531" t="s">
        <v>67</v>
      </c>
      <c r="F196" s="545" t="s">
        <v>271</v>
      </c>
    </row>
    <row r="197" spans="2:6" ht="57" x14ac:dyDescent="0.85">
      <c r="B197" s="629" t="s">
        <v>111</v>
      </c>
      <c r="C197" s="547" t="s">
        <v>272</v>
      </c>
      <c r="D197" s="509" t="s">
        <v>263</v>
      </c>
      <c r="E197" s="531" t="s">
        <v>138</v>
      </c>
      <c r="F197" s="545" t="s">
        <v>253</v>
      </c>
    </row>
    <row r="198" spans="2:6" ht="57" x14ac:dyDescent="0.85">
      <c r="B198" s="629"/>
      <c r="C198" s="549" t="s">
        <v>273</v>
      </c>
      <c r="D198" s="509" t="s">
        <v>264</v>
      </c>
      <c r="E198" s="531" t="s">
        <v>625</v>
      </c>
      <c r="F198" s="545" t="s">
        <v>253</v>
      </c>
    </row>
    <row r="199" spans="2:6" ht="57" x14ac:dyDescent="0.85">
      <c r="B199" s="629"/>
      <c r="C199" s="547" t="s">
        <v>1112</v>
      </c>
      <c r="D199" s="509" t="s">
        <v>321</v>
      </c>
      <c r="E199" s="531" t="s">
        <v>323</v>
      </c>
      <c r="F199" s="545" t="s">
        <v>324</v>
      </c>
    </row>
    <row r="200" spans="2:6" ht="85.5" x14ac:dyDescent="0.85">
      <c r="B200" s="629"/>
      <c r="C200" s="547" t="s">
        <v>1113</v>
      </c>
      <c r="D200" s="509" t="s">
        <v>322</v>
      </c>
      <c r="E200" s="531" t="s">
        <v>325</v>
      </c>
      <c r="F200" s="545" t="s">
        <v>324</v>
      </c>
    </row>
    <row r="201" spans="2:6" x14ac:dyDescent="0.85">
      <c r="B201" s="622" t="s">
        <v>129</v>
      </c>
      <c r="C201" s="622"/>
      <c r="D201" s="622"/>
      <c r="E201" s="622"/>
      <c r="F201" s="622"/>
    </row>
    <row r="202" spans="2:6" ht="57" x14ac:dyDescent="0.85">
      <c r="B202" s="630" t="s">
        <v>115</v>
      </c>
      <c r="C202" s="556" t="s">
        <v>1114</v>
      </c>
      <c r="D202" s="509" t="s">
        <v>368</v>
      </c>
      <c r="E202" s="531" t="s">
        <v>69</v>
      </c>
      <c r="F202" s="545" t="s">
        <v>277</v>
      </c>
    </row>
    <row r="203" spans="2:6" ht="85.5" x14ac:dyDescent="0.85">
      <c r="B203" s="630"/>
      <c r="C203" s="556" t="s">
        <v>475</v>
      </c>
      <c r="D203" s="509" t="s">
        <v>275</v>
      </c>
      <c r="E203" s="531" t="s">
        <v>68</v>
      </c>
      <c r="F203" s="545" t="s">
        <v>278</v>
      </c>
    </row>
    <row r="204" spans="2:6" ht="85.5" x14ac:dyDescent="0.85">
      <c r="B204" s="630"/>
      <c r="C204" s="526" t="s">
        <v>1115</v>
      </c>
      <c r="D204" s="509" t="s">
        <v>276</v>
      </c>
      <c r="E204" s="531" t="s">
        <v>117</v>
      </c>
      <c r="F204" s="545" t="s">
        <v>279</v>
      </c>
    </row>
    <row r="205" spans="2:6" ht="57" x14ac:dyDescent="0.85">
      <c r="B205" s="630"/>
      <c r="C205" s="556" t="s">
        <v>477</v>
      </c>
      <c r="D205" s="509" t="s">
        <v>369</v>
      </c>
      <c r="E205" s="531" t="s">
        <v>116</v>
      </c>
      <c r="F205" s="545" t="s">
        <v>280</v>
      </c>
    </row>
    <row r="206" spans="2:6" ht="114" x14ac:dyDescent="0.85">
      <c r="B206" s="630"/>
      <c r="C206" s="548" t="s">
        <v>476</v>
      </c>
      <c r="D206" s="509" t="s">
        <v>480</v>
      </c>
      <c r="E206" s="510" t="s">
        <v>752</v>
      </c>
      <c r="F206" s="544"/>
    </row>
    <row r="207" spans="2:6" ht="114" x14ac:dyDescent="0.85">
      <c r="B207" s="630"/>
      <c r="C207" s="548" t="s">
        <v>481</v>
      </c>
      <c r="D207" s="509" t="s">
        <v>497</v>
      </c>
      <c r="E207" s="531" t="s">
        <v>753</v>
      </c>
      <c r="F207" s="544"/>
    </row>
    <row r="208" spans="2:6" ht="114" x14ac:dyDescent="0.85">
      <c r="B208" s="618" t="s">
        <v>1116</v>
      </c>
      <c r="C208" s="559" t="s">
        <v>1117</v>
      </c>
      <c r="D208" s="509" t="s">
        <v>281</v>
      </c>
      <c r="E208" s="531" t="s">
        <v>626</v>
      </c>
      <c r="F208" s="545" t="s">
        <v>280</v>
      </c>
    </row>
    <row r="209" spans="2:6" ht="171" x14ac:dyDescent="0.85">
      <c r="B209" s="618"/>
      <c r="C209" s="526" t="s">
        <v>478</v>
      </c>
      <c r="D209" s="509" t="s">
        <v>282</v>
      </c>
      <c r="E209" s="531" t="s">
        <v>627</v>
      </c>
      <c r="F209" s="545" t="s">
        <v>280</v>
      </c>
    </row>
    <row r="210" spans="2:6" ht="57" x14ac:dyDescent="0.85">
      <c r="B210" s="618"/>
      <c r="C210" s="526" t="s">
        <v>483</v>
      </c>
      <c r="D210" s="509" t="s">
        <v>485</v>
      </c>
      <c r="E210" s="510" t="s">
        <v>754</v>
      </c>
      <c r="F210" s="544" t="s">
        <v>755</v>
      </c>
    </row>
    <row r="211" spans="2:6" ht="85.5" x14ac:dyDescent="0.85">
      <c r="B211" s="618"/>
      <c r="C211" s="526" t="s">
        <v>484</v>
      </c>
      <c r="D211" s="509" t="s">
        <v>486</v>
      </c>
      <c r="E211" s="510" t="s">
        <v>756</v>
      </c>
      <c r="F211" s="544" t="s">
        <v>755</v>
      </c>
    </row>
    <row r="212" spans="2:6" ht="114" x14ac:dyDescent="0.85">
      <c r="B212" s="628" t="s">
        <v>487</v>
      </c>
      <c r="C212" s="526" t="s">
        <v>341</v>
      </c>
      <c r="D212" s="509" t="s">
        <v>370</v>
      </c>
      <c r="E212" s="531" t="s">
        <v>118</v>
      </c>
      <c r="F212" s="545" t="s">
        <v>757</v>
      </c>
    </row>
    <row r="213" spans="2:6" ht="57" x14ac:dyDescent="0.85">
      <c r="B213" s="628"/>
      <c r="C213" s="526" t="s">
        <v>1118</v>
      </c>
      <c r="D213" s="509" t="s">
        <v>371</v>
      </c>
      <c r="E213" s="510" t="s">
        <v>758</v>
      </c>
      <c r="F213" s="544" t="s">
        <v>759</v>
      </c>
    </row>
    <row r="214" spans="2:6" x14ac:dyDescent="0.85">
      <c r="B214" s="628"/>
      <c r="C214" s="546" t="s">
        <v>645</v>
      </c>
      <c r="D214" s="509" t="s">
        <v>646</v>
      </c>
      <c r="E214" s="531" t="s">
        <v>760</v>
      </c>
      <c r="F214" s="545" t="s">
        <v>757</v>
      </c>
    </row>
    <row r="215" spans="2:6" ht="57" x14ac:dyDescent="0.85">
      <c r="B215" s="628"/>
      <c r="C215" s="546" t="s">
        <v>1119</v>
      </c>
      <c r="D215" s="509" t="s">
        <v>647</v>
      </c>
      <c r="E215" s="510" t="s">
        <v>761</v>
      </c>
      <c r="F215" s="545" t="s">
        <v>759</v>
      </c>
    </row>
    <row r="216" spans="2:6" ht="85.5" x14ac:dyDescent="0.85">
      <c r="B216" s="628" t="s">
        <v>492</v>
      </c>
      <c r="C216" s="526" t="s">
        <v>479</v>
      </c>
      <c r="D216" s="509" t="s">
        <v>283</v>
      </c>
      <c r="E216" s="531" t="s">
        <v>119</v>
      </c>
      <c r="F216" s="545" t="s">
        <v>284</v>
      </c>
    </row>
    <row r="217" spans="2:6" ht="142.5" x14ac:dyDescent="0.85">
      <c r="B217" s="628"/>
      <c r="C217" s="546" t="s">
        <v>1120</v>
      </c>
      <c r="D217" s="509" t="s">
        <v>285</v>
      </c>
      <c r="E217" s="531" t="s">
        <v>628</v>
      </c>
      <c r="F217" s="545" t="s">
        <v>284</v>
      </c>
    </row>
    <row r="218" spans="2:6" ht="85.5" x14ac:dyDescent="0.85">
      <c r="B218" s="628"/>
      <c r="C218" s="546" t="s">
        <v>488</v>
      </c>
      <c r="D218" s="509" t="s">
        <v>493</v>
      </c>
      <c r="E218" s="510" t="s">
        <v>762</v>
      </c>
      <c r="F218" s="545" t="s">
        <v>763</v>
      </c>
    </row>
    <row r="219" spans="2:6" ht="85.5" x14ac:dyDescent="0.85">
      <c r="B219" s="628"/>
      <c r="C219" s="526" t="s">
        <v>489</v>
      </c>
      <c r="D219" s="509" t="s">
        <v>494</v>
      </c>
      <c r="E219" s="510" t="s">
        <v>764</v>
      </c>
      <c r="F219" s="544" t="s">
        <v>765</v>
      </c>
    </row>
    <row r="220" spans="2:6" ht="57" x14ac:dyDescent="0.85">
      <c r="B220" s="628"/>
      <c r="C220" s="526" t="s">
        <v>490</v>
      </c>
      <c r="D220" s="509" t="s">
        <v>495</v>
      </c>
      <c r="E220" s="510" t="s">
        <v>766</v>
      </c>
      <c r="F220" s="544" t="s">
        <v>767</v>
      </c>
    </row>
    <row r="221" spans="2:6" ht="57" x14ac:dyDescent="0.85">
      <c r="B221" s="628"/>
      <c r="C221" s="526" t="s">
        <v>491</v>
      </c>
      <c r="D221" s="509" t="s">
        <v>496</v>
      </c>
      <c r="E221" s="510" t="s">
        <v>768</v>
      </c>
      <c r="F221" s="544" t="s">
        <v>767</v>
      </c>
    </row>
    <row r="222" spans="2:6" ht="114" x14ac:dyDescent="0.85">
      <c r="B222" s="630" t="s">
        <v>123</v>
      </c>
      <c r="C222" s="526" t="s">
        <v>1121</v>
      </c>
      <c r="D222" s="509" t="s">
        <v>286</v>
      </c>
      <c r="E222" s="531" t="s">
        <v>134</v>
      </c>
      <c r="F222" s="545" t="s">
        <v>288</v>
      </c>
    </row>
    <row r="223" spans="2:6" ht="85.5" x14ac:dyDescent="0.85">
      <c r="B223" s="630"/>
      <c r="C223" s="526" t="s">
        <v>342</v>
      </c>
      <c r="D223" s="509" t="s">
        <v>287</v>
      </c>
      <c r="E223" s="531" t="s">
        <v>629</v>
      </c>
      <c r="F223" s="545" t="s">
        <v>288</v>
      </c>
    </row>
    <row r="224" spans="2:6" ht="57" x14ac:dyDescent="0.85">
      <c r="B224" s="630" t="s">
        <v>512</v>
      </c>
      <c r="C224" s="526" t="s">
        <v>519</v>
      </c>
      <c r="D224" s="509" t="s">
        <v>529</v>
      </c>
      <c r="E224" s="510" t="s">
        <v>769</v>
      </c>
      <c r="F224" s="544" t="s">
        <v>770</v>
      </c>
    </row>
    <row r="225" spans="2:6" ht="57" x14ac:dyDescent="0.85">
      <c r="B225" s="630"/>
      <c r="C225" s="526" t="s">
        <v>514</v>
      </c>
      <c r="D225" s="509" t="s">
        <v>530</v>
      </c>
      <c r="E225" s="510" t="s">
        <v>771</v>
      </c>
      <c r="F225" s="544" t="s">
        <v>770</v>
      </c>
    </row>
    <row r="226" spans="2:6" ht="57" x14ac:dyDescent="0.85">
      <c r="B226" s="630"/>
      <c r="C226" s="548" t="s">
        <v>515</v>
      </c>
      <c r="D226" s="509" t="s">
        <v>531</v>
      </c>
      <c r="E226" s="510" t="s">
        <v>772</v>
      </c>
      <c r="F226" s="544"/>
    </row>
    <row r="227" spans="2:6" ht="57" x14ac:dyDescent="0.85">
      <c r="B227" s="630" t="s">
        <v>516</v>
      </c>
      <c r="C227" s="526" t="s">
        <v>520</v>
      </c>
      <c r="D227" s="509" t="s">
        <v>532</v>
      </c>
      <c r="E227" s="510" t="s">
        <v>773</v>
      </c>
      <c r="F227" s="544" t="s">
        <v>774</v>
      </c>
    </row>
    <row r="228" spans="2:6" ht="57" x14ac:dyDescent="0.85">
      <c r="B228" s="630"/>
      <c r="C228" s="526" t="s">
        <v>517</v>
      </c>
      <c r="D228" s="509" t="s">
        <v>533</v>
      </c>
      <c r="E228" s="510" t="s">
        <v>775</v>
      </c>
      <c r="F228" s="544" t="s">
        <v>774</v>
      </c>
    </row>
    <row r="229" spans="2:6" ht="57" x14ac:dyDescent="0.85">
      <c r="B229" s="630"/>
      <c r="C229" s="548" t="s">
        <v>518</v>
      </c>
      <c r="D229" s="509" t="s">
        <v>534</v>
      </c>
      <c r="E229" s="510" t="s">
        <v>776</v>
      </c>
      <c r="F229" s="544"/>
    </row>
    <row r="230" spans="2:6" ht="57" x14ac:dyDescent="0.85">
      <c r="B230" s="630" t="s">
        <v>513</v>
      </c>
      <c r="C230" s="526" t="s">
        <v>927</v>
      </c>
      <c r="D230" s="509" t="s">
        <v>535</v>
      </c>
      <c r="E230" s="510" t="s">
        <v>777</v>
      </c>
      <c r="F230" s="544" t="s">
        <v>778</v>
      </c>
    </row>
    <row r="231" spans="2:6" ht="57" x14ac:dyDescent="0.85">
      <c r="B231" s="630"/>
      <c r="C231" s="526" t="s">
        <v>928</v>
      </c>
      <c r="D231" s="509" t="s">
        <v>536</v>
      </c>
      <c r="E231" s="510" t="s">
        <v>779</v>
      </c>
      <c r="F231" s="544" t="s">
        <v>778</v>
      </c>
    </row>
    <row r="232" spans="2:6" ht="57" x14ac:dyDescent="0.85">
      <c r="B232" s="630"/>
      <c r="C232" s="560" t="s">
        <v>949</v>
      </c>
      <c r="D232" s="509" t="s">
        <v>537</v>
      </c>
      <c r="E232" s="510" t="s">
        <v>780</v>
      </c>
      <c r="F232" s="544"/>
    </row>
    <row r="233" spans="2:6" x14ac:dyDescent="0.85">
      <c r="B233" s="622" t="s">
        <v>128</v>
      </c>
      <c r="C233" s="622"/>
      <c r="D233" s="622"/>
      <c r="E233" s="622"/>
      <c r="F233" s="622"/>
    </row>
    <row r="234" spans="2:6" ht="114" x14ac:dyDescent="0.85">
      <c r="B234" s="628" t="s">
        <v>482</v>
      </c>
      <c r="C234" s="526" t="s">
        <v>498</v>
      </c>
      <c r="D234" s="509" t="s">
        <v>372</v>
      </c>
      <c r="E234" s="531" t="s">
        <v>70</v>
      </c>
      <c r="F234" s="545" t="s">
        <v>781</v>
      </c>
    </row>
    <row r="235" spans="2:6" ht="57" x14ac:dyDescent="0.85">
      <c r="B235" s="628"/>
      <c r="C235" s="526" t="s">
        <v>499</v>
      </c>
      <c r="D235" s="509" t="s">
        <v>373</v>
      </c>
      <c r="E235" s="531" t="s">
        <v>71</v>
      </c>
      <c r="F235" s="545" t="s">
        <v>781</v>
      </c>
    </row>
    <row r="236" spans="2:6" x14ac:dyDescent="0.85">
      <c r="B236" s="628"/>
      <c r="C236" s="548" t="s">
        <v>500</v>
      </c>
      <c r="D236" s="509" t="s">
        <v>507</v>
      </c>
      <c r="E236" s="510"/>
      <c r="F236" s="544"/>
    </row>
    <row r="237" spans="2:6" ht="85.5" x14ac:dyDescent="0.85">
      <c r="B237" s="618" t="s">
        <v>1122</v>
      </c>
      <c r="C237" s="526" t="s">
        <v>501</v>
      </c>
      <c r="D237" s="509" t="s">
        <v>508</v>
      </c>
      <c r="E237" s="510" t="s">
        <v>782</v>
      </c>
      <c r="F237" s="545" t="s">
        <v>781</v>
      </c>
    </row>
    <row r="238" spans="2:6" ht="57" x14ac:dyDescent="0.85">
      <c r="B238" s="618"/>
      <c r="C238" s="526" t="s">
        <v>502</v>
      </c>
      <c r="D238" s="509" t="s">
        <v>509</v>
      </c>
      <c r="E238" s="510" t="s">
        <v>783</v>
      </c>
      <c r="F238" s="545" t="s">
        <v>781</v>
      </c>
    </row>
    <row r="239" spans="2:6" ht="57" x14ac:dyDescent="0.85">
      <c r="B239" s="631" t="s">
        <v>487</v>
      </c>
      <c r="C239" s="561" t="s">
        <v>503</v>
      </c>
      <c r="D239" s="562" t="s">
        <v>374</v>
      </c>
      <c r="E239" s="563" t="s">
        <v>139</v>
      </c>
      <c r="F239" s="564" t="s">
        <v>295</v>
      </c>
    </row>
    <row r="240" spans="2:6" ht="57" x14ac:dyDescent="0.85">
      <c r="B240" s="631"/>
      <c r="C240" s="561" t="s">
        <v>643</v>
      </c>
      <c r="D240" s="562" t="s">
        <v>644</v>
      </c>
      <c r="E240" s="563" t="s">
        <v>784</v>
      </c>
      <c r="F240" s="564" t="s">
        <v>295</v>
      </c>
    </row>
    <row r="241" spans="2:6" ht="57" x14ac:dyDescent="0.85">
      <c r="B241" s="628" t="s">
        <v>492</v>
      </c>
      <c r="C241" s="526" t="s">
        <v>505</v>
      </c>
      <c r="D241" s="509" t="s">
        <v>375</v>
      </c>
      <c r="E241" s="531" t="s">
        <v>785</v>
      </c>
      <c r="F241" s="545" t="s">
        <v>786</v>
      </c>
    </row>
    <row r="242" spans="2:6" ht="57" x14ac:dyDescent="0.85">
      <c r="B242" s="628"/>
      <c r="C242" s="526" t="s">
        <v>506</v>
      </c>
      <c r="D242" s="509" t="s">
        <v>510</v>
      </c>
      <c r="E242" s="510" t="s">
        <v>787</v>
      </c>
      <c r="F242" s="545" t="s">
        <v>786</v>
      </c>
    </row>
    <row r="243" spans="2:6" ht="57" x14ac:dyDescent="0.85">
      <c r="B243" s="628"/>
      <c r="C243" s="526" t="s">
        <v>504</v>
      </c>
      <c r="D243" s="509" t="s">
        <v>511</v>
      </c>
      <c r="E243" s="510" t="s">
        <v>788</v>
      </c>
      <c r="F243" s="545" t="s">
        <v>789</v>
      </c>
    </row>
    <row r="244" spans="2:6" ht="57" x14ac:dyDescent="0.85">
      <c r="B244" s="526" t="s">
        <v>289</v>
      </c>
      <c r="C244" s="526" t="s">
        <v>1123</v>
      </c>
      <c r="D244" s="509" t="s">
        <v>376</v>
      </c>
      <c r="E244" s="531" t="s">
        <v>290</v>
      </c>
      <c r="F244" s="545" t="s">
        <v>291</v>
      </c>
    </row>
    <row r="245" spans="2:6" ht="85.5" x14ac:dyDescent="0.85">
      <c r="B245" s="628" t="s">
        <v>1124</v>
      </c>
      <c r="C245" s="526" t="s">
        <v>292</v>
      </c>
      <c r="D245" s="509" t="s">
        <v>377</v>
      </c>
      <c r="E245" s="531" t="s">
        <v>293</v>
      </c>
      <c r="F245" s="545" t="s">
        <v>294</v>
      </c>
    </row>
    <row r="246" spans="2:6" s="565" customFormat="1" ht="171" x14ac:dyDescent="0.85">
      <c r="B246" s="628"/>
      <c r="C246" s="526" t="s">
        <v>343</v>
      </c>
      <c r="D246" s="509" t="s">
        <v>378</v>
      </c>
      <c r="E246" s="531" t="s">
        <v>140</v>
      </c>
      <c r="F246" s="545" t="s">
        <v>295</v>
      </c>
    </row>
    <row r="247" spans="2:6" ht="142.5" x14ac:dyDescent="0.85">
      <c r="B247" s="628"/>
      <c r="C247" s="526" t="s">
        <v>1125</v>
      </c>
      <c r="D247" s="509" t="s">
        <v>379</v>
      </c>
      <c r="E247" s="531" t="s">
        <v>141</v>
      </c>
      <c r="F247" s="545" t="s">
        <v>296</v>
      </c>
    </row>
    <row r="248" spans="2:6" x14ac:dyDescent="0.85">
      <c r="B248" s="622" t="s">
        <v>130</v>
      </c>
      <c r="C248" s="622"/>
      <c r="D248" s="622"/>
      <c r="E248" s="622"/>
      <c r="F248" s="622"/>
    </row>
    <row r="249" spans="2:6" ht="57" x14ac:dyDescent="0.85">
      <c r="B249" s="526" t="s">
        <v>297</v>
      </c>
      <c r="C249" s="566" t="s">
        <v>1126</v>
      </c>
      <c r="D249" s="509" t="s">
        <v>298</v>
      </c>
      <c r="E249" s="531" t="s">
        <v>790</v>
      </c>
      <c r="F249" s="545" t="s">
        <v>791</v>
      </c>
    </row>
    <row r="250" spans="2:6" ht="85.5" x14ac:dyDescent="0.85">
      <c r="B250" s="618" t="s">
        <v>577</v>
      </c>
      <c r="C250" s="546" t="s">
        <v>395</v>
      </c>
      <c r="D250" s="509" t="s">
        <v>571</v>
      </c>
      <c r="E250" s="510" t="s">
        <v>792</v>
      </c>
      <c r="F250" s="545" t="s">
        <v>791</v>
      </c>
    </row>
    <row r="251" spans="2:6" ht="85.5" x14ac:dyDescent="0.85">
      <c r="B251" s="618"/>
      <c r="C251" s="546" t="s">
        <v>390</v>
      </c>
      <c r="D251" s="509" t="s">
        <v>572</v>
      </c>
      <c r="E251" s="510" t="s">
        <v>793</v>
      </c>
      <c r="F251" s="545" t="s">
        <v>791</v>
      </c>
    </row>
    <row r="252" spans="2:6" ht="85.5" x14ac:dyDescent="0.85">
      <c r="B252" s="618"/>
      <c r="C252" s="526" t="s">
        <v>391</v>
      </c>
      <c r="D252" s="509" t="s">
        <v>573</v>
      </c>
      <c r="E252" s="510" t="s">
        <v>794</v>
      </c>
      <c r="F252" s="545" t="s">
        <v>791</v>
      </c>
    </row>
    <row r="253" spans="2:6" ht="85.5" x14ac:dyDescent="0.85">
      <c r="B253" s="618"/>
      <c r="C253" s="526" t="s">
        <v>392</v>
      </c>
      <c r="D253" s="509" t="s">
        <v>574</v>
      </c>
      <c r="E253" s="510" t="s">
        <v>795</v>
      </c>
      <c r="F253" s="545" t="s">
        <v>791</v>
      </c>
    </row>
    <row r="254" spans="2:6" ht="85.5" x14ac:dyDescent="0.85">
      <c r="B254" s="618"/>
      <c r="C254" s="526" t="s">
        <v>393</v>
      </c>
      <c r="D254" s="509" t="s">
        <v>575</v>
      </c>
      <c r="E254" s="510" t="s">
        <v>796</v>
      </c>
      <c r="F254" s="545" t="s">
        <v>791</v>
      </c>
    </row>
    <row r="255" spans="2:6" ht="85.5" x14ac:dyDescent="0.85">
      <c r="B255" s="618"/>
      <c r="C255" s="526" t="s">
        <v>394</v>
      </c>
      <c r="D255" s="509" t="s">
        <v>576</v>
      </c>
      <c r="E255" s="510" t="s">
        <v>797</v>
      </c>
      <c r="F255" s="545" t="s">
        <v>791</v>
      </c>
    </row>
    <row r="256" spans="2:6" ht="57.4" thickBot="1" x14ac:dyDescent="0.9">
      <c r="B256" s="526" t="s">
        <v>578</v>
      </c>
      <c r="C256" s="567" t="s">
        <v>950</v>
      </c>
      <c r="D256" s="509" t="s">
        <v>299</v>
      </c>
      <c r="E256" s="531" t="s">
        <v>72</v>
      </c>
      <c r="F256" s="545" t="s">
        <v>791</v>
      </c>
    </row>
    <row r="257" spans="2:6" ht="85.5" x14ac:dyDescent="0.85">
      <c r="B257" s="489" t="s">
        <v>983</v>
      </c>
      <c r="C257" s="490" t="s">
        <v>984</v>
      </c>
      <c r="D257" s="568" t="s">
        <v>985</v>
      </c>
      <c r="E257" s="531" t="s">
        <v>993</v>
      </c>
      <c r="F257" s="545" t="s">
        <v>994</v>
      </c>
    </row>
    <row r="258" spans="2:6" ht="57" x14ac:dyDescent="0.85">
      <c r="B258" s="618" t="s">
        <v>579</v>
      </c>
      <c r="C258" s="526" t="s">
        <v>987</v>
      </c>
      <c r="D258" s="509" t="s">
        <v>560</v>
      </c>
      <c r="E258" s="510" t="s">
        <v>988</v>
      </c>
      <c r="F258" s="544" t="s">
        <v>798</v>
      </c>
    </row>
    <row r="259" spans="2:6" ht="57" x14ac:dyDescent="0.85">
      <c r="B259" s="618"/>
      <c r="C259" s="566" t="s">
        <v>1127</v>
      </c>
      <c r="D259" s="509" t="s">
        <v>301</v>
      </c>
      <c r="E259" s="531" t="s">
        <v>300</v>
      </c>
      <c r="F259" s="545" t="s">
        <v>302</v>
      </c>
    </row>
    <row r="260" spans="2:6" ht="57" x14ac:dyDescent="0.85">
      <c r="B260" s="618" t="s">
        <v>440</v>
      </c>
      <c r="C260" s="526" t="s">
        <v>395</v>
      </c>
      <c r="D260" s="509" t="s">
        <v>409</v>
      </c>
      <c r="E260" s="531" t="s">
        <v>426</v>
      </c>
      <c r="F260" s="545" t="s">
        <v>302</v>
      </c>
    </row>
    <row r="261" spans="2:6" ht="57" x14ac:dyDescent="0.85">
      <c r="B261" s="618"/>
      <c r="C261" s="526" t="s">
        <v>390</v>
      </c>
      <c r="D261" s="509" t="s">
        <v>410</v>
      </c>
      <c r="E261" s="531" t="s">
        <v>427</v>
      </c>
      <c r="F261" s="545" t="s">
        <v>302</v>
      </c>
    </row>
    <row r="262" spans="2:6" ht="57" x14ac:dyDescent="0.85">
      <c r="B262" s="618"/>
      <c r="C262" s="526" t="s">
        <v>391</v>
      </c>
      <c r="D262" s="509" t="s">
        <v>411</v>
      </c>
      <c r="E262" s="531" t="s">
        <v>428</v>
      </c>
      <c r="F262" s="545" t="s">
        <v>302</v>
      </c>
    </row>
    <row r="263" spans="2:6" ht="57" x14ac:dyDescent="0.85">
      <c r="B263" s="618"/>
      <c r="C263" s="526" t="s">
        <v>392</v>
      </c>
      <c r="D263" s="509" t="s">
        <v>412</v>
      </c>
      <c r="E263" s="531" t="s">
        <v>429</v>
      </c>
      <c r="F263" s="545" t="s">
        <v>302</v>
      </c>
    </row>
    <row r="264" spans="2:6" ht="57" x14ac:dyDescent="0.85">
      <c r="B264" s="618"/>
      <c r="C264" s="526" t="s">
        <v>393</v>
      </c>
      <c r="D264" s="509" t="s">
        <v>413</v>
      </c>
      <c r="E264" s="531" t="s">
        <v>430</v>
      </c>
      <c r="F264" s="545" t="s">
        <v>302</v>
      </c>
    </row>
    <row r="265" spans="2:6" ht="57" x14ac:dyDescent="0.85">
      <c r="B265" s="618"/>
      <c r="C265" s="526" t="s">
        <v>394</v>
      </c>
      <c r="D265" s="509" t="s">
        <v>414</v>
      </c>
      <c r="E265" s="531" t="s">
        <v>431</v>
      </c>
      <c r="F265" s="545" t="s">
        <v>302</v>
      </c>
    </row>
    <row r="266" spans="2:6" x14ac:dyDescent="0.85">
      <c r="B266" s="618" t="s">
        <v>441</v>
      </c>
      <c r="C266" s="526" t="s">
        <v>444</v>
      </c>
      <c r="D266" s="509" t="s">
        <v>420</v>
      </c>
      <c r="E266" s="531" t="s">
        <v>432</v>
      </c>
      <c r="F266" s="545" t="s">
        <v>438</v>
      </c>
    </row>
    <row r="267" spans="2:6" x14ac:dyDescent="0.85">
      <c r="B267" s="618"/>
      <c r="C267" s="546" t="s">
        <v>415</v>
      </c>
      <c r="D267" s="509" t="s">
        <v>421</v>
      </c>
      <c r="E267" s="531" t="s">
        <v>433</v>
      </c>
      <c r="F267" s="545" t="s">
        <v>438</v>
      </c>
    </row>
    <row r="268" spans="2:6" x14ac:dyDescent="0.85">
      <c r="B268" s="618"/>
      <c r="C268" s="546" t="s">
        <v>416</v>
      </c>
      <c r="D268" s="509" t="s">
        <v>422</v>
      </c>
      <c r="E268" s="531" t="s">
        <v>434</v>
      </c>
      <c r="F268" s="545" t="s">
        <v>438</v>
      </c>
    </row>
    <row r="269" spans="2:6" x14ac:dyDescent="0.85">
      <c r="B269" s="618"/>
      <c r="C269" s="526" t="s">
        <v>417</v>
      </c>
      <c r="D269" s="509" t="s">
        <v>423</v>
      </c>
      <c r="E269" s="531" t="s">
        <v>435</v>
      </c>
      <c r="F269" s="545" t="s">
        <v>438</v>
      </c>
    </row>
    <row r="270" spans="2:6" x14ac:dyDescent="0.85">
      <c r="B270" s="618"/>
      <c r="C270" s="526" t="s">
        <v>418</v>
      </c>
      <c r="D270" s="509" t="s">
        <v>424</v>
      </c>
      <c r="E270" s="531" t="s">
        <v>436</v>
      </c>
      <c r="F270" s="545" t="s">
        <v>438</v>
      </c>
    </row>
    <row r="271" spans="2:6" x14ac:dyDescent="0.85">
      <c r="B271" s="618"/>
      <c r="C271" s="526" t="s">
        <v>419</v>
      </c>
      <c r="D271" s="509" t="s">
        <v>425</v>
      </c>
      <c r="E271" s="531" t="s">
        <v>437</v>
      </c>
      <c r="F271" s="545" t="s">
        <v>438</v>
      </c>
    </row>
    <row r="272" spans="2:6" x14ac:dyDescent="0.85">
      <c r="B272" s="618"/>
      <c r="C272" s="543" t="s">
        <v>439</v>
      </c>
      <c r="D272" s="509" t="s">
        <v>443</v>
      </c>
      <c r="E272" s="510"/>
      <c r="F272" s="544"/>
    </row>
    <row r="273" spans="2:6" ht="57" x14ac:dyDescent="0.85">
      <c r="B273" s="618"/>
      <c r="C273" s="526" t="s">
        <v>461</v>
      </c>
      <c r="D273" s="509" t="s">
        <v>445</v>
      </c>
      <c r="E273" s="531" t="s">
        <v>459</v>
      </c>
      <c r="F273" s="545" t="s">
        <v>438</v>
      </c>
    </row>
    <row r="274" spans="2:6" ht="85.5" x14ac:dyDescent="0.85">
      <c r="B274" s="627" t="s">
        <v>611</v>
      </c>
      <c r="C274" s="526" t="s">
        <v>603</v>
      </c>
      <c r="D274" s="509" t="s">
        <v>557</v>
      </c>
      <c r="E274" s="510" t="s">
        <v>800</v>
      </c>
      <c r="F274" s="544" t="s">
        <v>801</v>
      </c>
    </row>
    <row r="275" spans="2:6" ht="85.5" x14ac:dyDescent="0.85">
      <c r="B275" s="627"/>
      <c r="C275" s="526" t="s">
        <v>604</v>
      </c>
      <c r="D275" s="509" t="s">
        <v>558</v>
      </c>
      <c r="E275" s="510" t="s">
        <v>802</v>
      </c>
      <c r="F275" s="544" t="s">
        <v>801</v>
      </c>
    </row>
    <row r="276" spans="2:6" ht="57" x14ac:dyDescent="0.85">
      <c r="B276" s="627"/>
      <c r="C276" s="543" t="s">
        <v>841</v>
      </c>
      <c r="D276" s="509" t="s">
        <v>556</v>
      </c>
      <c r="E276" s="510"/>
      <c r="F276" s="569"/>
    </row>
    <row r="277" spans="2:6" ht="85.5" x14ac:dyDescent="0.85">
      <c r="B277" s="627"/>
      <c r="C277" s="526" t="s">
        <v>605</v>
      </c>
      <c r="D277" s="509" t="s">
        <v>559</v>
      </c>
      <c r="E277" s="510" t="s">
        <v>803</v>
      </c>
      <c r="F277" s="544" t="s">
        <v>801</v>
      </c>
    </row>
    <row r="278" spans="2:6" ht="85.5" x14ac:dyDescent="0.85">
      <c r="B278" s="627"/>
      <c r="C278" s="526" t="s">
        <v>606</v>
      </c>
      <c r="D278" s="509" t="s">
        <v>599</v>
      </c>
      <c r="E278" s="510" t="s">
        <v>804</v>
      </c>
      <c r="F278" s="544" t="s">
        <v>801</v>
      </c>
    </row>
    <row r="279" spans="2:6" ht="114" x14ac:dyDescent="0.85">
      <c r="B279" s="627"/>
      <c r="C279" s="543" t="s">
        <v>842</v>
      </c>
      <c r="D279" s="509" t="s">
        <v>303</v>
      </c>
      <c r="E279" s="531" t="s">
        <v>799</v>
      </c>
      <c r="F279" s="545" t="s">
        <v>302</v>
      </c>
    </row>
    <row r="280" spans="2:6" ht="57" x14ac:dyDescent="0.85">
      <c r="B280" s="627"/>
      <c r="C280" s="526" t="s">
        <v>1128</v>
      </c>
      <c r="D280" s="509" t="s">
        <v>600</v>
      </c>
      <c r="E280" s="510" t="s">
        <v>805</v>
      </c>
      <c r="F280" s="544" t="s">
        <v>806</v>
      </c>
    </row>
    <row r="281" spans="2:6" ht="57" x14ac:dyDescent="0.85">
      <c r="B281" s="627"/>
      <c r="C281" s="526" t="s">
        <v>1129</v>
      </c>
      <c r="D281" s="509" t="s">
        <v>601</v>
      </c>
      <c r="E281" s="510" t="s">
        <v>807</v>
      </c>
      <c r="F281" s="544" t="s">
        <v>808</v>
      </c>
    </row>
    <row r="282" spans="2:6" ht="57" x14ac:dyDescent="0.85">
      <c r="B282" s="627"/>
      <c r="C282" s="526" t="s">
        <v>1130</v>
      </c>
      <c r="D282" s="509" t="s">
        <v>602</v>
      </c>
      <c r="E282" s="510" t="s">
        <v>809</v>
      </c>
      <c r="F282" s="544" t="s">
        <v>810</v>
      </c>
    </row>
    <row r="283" spans="2:6" ht="57" x14ac:dyDescent="0.85">
      <c r="B283" s="627"/>
      <c r="C283" s="543" t="s">
        <v>843</v>
      </c>
      <c r="D283" s="509" t="s">
        <v>609</v>
      </c>
      <c r="E283" s="570" t="s">
        <v>849</v>
      </c>
      <c r="F283" s="571">
        <f t="shared" ref="F283" si="0">SUM(F280:F282)</f>
        <v>0</v>
      </c>
    </row>
    <row r="284" spans="2:6" ht="85.5" x14ac:dyDescent="0.85">
      <c r="B284" s="627"/>
      <c r="C284" s="526" t="s">
        <v>607</v>
      </c>
      <c r="D284" s="509" t="s">
        <v>610</v>
      </c>
      <c r="E284" s="510" t="s">
        <v>811</v>
      </c>
      <c r="F284" s="544" t="s">
        <v>812</v>
      </c>
    </row>
    <row r="285" spans="2:6" ht="57" x14ac:dyDescent="0.85">
      <c r="B285" s="627"/>
      <c r="C285" s="543" t="s">
        <v>844</v>
      </c>
      <c r="D285" s="509" t="s">
        <v>613</v>
      </c>
      <c r="E285" s="510" t="s">
        <v>813</v>
      </c>
      <c r="F285" s="544" t="s">
        <v>814</v>
      </c>
    </row>
    <row r="286" spans="2:6" ht="57" x14ac:dyDescent="0.85">
      <c r="B286" s="627"/>
      <c r="C286" s="526" t="s">
        <v>815</v>
      </c>
      <c r="D286" s="509" t="s">
        <v>614</v>
      </c>
      <c r="E286" s="510" t="s">
        <v>816</v>
      </c>
      <c r="F286" s="544" t="s">
        <v>817</v>
      </c>
    </row>
    <row r="287" spans="2:6" ht="57" x14ac:dyDescent="0.85">
      <c r="B287" s="627"/>
      <c r="C287" s="526" t="s">
        <v>818</v>
      </c>
      <c r="D287" s="509" t="s">
        <v>615</v>
      </c>
      <c r="E287" s="510" t="s">
        <v>819</v>
      </c>
      <c r="F287" s="544" t="s">
        <v>817</v>
      </c>
    </row>
    <row r="288" spans="2:6" x14ac:dyDescent="0.85">
      <c r="B288" s="628" t="s">
        <v>612</v>
      </c>
      <c r="C288" s="543" t="s">
        <v>521</v>
      </c>
      <c r="D288" s="509" t="s">
        <v>616</v>
      </c>
      <c r="E288" s="510" t="s">
        <v>714</v>
      </c>
      <c r="F288" s="544" t="s">
        <v>820</v>
      </c>
    </row>
    <row r="289" spans="2:6" x14ac:dyDescent="0.85">
      <c r="B289" s="628"/>
      <c r="C289" s="572" t="s">
        <v>966</v>
      </c>
      <c r="D289" s="509" t="s">
        <v>616</v>
      </c>
      <c r="E289" s="510"/>
      <c r="F289" s="544"/>
    </row>
    <row r="290" spans="2:6" ht="57" x14ac:dyDescent="0.85">
      <c r="B290" s="628"/>
      <c r="C290" s="526" t="s">
        <v>598</v>
      </c>
      <c r="D290" s="509" t="s">
        <v>617</v>
      </c>
      <c r="E290" s="526" t="s">
        <v>821</v>
      </c>
      <c r="F290" s="544" t="s">
        <v>822</v>
      </c>
    </row>
    <row r="291" spans="2:6" ht="57" x14ac:dyDescent="0.85">
      <c r="B291" s="628"/>
      <c r="C291" s="526" t="s">
        <v>1128</v>
      </c>
      <c r="D291" s="509" t="s">
        <v>618</v>
      </c>
      <c r="E291" s="510" t="s">
        <v>823</v>
      </c>
      <c r="F291" s="544" t="s">
        <v>806</v>
      </c>
    </row>
    <row r="292" spans="2:6" ht="57" x14ac:dyDescent="0.85">
      <c r="B292" s="628"/>
      <c r="C292" s="526" t="s">
        <v>1129</v>
      </c>
      <c r="D292" s="509" t="s">
        <v>619</v>
      </c>
      <c r="E292" s="510" t="s">
        <v>824</v>
      </c>
      <c r="F292" s="544" t="s">
        <v>808</v>
      </c>
    </row>
    <row r="293" spans="2:6" ht="57" x14ac:dyDescent="0.85">
      <c r="B293" s="628"/>
      <c r="C293" s="526" t="s">
        <v>1130</v>
      </c>
      <c r="D293" s="509" t="s">
        <v>620</v>
      </c>
      <c r="E293" s="510" t="s">
        <v>825</v>
      </c>
      <c r="F293" s="544" t="s">
        <v>810</v>
      </c>
    </row>
    <row r="294" spans="2:6" ht="85.5" x14ac:dyDescent="0.85">
      <c r="B294" s="628"/>
      <c r="C294" s="526" t="s">
        <v>607</v>
      </c>
      <c r="D294" s="509" t="s">
        <v>621</v>
      </c>
      <c r="E294" s="510" t="s">
        <v>826</v>
      </c>
      <c r="F294" s="544" t="s">
        <v>812</v>
      </c>
    </row>
    <row r="295" spans="2:6" ht="57" x14ac:dyDescent="0.85">
      <c r="B295" s="628"/>
      <c r="C295" s="543" t="s">
        <v>972</v>
      </c>
      <c r="D295" s="509" t="s">
        <v>622</v>
      </c>
      <c r="E295" s="510" t="s">
        <v>827</v>
      </c>
      <c r="F295" s="544" t="s">
        <v>814</v>
      </c>
    </row>
    <row r="296" spans="2:6" hidden="1" x14ac:dyDescent="0.85">
      <c r="B296" s="623" t="s">
        <v>132</v>
      </c>
      <c r="C296" s="624"/>
      <c r="D296" s="624"/>
      <c r="E296" s="624"/>
      <c r="F296" s="625"/>
    </row>
    <row r="297" spans="2:6" ht="85.5" hidden="1" x14ac:dyDescent="0.85">
      <c r="B297" s="629" t="s">
        <v>389</v>
      </c>
      <c r="C297" s="526" t="s">
        <v>395</v>
      </c>
      <c r="D297" s="534" t="s">
        <v>396</v>
      </c>
      <c r="E297" s="531" t="s">
        <v>402</v>
      </c>
      <c r="F297" s="545" t="s">
        <v>408</v>
      </c>
    </row>
    <row r="298" spans="2:6" ht="114" hidden="1" x14ac:dyDescent="0.85">
      <c r="B298" s="629"/>
      <c r="C298" s="526" t="s">
        <v>390</v>
      </c>
      <c r="D298" s="534" t="s">
        <v>397</v>
      </c>
      <c r="E298" s="531" t="s">
        <v>403</v>
      </c>
      <c r="F298" s="545" t="s">
        <v>408</v>
      </c>
    </row>
    <row r="299" spans="2:6" ht="114" hidden="1" x14ac:dyDescent="0.85">
      <c r="B299" s="629"/>
      <c r="C299" s="526" t="s">
        <v>391</v>
      </c>
      <c r="D299" s="534" t="s">
        <v>398</v>
      </c>
      <c r="E299" s="531" t="s">
        <v>404</v>
      </c>
      <c r="F299" s="545" t="s">
        <v>408</v>
      </c>
    </row>
    <row r="300" spans="2:6" ht="114" hidden="1" x14ac:dyDescent="0.85">
      <c r="B300" s="629"/>
      <c r="C300" s="526" t="s">
        <v>392</v>
      </c>
      <c r="D300" s="534" t="s">
        <v>399</v>
      </c>
      <c r="E300" s="531" t="s">
        <v>405</v>
      </c>
      <c r="F300" s="545" t="s">
        <v>408</v>
      </c>
    </row>
    <row r="301" spans="2:6" ht="114" hidden="1" x14ac:dyDescent="0.85">
      <c r="B301" s="629"/>
      <c r="C301" s="526" t="s">
        <v>393</v>
      </c>
      <c r="D301" s="534" t="s">
        <v>400</v>
      </c>
      <c r="E301" s="531" t="s">
        <v>406</v>
      </c>
      <c r="F301" s="545" t="s">
        <v>408</v>
      </c>
    </row>
    <row r="302" spans="2:6" ht="114" hidden="1" x14ac:dyDescent="0.85">
      <c r="B302" s="629"/>
      <c r="C302" s="526" t="s">
        <v>394</v>
      </c>
      <c r="D302" s="534" t="s">
        <v>401</v>
      </c>
      <c r="E302" s="531" t="s">
        <v>407</v>
      </c>
      <c r="F302" s="545" t="s">
        <v>408</v>
      </c>
    </row>
    <row r="303" spans="2:6" ht="85.5" hidden="1" x14ac:dyDescent="0.85">
      <c r="B303" s="618" t="s">
        <v>27</v>
      </c>
      <c r="C303" s="526" t="s">
        <v>344</v>
      </c>
      <c r="D303" s="509" t="s">
        <v>304</v>
      </c>
      <c r="E303" s="531" t="s">
        <v>73</v>
      </c>
      <c r="F303" s="545" t="s">
        <v>305</v>
      </c>
    </row>
    <row r="304" spans="2:6" ht="57" hidden="1" x14ac:dyDescent="0.85">
      <c r="B304" s="618"/>
      <c r="C304" s="526" t="s">
        <v>597</v>
      </c>
      <c r="D304" s="509" t="s">
        <v>449</v>
      </c>
      <c r="E304" s="531" t="s">
        <v>455</v>
      </c>
      <c r="F304" s="545" t="s">
        <v>457</v>
      </c>
    </row>
    <row r="305" spans="2:6" ht="85.5" hidden="1" x14ac:dyDescent="0.85">
      <c r="B305" s="618"/>
      <c r="C305" s="526" t="s">
        <v>453</v>
      </c>
      <c r="D305" s="509" t="s">
        <v>450</v>
      </c>
      <c r="E305" s="531" t="s">
        <v>456</v>
      </c>
      <c r="F305" s="545" t="s">
        <v>457</v>
      </c>
    </row>
    <row r="306" spans="2:6" ht="370.5" hidden="1" x14ac:dyDescent="0.85">
      <c r="B306" s="618"/>
      <c r="C306" s="526" t="s">
        <v>446</v>
      </c>
      <c r="D306" s="509" t="s">
        <v>451</v>
      </c>
      <c r="E306" s="531" t="s">
        <v>447</v>
      </c>
      <c r="F306" s="545" t="s">
        <v>314</v>
      </c>
    </row>
    <row r="307" spans="2:6" ht="114" hidden="1" x14ac:dyDescent="0.85">
      <c r="B307" s="618"/>
      <c r="C307" s="526" t="s">
        <v>448</v>
      </c>
      <c r="D307" s="509" t="s">
        <v>452</v>
      </c>
      <c r="E307" s="531" t="s">
        <v>454</v>
      </c>
      <c r="F307" s="545" t="s">
        <v>458</v>
      </c>
    </row>
    <row r="308" spans="2:6" hidden="1" x14ac:dyDescent="0.85">
      <c r="B308" s="618"/>
      <c r="C308" s="573" t="s">
        <v>460</v>
      </c>
      <c r="D308" s="574" t="s">
        <v>306</v>
      </c>
      <c r="E308" s="510"/>
      <c r="F308" s="544"/>
    </row>
    <row r="309" spans="2:6" ht="85.5" hidden="1" x14ac:dyDescent="0.85">
      <c r="B309" s="618" t="s">
        <v>1131</v>
      </c>
      <c r="C309" s="526" t="s">
        <v>316</v>
      </c>
      <c r="D309" s="509" t="s">
        <v>307</v>
      </c>
      <c r="E309" s="531" t="s">
        <v>80</v>
      </c>
      <c r="F309" s="545" t="s">
        <v>315</v>
      </c>
    </row>
    <row r="310" spans="2:6" ht="57" hidden="1" x14ac:dyDescent="0.85">
      <c r="B310" s="618"/>
      <c r="C310" s="526" t="s">
        <v>552</v>
      </c>
      <c r="D310" s="509" t="s">
        <v>308</v>
      </c>
      <c r="E310" s="531" t="s">
        <v>79</v>
      </c>
      <c r="F310" s="545" t="s">
        <v>315</v>
      </c>
    </row>
    <row r="311" spans="2:6" ht="57" hidden="1" x14ac:dyDescent="0.85">
      <c r="B311" s="618"/>
      <c r="C311" s="526" t="s">
        <v>345</v>
      </c>
      <c r="D311" s="509" t="s">
        <v>309</v>
      </c>
      <c r="E311" s="531" t="s">
        <v>78</v>
      </c>
      <c r="F311" s="545" t="s">
        <v>315</v>
      </c>
    </row>
    <row r="312" spans="2:6" ht="114" hidden="1" x14ac:dyDescent="0.85">
      <c r="B312" s="618"/>
      <c r="C312" s="526" t="s">
        <v>317</v>
      </c>
      <c r="D312" s="509" t="s">
        <v>310</v>
      </c>
      <c r="E312" s="531" t="s">
        <v>74</v>
      </c>
      <c r="F312" s="545"/>
    </row>
    <row r="313" spans="2:6" ht="57" hidden="1" x14ac:dyDescent="0.85">
      <c r="B313" s="618"/>
      <c r="C313" s="526" t="s">
        <v>553</v>
      </c>
      <c r="D313" s="509" t="s">
        <v>311</v>
      </c>
      <c r="E313" s="531" t="s">
        <v>75</v>
      </c>
      <c r="F313" s="545" t="s">
        <v>315</v>
      </c>
    </row>
    <row r="314" spans="2:6" ht="57" hidden="1" x14ac:dyDescent="0.85">
      <c r="B314" s="618"/>
      <c r="C314" s="526" t="s">
        <v>318</v>
      </c>
      <c r="D314" s="509" t="s">
        <v>312</v>
      </c>
      <c r="E314" s="531" t="s">
        <v>76</v>
      </c>
      <c r="F314" s="545" t="s">
        <v>315</v>
      </c>
    </row>
    <row r="315" spans="2:6" hidden="1" x14ac:dyDescent="0.85">
      <c r="B315" s="618"/>
      <c r="C315" s="526" t="s">
        <v>319</v>
      </c>
      <c r="D315" s="509" t="s">
        <v>313</v>
      </c>
      <c r="E315" s="531" t="s">
        <v>77</v>
      </c>
      <c r="F315" s="545" t="s">
        <v>315</v>
      </c>
    </row>
    <row r="316" spans="2:6" x14ac:dyDescent="0.85">
      <c r="B316" s="623" t="s">
        <v>580</v>
      </c>
      <c r="C316" s="624"/>
      <c r="D316" s="624"/>
      <c r="E316" s="624"/>
      <c r="F316" s="625"/>
    </row>
    <row r="317" spans="2:6" ht="57" x14ac:dyDescent="0.85">
      <c r="B317" s="626" t="s">
        <v>524</v>
      </c>
      <c r="C317" s="526" t="s">
        <v>525</v>
      </c>
      <c r="D317" s="509" t="s">
        <v>528</v>
      </c>
      <c r="E317" s="510" t="s">
        <v>828</v>
      </c>
      <c r="F317" s="544" t="s">
        <v>829</v>
      </c>
    </row>
    <row r="318" spans="2:6" ht="57" x14ac:dyDescent="0.85">
      <c r="B318" s="626"/>
      <c r="C318" s="547" t="s">
        <v>551</v>
      </c>
      <c r="D318" s="509" t="s">
        <v>538</v>
      </c>
      <c r="E318" s="510" t="s">
        <v>830</v>
      </c>
      <c r="F318" s="544" t="s">
        <v>831</v>
      </c>
    </row>
    <row r="319" spans="2:6" ht="57" x14ac:dyDescent="0.85">
      <c r="B319" s="626"/>
      <c r="C319" s="547" t="s">
        <v>1008</v>
      </c>
      <c r="D319" s="509" t="s">
        <v>1007</v>
      </c>
      <c r="E319" s="510" t="s">
        <v>1009</v>
      </c>
      <c r="F319" s="544"/>
    </row>
    <row r="320" spans="2:6" x14ac:dyDescent="0.85">
      <c r="B320" s="626"/>
      <c r="C320" s="560" t="s">
        <v>526</v>
      </c>
      <c r="D320" s="509" t="s">
        <v>539</v>
      </c>
      <c r="E320" s="510" t="s">
        <v>832</v>
      </c>
      <c r="F320" s="544"/>
    </row>
    <row r="321" spans="2:39" x14ac:dyDescent="0.85">
      <c r="B321" s="626"/>
      <c r="C321" s="547" t="s">
        <v>548</v>
      </c>
      <c r="D321" s="509" t="s">
        <v>540</v>
      </c>
      <c r="E321" s="547" t="s">
        <v>833</v>
      </c>
      <c r="F321" s="544" t="s">
        <v>831</v>
      </c>
    </row>
    <row r="322" spans="2:39" ht="57" x14ac:dyDescent="0.85">
      <c r="B322" s="626"/>
      <c r="C322" s="560" t="s">
        <v>527</v>
      </c>
      <c r="D322" s="509" t="s">
        <v>541</v>
      </c>
      <c r="E322" s="510" t="s">
        <v>834</v>
      </c>
      <c r="F322" s="544"/>
    </row>
    <row r="323" spans="2:39" ht="57" x14ac:dyDescent="0.85">
      <c r="B323" s="626"/>
      <c r="C323" s="547" t="s">
        <v>550</v>
      </c>
      <c r="D323" s="509" t="s">
        <v>542</v>
      </c>
      <c r="E323" s="510" t="s">
        <v>835</v>
      </c>
      <c r="F323" s="544" t="s">
        <v>831</v>
      </c>
    </row>
    <row r="324" spans="2:39" ht="57" x14ac:dyDescent="0.85">
      <c r="B324" s="626"/>
      <c r="C324" s="560" t="s">
        <v>543</v>
      </c>
      <c r="D324" s="509" t="s">
        <v>544</v>
      </c>
      <c r="E324" s="510" t="s">
        <v>836</v>
      </c>
      <c r="F324" s="544"/>
    </row>
    <row r="325" spans="2:39" ht="57" x14ac:dyDescent="0.85">
      <c r="B325" s="626"/>
      <c r="C325" s="547" t="s">
        <v>547</v>
      </c>
      <c r="D325" s="509" t="s">
        <v>545</v>
      </c>
      <c r="E325" s="510" t="s">
        <v>837</v>
      </c>
      <c r="F325" s="544" t="s">
        <v>838</v>
      </c>
    </row>
    <row r="326" spans="2:39" ht="57" x14ac:dyDescent="0.85">
      <c r="B326" s="626"/>
      <c r="C326" s="547" t="s">
        <v>549</v>
      </c>
      <c r="D326" s="509" t="s">
        <v>546</v>
      </c>
      <c r="E326" s="510" t="s">
        <v>839</v>
      </c>
      <c r="F326" s="544" t="s">
        <v>838</v>
      </c>
    </row>
    <row r="327" spans="2:39" ht="57" x14ac:dyDescent="0.85">
      <c r="B327" s="626"/>
      <c r="C327" s="560" t="s">
        <v>555</v>
      </c>
      <c r="D327" s="509" t="s">
        <v>554</v>
      </c>
      <c r="E327" s="510" t="s">
        <v>840</v>
      </c>
      <c r="F327" s="544"/>
    </row>
    <row r="328" spans="2:39" ht="28.9" hidden="1" thickBot="1" x14ac:dyDescent="0.9">
      <c r="B328" s="575" t="s">
        <v>980</v>
      </c>
      <c r="C328" s="575"/>
      <c r="D328" s="576"/>
      <c r="E328" s="575"/>
      <c r="F328" s="577"/>
      <c r="G328" s="578"/>
      <c r="H328" s="578"/>
      <c r="I328" s="578"/>
      <c r="J328" s="578"/>
      <c r="K328" s="578"/>
      <c r="L328" s="578"/>
      <c r="M328" s="578"/>
      <c r="N328" s="578"/>
      <c r="O328" s="578"/>
      <c r="P328" s="578"/>
      <c r="Q328" s="578"/>
      <c r="R328" s="578"/>
      <c r="S328" s="578"/>
      <c r="T328" s="578"/>
      <c r="U328" s="578"/>
      <c r="V328" s="578"/>
      <c r="W328" s="578"/>
      <c r="X328" s="578"/>
      <c r="Y328" s="578"/>
      <c r="Z328" s="578"/>
      <c r="AA328" s="578"/>
      <c r="AB328" s="578"/>
      <c r="AC328" s="578"/>
      <c r="AD328" s="578"/>
      <c r="AE328" s="578"/>
      <c r="AF328" s="578"/>
      <c r="AG328" s="578"/>
      <c r="AH328" s="579"/>
      <c r="AI328" s="579"/>
      <c r="AJ328" s="579"/>
      <c r="AK328" s="579"/>
      <c r="AL328" s="579"/>
      <c r="AM328" s="579"/>
    </row>
    <row r="329" spans="2:39" ht="57" hidden="1" x14ac:dyDescent="0.85">
      <c r="B329" s="580" t="s">
        <v>982</v>
      </c>
      <c r="C329" s="547" t="s">
        <v>981</v>
      </c>
      <c r="D329" s="509" t="s">
        <v>979</v>
      </c>
      <c r="E329" s="510" t="s">
        <v>991</v>
      </c>
      <c r="F329" s="544" t="s">
        <v>992</v>
      </c>
      <c r="G329" s="581"/>
      <c r="H329" s="581"/>
      <c r="I329" s="581"/>
      <c r="J329" s="581"/>
      <c r="K329" s="582"/>
      <c r="L329" s="582"/>
      <c r="M329" s="582"/>
      <c r="N329" s="582"/>
      <c r="O329" s="582"/>
      <c r="P329" s="582"/>
      <c r="Q329" s="582"/>
      <c r="R329" s="582"/>
      <c r="S329" s="582"/>
      <c r="T329" s="582"/>
      <c r="U329" s="582"/>
      <c r="V329" s="582"/>
      <c r="W329" s="582"/>
      <c r="X329" s="582"/>
      <c r="Y329" s="582"/>
      <c r="Z329" s="582"/>
      <c r="AA329" s="582"/>
      <c r="AB329" s="582"/>
      <c r="AC329" s="582"/>
      <c r="AD329" s="582"/>
      <c r="AE329" s="582"/>
      <c r="AF329" s="583"/>
      <c r="AG329" s="584"/>
      <c r="AH329" s="579"/>
      <c r="AI329" s="579"/>
      <c r="AJ329" s="579"/>
      <c r="AK329" s="579"/>
      <c r="AL329" s="579"/>
      <c r="AM329" s="579"/>
    </row>
  </sheetData>
  <autoFilter ref="B2:F327"/>
  <mergeCells count="89">
    <mergeCell ref="B60:B61"/>
    <mergeCell ref="B62:B63"/>
    <mergeCell ref="B64:B65"/>
    <mergeCell ref="B66:B67"/>
    <mergeCell ref="B68:B69"/>
    <mergeCell ref="B50:B51"/>
    <mergeCell ref="B52:B53"/>
    <mergeCell ref="B54:B55"/>
    <mergeCell ref="B56:B57"/>
    <mergeCell ref="B58:B59"/>
    <mergeCell ref="G116:N116"/>
    <mergeCell ref="B37:B38"/>
    <mergeCell ref="B4:F4"/>
    <mergeCell ref="B5:B7"/>
    <mergeCell ref="B14:F14"/>
    <mergeCell ref="B15:B24"/>
    <mergeCell ref="B25:B26"/>
    <mergeCell ref="B27:B28"/>
    <mergeCell ref="B29:B30"/>
    <mergeCell ref="B31:B32"/>
    <mergeCell ref="B33:B34"/>
    <mergeCell ref="B35:B36"/>
    <mergeCell ref="B8:B10"/>
    <mergeCell ref="B11:B13"/>
    <mergeCell ref="B43:B44"/>
    <mergeCell ref="B47:F47"/>
    <mergeCell ref="B135:B141"/>
    <mergeCell ref="B142:B148"/>
    <mergeCell ref="B112:B113"/>
    <mergeCell ref="B39:B40"/>
    <mergeCell ref="B41:B42"/>
    <mergeCell ref="B70:F70"/>
    <mergeCell ref="B71:B75"/>
    <mergeCell ref="B78:F78"/>
    <mergeCell ref="B79:B82"/>
    <mergeCell ref="B84:B89"/>
    <mergeCell ref="B90:B94"/>
    <mergeCell ref="B95:B100"/>
    <mergeCell ref="B101:B103"/>
    <mergeCell ref="B104:B110"/>
    <mergeCell ref="B76:B77"/>
    <mergeCell ref="B48:B49"/>
    <mergeCell ref="B227:B229"/>
    <mergeCell ref="B188:B189"/>
    <mergeCell ref="B190:B196"/>
    <mergeCell ref="B197:B200"/>
    <mergeCell ref="B201:F201"/>
    <mergeCell ref="B202:B207"/>
    <mergeCell ref="B208:B211"/>
    <mergeCell ref="B212:B215"/>
    <mergeCell ref="B216:B221"/>
    <mergeCell ref="B222:B223"/>
    <mergeCell ref="B224:B226"/>
    <mergeCell ref="B266:B273"/>
    <mergeCell ref="B230:B232"/>
    <mergeCell ref="B233:F233"/>
    <mergeCell ref="B234:B236"/>
    <mergeCell ref="B237:B238"/>
    <mergeCell ref="B239:B240"/>
    <mergeCell ref="B241:B243"/>
    <mergeCell ref="B245:B247"/>
    <mergeCell ref="B248:F248"/>
    <mergeCell ref="B250:B255"/>
    <mergeCell ref="B258:B259"/>
    <mergeCell ref="B260:B265"/>
    <mergeCell ref="B316:F316"/>
    <mergeCell ref="B317:B327"/>
    <mergeCell ref="B274:B287"/>
    <mergeCell ref="B288:B295"/>
    <mergeCell ref="B296:F296"/>
    <mergeCell ref="B297:B302"/>
    <mergeCell ref="B303:B308"/>
    <mergeCell ref="B309:B315"/>
    <mergeCell ref="B186:B187"/>
    <mergeCell ref="B1:E1"/>
    <mergeCell ref="B159:B167"/>
    <mergeCell ref="B168:B176"/>
    <mergeCell ref="B177:B185"/>
    <mergeCell ref="B150:B158"/>
    <mergeCell ref="B149:F149"/>
    <mergeCell ref="B114:F114"/>
    <mergeCell ref="B115:B116"/>
    <mergeCell ref="B117:B118"/>
    <mergeCell ref="B119:B120"/>
    <mergeCell ref="B121:B122"/>
    <mergeCell ref="B123:B124"/>
    <mergeCell ref="B125:B126"/>
    <mergeCell ref="B127:F127"/>
    <mergeCell ref="B128:B134"/>
  </mergeCells>
  <phoneticPr fontId="3" type="noConversion"/>
  <conditionalFormatting sqref="C232">
    <cfRule type="cellIs" dxfId="1202" priority="37" operator="equal">
      <formula>0</formula>
    </cfRule>
  </conditionalFormatting>
  <conditionalFormatting sqref="F150">
    <cfRule type="cellIs" dxfId="1201" priority="44" operator="equal">
      <formula>0</formula>
    </cfRule>
  </conditionalFormatting>
  <conditionalFormatting sqref="D150:D185">
    <cfRule type="duplicateValues" dxfId="1200" priority="39"/>
  </conditionalFormatting>
  <conditionalFormatting sqref="D150:D185">
    <cfRule type="duplicateValues" dxfId="1199" priority="40"/>
  </conditionalFormatting>
  <conditionalFormatting sqref="D150:D185">
    <cfRule type="duplicateValues" dxfId="1198" priority="38"/>
  </conditionalFormatting>
  <conditionalFormatting sqref="K329:AA329">
    <cfRule type="expression" dxfId="1197" priority="34">
      <formula>K329&gt;K327</formula>
    </cfRule>
  </conditionalFormatting>
  <conditionalFormatting sqref="AF329">
    <cfRule type="notContainsBlanks" dxfId="1196" priority="36">
      <formula>LEN(TRIM(AF329))&gt;0</formula>
    </cfRule>
  </conditionalFormatting>
  <conditionalFormatting sqref="K329:AA329">
    <cfRule type="expression" dxfId="1195" priority="32">
      <formula>K327&gt;K329</formula>
    </cfRule>
  </conditionalFormatting>
  <conditionalFormatting sqref="AB329:AE329">
    <cfRule type="expression" dxfId="1194" priority="31">
      <formula>AB329&gt;AB327</formula>
    </cfRule>
  </conditionalFormatting>
  <conditionalFormatting sqref="AB329:AE329">
    <cfRule type="expression" dxfId="1193" priority="30">
      <formula>AB327&gt;AB329</formula>
    </cfRule>
  </conditionalFormatting>
  <conditionalFormatting sqref="D43:D44">
    <cfRule type="duplicateValues" dxfId="1192" priority="29"/>
  </conditionalFormatting>
  <conditionalFormatting sqref="D43:D44">
    <cfRule type="duplicateValues" dxfId="1191" priority="28"/>
  </conditionalFormatting>
  <conditionalFormatting sqref="D43:D44">
    <cfRule type="duplicateValues" dxfId="1190" priority="27"/>
  </conditionalFormatting>
  <conditionalFormatting sqref="D43:D44">
    <cfRule type="duplicateValues" dxfId="1189" priority="26"/>
  </conditionalFormatting>
  <conditionalFormatting sqref="D48:D51">
    <cfRule type="duplicateValues" dxfId="1188" priority="25"/>
  </conditionalFormatting>
  <conditionalFormatting sqref="D52:D53">
    <cfRule type="duplicateValues" dxfId="1187" priority="24"/>
  </conditionalFormatting>
  <conditionalFormatting sqref="D54:D55">
    <cfRule type="duplicateValues" dxfId="1186" priority="23"/>
  </conditionalFormatting>
  <conditionalFormatting sqref="D48:D55">
    <cfRule type="duplicateValues" dxfId="1185" priority="22"/>
  </conditionalFormatting>
  <conditionalFormatting sqref="D58:D59">
    <cfRule type="duplicateValues" dxfId="1184" priority="21"/>
  </conditionalFormatting>
  <conditionalFormatting sqref="D58:D59">
    <cfRule type="duplicateValues" dxfId="1183" priority="20"/>
  </conditionalFormatting>
  <conditionalFormatting sqref="D60:D61">
    <cfRule type="duplicateValues" dxfId="1182" priority="19"/>
  </conditionalFormatting>
  <conditionalFormatting sqref="D60:D61">
    <cfRule type="duplicateValues" dxfId="1181" priority="18"/>
  </conditionalFormatting>
  <conditionalFormatting sqref="D62:D63">
    <cfRule type="duplicateValues" dxfId="1180" priority="17"/>
  </conditionalFormatting>
  <conditionalFormatting sqref="D62:D63">
    <cfRule type="duplicateValues" dxfId="1179" priority="16"/>
  </conditionalFormatting>
  <conditionalFormatting sqref="D64:D65">
    <cfRule type="duplicateValues" dxfId="1178" priority="15"/>
  </conditionalFormatting>
  <conditionalFormatting sqref="D64:D65">
    <cfRule type="duplicateValues" dxfId="1177" priority="14"/>
  </conditionalFormatting>
  <conditionalFormatting sqref="D66:D67">
    <cfRule type="duplicateValues" dxfId="1176" priority="13"/>
  </conditionalFormatting>
  <conditionalFormatting sqref="D66:D67">
    <cfRule type="duplicateValues" dxfId="1175" priority="12"/>
  </conditionalFormatting>
  <conditionalFormatting sqref="D56:D57">
    <cfRule type="duplicateValues" dxfId="1174" priority="11"/>
  </conditionalFormatting>
  <conditionalFormatting sqref="D56:D57">
    <cfRule type="duplicateValues" dxfId="1173" priority="10"/>
  </conditionalFormatting>
  <conditionalFormatting sqref="D48:D67">
    <cfRule type="duplicateValues" dxfId="1172" priority="9"/>
  </conditionalFormatting>
  <conditionalFormatting sqref="D68:D69">
    <cfRule type="duplicateValues" dxfId="1171" priority="8"/>
  </conditionalFormatting>
  <conditionalFormatting sqref="D68:D69">
    <cfRule type="duplicateValues" dxfId="1170" priority="7"/>
  </conditionalFormatting>
  <conditionalFormatting sqref="D68:D69">
    <cfRule type="duplicateValues" dxfId="1169" priority="6"/>
  </conditionalFormatting>
  <conditionalFormatting sqref="D48:D69">
    <cfRule type="duplicateValues" dxfId="1168" priority="5"/>
  </conditionalFormatting>
  <conditionalFormatting sqref="D111">
    <cfRule type="duplicateValues" dxfId="1167" priority="4"/>
  </conditionalFormatting>
  <conditionalFormatting sqref="D111">
    <cfRule type="duplicateValues" dxfId="1166" priority="3"/>
  </conditionalFormatting>
  <conditionalFormatting sqref="D111">
    <cfRule type="duplicateValues" dxfId="1165" priority="2"/>
  </conditionalFormatting>
  <conditionalFormatting sqref="D111">
    <cfRule type="duplicateValues" dxfId="1164" priority="1"/>
  </conditionalFormatting>
  <dataValidations disablePrompts="1" count="2">
    <dataValidation type="whole" allowBlank="1" showInputMessage="1" showErrorMessage="1" errorTitle="Non-Numeric or abnormal value" error="Enter Numbers only between 0 and 99999" sqref="E150:F151 E283:F283 E9:F13 G329:AB329">
      <formula1>0</formula1>
      <formula2>99999</formula2>
    </dataValidation>
    <dataValidation allowBlank="1" showInputMessage="1" showErrorMessage="1" errorTitle="Non-Numeric or abnormal value" error="Enter Numbers only between 0 and 99999" sqref="E152:F185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415"/>
  <sheetViews>
    <sheetView showGridLines="0" tabSelected="1" showRuler="0" zoomScale="48" zoomScaleNormal="48" zoomScaleSheetLayoutView="68" zoomScalePageLayoutView="21" workbookViewId="0">
      <pane xSplit="3" ySplit="21" topLeftCell="D22" activePane="bottomRight" state="frozen"/>
      <selection pane="topRight" activeCell="D1" sqref="D1"/>
      <selection pane="bottomLeft" activeCell="A22" sqref="A22"/>
      <selection pane="bottomRight" activeCell="S31" sqref="S31"/>
    </sheetView>
  </sheetViews>
  <sheetFormatPr defaultColWidth="9.1328125" defaultRowHeight="28.5" x14ac:dyDescent="0.7"/>
  <cols>
    <col min="1" max="1" width="37" style="334" customWidth="1" collapsed="1"/>
    <col min="2" max="2" width="98.1328125" style="335" customWidth="1" collapsed="1"/>
    <col min="3" max="3" width="14.73046875" style="322" bestFit="1" customWidth="1" collapsed="1"/>
    <col min="4" max="23" width="7.59765625" style="19" customWidth="1" collapsed="1"/>
    <col min="24" max="24" width="9.1328125" style="19" customWidth="1" collapsed="1"/>
    <col min="25" max="26" width="8.86328125" style="19" customWidth="1" collapsed="1"/>
    <col min="27" max="27" width="9.1328125" style="19" customWidth="1" collapsed="1"/>
    <col min="28" max="33" width="9.1328125" style="19" customWidth="1"/>
    <col min="34" max="34" width="15.1328125" style="19" customWidth="1" collapsed="1"/>
    <col min="35" max="35" width="9.73046875" style="67" customWidth="1" collapsed="1"/>
    <col min="36" max="36" width="31.86328125" style="266" customWidth="1" collapsed="1"/>
    <col min="37" max="37" width="31.59765625" style="19" hidden="1" customWidth="1" collapsed="1"/>
    <col min="38" max="38" width="36.73046875" style="19" customWidth="1" collapsed="1"/>
    <col min="39" max="39" width="9.1328125" style="323" collapsed="1"/>
    <col min="40" max="40" width="37.265625" style="324" bestFit="1" customWidth="1" collapsed="1"/>
    <col min="41" max="41" width="35.86328125" style="325" bestFit="1" customWidth="1" collapsed="1"/>
    <col min="42" max="42" width="9.1328125" style="19"/>
    <col min="43" max="16384" width="9.1328125" style="19" collapsed="1"/>
  </cols>
  <sheetData>
    <row r="1" spans="1:41" s="7" customFormat="1" ht="39" hidden="1" customHeight="1" thickBot="1" x14ac:dyDescent="0.5">
      <c r="A1" s="4" t="s">
        <v>382</v>
      </c>
      <c r="B1" s="845" t="s">
        <v>463</v>
      </c>
      <c r="C1" s="846"/>
      <c r="D1" s="788" t="s">
        <v>142</v>
      </c>
      <c r="E1" s="789"/>
      <c r="F1" s="790" t="s">
        <v>464</v>
      </c>
      <c r="G1" s="791"/>
      <c r="H1" s="788" t="s">
        <v>381</v>
      </c>
      <c r="I1" s="792"/>
      <c r="J1" s="789"/>
      <c r="K1" s="790" t="s">
        <v>465</v>
      </c>
      <c r="L1" s="803"/>
      <c r="M1" s="803"/>
      <c r="N1" s="803"/>
      <c r="O1" s="803"/>
      <c r="P1" s="803"/>
      <c r="Q1" s="791"/>
      <c r="R1" s="788" t="s">
        <v>388</v>
      </c>
      <c r="S1" s="789"/>
      <c r="T1" s="790" t="s">
        <v>466</v>
      </c>
      <c r="U1" s="803"/>
      <c r="V1" s="791"/>
      <c r="W1" s="788" t="s">
        <v>383</v>
      </c>
      <c r="X1" s="789"/>
      <c r="Y1" s="5" t="s">
        <v>467</v>
      </c>
      <c r="Z1" s="6" t="s">
        <v>384</v>
      </c>
      <c r="AA1" s="790">
        <v>2020</v>
      </c>
      <c r="AB1" s="803"/>
      <c r="AC1" s="803"/>
      <c r="AD1" s="803"/>
      <c r="AE1" s="803"/>
      <c r="AF1" s="803"/>
      <c r="AG1" s="803"/>
      <c r="AH1" s="791"/>
      <c r="AI1" s="890" t="s">
        <v>385</v>
      </c>
      <c r="AJ1" s="891"/>
      <c r="AK1" s="891"/>
      <c r="AL1" s="891"/>
      <c r="AM1" s="876"/>
    </row>
    <row r="2" spans="1:41" s="9" customFormat="1" ht="94.5" customHeight="1" thickBot="1" x14ac:dyDescent="0.8">
      <c r="A2" s="674"/>
      <c r="B2" s="675"/>
      <c r="C2" s="675"/>
      <c r="D2" s="675"/>
      <c r="E2" s="675"/>
      <c r="F2" s="675"/>
      <c r="G2" s="675"/>
      <c r="H2" s="675"/>
      <c r="I2" s="675"/>
      <c r="J2" s="675"/>
      <c r="K2" s="675"/>
      <c r="L2" s="675"/>
      <c r="M2" s="675"/>
      <c r="N2" s="675"/>
      <c r="O2" s="675"/>
      <c r="P2" s="675"/>
      <c r="Q2" s="675"/>
      <c r="R2" s="675"/>
      <c r="S2" s="675"/>
      <c r="T2" s="675"/>
      <c r="U2" s="675"/>
      <c r="V2" s="675"/>
      <c r="W2" s="675"/>
      <c r="X2" s="675"/>
      <c r="Y2" s="675"/>
      <c r="Z2" s="675"/>
      <c r="AA2" s="675"/>
      <c r="AB2" s="675"/>
      <c r="AC2" s="675"/>
      <c r="AD2" s="675"/>
      <c r="AE2" s="675"/>
      <c r="AF2" s="675"/>
      <c r="AG2" s="675"/>
      <c r="AH2" s="675"/>
      <c r="AI2" s="675"/>
      <c r="AJ2" s="675"/>
      <c r="AK2" s="675"/>
      <c r="AL2" s="676"/>
      <c r="AM2" s="876"/>
      <c r="AN2" s="874" t="s">
        <v>1029</v>
      </c>
      <c r="AO2" s="875"/>
    </row>
    <row r="3" spans="1:41" s="342" customFormat="1" ht="57.4" customHeight="1" thickBot="1" x14ac:dyDescent="0.5">
      <c r="A3" s="677" t="str">
        <f>CONCATENATE(R1,":  ",T1,"                            ",H1,":   ",K1,"                            ",A1,":   ",B1,"                            ",D1,":   ",F1,"                            Reporting Year:   ",AA1,"              Reporting Month:   ",Y1)</f>
        <v>County:  Laikipia                            Sub County:   Laikipia East                            Health Facility:   Likii Dispensary                            MFL Code:   15035                            Reporting Year:   2020              Reporting Month:   02</v>
      </c>
      <c r="B3" s="678"/>
      <c r="C3" s="678"/>
      <c r="D3" s="678"/>
      <c r="E3" s="678"/>
      <c r="F3" s="678"/>
      <c r="G3" s="678"/>
      <c r="H3" s="678"/>
      <c r="I3" s="678"/>
      <c r="J3" s="678"/>
      <c r="K3" s="678"/>
      <c r="L3" s="678"/>
      <c r="M3" s="678"/>
      <c r="N3" s="678"/>
      <c r="O3" s="678"/>
      <c r="P3" s="678"/>
      <c r="Q3" s="678"/>
      <c r="R3" s="678"/>
      <c r="S3" s="678"/>
      <c r="T3" s="678"/>
      <c r="U3" s="678"/>
      <c r="V3" s="678"/>
      <c r="W3" s="678"/>
      <c r="X3" s="678"/>
      <c r="Y3" s="678"/>
      <c r="Z3" s="678"/>
      <c r="AA3" s="678"/>
      <c r="AB3" s="678"/>
      <c r="AC3" s="678"/>
      <c r="AD3" s="678"/>
      <c r="AE3" s="678"/>
      <c r="AF3" s="678"/>
      <c r="AG3" s="678"/>
      <c r="AH3" s="678"/>
      <c r="AI3" s="678"/>
      <c r="AJ3" s="678"/>
      <c r="AK3" s="678"/>
      <c r="AL3" s="679"/>
      <c r="AM3" s="876"/>
      <c r="AN3" s="343" t="str">
        <f>HYPERLINK("#HIV_TEST","1.1 Hiv Testing")</f>
        <v>1.1 Hiv Testing</v>
      </c>
      <c r="AO3" s="343" t="str">
        <f>HYPERLINK("#GEND_GBV","5.0 GEND_GBV")</f>
        <v>5.0 GEND_GBV</v>
      </c>
    </row>
    <row r="4" spans="1:41" s="11" customFormat="1" ht="39.75" customHeight="1" thickBot="1" x14ac:dyDescent="0.5">
      <c r="A4" s="825" t="s">
        <v>1030</v>
      </c>
      <c r="B4" s="826"/>
      <c r="C4" s="826"/>
      <c r="D4" s="802" t="s">
        <v>1010</v>
      </c>
      <c r="E4" s="802"/>
      <c r="F4" s="802"/>
      <c r="G4" s="802"/>
      <c r="H4" s="802"/>
      <c r="I4" s="802"/>
      <c r="J4" s="802"/>
      <c r="K4" s="802"/>
      <c r="L4" s="802"/>
      <c r="M4" s="802"/>
      <c r="N4" s="802"/>
      <c r="O4" s="802"/>
      <c r="P4" s="802"/>
      <c r="Q4" s="802"/>
      <c r="R4" s="802"/>
      <c r="S4" s="802"/>
      <c r="T4" s="802"/>
      <c r="U4" s="802"/>
      <c r="V4" s="802"/>
      <c r="W4" s="806" t="s">
        <v>1012</v>
      </c>
      <c r="X4" s="807"/>
      <c r="Y4" s="807"/>
      <c r="Z4" s="807"/>
      <c r="AA4" s="807"/>
      <c r="AB4" s="807"/>
      <c r="AC4" s="807"/>
      <c r="AD4" s="807"/>
      <c r="AE4" s="807"/>
      <c r="AF4" s="807"/>
      <c r="AG4" s="807"/>
      <c r="AH4" s="807"/>
      <c r="AI4" s="807"/>
      <c r="AJ4" s="807"/>
      <c r="AK4" s="807"/>
      <c r="AL4" s="808"/>
      <c r="AM4" s="876"/>
      <c r="AN4" s="343" t="str">
        <f>HYPERLINK("#HTS_SELF","1.2 HTS SELF")</f>
        <v>1.2 HTS SELF</v>
      </c>
      <c r="AO4" s="343" t="str">
        <f>HYPERLINK("#PMTCT_TST","6.1 PMTCT TEST")</f>
        <v>6.1 PMTCT TEST</v>
      </c>
    </row>
    <row r="5" spans="1:41" s="15" customFormat="1" ht="26.25" hidden="1" customHeight="1" thickBot="1" x14ac:dyDescent="0.8">
      <c r="A5" s="794" t="s">
        <v>37</v>
      </c>
      <c r="B5" s="795" t="s">
        <v>346</v>
      </c>
      <c r="C5" s="797" t="s">
        <v>327</v>
      </c>
      <c r="D5" s="685" t="s">
        <v>0</v>
      </c>
      <c r="E5" s="685"/>
      <c r="F5" s="685" t="s">
        <v>1</v>
      </c>
      <c r="G5" s="685"/>
      <c r="H5" s="685" t="s">
        <v>2</v>
      </c>
      <c r="I5" s="685"/>
      <c r="J5" s="685" t="s">
        <v>3</v>
      </c>
      <c r="K5" s="685"/>
      <c r="L5" s="685" t="s">
        <v>4</v>
      </c>
      <c r="M5" s="685"/>
      <c r="N5" s="685" t="s">
        <v>5</v>
      </c>
      <c r="O5" s="685"/>
      <c r="P5" s="685" t="s">
        <v>6</v>
      </c>
      <c r="Q5" s="685"/>
      <c r="R5" s="685" t="s">
        <v>7</v>
      </c>
      <c r="S5" s="685"/>
      <c r="T5" s="685" t="s">
        <v>8</v>
      </c>
      <c r="U5" s="685"/>
      <c r="V5" s="685" t="s">
        <v>23</v>
      </c>
      <c r="W5" s="685"/>
      <c r="X5" s="685" t="s">
        <v>24</v>
      </c>
      <c r="Y5" s="685"/>
      <c r="Z5" s="685" t="s">
        <v>9</v>
      </c>
      <c r="AA5" s="685"/>
      <c r="AB5" s="350"/>
      <c r="AC5" s="350"/>
      <c r="AD5" s="350"/>
      <c r="AE5" s="350"/>
      <c r="AF5" s="350"/>
      <c r="AG5" s="350"/>
      <c r="AH5" s="687" t="s">
        <v>19</v>
      </c>
      <c r="AI5" s="689" t="s">
        <v>380</v>
      </c>
      <c r="AJ5" s="12" t="s">
        <v>380</v>
      </c>
      <c r="AK5" s="851" t="s">
        <v>387</v>
      </c>
      <c r="AL5" s="13" t="s">
        <v>957</v>
      </c>
      <c r="AM5" s="876"/>
      <c r="AN5" s="344"/>
      <c r="AO5"/>
    </row>
    <row r="6" spans="1:41" s="15" customFormat="1" ht="27" hidden="1" customHeight="1" thickBot="1" x14ac:dyDescent="0.8">
      <c r="A6" s="750"/>
      <c r="B6" s="796"/>
      <c r="C6" s="755"/>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688"/>
      <c r="AI6" s="690"/>
      <c r="AJ6" s="17" t="str">
        <f>IF(LEN(A364)-LEN(SUBSTITUTE(A364,"*",""))&gt;0," Total Errors are "&amp;(LEN(A364)-LEN(SUBSTITUTE(A364,"*",""))),"")</f>
        <v/>
      </c>
      <c r="AK6" s="852"/>
      <c r="AL6" s="18" t="str">
        <f>IF(LEN(A386)-LEN(SUBSTITUTE(A386,"*",""))&gt;0," Total Warnings are "&amp;(LEN(A386)-LEN(SUBSTITUTE(A386,"*",""))),"")</f>
        <v/>
      </c>
      <c r="AM6" s="876"/>
      <c r="AN6" s="344"/>
      <c r="AO6"/>
    </row>
    <row r="7" spans="1:41" ht="25.9" hidden="1" customHeight="1" thickBot="1" x14ac:dyDescent="0.8">
      <c r="A7" s="793" t="s">
        <v>470</v>
      </c>
      <c r="B7" s="695"/>
      <c r="C7" s="695"/>
      <c r="D7" s="695"/>
      <c r="E7" s="695"/>
      <c r="F7" s="695"/>
      <c r="G7" s="695"/>
      <c r="H7" s="695"/>
      <c r="I7" s="695"/>
      <c r="J7" s="695"/>
      <c r="K7" s="695"/>
      <c r="L7" s="695"/>
      <c r="M7" s="695"/>
      <c r="N7" s="695"/>
      <c r="O7" s="695"/>
      <c r="P7" s="695"/>
      <c r="Q7" s="695"/>
      <c r="R7" s="695"/>
      <c r="S7" s="695"/>
      <c r="T7" s="695"/>
      <c r="U7" s="695"/>
      <c r="V7" s="695"/>
      <c r="W7" s="695"/>
      <c r="X7" s="695"/>
      <c r="Y7" s="695"/>
      <c r="Z7" s="695"/>
      <c r="AA7" s="695"/>
      <c r="AB7" s="695"/>
      <c r="AC7" s="695"/>
      <c r="AD7" s="695"/>
      <c r="AE7" s="695"/>
      <c r="AF7" s="695"/>
      <c r="AG7" s="695"/>
      <c r="AH7" s="695"/>
      <c r="AI7" s="695"/>
      <c r="AJ7" s="692"/>
      <c r="AK7" s="695"/>
      <c r="AL7" s="694"/>
      <c r="AM7" s="876"/>
      <c r="AN7" s="344"/>
      <c r="AO7"/>
    </row>
    <row r="8" spans="1:41" ht="31.15" hidden="1" customHeight="1" thickBot="1" x14ac:dyDescent="0.8">
      <c r="A8" s="833" t="s">
        <v>853</v>
      </c>
      <c r="B8" s="1" t="s">
        <v>648</v>
      </c>
      <c r="C8" s="20" t="s">
        <v>998</v>
      </c>
      <c r="D8" s="21"/>
      <c r="E8" s="21"/>
      <c r="F8" s="21"/>
      <c r="G8" s="22"/>
      <c r="H8" s="23"/>
      <c r="I8" s="24"/>
      <c r="J8" s="24"/>
      <c r="K8" s="24"/>
      <c r="L8" s="24"/>
      <c r="M8" s="24"/>
      <c r="N8" s="24"/>
      <c r="O8" s="24"/>
      <c r="P8" s="24"/>
      <c r="Q8" s="24"/>
      <c r="R8" s="24"/>
      <c r="S8" s="25"/>
      <c r="T8" s="26"/>
      <c r="U8" s="27"/>
      <c r="V8" s="27"/>
      <c r="W8" s="27"/>
      <c r="X8" s="27"/>
      <c r="Y8" s="28"/>
      <c r="Z8" s="29"/>
      <c r="AA8" s="30"/>
      <c r="AB8" s="356"/>
      <c r="AC8" s="356"/>
      <c r="AD8" s="356"/>
      <c r="AE8" s="356"/>
      <c r="AF8" s="356"/>
      <c r="AG8" s="356"/>
      <c r="AH8" s="31">
        <f t="shared" ref="AH8:AH10" si="0">SUM(D8:AA8)</f>
        <v>0</v>
      </c>
      <c r="AI8" s="32" t="str">
        <f>CONCATENATE(IF(AH9&gt;AH8," * No Screened in OPD "&amp;$AH$20&amp;" is more than Number Seen at OPD "&amp;CHAR(10),""))</f>
        <v/>
      </c>
      <c r="AJ8" s="898" t="str">
        <f>CONCATENATE(AI8,AI9,AI10,AI11,AI12,AI13,AI15,AI16,AI17,AI18,AI14)</f>
        <v/>
      </c>
      <c r="AK8" s="33"/>
      <c r="AL8" s="901" t="str">
        <f>CONCATENATE(AK8,AK9,AK10,AK11,AK12,AK13,AK14,AK15,AK16,AK17,AK18)</f>
        <v/>
      </c>
      <c r="AM8" s="876"/>
      <c r="AN8" s="344"/>
      <c r="AO8"/>
    </row>
    <row r="9" spans="1:41" ht="25.9" hidden="1" customHeight="1" thickBot="1" x14ac:dyDescent="0.8">
      <c r="A9" s="831"/>
      <c r="B9" s="34" t="s">
        <v>649</v>
      </c>
      <c r="C9" s="20" t="s">
        <v>999</v>
      </c>
      <c r="D9" s="21"/>
      <c r="E9" s="21"/>
      <c r="F9" s="21"/>
      <c r="G9" s="22"/>
      <c r="H9" s="35"/>
      <c r="I9" s="30"/>
      <c r="J9" s="30"/>
      <c r="K9" s="30"/>
      <c r="L9" s="30"/>
      <c r="M9" s="30"/>
      <c r="N9" s="30"/>
      <c r="O9" s="30"/>
      <c r="P9" s="30"/>
      <c r="Q9" s="30"/>
      <c r="R9" s="30"/>
      <c r="S9" s="36"/>
      <c r="T9" s="37"/>
      <c r="U9" s="21"/>
      <c r="V9" s="21"/>
      <c r="W9" s="21"/>
      <c r="X9" s="21"/>
      <c r="Y9" s="38"/>
      <c r="Z9" s="29"/>
      <c r="AA9" s="30"/>
      <c r="AB9" s="356"/>
      <c r="AC9" s="356"/>
      <c r="AD9" s="356"/>
      <c r="AE9" s="356"/>
      <c r="AF9" s="356"/>
      <c r="AG9" s="356"/>
      <c r="AH9" s="31">
        <f t="shared" si="0"/>
        <v>0</v>
      </c>
      <c r="AI9" s="32" t="str">
        <f>CONCATENATE(IF(AH10&gt;AH9," * No Eligible for HTS Testing "&amp;$AH$20&amp;" is more than No Screened for HTS Eligibility "&amp;CHAR(10),""))</f>
        <v/>
      </c>
      <c r="AJ9" s="899"/>
      <c r="AK9" s="33"/>
      <c r="AL9" s="902"/>
      <c r="AM9" s="876"/>
      <c r="AN9" s="344"/>
      <c r="AO9"/>
    </row>
    <row r="10" spans="1:41" ht="25.9" hidden="1" customHeight="1" thickBot="1" x14ac:dyDescent="0.8">
      <c r="A10" s="832"/>
      <c r="B10" s="3" t="s">
        <v>471</v>
      </c>
      <c r="C10" s="20" t="s">
        <v>1000</v>
      </c>
      <c r="D10" s="21"/>
      <c r="E10" s="21"/>
      <c r="F10" s="21"/>
      <c r="G10" s="22"/>
      <c r="H10" s="39"/>
      <c r="I10" s="40"/>
      <c r="J10" s="40"/>
      <c r="K10" s="40"/>
      <c r="L10" s="40"/>
      <c r="M10" s="40"/>
      <c r="N10" s="40"/>
      <c r="O10" s="40"/>
      <c r="P10" s="40"/>
      <c r="Q10" s="40"/>
      <c r="R10" s="40"/>
      <c r="S10" s="41"/>
      <c r="T10" s="42"/>
      <c r="U10" s="43"/>
      <c r="V10" s="43"/>
      <c r="W10" s="43"/>
      <c r="X10" s="43"/>
      <c r="Y10" s="44"/>
      <c r="Z10" s="45"/>
      <c r="AA10" s="46"/>
      <c r="AB10" s="356"/>
      <c r="AC10" s="356"/>
      <c r="AD10" s="356"/>
      <c r="AE10" s="356"/>
      <c r="AF10" s="356"/>
      <c r="AG10" s="356"/>
      <c r="AH10" s="31">
        <f t="shared" si="0"/>
        <v>0</v>
      </c>
      <c r="AI10" s="47"/>
      <c r="AJ10" s="899"/>
      <c r="AK10" s="33"/>
      <c r="AL10" s="902"/>
      <c r="AM10" s="876"/>
      <c r="AN10" s="344"/>
      <c r="AO10"/>
    </row>
    <row r="11" spans="1:41" ht="25.9" hidden="1" customHeight="1" thickBot="1" x14ac:dyDescent="0.8">
      <c r="A11" s="830" t="s">
        <v>854</v>
      </c>
      <c r="B11" s="1" t="s">
        <v>863</v>
      </c>
      <c r="C11" s="20" t="s">
        <v>1001</v>
      </c>
      <c r="D11" s="48"/>
      <c r="E11" s="21"/>
      <c r="F11" s="21"/>
      <c r="G11" s="21"/>
      <c r="H11" s="21"/>
      <c r="I11" s="21"/>
      <c r="J11" s="21"/>
      <c r="K11" s="21"/>
      <c r="L11" s="21"/>
      <c r="M11" s="21"/>
      <c r="N11" s="21"/>
      <c r="O11" s="21"/>
      <c r="P11" s="21"/>
      <c r="Q11" s="21"/>
      <c r="R11" s="21"/>
      <c r="S11" s="21"/>
      <c r="T11" s="21"/>
      <c r="U11" s="21"/>
      <c r="V11" s="21"/>
      <c r="W11" s="21"/>
      <c r="X11" s="21"/>
      <c r="Y11" s="21"/>
      <c r="Z11" s="21"/>
      <c r="AA11" s="49"/>
      <c r="AB11" s="357"/>
      <c r="AC11" s="357"/>
      <c r="AD11" s="357"/>
      <c r="AE11" s="357"/>
      <c r="AF11" s="357"/>
      <c r="AG11" s="357"/>
      <c r="AH11" s="50"/>
      <c r="AI11" s="32"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J11" s="899"/>
      <c r="AK11" s="33"/>
      <c r="AL11" s="902"/>
      <c r="AM11" s="876"/>
      <c r="AN11" s="344"/>
      <c r="AO11"/>
    </row>
    <row r="12" spans="1:41" ht="25.9" hidden="1" customHeight="1" thickBot="1" x14ac:dyDescent="0.8">
      <c r="A12" s="831"/>
      <c r="B12" s="34" t="s">
        <v>649</v>
      </c>
      <c r="C12" s="51" t="s">
        <v>857</v>
      </c>
      <c r="D12" s="52"/>
      <c r="E12" s="53"/>
      <c r="F12" s="53"/>
      <c r="G12" s="53"/>
      <c r="H12" s="53"/>
      <c r="I12" s="53"/>
      <c r="J12" s="53"/>
      <c r="K12" s="53"/>
      <c r="L12" s="53"/>
      <c r="M12" s="53"/>
      <c r="N12" s="53"/>
      <c r="O12" s="53"/>
      <c r="P12" s="53"/>
      <c r="Q12" s="53"/>
      <c r="R12" s="53"/>
      <c r="S12" s="53"/>
      <c r="T12" s="53"/>
      <c r="U12" s="53"/>
      <c r="V12" s="53"/>
      <c r="W12" s="53"/>
      <c r="X12" s="53"/>
      <c r="Y12" s="53"/>
      <c r="Z12" s="53"/>
      <c r="AA12" s="54"/>
      <c r="AB12" s="357"/>
      <c r="AC12" s="357"/>
      <c r="AD12" s="357"/>
      <c r="AE12" s="357"/>
      <c r="AF12" s="357"/>
      <c r="AG12" s="357"/>
      <c r="AH12" s="55">
        <f t="shared" ref="AH12:AH17" si="1">SUM(D12:AA12)</f>
        <v>0</v>
      </c>
      <c r="AI12" s="32"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J12" s="899"/>
      <c r="AK12" s="33"/>
      <c r="AL12" s="902"/>
      <c r="AM12" s="876"/>
      <c r="AN12" s="344"/>
      <c r="AO12"/>
    </row>
    <row r="13" spans="1:41" ht="25.9" hidden="1" customHeight="1" thickBot="1" x14ac:dyDescent="0.8">
      <c r="A13" s="832"/>
      <c r="B13" s="3" t="s">
        <v>471</v>
      </c>
      <c r="C13" s="56" t="s">
        <v>858</v>
      </c>
      <c r="D13" s="57"/>
      <c r="E13" s="58"/>
      <c r="F13" s="58"/>
      <c r="G13" s="58"/>
      <c r="H13" s="58"/>
      <c r="I13" s="58"/>
      <c r="J13" s="58"/>
      <c r="K13" s="58"/>
      <c r="L13" s="58"/>
      <c r="M13" s="58"/>
      <c r="N13" s="58"/>
      <c r="O13" s="58"/>
      <c r="P13" s="58"/>
      <c r="Q13" s="58"/>
      <c r="R13" s="58"/>
      <c r="S13" s="58"/>
      <c r="T13" s="58"/>
      <c r="U13" s="58"/>
      <c r="V13" s="58"/>
      <c r="W13" s="58"/>
      <c r="X13" s="58"/>
      <c r="Y13" s="58"/>
      <c r="Z13" s="58"/>
      <c r="AA13" s="59"/>
      <c r="AB13" s="358"/>
      <c r="AC13" s="358"/>
      <c r="AD13" s="358"/>
      <c r="AE13" s="358"/>
      <c r="AF13" s="358"/>
      <c r="AG13" s="358"/>
      <c r="AH13" s="60">
        <f t="shared" si="1"/>
        <v>0</v>
      </c>
      <c r="AI13" s="47"/>
      <c r="AJ13" s="899"/>
      <c r="AK13" s="33"/>
      <c r="AL13" s="902"/>
      <c r="AM13" s="876"/>
      <c r="AN13" s="344"/>
      <c r="AO13"/>
    </row>
    <row r="14" spans="1:41" s="67" customFormat="1" ht="51.4" hidden="1" customHeight="1" thickBot="1" x14ac:dyDescent="0.8">
      <c r="A14" s="61" t="s">
        <v>919</v>
      </c>
      <c r="B14" s="62" t="s">
        <v>865</v>
      </c>
      <c r="C14" s="63" t="s">
        <v>859</v>
      </c>
      <c r="D14" s="64">
        <f t="shared" ref="D14:E14" si="2">D13+D10</f>
        <v>0</v>
      </c>
      <c r="E14" s="64">
        <f t="shared" si="2"/>
        <v>0</v>
      </c>
      <c r="F14" s="64">
        <f>F13+F10</f>
        <v>0</v>
      </c>
      <c r="G14" s="64">
        <f t="shared" ref="G14:AA14" si="3">G13+G10</f>
        <v>0</v>
      </c>
      <c r="H14" s="64">
        <f t="shared" si="3"/>
        <v>0</v>
      </c>
      <c r="I14" s="64">
        <f t="shared" si="3"/>
        <v>0</v>
      </c>
      <c r="J14" s="64">
        <f t="shared" si="3"/>
        <v>0</v>
      </c>
      <c r="K14" s="64">
        <f t="shared" si="3"/>
        <v>0</v>
      </c>
      <c r="L14" s="64">
        <f t="shared" si="3"/>
        <v>0</v>
      </c>
      <c r="M14" s="64">
        <f t="shared" si="3"/>
        <v>0</v>
      </c>
      <c r="N14" s="64">
        <f t="shared" si="3"/>
        <v>0</v>
      </c>
      <c r="O14" s="64">
        <f t="shared" si="3"/>
        <v>0</v>
      </c>
      <c r="P14" s="64">
        <f t="shared" si="3"/>
        <v>0</v>
      </c>
      <c r="Q14" s="64">
        <f t="shared" si="3"/>
        <v>0</v>
      </c>
      <c r="R14" s="64">
        <f t="shared" si="3"/>
        <v>0</v>
      </c>
      <c r="S14" s="64">
        <f t="shared" si="3"/>
        <v>0</v>
      </c>
      <c r="T14" s="64">
        <f t="shared" si="3"/>
        <v>0</v>
      </c>
      <c r="U14" s="64">
        <f t="shared" si="3"/>
        <v>0</v>
      </c>
      <c r="V14" s="64">
        <f t="shared" si="3"/>
        <v>0</v>
      </c>
      <c r="W14" s="64">
        <f t="shared" si="3"/>
        <v>0</v>
      </c>
      <c r="X14" s="64">
        <f t="shared" si="3"/>
        <v>0</v>
      </c>
      <c r="Y14" s="64">
        <f t="shared" si="3"/>
        <v>0</v>
      </c>
      <c r="Z14" s="64">
        <f t="shared" si="3"/>
        <v>0</v>
      </c>
      <c r="AA14" s="64">
        <f t="shared" si="3"/>
        <v>0</v>
      </c>
      <c r="AB14" s="359"/>
      <c r="AC14" s="359"/>
      <c r="AD14" s="359"/>
      <c r="AE14" s="359"/>
      <c r="AF14" s="359"/>
      <c r="AG14" s="359"/>
      <c r="AH14" s="65">
        <f t="shared" si="1"/>
        <v>0</v>
      </c>
      <c r="AI14" s="32"/>
      <c r="AJ14" s="899"/>
      <c r="AK14" s="66"/>
      <c r="AL14" s="902"/>
      <c r="AM14" s="876"/>
      <c r="AN14" s="344"/>
      <c r="AO14"/>
    </row>
    <row r="15" spans="1:41" ht="25.9" hidden="1" customHeight="1" thickBot="1" x14ac:dyDescent="0.8">
      <c r="A15" s="833" t="s">
        <v>855</v>
      </c>
      <c r="B15" s="1" t="s">
        <v>864</v>
      </c>
      <c r="C15" s="63" t="s">
        <v>860</v>
      </c>
      <c r="D15" s="68"/>
      <c r="E15" s="69"/>
      <c r="F15" s="69"/>
      <c r="G15" s="69"/>
      <c r="H15" s="69"/>
      <c r="I15" s="69"/>
      <c r="J15" s="69"/>
      <c r="K15" s="69"/>
      <c r="L15" s="69"/>
      <c r="M15" s="69"/>
      <c r="N15" s="69"/>
      <c r="O15" s="69"/>
      <c r="P15" s="69"/>
      <c r="Q15" s="69"/>
      <c r="R15" s="69"/>
      <c r="S15" s="69"/>
      <c r="T15" s="69"/>
      <c r="U15" s="69"/>
      <c r="V15" s="69"/>
      <c r="W15" s="69"/>
      <c r="X15" s="69"/>
      <c r="Y15" s="69"/>
      <c r="Z15" s="69"/>
      <c r="AA15" s="70"/>
      <c r="AB15" s="360"/>
      <c r="AC15" s="360"/>
      <c r="AD15" s="360"/>
      <c r="AE15" s="360"/>
      <c r="AF15" s="360"/>
      <c r="AG15" s="360"/>
      <c r="AH15" s="71">
        <f t="shared" si="1"/>
        <v>0</v>
      </c>
      <c r="AI15" s="32"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J15" s="899"/>
      <c r="AK15" s="33"/>
      <c r="AL15" s="902"/>
      <c r="AM15" s="876"/>
      <c r="AN15" s="344"/>
      <c r="AO15"/>
    </row>
    <row r="16" spans="1:41" ht="25.9" hidden="1" customHeight="1" thickBot="1" x14ac:dyDescent="0.8">
      <c r="A16" s="831"/>
      <c r="B16" s="2" t="s">
        <v>649</v>
      </c>
      <c r="C16" s="51" t="s">
        <v>861</v>
      </c>
      <c r="D16" s="52"/>
      <c r="E16" s="53"/>
      <c r="F16" s="53"/>
      <c r="G16" s="53"/>
      <c r="H16" s="53"/>
      <c r="I16" s="53"/>
      <c r="J16" s="53"/>
      <c r="K16" s="53"/>
      <c r="L16" s="53"/>
      <c r="M16" s="53"/>
      <c r="N16" s="53"/>
      <c r="O16" s="53"/>
      <c r="P16" s="53"/>
      <c r="Q16" s="53"/>
      <c r="R16" s="53"/>
      <c r="S16" s="53"/>
      <c r="T16" s="53"/>
      <c r="U16" s="53"/>
      <c r="V16" s="53"/>
      <c r="W16" s="53"/>
      <c r="X16" s="53"/>
      <c r="Y16" s="53"/>
      <c r="Z16" s="53"/>
      <c r="AA16" s="54"/>
      <c r="AB16" s="357"/>
      <c r="AC16" s="357"/>
      <c r="AD16" s="357"/>
      <c r="AE16" s="357"/>
      <c r="AF16" s="357"/>
      <c r="AG16" s="357"/>
      <c r="AH16" s="72">
        <f t="shared" si="1"/>
        <v>0</v>
      </c>
      <c r="AI16" s="32"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J16" s="899"/>
      <c r="AK16" s="33"/>
      <c r="AL16" s="902"/>
      <c r="AM16" s="876"/>
      <c r="AN16" s="344"/>
      <c r="AO16"/>
    </row>
    <row r="17" spans="1:41" ht="25.9" hidden="1" customHeight="1" thickBot="1" x14ac:dyDescent="0.8">
      <c r="A17" s="832"/>
      <c r="B17" s="3" t="s">
        <v>471</v>
      </c>
      <c r="C17" s="56" t="s">
        <v>862</v>
      </c>
      <c r="D17" s="57"/>
      <c r="E17" s="58"/>
      <c r="F17" s="58"/>
      <c r="G17" s="58"/>
      <c r="H17" s="58"/>
      <c r="I17" s="58"/>
      <c r="J17" s="58"/>
      <c r="K17" s="58"/>
      <c r="L17" s="58"/>
      <c r="M17" s="58"/>
      <c r="N17" s="58"/>
      <c r="O17" s="58"/>
      <c r="P17" s="58"/>
      <c r="Q17" s="58"/>
      <c r="R17" s="58"/>
      <c r="S17" s="58"/>
      <c r="T17" s="58"/>
      <c r="U17" s="58"/>
      <c r="V17" s="58"/>
      <c r="W17" s="58"/>
      <c r="X17" s="58"/>
      <c r="Y17" s="58"/>
      <c r="Z17" s="58"/>
      <c r="AA17" s="59"/>
      <c r="AB17" s="358"/>
      <c r="AC17" s="358"/>
      <c r="AD17" s="358"/>
      <c r="AE17" s="358"/>
      <c r="AF17" s="358"/>
      <c r="AG17" s="358"/>
      <c r="AH17" s="73">
        <f t="shared" si="1"/>
        <v>0</v>
      </c>
      <c r="AI17" s="47"/>
      <c r="AJ17" s="899"/>
      <c r="AK17" s="33"/>
      <c r="AL17" s="902"/>
      <c r="AM17" s="876"/>
      <c r="AN17" s="344"/>
      <c r="AO17"/>
    </row>
    <row r="18" spans="1:41" ht="25.9" hidden="1" customHeight="1" thickBot="1" x14ac:dyDescent="0.8">
      <c r="A18" s="345"/>
      <c r="B18" s="346" t="s">
        <v>1013</v>
      </c>
      <c r="C18" s="20" t="s">
        <v>1002</v>
      </c>
      <c r="D18" s="64">
        <f t="shared" ref="D18:E18" si="4">D17+D13+D10</f>
        <v>0</v>
      </c>
      <c r="E18" s="64">
        <f t="shared" si="4"/>
        <v>0</v>
      </c>
      <c r="F18" s="64">
        <f>F17+F13+F10</f>
        <v>0</v>
      </c>
      <c r="G18" s="64">
        <f t="shared" ref="G18:AH18" si="5">G17+G13+G10</f>
        <v>0</v>
      </c>
      <c r="H18" s="64">
        <f t="shared" si="5"/>
        <v>0</v>
      </c>
      <c r="I18" s="64">
        <f t="shared" si="5"/>
        <v>0</v>
      </c>
      <c r="J18" s="64">
        <f t="shared" si="5"/>
        <v>0</v>
      </c>
      <c r="K18" s="64">
        <f t="shared" si="5"/>
        <v>0</v>
      </c>
      <c r="L18" s="64">
        <f t="shared" si="5"/>
        <v>0</v>
      </c>
      <c r="M18" s="64">
        <f t="shared" si="5"/>
        <v>0</v>
      </c>
      <c r="N18" s="64">
        <f t="shared" si="5"/>
        <v>0</v>
      </c>
      <c r="O18" s="64">
        <f t="shared" si="5"/>
        <v>0</v>
      </c>
      <c r="P18" s="64">
        <f t="shared" si="5"/>
        <v>0</v>
      </c>
      <c r="Q18" s="64">
        <f t="shared" si="5"/>
        <v>0</v>
      </c>
      <c r="R18" s="64">
        <f t="shared" si="5"/>
        <v>0</v>
      </c>
      <c r="S18" s="64">
        <f t="shared" si="5"/>
        <v>0</v>
      </c>
      <c r="T18" s="64">
        <f t="shared" si="5"/>
        <v>0</v>
      </c>
      <c r="U18" s="64">
        <f t="shared" si="5"/>
        <v>0</v>
      </c>
      <c r="V18" s="64">
        <f t="shared" si="5"/>
        <v>0</v>
      </c>
      <c r="W18" s="64">
        <f t="shared" si="5"/>
        <v>0</v>
      </c>
      <c r="X18" s="64">
        <f t="shared" si="5"/>
        <v>0</v>
      </c>
      <c r="Y18" s="64">
        <f t="shared" si="5"/>
        <v>0</v>
      </c>
      <c r="Z18" s="64">
        <f t="shared" si="5"/>
        <v>0</v>
      </c>
      <c r="AA18" s="64">
        <f t="shared" si="5"/>
        <v>0</v>
      </c>
      <c r="AB18" s="64"/>
      <c r="AC18" s="64"/>
      <c r="AD18" s="64"/>
      <c r="AE18" s="64"/>
      <c r="AF18" s="64"/>
      <c r="AG18" s="64"/>
      <c r="AH18" s="64">
        <f t="shared" si="5"/>
        <v>0</v>
      </c>
      <c r="AI18" s="347"/>
      <c r="AJ18" s="899"/>
      <c r="AK18" s="137"/>
      <c r="AL18" s="902"/>
      <c r="AM18" s="876"/>
      <c r="AN18" s="344"/>
      <c r="AO18"/>
    </row>
    <row r="19" spans="1:41" ht="36.75" customHeight="1" thickBot="1" x14ac:dyDescent="0.75">
      <c r="A19" s="691" t="s">
        <v>12</v>
      </c>
      <c r="B19" s="692"/>
      <c r="C19" s="692"/>
      <c r="D19" s="692"/>
      <c r="E19" s="692"/>
      <c r="F19" s="692"/>
      <c r="G19" s="692"/>
      <c r="H19" s="692"/>
      <c r="I19" s="692"/>
      <c r="J19" s="692"/>
      <c r="K19" s="692"/>
      <c r="L19" s="692"/>
      <c r="M19" s="692"/>
      <c r="N19" s="692"/>
      <c r="O19" s="692"/>
      <c r="P19" s="692"/>
      <c r="Q19" s="692"/>
      <c r="R19" s="692"/>
      <c r="S19" s="692"/>
      <c r="T19" s="692"/>
      <c r="U19" s="692"/>
      <c r="V19" s="692"/>
      <c r="W19" s="692"/>
      <c r="X19" s="692"/>
      <c r="Y19" s="692"/>
      <c r="Z19" s="692"/>
      <c r="AA19" s="692"/>
      <c r="AB19" s="692"/>
      <c r="AC19" s="692"/>
      <c r="AD19" s="692"/>
      <c r="AE19" s="692"/>
      <c r="AF19" s="692"/>
      <c r="AG19" s="692"/>
      <c r="AH19" s="692"/>
      <c r="AI19" s="692"/>
      <c r="AJ19" s="692"/>
      <c r="AK19" s="692"/>
      <c r="AL19" s="848"/>
      <c r="AM19" s="876"/>
      <c r="AN19" s="343" t="str">
        <f>HYPERLINK("#PREP","2.0 Prep New &amp; CURR")</f>
        <v>2.0 Prep New &amp; CURR</v>
      </c>
      <c r="AO19" s="343" t="str">
        <f>HYPERLINK("#HAART","6.2 PMTCT HAART")</f>
        <v>6.2 PMTCT HAART</v>
      </c>
    </row>
    <row r="20" spans="1:41" s="15" customFormat="1" ht="33" customHeight="1" thickBot="1" x14ac:dyDescent="0.75">
      <c r="A20" s="749" t="s">
        <v>37</v>
      </c>
      <c r="B20" s="768" t="s">
        <v>346</v>
      </c>
      <c r="C20" s="754" t="s">
        <v>327</v>
      </c>
      <c r="D20" s="785" t="s">
        <v>0</v>
      </c>
      <c r="E20" s="785"/>
      <c r="F20" s="785" t="s">
        <v>1</v>
      </c>
      <c r="G20" s="785"/>
      <c r="H20" s="785" t="s">
        <v>2</v>
      </c>
      <c r="I20" s="785"/>
      <c r="J20" s="785" t="s">
        <v>3</v>
      </c>
      <c r="K20" s="785"/>
      <c r="L20" s="785" t="s">
        <v>4</v>
      </c>
      <c r="M20" s="785"/>
      <c r="N20" s="785" t="s">
        <v>5</v>
      </c>
      <c r="O20" s="785"/>
      <c r="P20" s="785" t="s">
        <v>6</v>
      </c>
      <c r="Q20" s="785"/>
      <c r="R20" s="785" t="s">
        <v>7</v>
      </c>
      <c r="S20" s="785"/>
      <c r="T20" s="785" t="s">
        <v>8</v>
      </c>
      <c r="U20" s="785"/>
      <c r="V20" s="785" t="s">
        <v>23</v>
      </c>
      <c r="W20" s="785"/>
      <c r="X20" s="785" t="s">
        <v>24</v>
      </c>
      <c r="Y20" s="785"/>
      <c r="Z20" s="785" t="s">
        <v>9</v>
      </c>
      <c r="AA20" s="785"/>
      <c r="AB20" s="758" t="s">
        <v>1035</v>
      </c>
      <c r="AC20" s="824"/>
      <c r="AD20" s="758" t="s">
        <v>1036</v>
      </c>
      <c r="AE20" s="824"/>
      <c r="AF20" s="758" t="s">
        <v>1037</v>
      </c>
      <c r="AG20" s="824"/>
      <c r="AH20" s="903" t="s">
        <v>19</v>
      </c>
      <c r="AI20" s="689" t="s">
        <v>380</v>
      </c>
      <c r="AJ20" s="772" t="s">
        <v>386</v>
      </c>
      <c r="AK20" s="783" t="s">
        <v>387</v>
      </c>
      <c r="AL20" s="856" t="s">
        <v>387</v>
      </c>
      <c r="AM20" s="876"/>
      <c r="AN20" s="343" t="str">
        <f>HYPERLINK("#IPT","3.0 IPT")</f>
        <v>3.0 IPT</v>
      </c>
      <c r="AO20" s="343" t="str">
        <f>HYPERLINK("#ART","7.0 HIV &amp; TB SCREEN")</f>
        <v>7.0 HIV &amp; TB SCREEN</v>
      </c>
    </row>
    <row r="21" spans="1:41" s="15" customFormat="1" ht="33" customHeight="1" thickBot="1" x14ac:dyDescent="0.75">
      <c r="A21" s="750"/>
      <c r="B21" s="796"/>
      <c r="C21" s="755"/>
      <c r="D21" s="75" t="s">
        <v>10</v>
      </c>
      <c r="E21" s="75" t="s">
        <v>11</v>
      </c>
      <c r="F21" s="75" t="s">
        <v>10</v>
      </c>
      <c r="G21" s="75" t="s">
        <v>11</v>
      </c>
      <c r="H21" s="75" t="s">
        <v>10</v>
      </c>
      <c r="I21" s="75" t="s">
        <v>11</v>
      </c>
      <c r="J21" s="75" t="s">
        <v>10</v>
      </c>
      <c r="K21" s="75" t="s">
        <v>11</v>
      </c>
      <c r="L21" s="75" t="s">
        <v>10</v>
      </c>
      <c r="M21" s="75" t="s">
        <v>11</v>
      </c>
      <c r="N21" s="75" t="s">
        <v>10</v>
      </c>
      <c r="O21" s="75" t="s">
        <v>11</v>
      </c>
      <c r="P21" s="75" t="s">
        <v>10</v>
      </c>
      <c r="Q21" s="75" t="s">
        <v>11</v>
      </c>
      <c r="R21" s="75" t="s">
        <v>10</v>
      </c>
      <c r="S21" s="75" t="s">
        <v>11</v>
      </c>
      <c r="T21" s="75" t="s">
        <v>10</v>
      </c>
      <c r="U21" s="75" t="s">
        <v>11</v>
      </c>
      <c r="V21" s="75" t="s">
        <v>10</v>
      </c>
      <c r="W21" s="75" t="s">
        <v>11</v>
      </c>
      <c r="X21" s="75" t="s">
        <v>10</v>
      </c>
      <c r="Y21" s="75" t="s">
        <v>11</v>
      </c>
      <c r="Z21" s="75" t="s">
        <v>10</v>
      </c>
      <c r="AA21" s="75" t="s">
        <v>11</v>
      </c>
      <c r="AB21" s="336" t="s">
        <v>10</v>
      </c>
      <c r="AC21" s="336" t="s">
        <v>11</v>
      </c>
      <c r="AD21" s="336" t="s">
        <v>10</v>
      </c>
      <c r="AE21" s="336" t="s">
        <v>11</v>
      </c>
      <c r="AF21" s="336" t="s">
        <v>10</v>
      </c>
      <c r="AG21" s="336" t="s">
        <v>11</v>
      </c>
      <c r="AH21" s="904"/>
      <c r="AI21" s="690"/>
      <c r="AJ21" s="773"/>
      <c r="AK21" s="892"/>
      <c r="AL21" s="857"/>
      <c r="AM21" s="876"/>
      <c r="AN21" s="343" t="str">
        <f>HYPERLINK("#CXCA","4.0 CXCA")</f>
        <v>4.0 CXCA</v>
      </c>
      <c r="AO21" s="343" t="str">
        <f>HYPERLINK("#TB","9.0 HIV TB Clinic")</f>
        <v>9.0 HIV TB Clinic</v>
      </c>
    </row>
    <row r="22" spans="1:41" ht="25.5" x14ac:dyDescent="0.75">
      <c r="A22" s="827" t="s">
        <v>121</v>
      </c>
      <c r="B22" s="76" t="s">
        <v>1031</v>
      </c>
      <c r="C22" s="77" t="s">
        <v>143</v>
      </c>
      <c r="D22" s="154"/>
      <c r="E22" s="110"/>
      <c r="F22" s="105"/>
      <c r="G22" s="105"/>
      <c r="H22" s="105"/>
      <c r="I22" s="425"/>
      <c r="J22" s="105"/>
      <c r="K22" s="105"/>
      <c r="L22" s="105"/>
      <c r="M22" s="105"/>
      <c r="N22" s="105"/>
      <c r="O22" s="105"/>
      <c r="P22" s="105"/>
      <c r="Q22" s="105"/>
      <c r="R22" s="105"/>
      <c r="S22" s="105"/>
      <c r="T22" s="105"/>
      <c r="U22" s="105"/>
      <c r="V22" s="105"/>
      <c r="W22" s="105"/>
      <c r="X22" s="105"/>
      <c r="Y22" s="105"/>
      <c r="Z22" s="105"/>
      <c r="AA22" s="365"/>
      <c r="AB22" s="432"/>
      <c r="AC22" s="433"/>
      <c r="AD22" s="433"/>
      <c r="AE22" s="433"/>
      <c r="AF22" s="433"/>
      <c r="AG22" s="360"/>
      <c r="AH22" s="214">
        <f t="shared" ref="AH22:AH27" si="6">SUM(D22:AA22)</f>
        <v>0</v>
      </c>
      <c r="AI22" s="847"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J22" s="762" t="str">
        <f>CONCATENATE(AI22,AI24,AI25,AI27,AI29,AI30,AI31,AI32,AI34,AI36,AI38,AI40,AI42,AI44,AI46,AI48,AI52)</f>
        <v/>
      </c>
      <c r="AK22" s="81"/>
      <c r="AL22" s="853" t="str">
        <f>CONCATENATE(AK22,AK23,AK24,AK25,AK27,AK28,AK29,AK30,AK31,AK32,AK33,AK34,AK35,AK36,AK37,AK38,AK39,AK40,AK41,AK42,AK43,AK44,AK45,AK46,AK47,AK48,AK49,AK52,AK53)</f>
        <v/>
      </c>
      <c r="AM22" s="14">
        <v>21</v>
      </c>
      <c r="AN22" s="82"/>
      <c r="AO22" s="83"/>
    </row>
    <row r="23" spans="1:41" ht="25.5" x14ac:dyDescent="0.75">
      <c r="A23" s="670"/>
      <c r="B23" s="84" t="s">
        <v>1032</v>
      </c>
      <c r="C23" s="85" t="s">
        <v>145</v>
      </c>
      <c r="D23" s="155"/>
      <c r="E23" s="87"/>
      <c r="F23" s="88"/>
      <c r="G23" s="88"/>
      <c r="H23" s="88"/>
      <c r="I23" s="88"/>
      <c r="J23" s="88"/>
      <c r="K23" s="88"/>
      <c r="L23" s="88"/>
      <c r="M23" s="88"/>
      <c r="N23" s="88"/>
      <c r="O23" s="88"/>
      <c r="P23" s="88"/>
      <c r="Q23" s="88"/>
      <c r="R23" s="88"/>
      <c r="S23" s="88"/>
      <c r="T23" s="88"/>
      <c r="U23" s="88"/>
      <c r="V23" s="88"/>
      <c r="W23" s="88"/>
      <c r="X23" s="88"/>
      <c r="Y23" s="88"/>
      <c r="Z23" s="88"/>
      <c r="AA23" s="362"/>
      <c r="AB23" s="434"/>
      <c r="AC23" s="401"/>
      <c r="AD23" s="401"/>
      <c r="AE23" s="401"/>
      <c r="AF23" s="401"/>
      <c r="AG23" s="357"/>
      <c r="AH23" s="199">
        <f t="shared" si="6"/>
        <v>0</v>
      </c>
      <c r="AI23" s="686"/>
      <c r="AJ23" s="763"/>
      <c r="AK23" s="33"/>
      <c r="AL23" s="854"/>
      <c r="AM23" s="14">
        <v>22</v>
      </c>
      <c r="AN23" s="82"/>
      <c r="AO23" s="83"/>
    </row>
    <row r="24" spans="1:41" s="67" customFormat="1" ht="25.5" x14ac:dyDescent="0.75">
      <c r="A24" s="670"/>
      <c r="B24" s="84" t="s">
        <v>146</v>
      </c>
      <c r="C24" s="85" t="s">
        <v>347</v>
      </c>
      <c r="D24" s="155"/>
      <c r="E24" s="87"/>
      <c r="F24" s="88"/>
      <c r="G24" s="88"/>
      <c r="H24" s="88"/>
      <c r="I24" s="88"/>
      <c r="J24" s="88"/>
      <c r="K24" s="88"/>
      <c r="L24" s="88"/>
      <c r="M24" s="88"/>
      <c r="N24" s="88"/>
      <c r="O24" s="88"/>
      <c r="P24" s="88"/>
      <c r="Q24" s="88"/>
      <c r="R24" s="88"/>
      <c r="S24" s="88"/>
      <c r="T24" s="88"/>
      <c r="U24" s="88"/>
      <c r="V24" s="88"/>
      <c r="W24" s="88"/>
      <c r="X24" s="88"/>
      <c r="Y24" s="88"/>
      <c r="Z24" s="88"/>
      <c r="AA24" s="362"/>
      <c r="AB24" s="434"/>
      <c r="AC24" s="401"/>
      <c r="AD24" s="401"/>
      <c r="AE24" s="401"/>
      <c r="AF24" s="401"/>
      <c r="AG24" s="357"/>
      <c r="AH24" s="199">
        <f t="shared" si="6"/>
        <v>0</v>
      </c>
      <c r="AI24" s="47" t="str">
        <f>IF(AH24&gt;0,IF(AH23&lt;1,"Contacts were Elicited [ F01-03 ] yet no Patients Accepted Index Testing [F01-02]",""),"")</f>
        <v/>
      </c>
      <c r="AJ24" s="763"/>
      <c r="AK24" s="66"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L24" s="854"/>
      <c r="AM24" s="14">
        <v>23</v>
      </c>
      <c r="AN24" s="89"/>
      <c r="AO24" s="83"/>
    </row>
    <row r="25" spans="1:41" s="92" customFormat="1" ht="25.5" x14ac:dyDescent="0.75">
      <c r="A25" s="670"/>
      <c r="B25" s="84" t="s">
        <v>147</v>
      </c>
      <c r="C25" s="85" t="s">
        <v>148</v>
      </c>
      <c r="D25" s="155"/>
      <c r="E25" s="87"/>
      <c r="F25" s="88"/>
      <c r="G25" s="88"/>
      <c r="H25" s="88"/>
      <c r="I25" s="88"/>
      <c r="J25" s="88"/>
      <c r="K25" s="88"/>
      <c r="L25" s="88"/>
      <c r="M25" s="88"/>
      <c r="N25" s="88"/>
      <c r="O25" s="88"/>
      <c r="P25" s="88"/>
      <c r="Q25" s="88"/>
      <c r="R25" s="88"/>
      <c r="S25" s="88"/>
      <c r="T25" s="88"/>
      <c r="U25" s="88"/>
      <c r="V25" s="88"/>
      <c r="W25" s="88"/>
      <c r="X25" s="88"/>
      <c r="Y25" s="88"/>
      <c r="Z25" s="88"/>
      <c r="AA25" s="362"/>
      <c r="AB25" s="434"/>
      <c r="AC25" s="401"/>
      <c r="AD25" s="401"/>
      <c r="AE25" s="401"/>
      <c r="AF25" s="401"/>
      <c r="AG25" s="357"/>
      <c r="AH25" s="199">
        <f t="shared" si="6"/>
        <v>0</v>
      </c>
      <c r="AI25" s="47"/>
      <c r="AJ25" s="763"/>
      <c r="AK25" s="33"/>
      <c r="AL25" s="854"/>
      <c r="AM25" s="14">
        <v>24</v>
      </c>
      <c r="AN25" s="90"/>
      <c r="AO25" s="91"/>
    </row>
    <row r="26" spans="1:41" s="92" customFormat="1" ht="25.5" x14ac:dyDescent="0.75">
      <c r="A26" s="670"/>
      <c r="B26" s="457" t="s">
        <v>1077</v>
      </c>
      <c r="C26" s="189" t="s">
        <v>1076</v>
      </c>
      <c r="D26" s="155"/>
      <c r="E26" s="87"/>
      <c r="F26" s="88"/>
      <c r="G26" s="88"/>
      <c r="H26" s="88"/>
      <c r="I26" s="88"/>
      <c r="J26" s="88"/>
      <c r="K26" s="88"/>
      <c r="L26" s="87"/>
      <c r="M26" s="87"/>
      <c r="N26" s="87"/>
      <c r="O26" s="87"/>
      <c r="P26" s="87"/>
      <c r="Q26" s="87"/>
      <c r="R26" s="87"/>
      <c r="S26" s="87"/>
      <c r="T26" s="87"/>
      <c r="U26" s="87"/>
      <c r="V26" s="87"/>
      <c r="W26" s="87"/>
      <c r="X26" s="87"/>
      <c r="Y26" s="87"/>
      <c r="Z26" s="87"/>
      <c r="AA26" s="87"/>
      <c r="AB26" s="434"/>
      <c r="AC26" s="401"/>
      <c r="AD26" s="401"/>
      <c r="AE26" s="401"/>
      <c r="AF26" s="401"/>
      <c r="AG26" s="357"/>
      <c r="AH26" s="199">
        <f t="shared" si="6"/>
        <v>0</v>
      </c>
      <c r="AI26" s="349"/>
      <c r="AJ26" s="763"/>
      <c r="AK26" s="33"/>
      <c r="AL26" s="854"/>
      <c r="AM26" s="14"/>
      <c r="AN26" s="90"/>
      <c r="AO26" s="91"/>
    </row>
    <row r="27" spans="1:41" s="92" customFormat="1" ht="25.5" x14ac:dyDescent="0.75">
      <c r="A27" s="670"/>
      <c r="B27" s="84" t="s">
        <v>160</v>
      </c>
      <c r="C27" s="85" t="s">
        <v>149</v>
      </c>
      <c r="D27" s="155"/>
      <c r="E27" s="87"/>
      <c r="F27" s="88"/>
      <c r="G27" s="88"/>
      <c r="H27" s="88"/>
      <c r="I27" s="88"/>
      <c r="J27" s="88"/>
      <c r="K27" s="88"/>
      <c r="L27" s="88"/>
      <c r="M27" s="88"/>
      <c r="N27" s="88"/>
      <c r="O27" s="88"/>
      <c r="P27" s="88"/>
      <c r="Q27" s="88"/>
      <c r="R27" s="88"/>
      <c r="S27" s="88"/>
      <c r="T27" s="88"/>
      <c r="U27" s="88"/>
      <c r="V27" s="88"/>
      <c r="W27" s="88"/>
      <c r="X27" s="88"/>
      <c r="Y27" s="88"/>
      <c r="Z27" s="88"/>
      <c r="AA27" s="362"/>
      <c r="AB27" s="434"/>
      <c r="AC27" s="401"/>
      <c r="AD27" s="401"/>
      <c r="AE27" s="401"/>
      <c r="AF27" s="401"/>
      <c r="AG27" s="357"/>
      <c r="AH27" s="199">
        <f t="shared" si="6"/>
        <v>0</v>
      </c>
      <c r="AI27" s="686"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J27" s="763"/>
      <c r="AK27" s="33" t="str">
        <f>CONCATENATE(IF(AND(IFERROR((AH28*100)/AH27,0)&gt;10,AH28&gt;5)," * This facility has a high positivity rate for Index Testing. Kindly confirm if this is the true reflection"&amp;CHAR(10),""),"")</f>
        <v/>
      </c>
      <c r="AL27" s="854"/>
      <c r="AM27" s="14">
        <v>25</v>
      </c>
      <c r="AN27" s="90"/>
      <c r="AO27" s="91"/>
    </row>
    <row r="28" spans="1:41" s="92" customFormat="1" ht="25.5" x14ac:dyDescent="0.75">
      <c r="A28" s="670"/>
      <c r="B28" s="93" t="s">
        <v>152</v>
      </c>
      <c r="C28" s="85" t="s">
        <v>151</v>
      </c>
      <c r="D28" s="155"/>
      <c r="E28" s="87"/>
      <c r="F28" s="94"/>
      <c r="G28" s="94"/>
      <c r="H28" s="94"/>
      <c r="I28" s="94"/>
      <c r="J28" s="94"/>
      <c r="K28" s="94"/>
      <c r="L28" s="94"/>
      <c r="M28" s="94"/>
      <c r="N28" s="94"/>
      <c r="O28" s="94"/>
      <c r="P28" s="94"/>
      <c r="Q28" s="94"/>
      <c r="R28" s="94"/>
      <c r="S28" s="94"/>
      <c r="T28" s="94"/>
      <c r="U28" s="94"/>
      <c r="V28" s="94"/>
      <c r="W28" s="94"/>
      <c r="X28" s="94"/>
      <c r="Y28" s="94"/>
      <c r="Z28" s="94"/>
      <c r="AA28" s="363"/>
      <c r="AB28" s="434"/>
      <c r="AC28" s="401"/>
      <c r="AD28" s="401"/>
      <c r="AE28" s="401"/>
      <c r="AF28" s="401"/>
      <c r="AG28" s="357"/>
      <c r="AH28" s="427">
        <f>SUM(D28:AA28)</f>
        <v>0</v>
      </c>
      <c r="AI28" s="686"/>
      <c r="AJ28" s="763"/>
      <c r="AK28" s="33"/>
      <c r="AL28" s="854"/>
      <c r="AM28" s="14">
        <v>26</v>
      </c>
      <c r="AN28" s="90"/>
      <c r="AO28" s="91"/>
    </row>
    <row r="29" spans="1:41" s="92" customFormat="1" ht="25.5" x14ac:dyDescent="0.75">
      <c r="A29" s="670"/>
      <c r="B29" s="84" t="s">
        <v>153</v>
      </c>
      <c r="C29" s="85" t="s">
        <v>154</v>
      </c>
      <c r="D29" s="155"/>
      <c r="E29" s="87"/>
      <c r="F29" s="88"/>
      <c r="G29" s="88"/>
      <c r="H29" s="88"/>
      <c r="I29" s="88"/>
      <c r="J29" s="88"/>
      <c r="K29" s="88"/>
      <c r="L29" s="88"/>
      <c r="M29" s="88"/>
      <c r="N29" s="88"/>
      <c r="O29" s="88"/>
      <c r="P29" s="88"/>
      <c r="Q29" s="88"/>
      <c r="R29" s="88"/>
      <c r="S29" s="88"/>
      <c r="T29" s="88"/>
      <c r="U29" s="88"/>
      <c r="V29" s="88"/>
      <c r="W29" s="88"/>
      <c r="X29" s="88"/>
      <c r="Y29" s="88"/>
      <c r="Z29" s="88"/>
      <c r="AA29" s="362"/>
      <c r="AB29" s="434"/>
      <c r="AC29" s="401"/>
      <c r="AD29" s="401"/>
      <c r="AE29" s="401"/>
      <c r="AF29" s="401"/>
      <c r="AG29" s="357"/>
      <c r="AH29" s="199">
        <f t="shared" ref="AH29:AH53" si="7">SUM(D29:AA29)</f>
        <v>0</v>
      </c>
      <c r="AI29" s="47"/>
      <c r="AJ29" s="763"/>
      <c r="AK29" s="33"/>
      <c r="AL29" s="854"/>
      <c r="AM29" s="14">
        <v>27</v>
      </c>
      <c r="AN29" s="90"/>
      <c r="AO29" s="91"/>
    </row>
    <row r="30" spans="1:41" s="92" customFormat="1" ht="25.5" x14ac:dyDescent="0.75">
      <c r="A30" s="670"/>
      <c r="B30" s="84" t="s">
        <v>650</v>
      </c>
      <c r="C30" s="85" t="s">
        <v>155</v>
      </c>
      <c r="D30" s="426"/>
      <c r="E30" s="95"/>
      <c r="F30" s="88"/>
      <c r="G30" s="88"/>
      <c r="H30" s="88"/>
      <c r="I30" s="88"/>
      <c r="J30" s="88"/>
      <c r="K30" s="88"/>
      <c r="L30" s="88"/>
      <c r="M30" s="88"/>
      <c r="N30" s="88"/>
      <c r="O30" s="88"/>
      <c r="P30" s="88"/>
      <c r="Q30" s="88"/>
      <c r="R30" s="88"/>
      <c r="S30" s="88"/>
      <c r="T30" s="88"/>
      <c r="U30" s="88"/>
      <c r="V30" s="88"/>
      <c r="W30" s="88"/>
      <c r="X30" s="88"/>
      <c r="Y30" s="88"/>
      <c r="Z30" s="88"/>
      <c r="AA30" s="362"/>
      <c r="AB30" s="434"/>
      <c r="AC30" s="401"/>
      <c r="AD30" s="401"/>
      <c r="AE30" s="401"/>
      <c r="AF30" s="401"/>
      <c r="AG30" s="357"/>
      <c r="AH30" s="199">
        <f t="shared" si="7"/>
        <v>0</v>
      </c>
      <c r="AI30" s="47"/>
      <c r="AJ30" s="763"/>
      <c r="AK30" s="33"/>
      <c r="AL30" s="854"/>
      <c r="AM30" s="14">
        <v>28</v>
      </c>
      <c r="AN30" s="90"/>
      <c r="AO30" s="91"/>
    </row>
    <row r="31" spans="1:41" s="92" customFormat="1" ht="25.9" thickBot="1" x14ac:dyDescent="0.8">
      <c r="A31" s="637"/>
      <c r="B31" s="96" t="s">
        <v>156</v>
      </c>
      <c r="C31" s="97" t="s">
        <v>157</v>
      </c>
      <c r="D31" s="424"/>
      <c r="E31" s="99"/>
      <c r="F31" s="100"/>
      <c r="G31" s="100"/>
      <c r="H31" s="100"/>
      <c r="I31" s="100"/>
      <c r="J31" s="100"/>
      <c r="K31" s="100"/>
      <c r="L31" s="100"/>
      <c r="M31" s="100"/>
      <c r="N31" s="100"/>
      <c r="O31" s="100"/>
      <c r="P31" s="100"/>
      <c r="Q31" s="100"/>
      <c r="R31" s="100"/>
      <c r="S31" s="100"/>
      <c r="T31" s="100"/>
      <c r="U31" s="100"/>
      <c r="V31" s="100"/>
      <c r="W31" s="100"/>
      <c r="X31" s="100"/>
      <c r="Y31" s="100"/>
      <c r="Z31" s="100"/>
      <c r="AA31" s="364"/>
      <c r="AB31" s="434"/>
      <c r="AC31" s="401"/>
      <c r="AD31" s="401"/>
      <c r="AE31" s="401"/>
      <c r="AF31" s="401"/>
      <c r="AG31" s="357"/>
      <c r="AH31" s="218">
        <f t="shared" si="7"/>
        <v>0</v>
      </c>
      <c r="AI31" s="47"/>
      <c r="AJ31" s="763"/>
      <c r="AK31" s="33"/>
      <c r="AL31" s="854"/>
      <c r="AM31" s="14">
        <v>29</v>
      </c>
      <c r="AN31" s="90"/>
      <c r="AO31" s="91"/>
    </row>
    <row r="32" spans="1:41" s="92" customFormat="1" ht="25.5" x14ac:dyDescent="0.75">
      <c r="A32" s="636" t="s">
        <v>13</v>
      </c>
      <c r="B32" s="340" t="s">
        <v>160</v>
      </c>
      <c r="C32" s="77" t="s">
        <v>159</v>
      </c>
      <c r="D32" s="338"/>
      <c r="E32" s="104"/>
      <c r="F32" s="105"/>
      <c r="G32" s="105"/>
      <c r="H32" s="105"/>
      <c r="I32" s="105"/>
      <c r="J32" s="105"/>
      <c r="K32" s="105"/>
      <c r="L32" s="105"/>
      <c r="M32" s="105"/>
      <c r="N32" s="105"/>
      <c r="O32" s="105"/>
      <c r="P32" s="105"/>
      <c r="Q32" s="105"/>
      <c r="R32" s="105"/>
      <c r="S32" s="105"/>
      <c r="T32" s="105"/>
      <c r="U32" s="105"/>
      <c r="V32" s="105"/>
      <c r="W32" s="105"/>
      <c r="X32" s="105"/>
      <c r="Y32" s="105"/>
      <c r="Z32" s="105"/>
      <c r="AA32" s="365"/>
      <c r="AB32" s="434"/>
      <c r="AC32" s="401"/>
      <c r="AD32" s="401"/>
      <c r="AE32" s="401"/>
      <c r="AF32" s="401"/>
      <c r="AG32" s="357"/>
      <c r="AH32" s="214">
        <f t="shared" si="7"/>
        <v>0</v>
      </c>
      <c r="AI32" s="686"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F01-10"&amp;CHAR(10),""),IF(AH33&gt;AH32," * Total Positive F01-11 is more than Total Tested  F01-10"&amp;CHAR(10),""))</f>
        <v/>
      </c>
      <c r="AJ32" s="763"/>
      <c r="AK32" s="33" t="str">
        <f>CONCATENATE(IF(AND(IFERROR((AH33*100)/AH32,0)&gt;10,AH33&gt;5)," * This facility has a high positivity rate for Index Testing. Kindly confirm if this is the true reflection"&amp;CHAR(10),""),"")</f>
        <v/>
      </c>
      <c r="AL32" s="854"/>
      <c r="AM32" s="14">
        <v>30</v>
      </c>
      <c r="AN32" s="90"/>
      <c r="AO32" s="91"/>
    </row>
    <row r="33" spans="1:41" s="92" customFormat="1" ht="25.9" thickBot="1" x14ac:dyDescent="0.8">
      <c r="A33" s="637"/>
      <c r="B33" s="341" t="s">
        <v>152</v>
      </c>
      <c r="C33" s="97" t="s">
        <v>161</v>
      </c>
      <c r="D33" s="339"/>
      <c r="E33" s="107"/>
      <c r="F33" s="108"/>
      <c r="G33" s="108"/>
      <c r="H33" s="108"/>
      <c r="I33" s="108"/>
      <c r="J33" s="108"/>
      <c r="K33" s="108"/>
      <c r="L33" s="108"/>
      <c r="M33" s="108"/>
      <c r="N33" s="108"/>
      <c r="O33" s="108"/>
      <c r="P33" s="108"/>
      <c r="Q33" s="108"/>
      <c r="R33" s="108"/>
      <c r="S33" s="108"/>
      <c r="T33" s="108"/>
      <c r="U33" s="108"/>
      <c r="V33" s="108"/>
      <c r="W33" s="108"/>
      <c r="X33" s="108"/>
      <c r="Y33" s="108"/>
      <c r="Z33" s="108"/>
      <c r="AA33" s="366"/>
      <c r="AB33" s="434"/>
      <c r="AC33" s="401"/>
      <c r="AD33" s="401"/>
      <c r="AE33" s="401"/>
      <c r="AF33" s="401"/>
      <c r="AG33" s="357"/>
      <c r="AH33" s="421">
        <f t="shared" si="7"/>
        <v>0</v>
      </c>
      <c r="AI33" s="686"/>
      <c r="AJ33" s="763"/>
      <c r="AK33" s="33"/>
      <c r="AL33" s="854"/>
      <c r="AM33" s="14">
        <v>31</v>
      </c>
      <c r="AN33" s="90"/>
      <c r="AO33" s="91"/>
    </row>
    <row r="34" spans="1:41" s="92" customFormat="1" ht="25.5" x14ac:dyDescent="0.75">
      <c r="A34" s="636" t="s">
        <v>14</v>
      </c>
      <c r="B34" s="102" t="s">
        <v>160</v>
      </c>
      <c r="C34" s="77" t="s">
        <v>162</v>
      </c>
      <c r="D34" s="78"/>
      <c r="E34" s="79"/>
      <c r="F34" s="80"/>
      <c r="G34" s="80"/>
      <c r="H34" s="80"/>
      <c r="I34" s="80"/>
      <c r="J34" s="80"/>
      <c r="K34" s="80"/>
      <c r="L34" s="80"/>
      <c r="M34" s="80"/>
      <c r="N34" s="80"/>
      <c r="O34" s="80"/>
      <c r="P34" s="80"/>
      <c r="Q34" s="80"/>
      <c r="R34" s="80"/>
      <c r="S34" s="80"/>
      <c r="T34" s="80"/>
      <c r="U34" s="80"/>
      <c r="V34" s="80"/>
      <c r="W34" s="80"/>
      <c r="X34" s="80"/>
      <c r="Y34" s="80"/>
      <c r="Z34" s="80"/>
      <c r="AA34" s="361"/>
      <c r="AB34" s="434"/>
      <c r="AC34" s="401"/>
      <c r="AD34" s="401"/>
      <c r="AE34" s="401"/>
      <c r="AF34" s="401"/>
      <c r="AG34" s="357"/>
      <c r="AH34" s="55">
        <f t="shared" si="7"/>
        <v>0</v>
      </c>
      <c r="AI34" s="686"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J34" s="763"/>
      <c r="AK34" s="33" t="str">
        <f>CONCATENATE(IF(AND(IFERROR((AH35*100)/AH34,0)&gt;10,AH35&gt;5)," * This facility has a high positivity rate for Index Testing. Kindly confirm if this is the true reflection"&amp;CHAR(10),""),"")</f>
        <v/>
      </c>
      <c r="AL34" s="854"/>
      <c r="AM34" s="14">
        <v>32</v>
      </c>
      <c r="AN34" s="90"/>
      <c r="AO34" s="91"/>
    </row>
    <row r="35" spans="1:41" s="92" customFormat="1" ht="25.9" thickBot="1" x14ac:dyDescent="0.8">
      <c r="A35" s="637"/>
      <c r="B35" s="106" t="s">
        <v>152</v>
      </c>
      <c r="C35" s="97" t="s">
        <v>163</v>
      </c>
      <c r="D35" s="111"/>
      <c r="E35" s="112"/>
      <c r="F35" s="108"/>
      <c r="G35" s="108"/>
      <c r="H35" s="108"/>
      <c r="I35" s="108"/>
      <c r="J35" s="108"/>
      <c r="K35" s="108"/>
      <c r="L35" s="108"/>
      <c r="M35" s="108"/>
      <c r="N35" s="108"/>
      <c r="O35" s="108"/>
      <c r="P35" s="108"/>
      <c r="Q35" s="108"/>
      <c r="R35" s="108"/>
      <c r="S35" s="108"/>
      <c r="T35" s="108"/>
      <c r="U35" s="108"/>
      <c r="V35" s="108"/>
      <c r="W35" s="108"/>
      <c r="X35" s="108"/>
      <c r="Y35" s="108"/>
      <c r="Z35" s="108"/>
      <c r="AA35" s="366"/>
      <c r="AB35" s="434"/>
      <c r="AC35" s="401"/>
      <c r="AD35" s="401"/>
      <c r="AE35" s="401"/>
      <c r="AF35" s="401"/>
      <c r="AG35" s="357"/>
      <c r="AH35" s="421">
        <f t="shared" si="7"/>
        <v>0</v>
      </c>
      <c r="AI35" s="686"/>
      <c r="AJ35" s="763"/>
      <c r="AK35" s="33"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L35" s="854"/>
      <c r="AM35" s="14">
        <v>33</v>
      </c>
      <c r="AN35" s="90"/>
      <c r="AO35" s="91"/>
    </row>
    <row r="36" spans="1:41" ht="25.5" x14ac:dyDescent="0.75">
      <c r="A36" s="636" t="s">
        <v>15</v>
      </c>
      <c r="B36" s="102" t="s">
        <v>160</v>
      </c>
      <c r="C36" s="77" t="s">
        <v>164</v>
      </c>
      <c r="D36" s="109"/>
      <c r="E36" s="110"/>
      <c r="F36" s="105"/>
      <c r="G36" s="105"/>
      <c r="H36" s="110"/>
      <c r="I36" s="110"/>
      <c r="J36" s="110"/>
      <c r="K36" s="110"/>
      <c r="L36" s="110"/>
      <c r="M36" s="110"/>
      <c r="N36" s="110"/>
      <c r="O36" s="110"/>
      <c r="P36" s="110"/>
      <c r="Q36" s="110"/>
      <c r="R36" s="110"/>
      <c r="S36" s="110"/>
      <c r="T36" s="110"/>
      <c r="U36" s="110"/>
      <c r="V36" s="110"/>
      <c r="W36" s="110"/>
      <c r="X36" s="110"/>
      <c r="Y36" s="110"/>
      <c r="Z36" s="110"/>
      <c r="AA36" s="367"/>
      <c r="AB36" s="434"/>
      <c r="AC36" s="401"/>
      <c r="AD36" s="401"/>
      <c r="AE36" s="401"/>
      <c r="AF36" s="401"/>
      <c r="AG36" s="357"/>
      <c r="AH36" s="214">
        <f t="shared" si="7"/>
        <v>0</v>
      </c>
      <c r="AI36" s="686"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J36" s="763"/>
      <c r="AK36" s="33" t="str">
        <f>CONCATENATE(IF(AND(IFERROR((AH37*100)/AH36,0)&gt;10,AH37&gt;5)," * This facility has a high positivity rate for Index Testing. Kindly confirm if this is the true reflection"&amp;CHAR(10),""),"")</f>
        <v/>
      </c>
      <c r="AL36" s="854"/>
      <c r="AM36" s="14">
        <v>34</v>
      </c>
      <c r="AN36" s="82"/>
      <c r="AO36" s="83"/>
    </row>
    <row r="37" spans="1:41" ht="25.9" thickBot="1" x14ac:dyDescent="0.8">
      <c r="A37" s="637"/>
      <c r="B37" s="106" t="s">
        <v>152</v>
      </c>
      <c r="C37" s="97" t="s">
        <v>165</v>
      </c>
      <c r="D37" s="111"/>
      <c r="E37" s="112"/>
      <c r="F37" s="108"/>
      <c r="G37" s="108"/>
      <c r="H37" s="113"/>
      <c r="I37" s="113"/>
      <c r="J37" s="113"/>
      <c r="K37" s="113"/>
      <c r="L37" s="113"/>
      <c r="M37" s="113"/>
      <c r="N37" s="113"/>
      <c r="O37" s="113"/>
      <c r="P37" s="113"/>
      <c r="Q37" s="113"/>
      <c r="R37" s="113"/>
      <c r="S37" s="113"/>
      <c r="T37" s="113"/>
      <c r="U37" s="113"/>
      <c r="V37" s="113"/>
      <c r="W37" s="113"/>
      <c r="X37" s="113"/>
      <c r="Y37" s="113"/>
      <c r="Z37" s="113"/>
      <c r="AA37" s="368"/>
      <c r="AB37" s="434"/>
      <c r="AC37" s="401"/>
      <c r="AD37" s="401"/>
      <c r="AE37" s="401"/>
      <c r="AF37" s="401"/>
      <c r="AG37" s="357"/>
      <c r="AH37" s="421">
        <f t="shared" si="7"/>
        <v>0</v>
      </c>
      <c r="AI37" s="686"/>
      <c r="AJ37" s="763"/>
      <c r="AK37" s="33"/>
      <c r="AL37" s="854"/>
      <c r="AM37" s="14">
        <v>35</v>
      </c>
      <c r="AN37" s="82"/>
      <c r="AO37" s="83"/>
    </row>
    <row r="38" spans="1:41" ht="25.5" x14ac:dyDescent="0.75">
      <c r="A38" s="636" t="s">
        <v>442</v>
      </c>
      <c r="B38" s="102" t="s">
        <v>160</v>
      </c>
      <c r="C38" s="77" t="s">
        <v>166</v>
      </c>
      <c r="D38" s="109"/>
      <c r="E38" s="110"/>
      <c r="F38" s="105"/>
      <c r="G38" s="105"/>
      <c r="H38" s="110"/>
      <c r="I38" s="110"/>
      <c r="J38" s="110"/>
      <c r="K38" s="110"/>
      <c r="L38" s="110"/>
      <c r="M38" s="110"/>
      <c r="N38" s="110"/>
      <c r="O38" s="110"/>
      <c r="P38" s="110"/>
      <c r="Q38" s="110"/>
      <c r="R38" s="110"/>
      <c r="S38" s="110"/>
      <c r="T38" s="110"/>
      <c r="U38" s="110"/>
      <c r="V38" s="110"/>
      <c r="W38" s="110"/>
      <c r="X38" s="110"/>
      <c r="Y38" s="110"/>
      <c r="Z38" s="110"/>
      <c r="AA38" s="367"/>
      <c r="AB38" s="434"/>
      <c r="AC38" s="401"/>
      <c r="AD38" s="401"/>
      <c r="AE38" s="401"/>
      <c r="AF38" s="401"/>
      <c r="AG38" s="357"/>
      <c r="AH38" s="214">
        <f t="shared" si="7"/>
        <v>0</v>
      </c>
      <c r="AI38" s="686"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J38" s="763"/>
      <c r="AK38" s="33" t="str">
        <f>CONCATENATE(IF(AND(IFERROR((AH39*100)/AH38,0)&gt;10,AH39&gt;5)," * This facility has a high positivity rate for Index Testing. Kindly confirm if this is the true reflection"&amp;CHAR(10),""),"")</f>
        <v/>
      </c>
      <c r="AL38" s="854"/>
      <c r="AM38" s="14">
        <v>36</v>
      </c>
      <c r="AN38" s="82"/>
      <c r="AO38" s="83"/>
    </row>
    <row r="39" spans="1:41" ht="25.9" thickBot="1" x14ac:dyDescent="0.8">
      <c r="A39" s="637"/>
      <c r="B39" s="106" t="s">
        <v>152</v>
      </c>
      <c r="C39" s="97" t="s">
        <v>167</v>
      </c>
      <c r="D39" s="114"/>
      <c r="E39" s="113"/>
      <c r="F39" s="108"/>
      <c r="G39" s="108"/>
      <c r="H39" s="113"/>
      <c r="I39" s="113"/>
      <c r="J39" s="113"/>
      <c r="K39" s="113"/>
      <c r="L39" s="113"/>
      <c r="M39" s="113"/>
      <c r="N39" s="113"/>
      <c r="O39" s="113"/>
      <c r="P39" s="113"/>
      <c r="Q39" s="113"/>
      <c r="R39" s="113"/>
      <c r="S39" s="113"/>
      <c r="T39" s="113"/>
      <c r="U39" s="113"/>
      <c r="V39" s="113"/>
      <c r="W39" s="113"/>
      <c r="X39" s="113"/>
      <c r="Y39" s="113"/>
      <c r="Z39" s="113"/>
      <c r="AA39" s="368"/>
      <c r="AB39" s="434"/>
      <c r="AC39" s="401"/>
      <c r="AD39" s="401"/>
      <c r="AE39" s="401"/>
      <c r="AF39" s="401"/>
      <c r="AG39" s="357"/>
      <c r="AH39" s="421">
        <f t="shared" si="7"/>
        <v>0</v>
      </c>
      <c r="AI39" s="686"/>
      <c r="AJ39" s="763"/>
      <c r="AK39" s="33"/>
      <c r="AL39" s="854"/>
      <c r="AM39" s="14">
        <v>37</v>
      </c>
      <c r="AN39" s="82"/>
      <c r="AO39" s="83"/>
    </row>
    <row r="40" spans="1:41" ht="25.5" x14ac:dyDescent="0.75">
      <c r="A40" s="636" t="s">
        <v>16</v>
      </c>
      <c r="B40" s="102" t="s">
        <v>160</v>
      </c>
      <c r="C40" s="77" t="s">
        <v>168</v>
      </c>
      <c r="D40" s="338"/>
      <c r="E40" s="104"/>
      <c r="F40" s="105"/>
      <c r="G40" s="105"/>
      <c r="H40" s="105"/>
      <c r="I40" s="105"/>
      <c r="J40" s="105"/>
      <c r="K40" s="105"/>
      <c r="L40" s="105"/>
      <c r="M40" s="105"/>
      <c r="N40" s="105"/>
      <c r="O40" s="105"/>
      <c r="P40" s="105"/>
      <c r="Q40" s="105"/>
      <c r="R40" s="105"/>
      <c r="S40" s="105"/>
      <c r="T40" s="105"/>
      <c r="U40" s="105"/>
      <c r="V40" s="105"/>
      <c r="W40" s="105"/>
      <c r="X40" s="105"/>
      <c r="Y40" s="105"/>
      <c r="Z40" s="105"/>
      <c r="AA40" s="365"/>
      <c r="AB40" s="434"/>
      <c r="AC40" s="401"/>
      <c r="AD40" s="401"/>
      <c r="AE40" s="401"/>
      <c r="AF40" s="401"/>
      <c r="AG40" s="357"/>
      <c r="AH40" s="214">
        <f t="shared" si="7"/>
        <v>0</v>
      </c>
      <c r="AI40" s="686"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J40" s="763"/>
      <c r="AK40" s="33" t="str">
        <f>CONCATENATE(IF(AND(IFERROR((AH41*100)/AH40,0)&gt;10,AH41&gt;5)," * This facility has a high positivity rate for Index Testing. Kindly confirm if this is the true reflection"&amp;CHAR(10),""),"")</f>
        <v/>
      </c>
      <c r="AL40" s="854"/>
      <c r="AM40" s="14">
        <v>38</v>
      </c>
      <c r="AN40" s="82"/>
      <c r="AO40" s="83"/>
    </row>
    <row r="41" spans="1:41" ht="25.9" thickBot="1" x14ac:dyDescent="0.8">
      <c r="A41" s="637"/>
      <c r="B41" s="106" t="s">
        <v>152</v>
      </c>
      <c r="C41" s="97" t="s">
        <v>169</v>
      </c>
      <c r="D41" s="424"/>
      <c r="E41" s="99"/>
      <c r="F41" s="108"/>
      <c r="G41" s="108"/>
      <c r="H41" s="108"/>
      <c r="I41" s="108"/>
      <c r="J41" s="108"/>
      <c r="K41" s="108"/>
      <c r="L41" s="108"/>
      <c r="M41" s="108"/>
      <c r="N41" s="108"/>
      <c r="O41" s="108"/>
      <c r="P41" s="108"/>
      <c r="Q41" s="108"/>
      <c r="R41" s="108"/>
      <c r="S41" s="108"/>
      <c r="T41" s="108"/>
      <c r="U41" s="108"/>
      <c r="V41" s="108"/>
      <c r="W41" s="108"/>
      <c r="X41" s="108"/>
      <c r="Y41" s="108"/>
      <c r="Z41" s="108"/>
      <c r="AA41" s="366"/>
      <c r="AB41" s="434"/>
      <c r="AC41" s="401"/>
      <c r="AD41" s="401"/>
      <c r="AE41" s="401"/>
      <c r="AF41" s="401"/>
      <c r="AG41" s="357"/>
      <c r="AH41" s="421">
        <f t="shared" si="7"/>
        <v>0</v>
      </c>
      <c r="AI41" s="686"/>
      <c r="AJ41" s="763"/>
      <c r="AK41" s="33"/>
      <c r="AL41" s="854"/>
      <c r="AM41" s="14">
        <v>39</v>
      </c>
      <c r="AN41" s="82"/>
      <c r="AO41" s="83"/>
    </row>
    <row r="42" spans="1:41" ht="42.75" customHeight="1" x14ac:dyDescent="0.75">
      <c r="A42" s="636" t="s">
        <v>1014</v>
      </c>
      <c r="B42" s="102" t="s">
        <v>160</v>
      </c>
      <c r="C42" s="77" t="s">
        <v>348</v>
      </c>
      <c r="D42" s="338"/>
      <c r="E42" s="104"/>
      <c r="F42" s="115">
        <f>F351</f>
        <v>0</v>
      </c>
      <c r="G42" s="115">
        <f t="shared" ref="G42:AA42" si="8">G351</f>
        <v>0</v>
      </c>
      <c r="H42" s="115">
        <f t="shared" si="8"/>
        <v>0</v>
      </c>
      <c r="I42" s="115">
        <f t="shared" si="8"/>
        <v>0</v>
      </c>
      <c r="J42" s="115">
        <f t="shared" si="8"/>
        <v>0</v>
      </c>
      <c r="K42" s="115">
        <f t="shared" si="8"/>
        <v>0</v>
      </c>
      <c r="L42" s="115">
        <f t="shared" si="8"/>
        <v>0</v>
      </c>
      <c r="M42" s="115">
        <f t="shared" si="8"/>
        <v>0</v>
      </c>
      <c r="N42" s="115">
        <f t="shared" si="8"/>
        <v>0</v>
      </c>
      <c r="O42" s="115">
        <f t="shared" si="8"/>
        <v>0</v>
      </c>
      <c r="P42" s="115">
        <f t="shared" si="8"/>
        <v>0</v>
      </c>
      <c r="Q42" s="115">
        <f t="shared" si="8"/>
        <v>0</v>
      </c>
      <c r="R42" s="115">
        <f t="shared" si="8"/>
        <v>0</v>
      </c>
      <c r="S42" s="115">
        <f t="shared" si="8"/>
        <v>0</v>
      </c>
      <c r="T42" s="115">
        <f t="shared" si="8"/>
        <v>0</v>
      </c>
      <c r="U42" s="115">
        <f t="shared" si="8"/>
        <v>0</v>
      </c>
      <c r="V42" s="115">
        <f t="shared" si="8"/>
        <v>0</v>
      </c>
      <c r="W42" s="115">
        <f t="shared" si="8"/>
        <v>0</v>
      </c>
      <c r="X42" s="115">
        <f t="shared" si="8"/>
        <v>0</v>
      </c>
      <c r="Y42" s="115">
        <f t="shared" si="8"/>
        <v>0</v>
      </c>
      <c r="Z42" s="115">
        <f t="shared" si="8"/>
        <v>0</v>
      </c>
      <c r="AA42" s="369">
        <f t="shared" si="8"/>
        <v>0</v>
      </c>
      <c r="AB42" s="434"/>
      <c r="AC42" s="401"/>
      <c r="AD42" s="401"/>
      <c r="AE42" s="401"/>
      <c r="AF42" s="401"/>
      <c r="AG42" s="357"/>
      <c r="AH42" s="214">
        <f t="shared" si="7"/>
        <v>0</v>
      </c>
      <c r="AI42" s="686"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J42" s="763"/>
      <c r="AK42" s="33" t="str">
        <f>CONCATENATE(IF(AND(IFERROR((AH43*100)/AH42,0)&gt;10,AH43&gt;5)," * This facility has a high positivity rate for Index Testing. Kindly confirm if this is the true reflection"&amp;CHAR(10),""),"")</f>
        <v/>
      </c>
      <c r="AL42" s="854"/>
      <c r="AM42" s="14">
        <v>40</v>
      </c>
      <c r="AN42" s="82"/>
      <c r="AO42" s="83"/>
    </row>
    <row r="43" spans="1:41" ht="41.25" customHeight="1" thickBot="1" x14ac:dyDescent="0.8">
      <c r="A43" s="637"/>
      <c r="B43" s="106" t="s">
        <v>152</v>
      </c>
      <c r="C43" s="97" t="s">
        <v>170</v>
      </c>
      <c r="D43" s="424"/>
      <c r="E43" s="99"/>
      <c r="F43" s="116">
        <f>F353</f>
        <v>0</v>
      </c>
      <c r="G43" s="116">
        <f t="shared" ref="G43:AA43" si="9">G353</f>
        <v>0</v>
      </c>
      <c r="H43" s="116">
        <f t="shared" si="9"/>
        <v>0</v>
      </c>
      <c r="I43" s="116">
        <f t="shared" si="9"/>
        <v>0</v>
      </c>
      <c r="J43" s="116">
        <f t="shared" si="9"/>
        <v>0</v>
      </c>
      <c r="K43" s="116">
        <f t="shared" si="9"/>
        <v>0</v>
      </c>
      <c r="L43" s="116">
        <f t="shared" si="9"/>
        <v>0</v>
      </c>
      <c r="M43" s="116">
        <f t="shared" si="9"/>
        <v>0</v>
      </c>
      <c r="N43" s="116">
        <f t="shared" si="9"/>
        <v>0</v>
      </c>
      <c r="O43" s="116">
        <f t="shared" si="9"/>
        <v>0</v>
      </c>
      <c r="P43" s="116">
        <f t="shared" si="9"/>
        <v>0</v>
      </c>
      <c r="Q43" s="116">
        <f t="shared" si="9"/>
        <v>0</v>
      </c>
      <c r="R43" s="116">
        <f t="shared" si="9"/>
        <v>0</v>
      </c>
      <c r="S43" s="116">
        <f t="shared" si="9"/>
        <v>0</v>
      </c>
      <c r="T43" s="116">
        <f t="shared" si="9"/>
        <v>0</v>
      </c>
      <c r="U43" s="116">
        <f t="shared" si="9"/>
        <v>0</v>
      </c>
      <c r="V43" s="116">
        <f t="shared" si="9"/>
        <v>0</v>
      </c>
      <c r="W43" s="116">
        <f t="shared" si="9"/>
        <v>0</v>
      </c>
      <c r="X43" s="116">
        <f t="shared" si="9"/>
        <v>0</v>
      </c>
      <c r="Y43" s="116">
        <f t="shared" si="9"/>
        <v>0</v>
      </c>
      <c r="Z43" s="116">
        <f t="shared" si="9"/>
        <v>0</v>
      </c>
      <c r="AA43" s="370">
        <f t="shared" si="9"/>
        <v>0</v>
      </c>
      <c r="AB43" s="434"/>
      <c r="AC43" s="401"/>
      <c r="AD43" s="401"/>
      <c r="AE43" s="401"/>
      <c r="AF43" s="401"/>
      <c r="AG43" s="357"/>
      <c r="AH43" s="421">
        <f t="shared" si="7"/>
        <v>0</v>
      </c>
      <c r="AI43" s="686"/>
      <c r="AJ43" s="763"/>
      <c r="AK43" s="33"/>
      <c r="AL43" s="854"/>
      <c r="AM43" s="14">
        <v>41</v>
      </c>
      <c r="AN43" s="82"/>
      <c r="AO43" s="83"/>
    </row>
    <row r="44" spans="1:41" ht="25.5" x14ac:dyDescent="0.75">
      <c r="A44" s="636" t="s">
        <v>22</v>
      </c>
      <c r="B44" s="102" t="s">
        <v>160</v>
      </c>
      <c r="C44" s="77" t="s">
        <v>171</v>
      </c>
      <c r="D44" s="154"/>
      <c r="E44" s="110"/>
      <c r="F44" s="105"/>
      <c r="G44" s="105"/>
      <c r="H44" s="105"/>
      <c r="I44" s="105"/>
      <c r="J44" s="105"/>
      <c r="K44" s="105"/>
      <c r="L44" s="105"/>
      <c r="M44" s="105"/>
      <c r="N44" s="105"/>
      <c r="O44" s="105"/>
      <c r="P44" s="105"/>
      <c r="Q44" s="105"/>
      <c r="R44" s="105"/>
      <c r="S44" s="105"/>
      <c r="T44" s="105"/>
      <c r="U44" s="105"/>
      <c r="V44" s="105"/>
      <c r="W44" s="105"/>
      <c r="X44" s="105"/>
      <c r="Y44" s="105"/>
      <c r="Z44" s="105"/>
      <c r="AA44" s="365"/>
      <c r="AB44" s="434"/>
      <c r="AC44" s="401"/>
      <c r="AD44" s="401"/>
      <c r="AE44" s="401"/>
      <c r="AF44" s="401"/>
      <c r="AG44" s="357"/>
      <c r="AH44" s="214">
        <f t="shared" si="7"/>
        <v>0</v>
      </c>
      <c r="AI44" s="686"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J44" s="763"/>
      <c r="AK44" s="33" t="str">
        <f>CONCATENATE(IF(AND(IFERROR((AH45*100)/AH44,0)&gt;10,AH45&gt;5)," * This facility has a high positivity rate for Index Testing. Kindly confirm if this is the true reflection"&amp;CHAR(10),""),"")</f>
        <v/>
      </c>
      <c r="AL44" s="854"/>
      <c r="AM44" s="14">
        <v>42</v>
      </c>
      <c r="AN44" s="82"/>
      <c r="AO44" s="83"/>
    </row>
    <row r="45" spans="1:41" ht="25.9" thickBot="1" x14ac:dyDescent="0.8">
      <c r="A45" s="637"/>
      <c r="B45" s="106" t="s">
        <v>152</v>
      </c>
      <c r="C45" s="97" t="s">
        <v>172</v>
      </c>
      <c r="D45" s="133"/>
      <c r="E45" s="113"/>
      <c r="F45" s="108"/>
      <c r="G45" s="108"/>
      <c r="H45" s="108"/>
      <c r="I45" s="108"/>
      <c r="J45" s="108"/>
      <c r="K45" s="108"/>
      <c r="L45" s="108"/>
      <c r="M45" s="108"/>
      <c r="N45" s="108"/>
      <c r="O45" s="108"/>
      <c r="P45" s="108"/>
      <c r="Q45" s="108"/>
      <c r="R45" s="108"/>
      <c r="S45" s="108"/>
      <c r="T45" s="108"/>
      <c r="U45" s="108"/>
      <c r="V45" s="108"/>
      <c r="W45" s="108"/>
      <c r="X45" s="108"/>
      <c r="Y45" s="108"/>
      <c r="Z45" s="108"/>
      <c r="AA45" s="366"/>
      <c r="AB45" s="434"/>
      <c r="AC45" s="401"/>
      <c r="AD45" s="401"/>
      <c r="AE45" s="401"/>
      <c r="AF45" s="401"/>
      <c r="AG45" s="357"/>
      <c r="AH45" s="421">
        <f t="shared" si="7"/>
        <v>0</v>
      </c>
      <c r="AI45" s="686"/>
      <c r="AJ45" s="763"/>
      <c r="AK45" s="33"/>
      <c r="AL45" s="854"/>
      <c r="AM45" s="14">
        <v>43</v>
      </c>
      <c r="AN45" s="82"/>
      <c r="AO45" s="83"/>
    </row>
    <row r="46" spans="1:41" ht="29.25" customHeight="1" x14ac:dyDescent="0.75">
      <c r="A46" s="636" t="s">
        <v>18</v>
      </c>
      <c r="B46" s="102" t="s">
        <v>160</v>
      </c>
      <c r="C46" s="77" t="s">
        <v>173</v>
      </c>
      <c r="D46" s="338"/>
      <c r="E46" s="104"/>
      <c r="F46" s="110"/>
      <c r="G46" s="110"/>
      <c r="H46" s="110"/>
      <c r="I46" s="110"/>
      <c r="J46" s="110"/>
      <c r="K46" s="110"/>
      <c r="L46" s="105"/>
      <c r="M46" s="105"/>
      <c r="N46" s="105"/>
      <c r="O46" s="105"/>
      <c r="P46" s="105"/>
      <c r="Q46" s="105"/>
      <c r="R46" s="105"/>
      <c r="S46" s="105"/>
      <c r="T46" s="105"/>
      <c r="U46" s="105"/>
      <c r="V46" s="105"/>
      <c r="W46" s="105"/>
      <c r="X46" s="105"/>
      <c r="Y46" s="105"/>
      <c r="Z46" s="105"/>
      <c r="AA46" s="365"/>
      <c r="AB46" s="434"/>
      <c r="AC46" s="401"/>
      <c r="AD46" s="401"/>
      <c r="AE46" s="401"/>
      <c r="AF46" s="401"/>
      <c r="AG46" s="357"/>
      <c r="AH46" s="214">
        <f t="shared" si="7"/>
        <v>0</v>
      </c>
      <c r="AI46" s="686"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J46" s="763"/>
      <c r="AK46" s="33" t="str">
        <f>CONCATENATE(IF(AND(IFERROR((AH47*100)/AH46,0)&gt;10,AH47&gt;5)," * This facility has a high positivity rate for Index Testing. Kindly confirm if this is the true reflection"&amp;CHAR(10),""),"")</f>
        <v/>
      </c>
      <c r="AL46" s="854"/>
      <c r="AM46" s="14">
        <v>44</v>
      </c>
      <c r="AN46" s="82"/>
      <c r="AO46" s="83"/>
    </row>
    <row r="47" spans="1:41" ht="25.9" thickBot="1" x14ac:dyDescent="0.8">
      <c r="A47" s="637"/>
      <c r="B47" s="106" t="s">
        <v>152</v>
      </c>
      <c r="C47" s="97" t="s">
        <v>174</v>
      </c>
      <c r="D47" s="424"/>
      <c r="E47" s="99"/>
      <c r="F47" s="113"/>
      <c r="G47" s="113"/>
      <c r="H47" s="113"/>
      <c r="I47" s="113"/>
      <c r="J47" s="113"/>
      <c r="K47" s="113"/>
      <c r="L47" s="117"/>
      <c r="M47" s="117"/>
      <c r="N47" s="117"/>
      <c r="O47" s="117"/>
      <c r="P47" s="117"/>
      <c r="Q47" s="117"/>
      <c r="R47" s="117"/>
      <c r="S47" s="117"/>
      <c r="T47" s="117"/>
      <c r="U47" s="117"/>
      <c r="V47" s="117"/>
      <c r="W47" s="117"/>
      <c r="X47" s="117"/>
      <c r="Y47" s="117"/>
      <c r="Z47" s="117"/>
      <c r="AA47" s="371"/>
      <c r="AB47" s="434"/>
      <c r="AC47" s="401"/>
      <c r="AD47" s="401"/>
      <c r="AE47" s="401"/>
      <c r="AF47" s="401"/>
      <c r="AG47" s="357"/>
      <c r="AH47" s="421">
        <f t="shared" si="7"/>
        <v>0</v>
      </c>
      <c r="AI47" s="686"/>
      <c r="AJ47" s="763"/>
      <c r="AK47" s="33"/>
      <c r="AL47" s="854"/>
      <c r="AM47" s="14">
        <v>45</v>
      </c>
      <c r="AN47" s="82"/>
      <c r="AO47" s="83"/>
    </row>
    <row r="48" spans="1:41" ht="25.9" hidden="1" thickBot="1" x14ac:dyDescent="0.8">
      <c r="A48" s="636" t="s">
        <v>113</v>
      </c>
      <c r="B48" s="102" t="s">
        <v>160</v>
      </c>
      <c r="C48" s="77" t="s">
        <v>349</v>
      </c>
      <c r="D48" s="103"/>
      <c r="E48" s="104"/>
      <c r="F48" s="110"/>
      <c r="G48" s="110"/>
      <c r="H48" s="110"/>
      <c r="I48" s="110"/>
      <c r="J48" s="110"/>
      <c r="K48" s="110"/>
      <c r="L48" s="105"/>
      <c r="M48" s="110"/>
      <c r="N48" s="105"/>
      <c r="O48" s="110"/>
      <c r="P48" s="105"/>
      <c r="Q48" s="110"/>
      <c r="R48" s="105"/>
      <c r="S48" s="110"/>
      <c r="T48" s="105"/>
      <c r="U48" s="110"/>
      <c r="V48" s="105"/>
      <c r="W48" s="110"/>
      <c r="X48" s="105"/>
      <c r="Y48" s="110"/>
      <c r="Z48" s="105"/>
      <c r="AA48" s="367"/>
      <c r="AB48" s="434"/>
      <c r="AC48" s="401"/>
      <c r="AD48" s="401"/>
      <c r="AE48" s="401"/>
      <c r="AF48" s="401"/>
      <c r="AG48" s="357"/>
      <c r="AH48" s="214">
        <f t="shared" si="7"/>
        <v>0</v>
      </c>
      <c r="AI48" s="686"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J48" s="763"/>
      <c r="AK48" s="33" t="str">
        <f>CONCATENATE(IF(AND(IFERROR((AH49*100)/AH48,0)&gt;10,AH49&gt;5)," * This facility has a high positivity rate for Index Testing. Kindly confirm if this is the true reflection"&amp;CHAR(10),""),"")</f>
        <v/>
      </c>
      <c r="AL48" s="854"/>
      <c r="AM48" s="14">
        <v>46</v>
      </c>
      <c r="AN48" s="82"/>
      <c r="AO48" s="83"/>
    </row>
    <row r="49" spans="1:41" ht="25.9" hidden="1" thickBot="1" x14ac:dyDescent="0.8">
      <c r="A49" s="637"/>
      <c r="B49" s="106" t="s">
        <v>152</v>
      </c>
      <c r="C49" s="97" t="s">
        <v>175</v>
      </c>
      <c r="D49" s="98"/>
      <c r="E49" s="99"/>
      <c r="F49" s="113"/>
      <c r="G49" s="113"/>
      <c r="H49" s="113"/>
      <c r="I49" s="113"/>
      <c r="J49" s="113"/>
      <c r="K49" s="113"/>
      <c r="L49" s="108"/>
      <c r="M49" s="113"/>
      <c r="N49" s="108"/>
      <c r="O49" s="113"/>
      <c r="P49" s="108"/>
      <c r="Q49" s="113"/>
      <c r="R49" s="108"/>
      <c r="S49" s="113"/>
      <c r="T49" s="108"/>
      <c r="U49" s="113"/>
      <c r="V49" s="108"/>
      <c r="W49" s="113"/>
      <c r="X49" s="108"/>
      <c r="Y49" s="113"/>
      <c r="Z49" s="108"/>
      <c r="AA49" s="368"/>
      <c r="AB49" s="434"/>
      <c r="AC49" s="401"/>
      <c r="AD49" s="401"/>
      <c r="AE49" s="401"/>
      <c r="AF49" s="401"/>
      <c r="AG49" s="357"/>
      <c r="AH49" s="218">
        <f t="shared" si="7"/>
        <v>0</v>
      </c>
      <c r="AI49" s="686"/>
      <c r="AJ49" s="763"/>
      <c r="AK49" s="33"/>
      <c r="AL49" s="854"/>
      <c r="AM49" s="14">
        <v>47</v>
      </c>
      <c r="AN49" s="82"/>
      <c r="AO49" s="83"/>
    </row>
    <row r="50" spans="1:41" ht="25.5" x14ac:dyDescent="0.75">
      <c r="A50" s="653" t="s">
        <v>1073</v>
      </c>
      <c r="B50" s="102" t="s">
        <v>160</v>
      </c>
      <c r="C50" s="51" t="s">
        <v>1074</v>
      </c>
      <c r="D50" s="154"/>
      <c r="E50" s="110"/>
      <c r="F50" s="105"/>
      <c r="G50" s="105"/>
      <c r="H50" s="105"/>
      <c r="I50" s="105"/>
      <c r="J50" s="105"/>
      <c r="K50" s="105"/>
      <c r="L50" s="105"/>
      <c r="M50" s="105"/>
      <c r="N50" s="105"/>
      <c r="O50" s="105"/>
      <c r="P50" s="105"/>
      <c r="Q50" s="105"/>
      <c r="R50" s="105"/>
      <c r="S50" s="105"/>
      <c r="T50" s="105"/>
      <c r="U50" s="105"/>
      <c r="V50" s="105"/>
      <c r="W50" s="105"/>
      <c r="X50" s="105"/>
      <c r="Y50" s="105"/>
      <c r="Z50" s="105"/>
      <c r="AA50" s="365"/>
      <c r="AB50" s="434"/>
      <c r="AC50" s="401"/>
      <c r="AD50" s="401"/>
      <c r="AE50" s="401"/>
      <c r="AF50" s="401"/>
      <c r="AG50" s="357"/>
      <c r="AH50" s="214">
        <f t="shared" si="7"/>
        <v>0</v>
      </c>
      <c r="AI50" s="349"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J50" s="763"/>
      <c r="AK50" s="33"/>
      <c r="AL50" s="854"/>
      <c r="AM50" s="14"/>
      <c r="AN50" s="82"/>
      <c r="AO50" s="83"/>
    </row>
    <row r="51" spans="1:41" ht="25.9" thickBot="1" x14ac:dyDescent="0.8">
      <c r="A51" s="654"/>
      <c r="B51" s="106" t="s">
        <v>152</v>
      </c>
      <c r="C51" s="51" t="s">
        <v>1075</v>
      </c>
      <c r="D51" s="133"/>
      <c r="E51" s="113"/>
      <c r="F51" s="108"/>
      <c r="G51" s="108"/>
      <c r="H51" s="108"/>
      <c r="I51" s="108"/>
      <c r="J51" s="108"/>
      <c r="K51" s="108"/>
      <c r="L51" s="108"/>
      <c r="M51" s="108"/>
      <c r="N51" s="108"/>
      <c r="O51" s="108"/>
      <c r="P51" s="108"/>
      <c r="Q51" s="108"/>
      <c r="R51" s="108"/>
      <c r="S51" s="108"/>
      <c r="T51" s="108"/>
      <c r="U51" s="108"/>
      <c r="V51" s="108"/>
      <c r="W51" s="108"/>
      <c r="X51" s="108"/>
      <c r="Y51" s="108"/>
      <c r="Z51" s="108"/>
      <c r="AA51" s="366"/>
      <c r="AB51" s="434"/>
      <c r="AC51" s="401"/>
      <c r="AD51" s="401"/>
      <c r="AE51" s="401"/>
      <c r="AF51" s="401"/>
      <c r="AG51" s="357"/>
      <c r="AH51" s="421">
        <f t="shared" si="7"/>
        <v>0</v>
      </c>
      <c r="AI51" s="349"/>
      <c r="AJ51" s="763"/>
      <c r="AK51" s="33"/>
      <c r="AL51" s="854"/>
      <c r="AM51" s="14"/>
      <c r="AN51" s="82"/>
      <c r="AO51" s="83"/>
    </row>
    <row r="52" spans="1:41" s="9" customFormat="1" ht="25.5" x14ac:dyDescent="0.75">
      <c r="A52" s="849" t="s">
        <v>131</v>
      </c>
      <c r="B52" s="118" t="s">
        <v>642</v>
      </c>
      <c r="C52" s="77" t="s">
        <v>350</v>
      </c>
      <c r="D52" s="119">
        <f>SUM(D27+D32+D34+D36+D38+D40+D42+D44+D46+D48+D50)</f>
        <v>0</v>
      </c>
      <c r="E52" s="119">
        <f t="shared" ref="E52:AA52" si="10">SUM(E27+E32+E34+E36+E38+E40+E42+E44+E46+E48+E50)</f>
        <v>0</v>
      </c>
      <c r="F52" s="119">
        <f t="shared" si="10"/>
        <v>0</v>
      </c>
      <c r="G52" s="119">
        <f t="shared" si="10"/>
        <v>0</v>
      </c>
      <c r="H52" s="119">
        <f t="shared" si="10"/>
        <v>0</v>
      </c>
      <c r="I52" s="119">
        <f t="shared" si="10"/>
        <v>0</v>
      </c>
      <c r="J52" s="119">
        <f t="shared" si="10"/>
        <v>0</v>
      </c>
      <c r="K52" s="119">
        <f t="shared" si="10"/>
        <v>0</v>
      </c>
      <c r="L52" s="119">
        <f t="shared" si="10"/>
        <v>0</v>
      </c>
      <c r="M52" s="119">
        <f t="shared" si="10"/>
        <v>0</v>
      </c>
      <c r="N52" s="119">
        <f t="shared" si="10"/>
        <v>0</v>
      </c>
      <c r="O52" s="119">
        <f t="shared" si="10"/>
        <v>0</v>
      </c>
      <c r="P52" s="119">
        <f t="shared" si="10"/>
        <v>0</v>
      </c>
      <c r="Q52" s="119">
        <f t="shared" si="10"/>
        <v>0</v>
      </c>
      <c r="R52" s="119">
        <f t="shared" si="10"/>
        <v>0</v>
      </c>
      <c r="S52" s="119">
        <f t="shared" si="10"/>
        <v>0</v>
      </c>
      <c r="T52" s="119">
        <f t="shared" si="10"/>
        <v>0</v>
      </c>
      <c r="U52" s="119">
        <f t="shared" si="10"/>
        <v>0</v>
      </c>
      <c r="V52" s="119">
        <f t="shared" si="10"/>
        <v>0</v>
      </c>
      <c r="W52" s="119">
        <f t="shared" si="10"/>
        <v>0</v>
      </c>
      <c r="X52" s="119">
        <f t="shared" si="10"/>
        <v>0</v>
      </c>
      <c r="Y52" s="119">
        <f t="shared" si="10"/>
        <v>0</v>
      </c>
      <c r="Z52" s="119">
        <f t="shared" si="10"/>
        <v>0</v>
      </c>
      <c r="AA52" s="119">
        <f t="shared" si="10"/>
        <v>0</v>
      </c>
      <c r="AB52" s="434"/>
      <c r="AC52" s="401"/>
      <c r="AD52" s="401"/>
      <c r="AE52" s="401"/>
      <c r="AF52" s="401"/>
      <c r="AG52" s="357"/>
      <c r="AH52" s="214">
        <f t="shared" si="7"/>
        <v>0</v>
      </c>
      <c r="AI52" s="32"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J52" s="763"/>
      <c r="AK52" s="120" t="str">
        <f>CONCATENATE(IF(AH277&gt;SUM(AH28,AH33,AH35,AH37,AH39,AH41,AH43,AH45,AH47,AH49,AH229,AH233,AH237,AH241)," * This site has more started on ART than positives"&amp;CHAR(10),""),"")</f>
        <v/>
      </c>
      <c r="AL52" s="854"/>
      <c r="AM52" s="14">
        <v>48</v>
      </c>
      <c r="AN52" s="121"/>
      <c r="AO52" s="122"/>
    </row>
    <row r="53" spans="1:41" s="128" customFormat="1" ht="25.9" thickBot="1" x14ac:dyDescent="0.8">
      <c r="A53" s="850"/>
      <c r="B53" s="123" t="s">
        <v>651</v>
      </c>
      <c r="C53" s="97" t="s">
        <v>351</v>
      </c>
      <c r="D53" s="124">
        <f>SUM(D28+D33+D35+D37+D39+D41+D43+D45+D47+D49+D51)</f>
        <v>0</v>
      </c>
      <c r="E53" s="124">
        <f t="shared" ref="E53:AA53" si="11">SUM(E28+E33+E35+E37+E39+E41+E43+E45+E47+E49+E51)</f>
        <v>0</v>
      </c>
      <c r="F53" s="124">
        <f t="shared" si="11"/>
        <v>0</v>
      </c>
      <c r="G53" s="124">
        <f t="shared" si="11"/>
        <v>0</v>
      </c>
      <c r="H53" s="124">
        <f t="shared" si="11"/>
        <v>0</v>
      </c>
      <c r="I53" s="124">
        <f t="shared" si="11"/>
        <v>0</v>
      </c>
      <c r="J53" s="124">
        <f t="shared" si="11"/>
        <v>0</v>
      </c>
      <c r="K53" s="124">
        <f t="shared" si="11"/>
        <v>0</v>
      </c>
      <c r="L53" s="124">
        <f t="shared" si="11"/>
        <v>0</v>
      </c>
      <c r="M53" s="124">
        <f t="shared" si="11"/>
        <v>0</v>
      </c>
      <c r="N53" s="124">
        <f t="shared" si="11"/>
        <v>0</v>
      </c>
      <c r="O53" s="124">
        <f t="shared" si="11"/>
        <v>0</v>
      </c>
      <c r="P53" s="124">
        <f t="shared" si="11"/>
        <v>0</v>
      </c>
      <c r="Q53" s="124">
        <f t="shared" si="11"/>
        <v>0</v>
      </c>
      <c r="R53" s="124">
        <f t="shared" si="11"/>
        <v>0</v>
      </c>
      <c r="S53" s="124">
        <f t="shared" si="11"/>
        <v>0</v>
      </c>
      <c r="T53" s="124">
        <f t="shared" si="11"/>
        <v>0</v>
      </c>
      <c r="U53" s="124">
        <f t="shared" si="11"/>
        <v>0</v>
      </c>
      <c r="V53" s="124">
        <f t="shared" si="11"/>
        <v>0</v>
      </c>
      <c r="W53" s="124">
        <f t="shared" si="11"/>
        <v>0</v>
      </c>
      <c r="X53" s="124">
        <f t="shared" si="11"/>
        <v>0</v>
      </c>
      <c r="Y53" s="124">
        <f t="shared" si="11"/>
        <v>0</v>
      </c>
      <c r="Z53" s="124">
        <f t="shared" si="11"/>
        <v>0</v>
      </c>
      <c r="AA53" s="124">
        <f t="shared" si="11"/>
        <v>0</v>
      </c>
      <c r="AB53" s="435"/>
      <c r="AC53" s="436"/>
      <c r="AD53" s="436"/>
      <c r="AE53" s="436"/>
      <c r="AF53" s="436"/>
      <c r="AG53" s="358"/>
      <c r="AH53" s="428">
        <f t="shared" si="7"/>
        <v>0</v>
      </c>
      <c r="AI53" s="125"/>
      <c r="AJ53" s="764"/>
      <c r="AK53" s="126" t="str">
        <f>CONCATENATE(IF(AND(AH277=0,SUM(AH28,AH33,AH35,AH37,AH39,AH41,AH43,AH45,AH47,AH49,AH229,AH233,AH237,AH241)&gt;0)," * This site has positives but none was started on ART"&amp;CHAR(10),""),"")</f>
        <v/>
      </c>
      <c r="AL53" s="855"/>
      <c r="AM53" s="14">
        <v>49</v>
      </c>
      <c r="AN53" s="127"/>
      <c r="AO53" s="122"/>
    </row>
    <row r="54" spans="1:41" ht="25.9" thickBot="1" x14ac:dyDescent="0.8">
      <c r="A54" s="691" t="s">
        <v>1038</v>
      </c>
      <c r="B54" s="692"/>
      <c r="C54" s="692"/>
      <c r="D54" s="692"/>
      <c r="E54" s="692"/>
      <c r="F54" s="692"/>
      <c r="G54" s="692"/>
      <c r="H54" s="692"/>
      <c r="I54" s="692"/>
      <c r="J54" s="692"/>
      <c r="K54" s="692"/>
      <c r="L54" s="692"/>
      <c r="M54" s="692"/>
      <c r="N54" s="692"/>
      <c r="O54" s="692"/>
      <c r="P54" s="692"/>
      <c r="Q54" s="692"/>
      <c r="R54" s="692"/>
      <c r="S54" s="692"/>
      <c r="T54" s="692"/>
      <c r="U54" s="692"/>
      <c r="V54" s="692"/>
      <c r="W54" s="692"/>
      <c r="X54" s="692"/>
      <c r="Y54" s="692"/>
      <c r="Z54" s="692"/>
      <c r="AA54" s="692"/>
      <c r="AB54" s="693"/>
      <c r="AC54" s="693"/>
      <c r="AD54" s="693"/>
      <c r="AE54" s="693"/>
      <c r="AF54" s="693"/>
      <c r="AG54" s="693"/>
      <c r="AH54" s="692"/>
      <c r="AI54" s="692"/>
      <c r="AJ54" s="692"/>
      <c r="AK54" s="692"/>
      <c r="AL54" s="694"/>
      <c r="AM54" s="14">
        <v>50</v>
      </c>
      <c r="AN54" s="82"/>
      <c r="AO54" s="83"/>
    </row>
    <row r="55" spans="1:41" ht="26.25" customHeight="1" x14ac:dyDescent="0.75">
      <c r="A55" s="749" t="s">
        <v>37</v>
      </c>
      <c r="B55" s="768" t="s">
        <v>346</v>
      </c>
      <c r="C55" s="754" t="s">
        <v>327</v>
      </c>
      <c r="D55" s="669"/>
      <c r="E55" s="669"/>
      <c r="F55" s="669"/>
      <c r="G55" s="669"/>
      <c r="H55" s="669"/>
      <c r="I55" s="669"/>
      <c r="J55" s="669"/>
      <c r="K55" s="669"/>
      <c r="L55" s="669" t="s">
        <v>4</v>
      </c>
      <c r="M55" s="669"/>
      <c r="N55" s="669" t="s">
        <v>5</v>
      </c>
      <c r="O55" s="669"/>
      <c r="P55" s="669" t="s">
        <v>6</v>
      </c>
      <c r="Q55" s="669"/>
      <c r="R55" s="669" t="s">
        <v>7</v>
      </c>
      <c r="S55" s="669"/>
      <c r="T55" s="669" t="s">
        <v>8</v>
      </c>
      <c r="U55" s="669"/>
      <c r="V55" s="669" t="s">
        <v>23</v>
      </c>
      <c r="W55" s="669"/>
      <c r="X55" s="669" t="s">
        <v>24</v>
      </c>
      <c r="Y55" s="669"/>
      <c r="Z55" s="669" t="s">
        <v>9</v>
      </c>
      <c r="AA55" s="758"/>
      <c r="AB55" s="858"/>
      <c r="AC55" s="859"/>
      <c r="AD55" s="859"/>
      <c r="AE55" s="859"/>
      <c r="AF55" s="859"/>
      <c r="AG55" s="860"/>
      <c r="AH55" s="811" t="s">
        <v>19</v>
      </c>
      <c r="AI55" s="786" t="s">
        <v>380</v>
      </c>
      <c r="AJ55" s="801" t="s">
        <v>386</v>
      </c>
      <c r="AK55" s="784" t="s">
        <v>387</v>
      </c>
      <c r="AL55" s="814" t="s">
        <v>387</v>
      </c>
      <c r="AM55" s="14">
        <v>98</v>
      </c>
      <c r="AN55" s="82"/>
      <c r="AO55" s="83"/>
    </row>
    <row r="56" spans="1:41" ht="27" customHeight="1" thickBot="1" x14ac:dyDescent="0.8">
      <c r="A56" s="750"/>
      <c r="B56" s="796"/>
      <c r="C56" s="835"/>
      <c r="D56" s="75"/>
      <c r="E56" s="75"/>
      <c r="F56" s="75"/>
      <c r="G56" s="75"/>
      <c r="H56" s="75"/>
      <c r="I56" s="75"/>
      <c r="J56" s="75"/>
      <c r="K56" s="75"/>
      <c r="L56" s="75" t="s">
        <v>10</v>
      </c>
      <c r="M56" s="75" t="s">
        <v>11</v>
      </c>
      <c r="N56" s="75" t="s">
        <v>10</v>
      </c>
      <c r="O56" s="75" t="s">
        <v>11</v>
      </c>
      <c r="P56" s="75" t="s">
        <v>10</v>
      </c>
      <c r="Q56" s="75" t="s">
        <v>11</v>
      </c>
      <c r="R56" s="75" t="s">
        <v>10</v>
      </c>
      <c r="S56" s="75" t="s">
        <v>11</v>
      </c>
      <c r="T56" s="75" t="s">
        <v>10</v>
      </c>
      <c r="U56" s="75" t="s">
        <v>11</v>
      </c>
      <c r="V56" s="75" t="s">
        <v>10</v>
      </c>
      <c r="W56" s="75" t="s">
        <v>11</v>
      </c>
      <c r="X56" s="75" t="s">
        <v>10</v>
      </c>
      <c r="Y56" s="75" t="s">
        <v>11</v>
      </c>
      <c r="Z56" s="75" t="s">
        <v>10</v>
      </c>
      <c r="AA56" s="416" t="s">
        <v>11</v>
      </c>
      <c r="AB56" s="430"/>
      <c r="AC56" s="417"/>
      <c r="AD56" s="417"/>
      <c r="AE56" s="417"/>
      <c r="AF56" s="417"/>
      <c r="AG56" s="431"/>
      <c r="AH56" s="812"/>
      <c r="AI56" s="787"/>
      <c r="AJ56" s="907"/>
      <c r="AK56" s="784"/>
      <c r="AL56" s="815"/>
      <c r="AM56" s="14">
        <v>99</v>
      </c>
      <c r="AN56" s="82"/>
      <c r="AO56" s="83"/>
    </row>
    <row r="57" spans="1:41" s="92" customFormat="1" ht="25.5" x14ac:dyDescent="0.75">
      <c r="A57" s="636" t="s">
        <v>1053</v>
      </c>
      <c r="B57" s="1" t="s">
        <v>1039</v>
      </c>
      <c r="C57" s="458" t="s">
        <v>1041</v>
      </c>
      <c r="D57" s="154"/>
      <c r="E57" s="110"/>
      <c r="F57" s="110"/>
      <c r="G57" s="110"/>
      <c r="H57" s="110"/>
      <c r="I57" s="110"/>
      <c r="J57" s="110"/>
      <c r="K57" s="422"/>
      <c r="L57" s="268"/>
      <c r="M57" s="88"/>
      <c r="N57" s="88"/>
      <c r="O57" s="88"/>
      <c r="P57" s="88"/>
      <c r="Q57" s="88"/>
      <c r="R57" s="88"/>
      <c r="S57" s="88"/>
      <c r="T57" s="88"/>
      <c r="U57" s="88"/>
      <c r="V57" s="88"/>
      <c r="W57" s="88"/>
      <c r="X57" s="88"/>
      <c r="Y57" s="88"/>
      <c r="Z57" s="88"/>
      <c r="AA57" s="362"/>
      <c r="AB57" s="432"/>
      <c r="AC57" s="433"/>
      <c r="AD57" s="433"/>
      <c r="AE57" s="433"/>
      <c r="AF57" s="433"/>
      <c r="AG57" s="360"/>
      <c r="AH57" s="461">
        <f t="shared" ref="AH57:AH78" si="12">SUM(D57:AA57)</f>
        <v>0</v>
      </c>
      <c r="AI57" s="32"/>
      <c r="AJ57" s="861"/>
      <c r="AK57" s="33"/>
      <c r="AL57" s="414"/>
      <c r="AM57" s="14">
        <v>30</v>
      </c>
      <c r="AN57" s="90"/>
      <c r="AO57" s="91"/>
    </row>
    <row r="58" spans="1:41" s="92" customFormat="1" ht="25.9" thickBot="1" x14ac:dyDescent="0.8">
      <c r="A58" s="637"/>
      <c r="B58" s="415" t="s">
        <v>1040</v>
      </c>
      <c r="C58" s="459" t="s">
        <v>1042</v>
      </c>
      <c r="D58" s="155"/>
      <c r="E58" s="87"/>
      <c r="F58" s="87"/>
      <c r="G58" s="87"/>
      <c r="H58" s="87"/>
      <c r="I58" s="87"/>
      <c r="J58" s="87"/>
      <c r="K58" s="429"/>
      <c r="L58" s="268"/>
      <c r="M58" s="88"/>
      <c r="N58" s="88"/>
      <c r="O58" s="88"/>
      <c r="P58" s="88"/>
      <c r="Q58" s="88"/>
      <c r="R58" s="88"/>
      <c r="S58" s="88"/>
      <c r="T58" s="88"/>
      <c r="U58" s="88"/>
      <c r="V58" s="88"/>
      <c r="W58" s="88"/>
      <c r="X58" s="88"/>
      <c r="Y58" s="88"/>
      <c r="Z58" s="88"/>
      <c r="AA58" s="362"/>
      <c r="AB58" s="434"/>
      <c r="AC58" s="401"/>
      <c r="AD58" s="401"/>
      <c r="AE58" s="401"/>
      <c r="AF58" s="401"/>
      <c r="AG58" s="357"/>
      <c r="AH58" s="462">
        <f t="shared" si="12"/>
        <v>0</v>
      </c>
      <c r="AI58" s="32"/>
      <c r="AJ58" s="683"/>
      <c r="AK58" s="33"/>
      <c r="AL58" s="414"/>
      <c r="AM58" s="14">
        <v>31</v>
      </c>
      <c r="AN58" s="90"/>
      <c r="AO58" s="91"/>
    </row>
    <row r="59" spans="1:41" s="92" customFormat="1" ht="25.5" x14ac:dyDescent="0.75">
      <c r="A59" s="636" t="s">
        <v>1054</v>
      </c>
      <c r="B59" s="1" t="s">
        <v>1039</v>
      </c>
      <c r="C59" s="459" t="s">
        <v>1043</v>
      </c>
      <c r="D59" s="155"/>
      <c r="E59" s="87"/>
      <c r="F59" s="87"/>
      <c r="G59" s="87"/>
      <c r="H59" s="87"/>
      <c r="I59" s="87"/>
      <c r="J59" s="87"/>
      <c r="K59" s="429"/>
      <c r="L59" s="267"/>
      <c r="M59" s="105"/>
      <c r="N59" s="105"/>
      <c r="O59" s="105"/>
      <c r="P59" s="105"/>
      <c r="Q59" s="105"/>
      <c r="R59" s="105"/>
      <c r="S59" s="105"/>
      <c r="T59" s="105"/>
      <c r="U59" s="105"/>
      <c r="V59" s="105"/>
      <c r="W59" s="105"/>
      <c r="X59" s="105"/>
      <c r="Y59" s="105"/>
      <c r="Z59" s="105"/>
      <c r="AA59" s="365"/>
      <c r="AB59" s="434"/>
      <c r="AC59" s="401"/>
      <c r="AD59" s="401"/>
      <c r="AE59" s="401"/>
      <c r="AF59" s="401"/>
      <c r="AG59" s="357"/>
      <c r="AH59" s="461">
        <f t="shared" si="12"/>
        <v>0</v>
      </c>
      <c r="AI59" s="32"/>
      <c r="AJ59" s="683"/>
      <c r="AK59" s="33"/>
      <c r="AL59" s="414"/>
      <c r="AM59" s="14">
        <v>32</v>
      </c>
      <c r="AN59" s="90"/>
      <c r="AO59" s="91"/>
    </row>
    <row r="60" spans="1:41" s="92" customFormat="1" ht="25.9" thickBot="1" x14ac:dyDescent="0.8">
      <c r="A60" s="637"/>
      <c r="B60" s="415" t="s">
        <v>1040</v>
      </c>
      <c r="C60" s="459" t="s">
        <v>1044</v>
      </c>
      <c r="D60" s="155"/>
      <c r="E60" s="87"/>
      <c r="F60" s="87"/>
      <c r="G60" s="87"/>
      <c r="H60" s="87"/>
      <c r="I60" s="87"/>
      <c r="J60" s="87"/>
      <c r="K60" s="429"/>
      <c r="L60" s="453"/>
      <c r="M60" s="108"/>
      <c r="N60" s="108"/>
      <c r="O60" s="108"/>
      <c r="P60" s="108"/>
      <c r="Q60" s="108"/>
      <c r="R60" s="108"/>
      <c r="S60" s="108"/>
      <c r="T60" s="108"/>
      <c r="U60" s="108"/>
      <c r="V60" s="108"/>
      <c r="W60" s="108"/>
      <c r="X60" s="108"/>
      <c r="Y60" s="108"/>
      <c r="Z60" s="108"/>
      <c r="AA60" s="366"/>
      <c r="AB60" s="434"/>
      <c r="AC60" s="401"/>
      <c r="AD60" s="401"/>
      <c r="AE60" s="401"/>
      <c r="AF60" s="401"/>
      <c r="AG60" s="357"/>
      <c r="AH60" s="462">
        <f t="shared" si="12"/>
        <v>0</v>
      </c>
      <c r="AI60" s="32"/>
      <c r="AJ60" s="683"/>
      <c r="AK60" s="33"/>
      <c r="AL60" s="414"/>
      <c r="AM60" s="14">
        <v>33</v>
      </c>
      <c r="AN60" s="90"/>
      <c r="AO60" s="91"/>
    </row>
    <row r="61" spans="1:41" s="92" customFormat="1" ht="25.5" x14ac:dyDescent="0.75">
      <c r="A61" s="636" t="s">
        <v>1055</v>
      </c>
      <c r="B61" s="1" t="s">
        <v>1039</v>
      </c>
      <c r="C61" s="459" t="s">
        <v>1045</v>
      </c>
      <c r="D61" s="155"/>
      <c r="E61" s="87"/>
      <c r="F61" s="87"/>
      <c r="G61" s="87"/>
      <c r="H61" s="87"/>
      <c r="I61" s="87"/>
      <c r="J61" s="87"/>
      <c r="K61" s="429"/>
      <c r="L61" s="267"/>
      <c r="M61" s="105"/>
      <c r="N61" s="105"/>
      <c r="O61" s="105"/>
      <c r="P61" s="105"/>
      <c r="Q61" s="105"/>
      <c r="R61" s="105"/>
      <c r="S61" s="105"/>
      <c r="T61" s="105"/>
      <c r="U61" s="105"/>
      <c r="V61" s="105"/>
      <c r="W61" s="105"/>
      <c r="X61" s="105"/>
      <c r="Y61" s="105"/>
      <c r="Z61" s="105"/>
      <c r="AA61" s="365"/>
      <c r="AB61" s="434"/>
      <c r="AC61" s="401"/>
      <c r="AD61" s="401"/>
      <c r="AE61" s="401"/>
      <c r="AF61" s="401"/>
      <c r="AG61" s="357"/>
      <c r="AH61" s="461">
        <f t="shared" si="12"/>
        <v>0</v>
      </c>
      <c r="AI61" s="32"/>
      <c r="AJ61" s="683"/>
      <c r="AK61" s="33"/>
      <c r="AL61" s="414"/>
      <c r="AM61" s="14">
        <v>32</v>
      </c>
      <c r="AN61" s="90"/>
      <c r="AO61" s="91"/>
    </row>
    <row r="62" spans="1:41" s="92" customFormat="1" ht="25.9" thickBot="1" x14ac:dyDescent="0.8">
      <c r="A62" s="637"/>
      <c r="B62" s="415" t="s">
        <v>1040</v>
      </c>
      <c r="C62" s="459" t="s">
        <v>1046</v>
      </c>
      <c r="D62" s="155"/>
      <c r="E62" s="87"/>
      <c r="F62" s="87"/>
      <c r="G62" s="87"/>
      <c r="H62" s="87"/>
      <c r="I62" s="87"/>
      <c r="J62" s="87"/>
      <c r="K62" s="429"/>
      <c r="L62" s="453"/>
      <c r="M62" s="108"/>
      <c r="N62" s="108"/>
      <c r="O62" s="108"/>
      <c r="P62" s="108"/>
      <c r="Q62" s="108"/>
      <c r="R62" s="108"/>
      <c r="S62" s="108"/>
      <c r="T62" s="108"/>
      <c r="U62" s="108"/>
      <c r="V62" s="108"/>
      <c r="W62" s="108"/>
      <c r="X62" s="108"/>
      <c r="Y62" s="108"/>
      <c r="Z62" s="108"/>
      <c r="AA62" s="366"/>
      <c r="AB62" s="434"/>
      <c r="AC62" s="401"/>
      <c r="AD62" s="401"/>
      <c r="AE62" s="401"/>
      <c r="AF62" s="401"/>
      <c r="AG62" s="357"/>
      <c r="AH62" s="462">
        <f t="shared" si="12"/>
        <v>0</v>
      </c>
      <c r="AI62" s="32"/>
      <c r="AJ62" s="683"/>
      <c r="AK62" s="33"/>
      <c r="AL62" s="414"/>
      <c r="AM62" s="14">
        <v>33</v>
      </c>
      <c r="AN62" s="90"/>
      <c r="AO62" s="91"/>
    </row>
    <row r="63" spans="1:41" s="92" customFormat="1" ht="25.5" x14ac:dyDescent="0.75">
      <c r="A63" s="636" t="s">
        <v>1056</v>
      </c>
      <c r="B63" s="1" t="s">
        <v>1039</v>
      </c>
      <c r="C63" s="459" t="s">
        <v>1047</v>
      </c>
      <c r="D63" s="155"/>
      <c r="E63" s="87"/>
      <c r="F63" s="87"/>
      <c r="G63" s="87"/>
      <c r="H63" s="87"/>
      <c r="I63" s="87"/>
      <c r="J63" s="87"/>
      <c r="K63" s="429"/>
      <c r="L63" s="86"/>
      <c r="M63" s="105"/>
      <c r="N63" s="87"/>
      <c r="O63" s="105"/>
      <c r="P63" s="87"/>
      <c r="Q63" s="105"/>
      <c r="R63" s="87"/>
      <c r="S63" s="105"/>
      <c r="T63" s="87"/>
      <c r="U63" s="105"/>
      <c r="V63" s="87"/>
      <c r="W63" s="105"/>
      <c r="X63" s="87"/>
      <c r="Y63" s="105"/>
      <c r="Z63" s="87"/>
      <c r="AA63" s="365"/>
      <c r="AB63" s="434"/>
      <c r="AC63" s="401"/>
      <c r="AD63" s="401"/>
      <c r="AE63" s="401"/>
      <c r="AF63" s="401"/>
      <c r="AG63" s="357"/>
      <c r="AH63" s="461">
        <f t="shared" si="12"/>
        <v>0</v>
      </c>
      <c r="AI63" s="32"/>
      <c r="AJ63" s="683"/>
      <c r="AK63" s="33"/>
      <c r="AL63" s="414"/>
      <c r="AM63" s="14">
        <v>32</v>
      </c>
      <c r="AN63" s="90"/>
      <c r="AO63" s="91"/>
    </row>
    <row r="64" spans="1:41" s="92" customFormat="1" ht="25.9" thickBot="1" x14ac:dyDescent="0.8">
      <c r="A64" s="637"/>
      <c r="B64" s="415" t="s">
        <v>1040</v>
      </c>
      <c r="C64" s="459" t="s">
        <v>1048</v>
      </c>
      <c r="D64" s="155"/>
      <c r="E64" s="87"/>
      <c r="F64" s="87"/>
      <c r="G64" s="87"/>
      <c r="H64" s="87"/>
      <c r="I64" s="87"/>
      <c r="J64" s="87"/>
      <c r="K64" s="429"/>
      <c r="L64" s="86"/>
      <c r="M64" s="108"/>
      <c r="N64" s="87"/>
      <c r="O64" s="108"/>
      <c r="P64" s="87"/>
      <c r="Q64" s="108"/>
      <c r="R64" s="87"/>
      <c r="S64" s="108"/>
      <c r="T64" s="87"/>
      <c r="U64" s="108"/>
      <c r="V64" s="87"/>
      <c r="W64" s="108"/>
      <c r="X64" s="87"/>
      <c r="Y64" s="108"/>
      <c r="Z64" s="87"/>
      <c r="AA64" s="366"/>
      <c r="AB64" s="434"/>
      <c r="AC64" s="401"/>
      <c r="AD64" s="401"/>
      <c r="AE64" s="401"/>
      <c r="AF64" s="401"/>
      <c r="AG64" s="357"/>
      <c r="AH64" s="462">
        <f t="shared" si="12"/>
        <v>0</v>
      </c>
      <c r="AI64" s="32"/>
      <c r="AJ64" s="683"/>
      <c r="AK64" s="33"/>
      <c r="AL64" s="414"/>
      <c r="AM64" s="14">
        <v>33</v>
      </c>
      <c r="AN64" s="90"/>
      <c r="AO64" s="91"/>
    </row>
    <row r="65" spans="1:41" s="92" customFormat="1" ht="25.5" x14ac:dyDescent="0.75">
      <c r="A65" s="636" t="s">
        <v>1064</v>
      </c>
      <c r="B65" s="1" t="s">
        <v>1039</v>
      </c>
      <c r="C65" s="459" t="s">
        <v>1049</v>
      </c>
      <c r="D65" s="155"/>
      <c r="E65" s="87"/>
      <c r="F65" s="87"/>
      <c r="G65" s="87"/>
      <c r="H65" s="87"/>
      <c r="I65" s="87"/>
      <c r="J65" s="87"/>
      <c r="K65" s="429"/>
      <c r="L65" s="86"/>
      <c r="M65" s="105"/>
      <c r="N65" s="87"/>
      <c r="O65" s="105"/>
      <c r="P65" s="87"/>
      <c r="Q65" s="105"/>
      <c r="R65" s="87"/>
      <c r="S65" s="105"/>
      <c r="T65" s="87"/>
      <c r="U65" s="105"/>
      <c r="V65" s="87"/>
      <c r="W65" s="105"/>
      <c r="X65" s="87"/>
      <c r="Y65" s="105"/>
      <c r="Z65" s="87"/>
      <c r="AA65" s="365"/>
      <c r="AB65" s="434"/>
      <c r="AC65" s="401"/>
      <c r="AD65" s="401"/>
      <c r="AE65" s="401"/>
      <c r="AF65" s="401"/>
      <c r="AG65" s="357"/>
      <c r="AH65" s="461">
        <f t="shared" si="12"/>
        <v>0</v>
      </c>
      <c r="AI65" s="32"/>
      <c r="AJ65" s="683"/>
      <c r="AK65" s="33"/>
      <c r="AL65" s="414"/>
      <c r="AM65" s="14">
        <v>32</v>
      </c>
      <c r="AN65" s="90"/>
      <c r="AO65" s="91"/>
    </row>
    <row r="66" spans="1:41" s="92" customFormat="1" ht="25.9" thickBot="1" x14ac:dyDescent="0.8">
      <c r="A66" s="637"/>
      <c r="B66" s="415" t="s">
        <v>1040</v>
      </c>
      <c r="C66" s="459" t="s">
        <v>1050</v>
      </c>
      <c r="D66" s="155"/>
      <c r="E66" s="87"/>
      <c r="F66" s="87"/>
      <c r="G66" s="87"/>
      <c r="H66" s="87"/>
      <c r="I66" s="87"/>
      <c r="J66" s="87"/>
      <c r="K66" s="429"/>
      <c r="L66" s="86"/>
      <c r="M66" s="108"/>
      <c r="N66" s="87"/>
      <c r="O66" s="108"/>
      <c r="P66" s="87"/>
      <c r="Q66" s="108"/>
      <c r="R66" s="87"/>
      <c r="S66" s="108"/>
      <c r="T66" s="87"/>
      <c r="U66" s="108"/>
      <c r="V66" s="87"/>
      <c r="W66" s="108"/>
      <c r="X66" s="87"/>
      <c r="Y66" s="108"/>
      <c r="Z66" s="87"/>
      <c r="AA66" s="366"/>
      <c r="AB66" s="434"/>
      <c r="AC66" s="401"/>
      <c r="AD66" s="401"/>
      <c r="AE66" s="401"/>
      <c r="AF66" s="401"/>
      <c r="AG66" s="357"/>
      <c r="AH66" s="462">
        <f t="shared" si="12"/>
        <v>0</v>
      </c>
      <c r="AI66" s="32"/>
      <c r="AJ66" s="683"/>
      <c r="AK66" s="33"/>
      <c r="AL66" s="414"/>
      <c r="AM66" s="14">
        <v>33</v>
      </c>
      <c r="AN66" s="90"/>
      <c r="AO66" s="91"/>
    </row>
    <row r="67" spans="1:41" s="92" customFormat="1" ht="25.5" x14ac:dyDescent="0.75">
      <c r="A67" s="636" t="s">
        <v>1057</v>
      </c>
      <c r="B67" s="1" t="s">
        <v>1039</v>
      </c>
      <c r="C67" s="459" t="s">
        <v>1051</v>
      </c>
      <c r="D67" s="155"/>
      <c r="E67" s="87"/>
      <c r="F67" s="87"/>
      <c r="G67" s="87"/>
      <c r="H67" s="87"/>
      <c r="I67" s="87"/>
      <c r="J67" s="87"/>
      <c r="K67" s="429"/>
      <c r="L67" s="267"/>
      <c r="M67" s="105"/>
      <c r="N67" s="105"/>
      <c r="O67" s="105"/>
      <c r="P67" s="105"/>
      <c r="Q67" s="105"/>
      <c r="R67" s="105"/>
      <c r="S67" s="105"/>
      <c r="T67" s="105"/>
      <c r="U67" s="105"/>
      <c r="V67" s="105"/>
      <c r="W67" s="105"/>
      <c r="X67" s="105"/>
      <c r="Y67" s="105"/>
      <c r="Z67" s="105"/>
      <c r="AA67" s="365"/>
      <c r="AB67" s="434"/>
      <c r="AC67" s="401"/>
      <c r="AD67" s="401"/>
      <c r="AE67" s="401"/>
      <c r="AF67" s="401"/>
      <c r="AG67" s="357"/>
      <c r="AH67" s="461">
        <f t="shared" si="12"/>
        <v>0</v>
      </c>
      <c r="AI67" s="32"/>
      <c r="AJ67" s="683"/>
      <c r="AK67" s="33"/>
      <c r="AL67" s="414"/>
      <c r="AM67" s="14">
        <v>32</v>
      </c>
      <c r="AN67" s="90"/>
      <c r="AO67" s="91"/>
    </row>
    <row r="68" spans="1:41" s="92" customFormat="1" ht="25.9" thickBot="1" x14ac:dyDescent="0.8">
      <c r="A68" s="637"/>
      <c r="B68" s="415" t="s">
        <v>1040</v>
      </c>
      <c r="C68" s="459" t="s">
        <v>1052</v>
      </c>
      <c r="D68" s="155"/>
      <c r="E68" s="87"/>
      <c r="F68" s="87"/>
      <c r="G68" s="87"/>
      <c r="H68" s="87"/>
      <c r="I68" s="87"/>
      <c r="J68" s="87"/>
      <c r="K68" s="429"/>
      <c r="L68" s="453"/>
      <c r="M68" s="108"/>
      <c r="N68" s="108"/>
      <c r="O68" s="108"/>
      <c r="P68" s="108"/>
      <c r="Q68" s="108"/>
      <c r="R68" s="108"/>
      <c r="S68" s="108"/>
      <c r="T68" s="108"/>
      <c r="U68" s="108"/>
      <c r="V68" s="108"/>
      <c r="W68" s="108"/>
      <c r="X68" s="108"/>
      <c r="Y68" s="108"/>
      <c r="Z68" s="108"/>
      <c r="AA68" s="366"/>
      <c r="AB68" s="434"/>
      <c r="AC68" s="401"/>
      <c r="AD68" s="401"/>
      <c r="AE68" s="401"/>
      <c r="AF68" s="401"/>
      <c r="AG68" s="357"/>
      <c r="AH68" s="462">
        <f t="shared" si="12"/>
        <v>0</v>
      </c>
      <c r="AI68" s="32"/>
      <c r="AJ68" s="683"/>
      <c r="AK68" s="33"/>
      <c r="AL68" s="414"/>
      <c r="AM68" s="14">
        <v>33</v>
      </c>
      <c r="AN68" s="90"/>
      <c r="AO68" s="91"/>
    </row>
    <row r="69" spans="1:41" s="92" customFormat="1" ht="25.5" x14ac:dyDescent="0.75">
      <c r="A69" s="636" t="s">
        <v>1058</v>
      </c>
      <c r="B69" s="1" t="s">
        <v>1039</v>
      </c>
      <c r="C69" s="459" t="s">
        <v>1065</v>
      </c>
      <c r="D69" s="155"/>
      <c r="E69" s="87"/>
      <c r="F69" s="87"/>
      <c r="G69" s="87"/>
      <c r="H69" s="87"/>
      <c r="I69" s="87"/>
      <c r="J69" s="87"/>
      <c r="K69" s="429"/>
      <c r="L69" s="267"/>
      <c r="M69" s="105"/>
      <c r="N69" s="105"/>
      <c r="O69" s="105"/>
      <c r="P69" s="105"/>
      <c r="Q69" s="105"/>
      <c r="R69" s="105"/>
      <c r="S69" s="105"/>
      <c r="T69" s="105"/>
      <c r="U69" s="105"/>
      <c r="V69" s="105"/>
      <c r="W69" s="105"/>
      <c r="X69" s="105"/>
      <c r="Y69" s="105"/>
      <c r="Z69" s="105"/>
      <c r="AA69" s="365"/>
      <c r="AB69" s="434"/>
      <c r="AC69" s="401"/>
      <c r="AD69" s="401"/>
      <c r="AE69" s="401"/>
      <c r="AF69" s="401"/>
      <c r="AG69" s="357"/>
      <c r="AH69" s="461">
        <f t="shared" si="12"/>
        <v>0</v>
      </c>
      <c r="AI69" s="32"/>
      <c r="AJ69" s="683"/>
      <c r="AK69" s="33"/>
      <c r="AL69" s="414"/>
      <c r="AM69" s="14">
        <v>32</v>
      </c>
      <c r="AN69" s="90"/>
      <c r="AO69" s="91"/>
    </row>
    <row r="70" spans="1:41" s="92" customFormat="1" ht="25.9" thickBot="1" x14ac:dyDescent="0.8">
      <c r="A70" s="637"/>
      <c r="B70" s="415" t="s">
        <v>1040</v>
      </c>
      <c r="C70" s="460" t="s">
        <v>1066</v>
      </c>
      <c r="D70" s="155"/>
      <c r="E70" s="87"/>
      <c r="F70" s="87"/>
      <c r="G70" s="87"/>
      <c r="H70" s="87"/>
      <c r="I70" s="87"/>
      <c r="J70" s="87"/>
      <c r="K70" s="429"/>
      <c r="L70" s="453"/>
      <c r="M70" s="108"/>
      <c r="N70" s="108"/>
      <c r="O70" s="108"/>
      <c r="P70" s="108"/>
      <c r="Q70" s="108"/>
      <c r="R70" s="108"/>
      <c r="S70" s="108"/>
      <c r="T70" s="108"/>
      <c r="U70" s="108"/>
      <c r="V70" s="108"/>
      <c r="W70" s="108"/>
      <c r="X70" s="108"/>
      <c r="Y70" s="108"/>
      <c r="Z70" s="108"/>
      <c r="AA70" s="366"/>
      <c r="AB70" s="434"/>
      <c r="AC70" s="401"/>
      <c r="AD70" s="401"/>
      <c r="AE70" s="401"/>
      <c r="AF70" s="401"/>
      <c r="AG70" s="357"/>
      <c r="AH70" s="462">
        <f t="shared" si="12"/>
        <v>0</v>
      </c>
      <c r="AI70" s="32"/>
      <c r="AJ70" s="683"/>
      <c r="AK70" s="33"/>
      <c r="AL70" s="414"/>
      <c r="AM70" s="14">
        <v>33</v>
      </c>
      <c r="AN70" s="90"/>
      <c r="AO70" s="91"/>
    </row>
    <row r="71" spans="1:41" s="92" customFormat="1" ht="25.5" x14ac:dyDescent="0.75">
      <c r="A71" s="636" t="s">
        <v>1059</v>
      </c>
      <c r="B71" s="1" t="s">
        <v>1039</v>
      </c>
      <c r="C71" s="459" t="s">
        <v>1067</v>
      </c>
      <c r="D71" s="155"/>
      <c r="E71" s="87"/>
      <c r="F71" s="87"/>
      <c r="G71" s="87"/>
      <c r="H71" s="87"/>
      <c r="I71" s="87"/>
      <c r="J71" s="87"/>
      <c r="K71" s="429"/>
      <c r="L71" s="267"/>
      <c r="M71" s="105"/>
      <c r="N71" s="105"/>
      <c r="O71" s="105"/>
      <c r="P71" s="105"/>
      <c r="Q71" s="105"/>
      <c r="R71" s="105"/>
      <c r="S71" s="105"/>
      <c r="T71" s="105"/>
      <c r="U71" s="105"/>
      <c r="V71" s="105"/>
      <c r="W71" s="105"/>
      <c r="X71" s="105"/>
      <c r="Y71" s="105"/>
      <c r="Z71" s="105"/>
      <c r="AA71" s="365"/>
      <c r="AB71" s="434"/>
      <c r="AC71" s="401"/>
      <c r="AD71" s="401"/>
      <c r="AE71" s="401"/>
      <c r="AF71" s="401"/>
      <c r="AG71" s="357"/>
      <c r="AH71" s="461">
        <f t="shared" si="12"/>
        <v>0</v>
      </c>
      <c r="AI71" s="32"/>
      <c r="AJ71" s="683"/>
      <c r="AK71" s="33"/>
      <c r="AL71" s="414"/>
      <c r="AM71" s="14">
        <v>32</v>
      </c>
      <c r="AN71" s="90"/>
      <c r="AO71" s="91"/>
    </row>
    <row r="72" spans="1:41" s="92" customFormat="1" ht="25.9" thickBot="1" x14ac:dyDescent="0.8">
      <c r="A72" s="637"/>
      <c r="B72" s="415" t="s">
        <v>1040</v>
      </c>
      <c r="C72" s="460" t="s">
        <v>1068</v>
      </c>
      <c r="D72" s="155"/>
      <c r="E72" s="87"/>
      <c r="F72" s="87"/>
      <c r="G72" s="87"/>
      <c r="H72" s="87"/>
      <c r="I72" s="87"/>
      <c r="J72" s="87"/>
      <c r="K72" s="429"/>
      <c r="L72" s="453"/>
      <c r="M72" s="108"/>
      <c r="N72" s="108"/>
      <c r="O72" s="108"/>
      <c r="P72" s="108"/>
      <c r="Q72" s="108"/>
      <c r="R72" s="108"/>
      <c r="S72" s="108"/>
      <c r="T72" s="108"/>
      <c r="U72" s="108"/>
      <c r="V72" s="108"/>
      <c r="W72" s="108"/>
      <c r="X72" s="108"/>
      <c r="Y72" s="108"/>
      <c r="Z72" s="108"/>
      <c r="AA72" s="366"/>
      <c r="AB72" s="434"/>
      <c r="AC72" s="401"/>
      <c r="AD72" s="401"/>
      <c r="AE72" s="401"/>
      <c r="AF72" s="401"/>
      <c r="AG72" s="357"/>
      <c r="AH72" s="462">
        <f t="shared" si="12"/>
        <v>0</v>
      </c>
      <c r="AI72" s="32"/>
      <c r="AJ72" s="683"/>
      <c r="AK72" s="33"/>
      <c r="AL72" s="414"/>
      <c r="AM72" s="14">
        <v>33</v>
      </c>
      <c r="AN72" s="90"/>
      <c r="AO72" s="91"/>
    </row>
    <row r="73" spans="1:41" s="92" customFormat="1" ht="25.5" x14ac:dyDescent="0.75">
      <c r="A73" s="636" t="s">
        <v>1060</v>
      </c>
      <c r="B73" s="1" t="s">
        <v>1039</v>
      </c>
      <c r="C73" s="459" t="s">
        <v>1069</v>
      </c>
      <c r="D73" s="155"/>
      <c r="E73" s="87"/>
      <c r="F73" s="87"/>
      <c r="G73" s="87"/>
      <c r="H73" s="87"/>
      <c r="I73" s="87"/>
      <c r="J73" s="87"/>
      <c r="K73" s="429"/>
      <c r="L73" s="267"/>
      <c r="M73" s="105"/>
      <c r="N73" s="105"/>
      <c r="O73" s="105"/>
      <c r="P73" s="105"/>
      <c r="Q73" s="105"/>
      <c r="R73" s="105"/>
      <c r="S73" s="105"/>
      <c r="T73" s="105"/>
      <c r="U73" s="105"/>
      <c r="V73" s="105"/>
      <c r="W73" s="105"/>
      <c r="X73" s="105"/>
      <c r="Y73" s="105"/>
      <c r="Z73" s="105"/>
      <c r="AA73" s="365"/>
      <c r="AB73" s="434"/>
      <c r="AC73" s="401"/>
      <c r="AD73" s="401"/>
      <c r="AE73" s="401"/>
      <c r="AF73" s="401"/>
      <c r="AG73" s="357"/>
      <c r="AH73" s="461">
        <f t="shared" si="12"/>
        <v>0</v>
      </c>
      <c r="AI73" s="32"/>
      <c r="AJ73" s="683"/>
      <c r="AK73" s="33"/>
      <c r="AL73" s="414"/>
      <c r="AM73" s="14">
        <v>32</v>
      </c>
      <c r="AN73" s="90"/>
      <c r="AO73" s="91"/>
    </row>
    <row r="74" spans="1:41" s="92" customFormat="1" ht="25.9" thickBot="1" x14ac:dyDescent="0.8">
      <c r="A74" s="637"/>
      <c r="B74" s="415" t="s">
        <v>1040</v>
      </c>
      <c r="C74" s="460" t="s">
        <v>1070</v>
      </c>
      <c r="D74" s="155"/>
      <c r="E74" s="87"/>
      <c r="F74" s="87"/>
      <c r="G74" s="87"/>
      <c r="H74" s="87"/>
      <c r="I74" s="87"/>
      <c r="J74" s="87"/>
      <c r="K74" s="429"/>
      <c r="L74" s="453"/>
      <c r="M74" s="108"/>
      <c r="N74" s="108"/>
      <c r="O74" s="108"/>
      <c r="P74" s="108"/>
      <c r="Q74" s="108"/>
      <c r="R74" s="108"/>
      <c r="S74" s="108"/>
      <c r="T74" s="108"/>
      <c r="U74" s="108"/>
      <c r="V74" s="108"/>
      <c r="W74" s="108"/>
      <c r="X74" s="108"/>
      <c r="Y74" s="108"/>
      <c r="Z74" s="108"/>
      <c r="AA74" s="366"/>
      <c r="AB74" s="434"/>
      <c r="AC74" s="401"/>
      <c r="AD74" s="401"/>
      <c r="AE74" s="401"/>
      <c r="AF74" s="401"/>
      <c r="AG74" s="357"/>
      <c r="AH74" s="462">
        <f t="shared" si="12"/>
        <v>0</v>
      </c>
      <c r="AI74" s="32"/>
      <c r="AJ74" s="683"/>
      <c r="AK74" s="33"/>
      <c r="AL74" s="414"/>
      <c r="AM74" s="14">
        <v>33</v>
      </c>
      <c r="AN74" s="90"/>
      <c r="AO74" s="91"/>
    </row>
    <row r="75" spans="1:41" s="92" customFormat="1" ht="34.5" customHeight="1" x14ac:dyDescent="0.75">
      <c r="A75" s="636" t="s">
        <v>1078</v>
      </c>
      <c r="B75" s="1" t="s">
        <v>1039</v>
      </c>
      <c r="C75" s="459" t="s">
        <v>1071</v>
      </c>
      <c r="D75" s="155"/>
      <c r="E75" s="87"/>
      <c r="F75" s="87"/>
      <c r="G75" s="87"/>
      <c r="H75" s="87"/>
      <c r="I75" s="87"/>
      <c r="J75" s="87"/>
      <c r="K75" s="429"/>
      <c r="L75" s="267"/>
      <c r="M75" s="105"/>
      <c r="N75" s="105"/>
      <c r="O75" s="105"/>
      <c r="P75" s="105"/>
      <c r="Q75" s="105"/>
      <c r="R75" s="105"/>
      <c r="S75" s="105"/>
      <c r="T75" s="105"/>
      <c r="U75" s="105"/>
      <c r="V75" s="105"/>
      <c r="W75" s="105"/>
      <c r="X75" s="105"/>
      <c r="Y75" s="105"/>
      <c r="Z75" s="105"/>
      <c r="AA75" s="365"/>
      <c r="AB75" s="434"/>
      <c r="AC75" s="401"/>
      <c r="AD75" s="401"/>
      <c r="AE75" s="401"/>
      <c r="AF75" s="401"/>
      <c r="AG75" s="357"/>
      <c r="AH75" s="461">
        <f t="shared" si="12"/>
        <v>0</v>
      </c>
      <c r="AI75" s="32"/>
      <c r="AJ75" s="683"/>
      <c r="AK75" s="33"/>
      <c r="AL75" s="414"/>
      <c r="AM75" s="14">
        <v>32</v>
      </c>
      <c r="AN75" s="90"/>
      <c r="AO75" s="91"/>
    </row>
    <row r="76" spans="1:41" s="92" customFormat="1" ht="48" customHeight="1" thickBot="1" x14ac:dyDescent="0.8">
      <c r="A76" s="637"/>
      <c r="B76" s="415" t="s">
        <v>1040</v>
      </c>
      <c r="C76" s="460" t="s">
        <v>1072</v>
      </c>
      <c r="D76" s="133"/>
      <c r="E76" s="113"/>
      <c r="F76" s="113"/>
      <c r="G76" s="113"/>
      <c r="H76" s="113"/>
      <c r="I76" s="113"/>
      <c r="J76" s="113"/>
      <c r="K76" s="423"/>
      <c r="L76" s="453"/>
      <c r="M76" s="108"/>
      <c r="N76" s="108"/>
      <c r="O76" s="108"/>
      <c r="P76" s="108"/>
      <c r="Q76" s="108"/>
      <c r="R76" s="108"/>
      <c r="S76" s="108"/>
      <c r="T76" s="108"/>
      <c r="U76" s="108"/>
      <c r="V76" s="108"/>
      <c r="W76" s="108"/>
      <c r="X76" s="108"/>
      <c r="Y76" s="108"/>
      <c r="Z76" s="108"/>
      <c r="AA76" s="366"/>
      <c r="AB76" s="435"/>
      <c r="AC76" s="436"/>
      <c r="AD76" s="436"/>
      <c r="AE76" s="436"/>
      <c r="AF76" s="436"/>
      <c r="AG76" s="358"/>
      <c r="AH76" s="462">
        <f t="shared" si="12"/>
        <v>0</v>
      </c>
      <c r="AI76" s="32"/>
      <c r="AJ76" s="683"/>
      <c r="AK76" s="33"/>
      <c r="AL76" s="414"/>
      <c r="AM76" s="14">
        <v>33</v>
      </c>
      <c r="AN76" s="90"/>
      <c r="AO76" s="91"/>
    </row>
    <row r="77" spans="1:41" s="92" customFormat="1" ht="25.5" x14ac:dyDescent="0.75">
      <c r="A77" s="636" t="s">
        <v>1061</v>
      </c>
      <c r="B77" s="1" t="s">
        <v>1062</v>
      </c>
      <c r="C77" s="459" t="s">
        <v>1079</v>
      </c>
      <c r="D77" s="155"/>
      <c r="E77" s="87"/>
      <c r="F77" s="87"/>
      <c r="G77" s="87"/>
      <c r="H77" s="87"/>
      <c r="I77" s="87"/>
      <c r="J77" s="87"/>
      <c r="K77" s="429"/>
      <c r="L77" s="267"/>
      <c r="M77" s="105"/>
      <c r="N77" s="105"/>
      <c r="O77" s="105"/>
      <c r="P77" s="105"/>
      <c r="Q77" s="105"/>
      <c r="R77" s="105"/>
      <c r="S77" s="105"/>
      <c r="T77" s="105"/>
      <c r="U77" s="105"/>
      <c r="V77" s="105"/>
      <c r="W77" s="105"/>
      <c r="X77" s="105"/>
      <c r="Y77" s="105"/>
      <c r="Z77" s="105"/>
      <c r="AA77" s="365"/>
      <c r="AB77" s="434"/>
      <c r="AC77" s="401"/>
      <c r="AD77" s="401"/>
      <c r="AE77" s="401"/>
      <c r="AF77" s="401"/>
      <c r="AG77" s="357"/>
      <c r="AH77" s="461">
        <f t="shared" si="12"/>
        <v>0</v>
      </c>
      <c r="AI77" s="32"/>
      <c r="AJ77" s="683"/>
      <c r="AK77" s="33"/>
      <c r="AL77" s="414"/>
      <c r="AM77" s="14">
        <v>32</v>
      </c>
      <c r="AN77" s="90"/>
      <c r="AO77" s="91"/>
    </row>
    <row r="78" spans="1:41" s="92" customFormat="1" ht="25.9" thickBot="1" x14ac:dyDescent="0.8">
      <c r="A78" s="637"/>
      <c r="B78" s="415" t="s">
        <v>1063</v>
      </c>
      <c r="C78" s="460" t="s">
        <v>1080</v>
      </c>
      <c r="D78" s="133"/>
      <c r="E78" s="113"/>
      <c r="F78" s="113"/>
      <c r="G78" s="113"/>
      <c r="H78" s="113"/>
      <c r="I78" s="113"/>
      <c r="J78" s="113"/>
      <c r="K78" s="423"/>
      <c r="L78" s="453"/>
      <c r="M78" s="108"/>
      <c r="N78" s="108"/>
      <c r="O78" s="108"/>
      <c r="P78" s="108"/>
      <c r="Q78" s="108"/>
      <c r="R78" s="108"/>
      <c r="S78" s="108"/>
      <c r="T78" s="108"/>
      <c r="U78" s="108"/>
      <c r="V78" s="108"/>
      <c r="W78" s="108"/>
      <c r="X78" s="108"/>
      <c r="Y78" s="108"/>
      <c r="Z78" s="108"/>
      <c r="AA78" s="366"/>
      <c r="AB78" s="435"/>
      <c r="AC78" s="436"/>
      <c r="AD78" s="436"/>
      <c r="AE78" s="436"/>
      <c r="AF78" s="436"/>
      <c r="AG78" s="358"/>
      <c r="AH78" s="462">
        <f t="shared" si="12"/>
        <v>0</v>
      </c>
      <c r="AI78" s="32"/>
      <c r="AJ78" s="684"/>
      <c r="AK78" s="33"/>
      <c r="AL78" s="414"/>
      <c r="AM78" s="14">
        <v>33</v>
      </c>
      <c r="AN78" s="90"/>
      <c r="AO78" s="91"/>
    </row>
    <row r="79" spans="1:41" ht="25.9" thickBot="1" x14ac:dyDescent="0.8">
      <c r="A79" s="691" t="s">
        <v>112</v>
      </c>
      <c r="B79" s="692"/>
      <c r="C79" s="693"/>
      <c r="D79" s="692"/>
      <c r="E79" s="692"/>
      <c r="F79" s="692"/>
      <c r="G79" s="692"/>
      <c r="H79" s="692"/>
      <c r="I79" s="692"/>
      <c r="J79" s="692"/>
      <c r="K79" s="692"/>
      <c r="L79" s="692"/>
      <c r="M79" s="692"/>
      <c r="N79" s="692"/>
      <c r="O79" s="692"/>
      <c r="P79" s="692"/>
      <c r="Q79" s="692"/>
      <c r="R79" s="692"/>
      <c r="S79" s="692"/>
      <c r="T79" s="692"/>
      <c r="U79" s="692"/>
      <c r="V79" s="692"/>
      <c r="W79" s="692"/>
      <c r="X79" s="692"/>
      <c r="Y79" s="692"/>
      <c r="Z79" s="692"/>
      <c r="AA79" s="692"/>
      <c r="AB79" s="693"/>
      <c r="AC79" s="693"/>
      <c r="AD79" s="693"/>
      <c r="AE79" s="693"/>
      <c r="AF79" s="693"/>
      <c r="AG79" s="693"/>
      <c r="AH79" s="692"/>
      <c r="AI79" s="692"/>
      <c r="AJ79" s="693"/>
      <c r="AK79" s="692"/>
      <c r="AL79" s="694"/>
      <c r="AM79" s="14">
        <v>50</v>
      </c>
      <c r="AN79" s="82"/>
      <c r="AO79" s="83"/>
    </row>
    <row r="80" spans="1:41" ht="26.25" customHeight="1" x14ac:dyDescent="0.75">
      <c r="A80" s="749" t="s">
        <v>37</v>
      </c>
      <c r="B80" s="768" t="s">
        <v>346</v>
      </c>
      <c r="C80" s="754" t="s">
        <v>327</v>
      </c>
      <c r="D80" s="905"/>
      <c r="E80" s="905"/>
      <c r="F80" s="905"/>
      <c r="G80" s="905"/>
      <c r="H80" s="905"/>
      <c r="I80" s="905"/>
      <c r="J80" s="785" t="s">
        <v>3</v>
      </c>
      <c r="K80" s="785"/>
      <c r="L80" s="785" t="s">
        <v>4</v>
      </c>
      <c r="M80" s="785"/>
      <c r="N80" s="785" t="s">
        <v>5</v>
      </c>
      <c r="O80" s="785"/>
      <c r="P80" s="785" t="s">
        <v>6</v>
      </c>
      <c r="Q80" s="785"/>
      <c r="R80" s="785" t="s">
        <v>7</v>
      </c>
      <c r="S80" s="785"/>
      <c r="T80" s="785" t="s">
        <v>8</v>
      </c>
      <c r="U80" s="785"/>
      <c r="V80" s="785" t="s">
        <v>23</v>
      </c>
      <c r="W80" s="785"/>
      <c r="X80" s="785" t="s">
        <v>24</v>
      </c>
      <c r="Y80" s="785"/>
      <c r="Z80" s="785" t="s">
        <v>9</v>
      </c>
      <c r="AA80" s="785"/>
      <c r="AB80" s="858"/>
      <c r="AC80" s="859"/>
      <c r="AD80" s="859"/>
      <c r="AE80" s="859"/>
      <c r="AF80" s="859"/>
      <c r="AG80" s="860"/>
      <c r="AH80" s="877" t="s">
        <v>19</v>
      </c>
      <c r="AI80" s="689" t="s">
        <v>380</v>
      </c>
      <c r="AJ80" s="772" t="s">
        <v>386</v>
      </c>
      <c r="AK80" s="783" t="s">
        <v>387</v>
      </c>
      <c r="AL80" s="888" t="s">
        <v>387</v>
      </c>
      <c r="AM80" s="14">
        <v>51</v>
      </c>
      <c r="AN80" s="82"/>
      <c r="AO80" s="83"/>
    </row>
    <row r="81" spans="1:41" ht="27" customHeight="1" thickBot="1" x14ac:dyDescent="0.8">
      <c r="A81" s="750"/>
      <c r="B81" s="796"/>
      <c r="C81" s="755"/>
      <c r="D81" s="906"/>
      <c r="E81" s="906"/>
      <c r="F81" s="906"/>
      <c r="G81" s="906"/>
      <c r="H81" s="906"/>
      <c r="I81" s="906"/>
      <c r="J81" s="336" t="s">
        <v>10</v>
      </c>
      <c r="K81" s="336" t="s">
        <v>11</v>
      </c>
      <c r="L81" s="336" t="s">
        <v>10</v>
      </c>
      <c r="M81" s="336" t="s">
        <v>11</v>
      </c>
      <c r="N81" s="336" t="s">
        <v>10</v>
      </c>
      <c r="O81" s="336" t="s">
        <v>11</v>
      </c>
      <c r="P81" s="336" t="s">
        <v>10</v>
      </c>
      <c r="Q81" s="336" t="s">
        <v>11</v>
      </c>
      <c r="R81" s="336" t="s">
        <v>10</v>
      </c>
      <c r="S81" s="336" t="s">
        <v>11</v>
      </c>
      <c r="T81" s="336" t="s">
        <v>10</v>
      </c>
      <c r="U81" s="336" t="s">
        <v>11</v>
      </c>
      <c r="V81" s="336" t="s">
        <v>10</v>
      </c>
      <c r="W81" s="336" t="s">
        <v>11</v>
      </c>
      <c r="X81" s="336" t="s">
        <v>10</v>
      </c>
      <c r="Y81" s="336" t="s">
        <v>11</v>
      </c>
      <c r="Z81" s="336" t="s">
        <v>10</v>
      </c>
      <c r="AA81" s="336" t="s">
        <v>11</v>
      </c>
      <c r="AB81" s="430"/>
      <c r="AC81" s="417"/>
      <c r="AD81" s="417"/>
      <c r="AE81" s="417"/>
      <c r="AF81" s="417"/>
      <c r="AG81" s="431"/>
      <c r="AH81" s="813"/>
      <c r="AI81" s="878"/>
      <c r="AJ81" s="773"/>
      <c r="AK81" s="784"/>
      <c r="AL81" s="815"/>
      <c r="AM81" s="14">
        <v>52</v>
      </c>
      <c r="AN81" s="82"/>
      <c r="AO81" s="83"/>
    </row>
    <row r="82" spans="1:41" ht="25.5" x14ac:dyDescent="0.75">
      <c r="A82" s="636" t="s">
        <v>20</v>
      </c>
      <c r="B82" s="102" t="s">
        <v>1015</v>
      </c>
      <c r="C82" s="77" t="s">
        <v>176</v>
      </c>
      <c r="D82" s="154"/>
      <c r="E82" s="110"/>
      <c r="F82" s="110"/>
      <c r="G82" s="110"/>
      <c r="H82" s="110"/>
      <c r="I82" s="422"/>
      <c r="J82" s="267"/>
      <c r="K82" s="105"/>
      <c r="L82" s="105"/>
      <c r="M82" s="105"/>
      <c r="N82" s="105"/>
      <c r="O82" s="105"/>
      <c r="P82" s="105"/>
      <c r="Q82" s="105"/>
      <c r="R82" s="105"/>
      <c r="S82" s="105"/>
      <c r="T82" s="105"/>
      <c r="U82" s="105"/>
      <c r="V82" s="105"/>
      <c r="W82" s="105"/>
      <c r="X82" s="105"/>
      <c r="Y82" s="105"/>
      <c r="Z82" s="105"/>
      <c r="AA82" s="365"/>
      <c r="AB82" s="432"/>
      <c r="AC82" s="433"/>
      <c r="AD82" s="433"/>
      <c r="AE82" s="433"/>
      <c r="AF82" s="433"/>
      <c r="AG82" s="360"/>
      <c r="AH82" s="214">
        <f>SUM(D82:AA82)</f>
        <v>0</v>
      </c>
      <c r="AI82" s="130"/>
      <c r="AJ82" s="900" t="str">
        <f>CONCATENATE(AI82,AI83,AI84,AI85,AI86)</f>
        <v/>
      </c>
      <c r="AK82" s="33"/>
      <c r="AL82" s="842" t="str">
        <f>CONCATENATE(AK82,AK83,AK84,AK85,AK86)</f>
        <v/>
      </c>
      <c r="AM82" s="14">
        <v>53</v>
      </c>
      <c r="AN82" s="82"/>
      <c r="AO82" s="83"/>
    </row>
    <row r="83" spans="1:41" ht="25.5" x14ac:dyDescent="0.75">
      <c r="A83" s="670"/>
      <c r="B83" s="84" t="s">
        <v>977</v>
      </c>
      <c r="C83" s="85" t="s">
        <v>178</v>
      </c>
      <c r="D83" s="155"/>
      <c r="E83" s="87"/>
      <c r="F83" s="87"/>
      <c r="G83" s="87"/>
      <c r="H83" s="87"/>
      <c r="I83" s="429"/>
      <c r="J83" s="454">
        <f>SUM(J84:J86)</f>
        <v>0</v>
      </c>
      <c r="K83" s="131">
        <f t="shared" ref="K83:AA83" si="13">SUM(K84:K86)</f>
        <v>0</v>
      </c>
      <c r="L83" s="131">
        <f t="shared" si="13"/>
        <v>0</v>
      </c>
      <c r="M83" s="131">
        <f t="shared" si="13"/>
        <v>0</v>
      </c>
      <c r="N83" s="131">
        <f t="shared" si="13"/>
        <v>0</v>
      </c>
      <c r="O83" s="131">
        <f t="shared" si="13"/>
        <v>0</v>
      </c>
      <c r="P83" s="131">
        <f t="shared" si="13"/>
        <v>0</v>
      </c>
      <c r="Q83" s="131">
        <f t="shared" si="13"/>
        <v>0</v>
      </c>
      <c r="R83" s="131">
        <f t="shared" si="13"/>
        <v>0</v>
      </c>
      <c r="S83" s="131">
        <f t="shared" si="13"/>
        <v>0</v>
      </c>
      <c r="T83" s="131">
        <f t="shared" si="13"/>
        <v>0</v>
      </c>
      <c r="U83" s="131">
        <f t="shared" si="13"/>
        <v>0</v>
      </c>
      <c r="V83" s="131">
        <f t="shared" si="13"/>
        <v>0</v>
      </c>
      <c r="W83" s="131">
        <f t="shared" si="13"/>
        <v>0</v>
      </c>
      <c r="X83" s="131">
        <f t="shared" si="13"/>
        <v>0</v>
      </c>
      <c r="Y83" s="131">
        <f t="shared" si="13"/>
        <v>0</v>
      </c>
      <c r="Z83" s="131">
        <f t="shared" si="13"/>
        <v>0</v>
      </c>
      <c r="AA83" s="372">
        <f t="shared" si="13"/>
        <v>0</v>
      </c>
      <c r="AB83" s="434"/>
      <c r="AC83" s="401"/>
      <c r="AD83" s="401"/>
      <c r="AE83" s="401"/>
      <c r="AF83" s="401"/>
      <c r="AG83" s="357"/>
      <c r="AH83" s="199">
        <f t="shared" ref="AH83:AH85" si="14">SUM(D83:AA83)</f>
        <v>0</v>
      </c>
      <c r="AI83" s="130"/>
      <c r="AJ83" s="763"/>
      <c r="AK83" s="33"/>
      <c r="AL83" s="843"/>
      <c r="AM83" s="14">
        <v>54</v>
      </c>
      <c r="AN83" s="82"/>
      <c r="AO83" s="83"/>
    </row>
    <row r="84" spans="1:41" ht="25.5" x14ac:dyDescent="0.75">
      <c r="A84" s="670"/>
      <c r="B84" s="84" t="s">
        <v>652</v>
      </c>
      <c r="C84" s="85" t="s">
        <v>179</v>
      </c>
      <c r="D84" s="155"/>
      <c r="E84" s="87"/>
      <c r="F84" s="87"/>
      <c r="G84" s="87"/>
      <c r="H84" s="87"/>
      <c r="I84" s="429"/>
      <c r="J84" s="268"/>
      <c r="K84" s="88"/>
      <c r="L84" s="88"/>
      <c r="M84" s="88"/>
      <c r="N84" s="88"/>
      <c r="O84" s="88"/>
      <c r="P84" s="88"/>
      <c r="Q84" s="88"/>
      <c r="R84" s="88"/>
      <c r="S84" s="88"/>
      <c r="T84" s="88"/>
      <c r="U84" s="88"/>
      <c r="V84" s="88"/>
      <c r="W84" s="88"/>
      <c r="X84" s="88"/>
      <c r="Y84" s="88"/>
      <c r="Z84" s="88"/>
      <c r="AA84" s="362"/>
      <c r="AB84" s="434"/>
      <c r="AC84" s="401"/>
      <c r="AD84" s="401"/>
      <c r="AE84" s="401"/>
      <c r="AF84" s="401"/>
      <c r="AG84" s="357"/>
      <c r="AH84" s="199">
        <f t="shared" si="14"/>
        <v>0</v>
      </c>
      <c r="AI84" s="130"/>
      <c r="AJ84" s="763"/>
      <c r="AK84" s="33"/>
      <c r="AL84" s="843"/>
      <c r="AM84" s="14">
        <v>55</v>
      </c>
      <c r="AN84" s="82"/>
      <c r="AO84" s="83"/>
    </row>
    <row r="85" spans="1:41" ht="25.5" x14ac:dyDescent="0.75">
      <c r="A85" s="670"/>
      <c r="B85" s="84" t="s">
        <v>653</v>
      </c>
      <c r="C85" s="85" t="s">
        <v>180</v>
      </c>
      <c r="D85" s="155"/>
      <c r="E85" s="87"/>
      <c r="F85" s="87"/>
      <c r="G85" s="87"/>
      <c r="H85" s="87"/>
      <c r="I85" s="429"/>
      <c r="J85" s="268"/>
      <c r="K85" s="88"/>
      <c r="L85" s="88"/>
      <c r="M85" s="88"/>
      <c r="N85" s="88"/>
      <c r="O85" s="88"/>
      <c r="P85" s="88"/>
      <c r="Q85" s="88"/>
      <c r="R85" s="88"/>
      <c r="S85" s="88"/>
      <c r="T85" s="88"/>
      <c r="U85" s="88"/>
      <c r="V85" s="88"/>
      <c r="W85" s="88"/>
      <c r="X85" s="88"/>
      <c r="Y85" s="88"/>
      <c r="Z85" s="88"/>
      <c r="AA85" s="362"/>
      <c r="AB85" s="434"/>
      <c r="AC85" s="401"/>
      <c r="AD85" s="401"/>
      <c r="AE85" s="401"/>
      <c r="AF85" s="401"/>
      <c r="AG85" s="357"/>
      <c r="AH85" s="199">
        <f t="shared" si="14"/>
        <v>0</v>
      </c>
      <c r="AI85" s="130"/>
      <c r="AJ85" s="763"/>
      <c r="AK85" s="33"/>
      <c r="AL85" s="843"/>
      <c r="AM85" s="14">
        <v>56</v>
      </c>
      <c r="AN85" s="82"/>
      <c r="AO85" s="83"/>
    </row>
    <row r="86" spans="1:41" ht="25.9" thickBot="1" x14ac:dyDescent="0.8">
      <c r="A86" s="637"/>
      <c r="B86" s="132" t="s">
        <v>654</v>
      </c>
      <c r="C86" s="97" t="s">
        <v>181</v>
      </c>
      <c r="D86" s="133"/>
      <c r="E86" s="113"/>
      <c r="F86" s="113"/>
      <c r="G86" s="134"/>
      <c r="H86" s="134"/>
      <c r="I86" s="456"/>
      <c r="J86" s="284"/>
      <c r="K86" s="135"/>
      <c r="L86" s="135"/>
      <c r="M86" s="135"/>
      <c r="N86" s="135"/>
      <c r="O86" s="135"/>
      <c r="P86" s="135"/>
      <c r="Q86" s="135"/>
      <c r="R86" s="135"/>
      <c r="S86" s="135"/>
      <c r="T86" s="135"/>
      <c r="U86" s="135"/>
      <c r="V86" s="135"/>
      <c r="W86" s="135"/>
      <c r="X86" s="135"/>
      <c r="Y86" s="135"/>
      <c r="Z86" s="135"/>
      <c r="AA86" s="373"/>
      <c r="AB86" s="434"/>
      <c r="AC86" s="401"/>
      <c r="AD86" s="401"/>
      <c r="AE86" s="401"/>
      <c r="AF86" s="401"/>
      <c r="AG86" s="357"/>
      <c r="AH86" s="218">
        <f>SUM(D86:AA86)</f>
        <v>0</v>
      </c>
      <c r="AI86" s="136"/>
      <c r="AJ86" s="764"/>
      <c r="AK86" s="137"/>
      <c r="AL86" s="844"/>
      <c r="AM86" s="14">
        <v>57</v>
      </c>
      <c r="AN86" s="82"/>
      <c r="AO86" s="83"/>
    </row>
    <row r="87" spans="1:41" ht="25.5" x14ac:dyDescent="0.75">
      <c r="A87" s="138" t="s">
        <v>986</v>
      </c>
      <c r="B87" s="102" t="s">
        <v>160</v>
      </c>
      <c r="C87" s="85" t="s">
        <v>989</v>
      </c>
      <c r="D87" s="154"/>
      <c r="E87" s="110"/>
      <c r="F87" s="110"/>
      <c r="G87" s="110"/>
      <c r="H87" s="110"/>
      <c r="I87" s="422"/>
      <c r="J87" s="267"/>
      <c r="K87" s="105"/>
      <c r="L87" s="105"/>
      <c r="M87" s="105"/>
      <c r="N87" s="105"/>
      <c r="O87" s="105"/>
      <c r="P87" s="105"/>
      <c r="Q87" s="105"/>
      <c r="R87" s="105"/>
      <c r="S87" s="105"/>
      <c r="T87" s="105"/>
      <c r="U87" s="105"/>
      <c r="V87" s="105"/>
      <c r="W87" s="105"/>
      <c r="X87" s="105"/>
      <c r="Y87" s="105"/>
      <c r="Z87" s="105"/>
      <c r="AA87" s="365"/>
      <c r="AB87" s="434"/>
      <c r="AC87" s="401"/>
      <c r="AD87" s="401"/>
      <c r="AE87" s="401"/>
      <c r="AF87" s="401"/>
      <c r="AG87" s="357"/>
      <c r="AH87" s="437"/>
      <c r="AI87" s="139"/>
      <c r="AJ87" s="140"/>
      <c r="AK87" s="141"/>
      <c r="AL87" s="142"/>
      <c r="AM87" s="14">
        <v>58</v>
      </c>
      <c r="AN87" s="82"/>
      <c r="AO87" s="83"/>
    </row>
    <row r="88" spans="1:41" ht="25.9" thickBot="1" x14ac:dyDescent="0.8">
      <c r="A88" s="143"/>
      <c r="B88" s="106" t="s">
        <v>152</v>
      </c>
      <c r="C88" s="97" t="s">
        <v>990</v>
      </c>
      <c r="D88" s="133"/>
      <c r="E88" s="113"/>
      <c r="F88" s="113"/>
      <c r="G88" s="113"/>
      <c r="H88" s="113"/>
      <c r="I88" s="423"/>
      <c r="J88" s="455"/>
      <c r="K88" s="117"/>
      <c r="L88" s="117"/>
      <c r="M88" s="117"/>
      <c r="N88" s="117"/>
      <c r="O88" s="117"/>
      <c r="P88" s="117"/>
      <c r="Q88" s="117"/>
      <c r="R88" s="117"/>
      <c r="S88" s="117"/>
      <c r="T88" s="117"/>
      <c r="U88" s="117"/>
      <c r="V88" s="117"/>
      <c r="W88" s="117"/>
      <c r="X88" s="117"/>
      <c r="Y88" s="117"/>
      <c r="Z88" s="117"/>
      <c r="AA88" s="371"/>
      <c r="AB88" s="435"/>
      <c r="AC88" s="436"/>
      <c r="AD88" s="436"/>
      <c r="AE88" s="436"/>
      <c r="AF88" s="436"/>
      <c r="AG88" s="358"/>
      <c r="AH88" s="60"/>
      <c r="AI88" s="139"/>
      <c r="AJ88" s="144"/>
      <c r="AK88" s="141"/>
      <c r="AL88" s="142"/>
      <c r="AM88" s="14">
        <v>59</v>
      </c>
      <c r="AN88" s="82"/>
      <c r="AO88" s="83"/>
    </row>
    <row r="89" spans="1:41" ht="25.9" thickBot="1" x14ac:dyDescent="0.8">
      <c r="A89" s="691" t="s">
        <v>1133</v>
      </c>
      <c r="B89" s="692"/>
      <c r="C89" s="692"/>
      <c r="D89" s="692"/>
      <c r="E89" s="692"/>
      <c r="F89" s="692"/>
      <c r="G89" s="692"/>
      <c r="H89" s="692"/>
      <c r="I89" s="692"/>
      <c r="J89" s="692"/>
      <c r="K89" s="692"/>
      <c r="L89" s="692"/>
      <c r="M89" s="692"/>
      <c r="N89" s="692"/>
      <c r="O89" s="692"/>
      <c r="P89" s="692"/>
      <c r="Q89" s="692"/>
      <c r="R89" s="692"/>
      <c r="S89" s="692"/>
      <c r="T89" s="692"/>
      <c r="U89" s="692"/>
      <c r="V89" s="692"/>
      <c r="W89" s="692"/>
      <c r="X89" s="692"/>
      <c r="Y89" s="692"/>
      <c r="Z89" s="692"/>
      <c r="AA89" s="692"/>
      <c r="AB89" s="693"/>
      <c r="AC89" s="693"/>
      <c r="AD89" s="693"/>
      <c r="AE89" s="693"/>
      <c r="AF89" s="693"/>
      <c r="AG89" s="693"/>
      <c r="AH89" s="692"/>
      <c r="AI89" s="692"/>
      <c r="AJ89" s="692"/>
      <c r="AK89" s="692"/>
      <c r="AL89" s="694"/>
      <c r="AM89" s="14">
        <v>60</v>
      </c>
      <c r="AN89" s="82"/>
      <c r="AO89" s="83"/>
    </row>
    <row r="90" spans="1:41" ht="26.25" customHeight="1" x14ac:dyDescent="0.75">
      <c r="A90" s="749" t="s">
        <v>37</v>
      </c>
      <c r="B90" s="768" t="s">
        <v>346</v>
      </c>
      <c r="C90" s="754" t="s">
        <v>327</v>
      </c>
      <c r="D90" s="836"/>
      <c r="E90" s="837"/>
      <c r="F90" s="837"/>
      <c r="G90" s="837"/>
      <c r="H90" s="837"/>
      <c r="I90" s="838"/>
      <c r="J90" s="824" t="s">
        <v>3</v>
      </c>
      <c r="K90" s="669"/>
      <c r="L90" s="669" t="s">
        <v>4</v>
      </c>
      <c r="M90" s="669"/>
      <c r="N90" s="669" t="s">
        <v>5</v>
      </c>
      <c r="O90" s="669"/>
      <c r="P90" s="669" t="s">
        <v>6</v>
      </c>
      <c r="Q90" s="669"/>
      <c r="R90" s="669" t="s">
        <v>7</v>
      </c>
      <c r="S90" s="669"/>
      <c r="T90" s="669" t="s">
        <v>8</v>
      </c>
      <c r="U90" s="669"/>
      <c r="V90" s="669" t="s">
        <v>23</v>
      </c>
      <c r="W90" s="669"/>
      <c r="X90" s="669" t="s">
        <v>24</v>
      </c>
      <c r="Y90" s="669"/>
      <c r="Z90" s="669" t="s">
        <v>9</v>
      </c>
      <c r="AA90" s="669"/>
      <c r="AB90" s="858"/>
      <c r="AC90" s="859"/>
      <c r="AD90" s="859"/>
      <c r="AE90" s="859"/>
      <c r="AF90" s="859"/>
      <c r="AG90" s="860"/>
      <c r="AH90" s="804" t="s">
        <v>19</v>
      </c>
      <c r="AI90" s="786" t="s">
        <v>380</v>
      </c>
      <c r="AJ90" s="801" t="s">
        <v>386</v>
      </c>
      <c r="AK90" s="784" t="s">
        <v>387</v>
      </c>
      <c r="AL90" s="814" t="s">
        <v>387</v>
      </c>
      <c r="AM90" s="14">
        <v>61</v>
      </c>
      <c r="AN90" s="82"/>
      <c r="AO90" s="83"/>
    </row>
    <row r="91" spans="1:41" ht="27" customHeight="1" thickBot="1" x14ac:dyDescent="0.8">
      <c r="A91" s="750"/>
      <c r="B91" s="796"/>
      <c r="C91" s="755"/>
      <c r="D91" s="839"/>
      <c r="E91" s="840"/>
      <c r="F91" s="840"/>
      <c r="G91" s="840"/>
      <c r="H91" s="840"/>
      <c r="I91" s="841"/>
      <c r="J91" s="337" t="s">
        <v>10</v>
      </c>
      <c r="K91" s="75" t="s">
        <v>11</v>
      </c>
      <c r="L91" s="75" t="s">
        <v>10</v>
      </c>
      <c r="M91" s="75" t="s">
        <v>11</v>
      </c>
      <c r="N91" s="75" t="s">
        <v>10</v>
      </c>
      <c r="O91" s="75" t="s">
        <v>11</v>
      </c>
      <c r="P91" s="75" t="s">
        <v>10</v>
      </c>
      <c r="Q91" s="75" t="s">
        <v>11</v>
      </c>
      <c r="R91" s="75" t="s">
        <v>10</v>
      </c>
      <c r="S91" s="75" t="s">
        <v>11</v>
      </c>
      <c r="T91" s="75" t="s">
        <v>10</v>
      </c>
      <c r="U91" s="75" t="s">
        <v>11</v>
      </c>
      <c r="V91" s="75" t="s">
        <v>10</v>
      </c>
      <c r="W91" s="75" t="s">
        <v>11</v>
      </c>
      <c r="X91" s="75" t="s">
        <v>10</v>
      </c>
      <c r="Y91" s="75" t="s">
        <v>11</v>
      </c>
      <c r="Z91" s="75" t="s">
        <v>10</v>
      </c>
      <c r="AA91" s="75" t="s">
        <v>11</v>
      </c>
      <c r="AB91" s="430"/>
      <c r="AC91" s="417"/>
      <c r="AD91" s="417"/>
      <c r="AE91" s="417"/>
      <c r="AF91" s="417"/>
      <c r="AG91" s="431"/>
      <c r="AH91" s="805"/>
      <c r="AI91" s="787"/>
      <c r="AJ91" s="773"/>
      <c r="AK91" s="784"/>
      <c r="AL91" s="815"/>
      <c r="AM91" s="14">
        <v>62</v>
      </c>
      <c r="AN91" s="82"/>
      <c r="AO91" s="83"/>
    </row>
    <row r="92" spans="1:41" ht="25.5" x14ac:dyDescent="0.75">
      <c r="A92" s="908" t="s">
        <v>589</v>
      </c>
      <c r="B92" s="76" t="s">
        <v>655</v>
      </c>
      <c r="C92" s="77" t="s">
        <v>186</v>
      </c>
      <c r="D92" s="78"/>
      <c r="E92" s="79"/>
      <c r="F92" s="79"/>
      <c r="G92" s="79"/>
      <c r="H92" s="79"/>
      <c r="I92" s="79"/>
      <c r="J92" s="145"/>
      <c r="K92" s="145"/>
      <c r="L92" s="145"/>
      <c r="M92" s="145"/>
      <c r="N92" s="145"/>
      <c r="O92" s="145"/>
      <c r="P92" s="145"/>
      <c r="Q92" s="145"/>
      <c r="R92" s="145"/>
      <c r="S92" s="145"/>
      <c r="T92" s="145"/>
      <c r="U92" s="145"/>
      <c r="V92" s="145"/>
      <c r="W92" s="145"/>
      <c r="X92" s="145"/>
      <c r="Y92" s="145"/>
      <c r="Z92" s="145"/>
      <c r="AA92" s="374"/>
      <c r="AB92" s="432"/>
      <c r="AC92" s="433"/>
      <c r="AD92" s="433"/>
      <c r="AE92" s="433"/>
      <c r="AF92" s="433"/>
      <c r="AG92" s="360"/>
      <c r="AH92" s="55">
        <f>SUM(D92:AA92)</f>
        <v>0</v>
      </c>
      <c r="AI92" s="146" t="str">
        <f>CONCATENATE(IF(D95&gt;D92," * Eligible for PrEP  for Age "&amp;D20&amp;" "&amp;D21&amp;" is more than Assessed for HIV risk"&amp;CHAR(10),""),IF(E95&gt;E92," * Eligible for PrEP  for Age "&amp;D20&amp;" "&amp;E21&amp;" is more than Assessed for HIV risk"&amp;CHAR(10),""),IF(F95&gt;F92," * Eligible for PrEP  for Age "&amp;F20&amp;" "&amp;F21&amp;" is more than Assessed for HIV risk"&amp;CHAR(10),""),IF(G95&gt;G92," * Eligible for PrEP  for Age "&amp;F20&amp;" "&amp;G21&amp;" is more than Assessed for HIV risk"&amp;CHAR(10),""),IF(H95&gt;H92," * Eligible for PrEP  for Age "&amp;H20&amp;" "&amp;H21&amp;" is more than Assessed for HIV risk"&amp;CHAR(10),""),IF(I95&gt;I92," * Eligible for PrEP  for Age "&amp;H20&amp;" "&amp;I21&amp;" is more than Assessed for HIV risk"&amp;CHAR(10),""),IF(J95&gt;J92," * Eligible for PrEP  for Age "&amp;J20&amp;" "&amp;J21&amp;" is more than Assessed for HIV risk"&amp;CHAR(10),""),IF(K95&gt;K92," * Eligible for PrEP  for Age "&amp;J20&amp;" "&amp;K21&amp;" is more than Assessed for HIV risk"&amp;CHAR(10),""),IF(L95&gt;L92," * Eligible for PrEP  for Age "&amp;L20&amp;" "&amp;L21&amp;" is more than Assessed for HIV risk"&amp;CHAR(10),""),IF(M95&gt;M92," * Eligible for PrEP  for Age "&amp;L20&amp;" "&amp;M21&amp;" is more than Assessed for HIV risk"&amp;CHAR(10),""),IF(N95&gt;N92," * Eligible for PrEP  for Age "&amp;N20&amp;" "&amp;N21&amp;" is more than Assessed for HIV risk"&amp;CHAR(10),""),IF(O95&gt;O92," * Eligible for PrEP  for Age "&amp;N20&amp;" "&amp;O21&amp;" is more than Assessed for HIV risk"&amp;CHAR(10),""),IF(P95&gt;P92," * Eligible for PrEP  for Age "&amp;P20&amp;" "&amp;P21&amp;" is more than Assessed for HIV risk"&amp;CHAR(10),""),IF(Q95&gt;Q92," * Eligible for PrEP  for Age "&amp;P20&amp;" "&amp;Q21&amp;" is more than Assessed for HIV risk"&amp;CHAR(10),""),IF(R95&gt;R92," * Eligible for PrEP  for Age "&amp;R20&amp;" "&amp;R21&amp;" is more than Assessed for HIV risk"&amp;CHAR(10),""),IF(S95&gt;S92," * Eligible for PrEP  for Age "&amp;R20&amp;" "&amp;S21&amp;" is more than Assessed for HIV risk"&amp;CHAR(10),""),IF(T95&gt;T92," * Eligible for PrEP  for Age "&amp;T20&amp;" "&amp;T21&amp;" is more than Assessed for HIV risk"&amp;CHAR(10),""),IF(U95&gt;U92," * Eligible for PrEP  for Age "&amp;T20&amp;" "&amp;U21&amp;" is more than Assessed for HIV risk"&amp;CHAR(10),""),IF(V95&gt;V92," * Eligible for PrEP  for Age "&amp;V20&amp;" "&amp;V21&amp;" is more than Assessed for HIV risk"&amp;CHAR(10),""),IF(W95&gt;W92," * Eligible for PrEP  for Age "&amp;V20&amp;" "&amp;W21&amp;" is more than Assessed for HIV risk"&amp;CHAR(10),""),IF(X95&gt;X92," * Eligible for PrEP  for Age "&amp;X20&amp;" "&amp;X21&amp;" is more than Assessed for HIV risk"&amp;CHAR(10),""),IF(Y95&gt;Y92," * Eligible for PrEP  for Age "&amp;X20&amp;" "&amp;Y21&amp;" is more than Assessed for HIV risk"&amp;CHAR(10),""),IF(Z95&gt;Z92," * Eligible for PrEP  for Age "&amp;Z20&amp;" "&amp;Z21&amp;" is more than Assessed for HIV risk"&amp;CHAR(10),""),IF(AA95&gt;AA92," * Eligible for PrEP  for Age "&amp;Z20&amp;" "&amp;AA21&amp;" is more than Assessed for HIV risk"&amp;CHAR(10),""))</f>
        <v/>
      </c>
      <c r="AJ92" s="762" t="str">
        <f>CONCATENATE(AI92,AI93,AI94,AI95,AI96,AI97,AI98,AI99,AI100,AI101,AI102,AI103,AI104,AI105,AI106,AI108,AI109,AI110,AI111,AI112,AI113,AI114,AI115,AI117,AI118,AI119,AI120,AI121,AI122,AI123,AI124,AI125,AI126)</f>
        <v/>
      </c>
      <c r="AK92" s="81"/>
      <c r="AL92" s="866" t="str">
        <f>CONCATENATE(AK92,AK95,AK96,AK103,AK106,AK115,AK116,AK117,AK118,AK119,AK120,AK121,AK122,AK123,AK124,AK125,AK126)</f>
        <v/>
      </c>
      <c r="AM92" s="14">
        <v>63</v>
      </c>
      <c r="AN92" s="82"/>
      <c r="AO92" s="83"/>
    </row>
    <row r="93" spans="1:41" ht="25.5" x14ac:dyDescent="0.75">
      <c r="A93" s="664"/>
      <c r="B93" s="84" t="s">
        <v>562</v>
      </c>
      <c r="C93" s="85" t="s">
        <v>563</v>
      </c>
      <c r="D93" s="86"/>
      <c r="E93" s="87"/>
      <c r="F93" s="87"/>
      <c r="G93" s="87"/>
      <c r="H93" s="87"/>
      <c r="I93" s="87"/>
      <c r="J93" s="147"/>
      <c r="K93" s="147"/>
      <c r="L93" s="147"/>
      <c r="M93" s="147"/>
      <c r="N93" s="147"/>
      <c r="O93" s="147"/>
      <c r="P93" s="147"/>
      <c r="Q93" s="147"/>
      <c r="R93" s="147"/>
      <c r="S93" s="147"/>
      <c r="T93" s="147"/>
      <c r="U93" s="147"/>
      <c r="V93" s="147"/>
      <c r="W93" s="147"/>
      <c r="X93" s="147"/>
      <c r="Y93" s="147"/>
      <c r="Z93" s="147"/>
      <c r="AA93" s="375"/>
      <c r="AB93" s="434"/>
      <c r="AC93" s="401"/>
      <c r="AD93" s="401"/>
      <c r="AE93" s="401"/>
      <c r="AF93" s="401"/>
      <c r="AG93" s="357"/>
      <c r="AH93" s="199">
        <f>SUM(J93:AA93)</f>
        <v>0</v>
      </c>
      <c r="AI93" s="32" t="str">
        <f>CONCATENATE(IF(D93&gt;D92," * Tested for Prep Initiation For age "&amp;$D$20&amp;" "&amp;$D$21&amp;" is more than Assessed for HIV risk"&amp;CHAR(10),""),IF(E93&gt;E92," * Tested for Prep Initiation For age "&amp;$D$20&amp;" "&amp;$E$21&amp;" is more than Assessed for HIV risk"&amp;CHAR(10),""),IF(F93&gt;F92," * Tested for Prep Initiation For age "&amp;$F$20&amp;" "&amp;$F$21&amp;" is more than Assessed for HIV risk"&amp;CHAR(10),""),IF(G93&gt;G92," * Tested for Prep Initiation For age "&amp;$F$20&amp;" "&amp;$G$21&amp;" is more than Assessed for HIV risk"&amp;CHAR(10),""),IF(H93&gt;H92," * Tested for Prep Initiation For age "&amp;$H$20&amp;" "&amp;$H$21&amp;" is more than Assessed for HIV risk"&amp;CHAR(10),""),IF(I93&gt;I92," * Tested for Prep Initiation For age "&amp;$H$20&amp;" "&amp;$I$21&amp;" is more than Assessed for HIV risk"&amp;CHAR(10),""),IF(J93&gt;J92," * Tested for Prep Initiation For age "&amp;$J$20&amp;" "&amp;$J$21&amp;" is more than Assessed for HIV risk"&amp;CHAR(10),""),IF(K93&gt;K92," * Tested for Prep Initiation For age "&amp;$J$20&amp;" "&amp;$K$21&amp;" is more than Assessed for HIV risk"&amp;CHAR(10),""),IF(L93&gt;L92," * Tested for Prep Initiation For age "&amp;$L$20&amp;" "&amp;$L$21&amp;" is more than Assessed for HIV risk"&amp;CHAR(10),""),IF(M93&gt;M92," * Tested for Prep Initiation For age "&amp;$L$20&amp;" "&amp;$M$21&amp;" is more than Assessed for HIV risk"&amp;CHAR(10),""),IF(N93&gt;N92," * Tested for Prep Initiation For age "&amp;$N$20&amp;" "&amp;$N$21&amp;" is more than Assessed for HIV risk"&amp;CHAR(10),""),IF(O93&gt;O92," * Tested for Prep Initiation For age "&amp;$N$20&amp;" "&amp;$O$21&amp;" is more than Assessed for HIV risk"&amp;CHAR(10),""),IF(P93&gt;P92," * Tested for Prep Initiation For age "&amp;$P$20&amp;" "&amp;$P$21&amp;" is more than Assessed for HIV risk"&amp;CHAR(10),""),IF(Q93&gt;Q92," * Tested for Prep Initiation For age "&amp;$P$20&amp;" "&amp;$Q$21&amp;" is more than Assessed for HIV risk"&amp;CHAR(10),""),IF(R93&gt;R92," * Tested for Prep Initiation For age "&amp;$R$20&amp;" "&amp;$R$21&amp;" is more than Assessed for HIV risk"&amp;CHAR(10),""),IF(S93&gt;S92," * Tested for Prep Initiation For age "&amp;$R$20&amp;" "&amp;$S$21&amp;" is more than Assessed for HIV risk"&amp;CHAR(10),""),IF(T93&gt;T92," * Tested for Prep Initiation For age "&amp;$T$20&amp;" "&amp;$T$21&amp;" is more than Assessed for HIV risk"&amp;CHAR(10),""),IF(U93&gt;U92," * Tested for Prep Initiation For age "&amp;$T$20&amp;" "&amp;$U$21&amp;" is more than Assessed for HIV risk"&amp;CHAR(10),""),IF(V93&gt;V92," * Tested for Prep Initiation For age "&amp;$V$20&amp;" "&amp;$V$21&amp;" is more than Assessed for HIV risk"&amp;CHAR(10),""),IF(W93&gt;W92," * Tested for Prep Initiation For age "&amp;$V$20&amp;" "&amp;$W$21&amp;" is more than Assessed for HIV risk"&amp;CHAR(10),""),IF(X93&gt;X92," * Tested for Prep Initiation For age "&amp;$X$20&amp;" "&amp;$X$21&amp;" is more than Assessed for HIV risk"&amp;CHAR(10),""),IF(Y93&gt;Y92," * Tested for Prep Initiation For age "&amp;$X$20&amp;" "&amp;$Y$21&amp;" is more than Assessed for HIV risk"&amp;CHAR(10),""),IF(Z93&gt;Z92," * Tested for Prep Initiation For age "&amp;$Z$20&amp;" "&amp;$Z$21&amp;" is more than Assessed for HIV risk"&amp;CHAR(10),""),IF(AA93&gt;AA92," * Tested for Prep Initiation For age "&amp;$Z$20&amp;" "&amp;$AA$21&amp;" is more than Assessed for HIV risk"&amp;CHAR(10),""))</f>
        <v/>
      </c>
      <c r="AJ93" s="763"/>
      <c r="AK93" s="33"/>
      <c r="AL93" s="843"/>
      <c r="AM93" s="14">
        <v>64</v>
      </c>
      <c r="AN93" s="82"/>
      <c r="AO93" s="83"/>
    </row>
    <row r="94" spans="1:41" ht="25.5" x14ac:dyDescent="0.75">
      <c r="A94" s="664"/>
      <c r="B94" s="84" t="s">
        <v>656</v>
      </c>
      <c r="C94" s="85" t="s">
        <v>564</v>
      </c>
      <c r="D94" s="86"/>
      <c r="E94" s="87"/>
      <c r="F94" s="87"/>
      <c r="G94" s="87"/>
      <c r="H94" s="87"/>
      <c r="I94" s="87"/>
      <c r="J94" s="147"/>
      <c r="K94" s="147"/>
      <c r="L94" s="147"/>
      <c r="M94" s="147"/>
      <c r="N94" s="147"/>
      <c r="O94" s="147"/>
      <c r="P94" s="147"/>
      <c r="Q94" s="147"/>
      <c r="R94" s="147"/>
      <c r="S94" s="147"/>
      <c r="T94" s="147"/>
      <c r="U94" s="147"/>
      <c r="V94" s="147"/>
      <c r="W94" s="147"/>
      <c r="X94" s="147"/>
      <c r="Y94" s="147"/>
      <c r="Z94" s="147"/>
      <c r="AA94" s="375"/>
      <c r="AB94" s="434"/>
      <c r="AC94" s="401"/>
      <c r="AD94" s="401"/>
      <c r="AE94" s="401"/>
      <c r="AF94" s="401"/>
      <c r="AG94" s="357"/>
      <c r="AH94" s="199">
        <f>SUM(J94:AA94)</f>
        <v>0</v>
      </c>
      <c r="AI94" s="148" t="str">
        <f>CONCATENATE(IF(D94&gt;D93," * screened for Prep initiation testing positive For age "&amp;$D$20&amp;" "&amp;$D$21&amp;" is more than HIV tested for PrEP initiation"&amp;CHAR(10),""),IF(E94&gt;E93," * screened for Prep initiation testing positive For age "&amp;$D$20&amp;" "&amp;$E$21&amp;" is more than HIV tested for PrEP initiation"&amp;CHAR(10),""),IF(F94&gt;F93," * screened for Prep initiation testing positive For age "&amp;$F$20&amp;" "&amp;$F$21&amp;" is more than HIV tested for PrEP initiation"&amp;CHAR(10),""),IF(G94&gt;G93," * screened for Prep initiation testing positive For age "&amp;$F$20&amp;" "&amp;$G$21&amp;" is more than HIV tested for PrEP initiation"&amp;CHAR(10),""),IF(H94&gt;H93," * screened for Prep initiation testing positive For age "&amp;$H$20&amp;" "&amp;$H$21&amp;" is more than HIV tested for PrEP initiation"&amp;CHAR(10),""),IF(I94&gt;I93," * screened for Prep initiation testing positive For age "&amp;$H$20&amp;" "&amp;$I$21&amp;" is more than HIV tested for PrEP initiation"&amp;CHAR(10),""),IF(J94&gt;J93," * screened for Prep initiation testing positive For age "&amp;$J$20&amp;" "&amp;$J$21&amp;" is more than HIV tested for PrEP initiation"&amp;CHAR(10),""),IF(K94&gt;K93," * screened for Prep initiation testing positive For age "&amp;$J$20&amp;" "&amp;$K$21&amp;" is more than HIV tested for PrEP initiation"&amp;CHAR(10),""),IF(L94&gt;L93," * screened for Prep initiation testing positive For age "&amp;$L$20&amp;" "&amp;$L$21&amp;" is more than HIV tested for PrEP initiation"&amp;CHAR(10),""),IF(M94&gt;M93," * screened for Prep initiation testing positive For age "&amp;$L$20&amp;" "&amp;$M$21&amp;" is more than HIV tested for PrEP initiation"&amp;CHAR(10),""),IF(N94&gt;N93," * screened for Prep initiation testing positive For age "&amp;$N$20&amp;" "&amp;$N$21&amp;" is more than HIV tested for PrEP initiation"&amp;CHAR(10),""),IF(O94&gt;O93," * screened for Prep initiation testing positive For age "&amp;$N$20&amp;" "&amp;$O$21&amp;" is more than HIV tested for PrEP initiation"&amp;CHAR(10),""),IF(P94&gt;P93," * screened for Prep initiation testing positive For age "&amp;$P$20&amp;" "&amp;$P$21&amp;" is more than HIV tested for PrEP initiation"&amp;CHAR(10),""),IF(Q94&gt;Q93," * screened for Prep initiation testing positive For age "&amp;$P$20&amp;" "&amp;$Q$21&amp;" is more than HIV tested for PrEP initiation"&amp;CHAR(10),""),IF(R94&gt;R93," * screened for Prep initiation testing positive For age "&amp;$R$20&amp;" "&amp;$R$21&amp;" is more than HIV tested for PrEP initiation"&amp;CHAR(10),""),IF(S94&gt;S93," * screened for Prep initiation testing positive For age "&amp;$R$20&amp;" "&amp;$S$21&amp;" is more than HIV tested for PrEP initiation"&amp;CHAR(10),""),IF(T94&gt;T93," * screened for Prep initiation testing positive For age "&amp;$T$20&amp;" "&amp;$T$21&amp;" is more than HIV tested for PrEP initiation"&amp;CHAR(10),""),IF(U94&gt;U93," * screened for Prep initiation testing positive For age "&amp;$T$20&amp;" "&amp;$U$21&amp;" is more than HIV tested for PrEP initiation"&amp;CHAR(10),""),IF(V94&gt;V93," * screened for Prep initiation testing positive For age "&amp;$V$20&amp;" "&amp;$V$21&amp;" is more than HIV tested for PrEP initiation"&amp;CHAR(10),""),IF(W94&gt;W93," * screened for Prep initiation testing positive For age "&amp;$V$20&amp;" "&amp;$W$21&amp;" is more than HIV tested for PrEP initiation"&amp;CHAR(10),""),IF(X94&gt;X93," * screened for Prep initiation testing positive For age "&amp;$X$20&amp;" "&amp;$X$21&amp;" is more than HIV tested for PrEP initiation"&amp;CHAR(10),""),IF(Y94&gt;Y93," * screened for Prep initiation testing positive For age "&amp;$X$20&amp;" "&amp;$Y$21&amp;" is more than HIV tested for PrEP initiation"&amp;CHAR(10),""),IF(Z94&gt;Z93," * screened for Prep initiation testing positive For age "&amp;$Z$20&amp;" "&amp;$Z$21&amp;" is more than HIV tested for PrEP initiation"&amp;CHAR(10),""),IF(AA94&gt;AA93," * screened for Prep initiation testing positive For age "&amp;$Z$20&amp;" "&amp;$AA$21&amp;" is more than HIV tested for PrEP initiation"&amp;CHAR(10),""))</f>
        <v/>
      </c>
      <c r="AJ94" s="763"/>
      <c r="AK94" s="33"/>
      <c r="AL94" s="843"/>
      <c r="AM94" s="14">
        <v>65</v>
      </c>
      <c r="AN94" s="82"/>
      <c r="AO94" s="83"/>
    </row>
    <row r="95" spans="1:41" ht="25.9" thickBot="1" x14ac:dyDescent="0.8">
      <c r="A95" s="751"/>
      <c r="B95" s="96" t="s">
        <v>657</v>
      </c>
      <c r="C95" s="97" t="s">
        <v>187</v>
      </c>
      <c r="D95" s="114"/>
      <c r="E95" s="113"/>
      <c r="F95" s="113"/>
      <c r="G95" s="113"/>
      <c r="H95" s="113"/>
      <c r="I95" s="113"/>
      <c r="J95" s="100"/>
      <c r="K95" s="100"/>
      <c r="L95" s="100"/>
      <c r="M95" s="100"/>
      <c r="N95" s="100"/>
      <c r="O95" s="100"/>
      <c r="P95" s="100"/>
      <c r="Q95" s="100"/>
      <c r="R95" s="100"/>
      <c r="S95" s="100"/>
      <c r="T95" s="100"/>
      <c r="U95" s="100"/>
      <c r="V95" s="100"/>
      <c r="W95" s="100"/>
      <c r="X95" s="100"/>
      <c r="Y95" s="100"/>
      <c r="Z95" s="100"/>
      <c r="AA95" s="364"/>
      <c r="AB95" s="434"/>
      <c r="AC95" s="401"/>
      <c r="AD95" s="401"/>
      <c r="AE95" s="401"/>
      <c r="AF95" s="401"/>
      <c r="AG95" s="357"/>
      <c r="AH95" s="218">
        <f t="shared" ref="AH95:AH124" si="15">SUM(D95:AA95)</f>
        <v>0</v>
      </c>
      <c r="AI95" s="148" t="str">
        <f>CONCATENATE(IF(D95&gt;(D93-D94)," * Eligible For Prep For age "&amp;$D$20&amp;" "&amp;$D$21&amp;" is more than Clients tested HIV Negative for Prep Initiation"&amp;CHAR(10),""),IF(E95&gt;(E93-E94)," * Eligible For Prep For age "&amp;$D$20&amp;" "&amp;$E$21&amp;" is more than Clients tested HIV Negative for Prep Initiation"&amp;CHAR(10),""),IF(F95&gt;(F93-F94)," * Eligible For Prep For age "&amp;$F$20&amp;" "&amp;$F$21&amp;" is more than Clients tested HIV Negative for Prep Initiation"&amp;CHAR(10),""),IF(G95&gt;(G93-G94)," * Eligible For Prep For age "&amp;$F$20&amp;" "&amp;$G$21&amp;" is more than Clients tested HIV Negative for Prep Initiation"&amp;CHAR(10),""),IF(H95&gt;(H93-H94)," * Eligible For Prep For age "&amp;$H$20&amp;" "&amp;$H$21&amp;" is more than Clients tested HIV Negative for Prep Initiation"&amp;CHAR(10),""),IF(I95&gt;(I93-I94)," * Eligible For Prep For age "&amp;$H$20&amp;" "&amp;$I$21&amp;" is more than Clients tested HIV Negative for Prep Initiation"&amp;CHAR(10),""),IF(J95&gt;(J93-J94)," * Eligible For Prep For age "&amp;$J$20&amp;" "&amp;$J$21&amp;" is more than Clients tested HIV Negative for Prep Initiation"&amp;CHAR(10),""),IF(K95&gt;(K93-K94)," * Eligible For Prep For age "&amp;$J$20&amp;" "&amp;$K$21&amp;" is more than Clients tested HIV Negative for Prep Initiation"&amp;CHAR(10),""),IF(L95&gt;(L93-L94)," * Eligible For Prep For age "&amp;$L$20&amp;" "&amp;$L$21&amp;" is more than Clients tested HIV Negative for Prep Initiation"&amp;CHAR(10),""),IF(M95&gt;(M93-M94)," * Eligible For Prep For age "&amp;$L$20&amp;" "&amp;$M$21&amp;" is more than Clients tested HIV Negative for Prep Initiation"&amp;CHAR(10),""),IF(N95&gt;(N93-N94)," * Eligible For Prep For age "&amp;$N$20&amp;" "&amp;$N$21&amp;" is more than Clients tested HIV Negative for Prep Initiation"&amp;CHAR(10),""),IF(O95&gt;(O93-O94)," * Eligible For Prep For age "&amp;$N$20&amp;" "&amp;$O$21&amp;" is more than Clients tested HIV Negative for Prep Initiation"&amp;CHAR(10),""),IF(P95&gt;(P93-P94)," * Eligible For Prep For age "&amp;$P$20&amp;" "&amp;$P$21&amp;" is more than Clients tested HIV Negative for Prep Initiation"&amp;CHAR(10),""),IF(Q95&gt;(Q93-Q94)," * Eligible For Prep For age "&amp;$P$20&amp;" "&amp;$Q$21&amp;" is more than Clients tested HIV Negative for Prep Initiation"&amp;CHAR(10),""),IF(R95&gt;(R93-R94)," * Eligible For Prep For age "&amp;$R$20&amp;" "&amp;$R$21&amp;" is more than Clients tested HIV Negative for Prep Initiation"&amp;CHAR(10),""),IF(S95&gt;(S93-S94)," * Eligible For Prep For age "&amp;$R$20&amp;" "&amp;$S$21&amp;" is more than Clients tested HIV Negative for Prep Initiation"&amp;CHAR(10),""),IF(T95&gt;(T93-T94)," * Eligible For Prep For age "&amp;$T$20&amp;" "&amp;$T$21&amp;" is more than Clients tested HIV Negative for Prep Initiation"&amp;CHAR(10),""),IF(U95&gt;(U93-U94)," * Eligible For Prep For age "&amp;$T$20&amp;" "&amp;$U$21&amp;" is more than Clients tested HIV Negative for Prep Initiation"&amp;CHAR(10),""),IF(V95&gt;(V93-V94)," * Eligible For Prep For age "&amp;$V$20&amp;" "&amp;$V$21&amp;" is more than Clients tested HIV Negative for Prep Initiation"&amp;CHAR(10),""),IF(W95&gt;(W93-W94)," * Eligible For Prep For age "&amp;$V$20&amp;" "&amp;$W$21&amp;" is more than Clients tested HIV Negative for Prep Initiation"&amp;CHAR(10),""),IF(X95&gt;(X93-X94)," * Eligible For Prep For age "&amp;$X$20&amp;" "&amp;$X$21&amp;" is more than Clients tested HIV Negative for Prep Initiation"&amp;CHAR(10),""),IF(Y95&gt;(Y93-Y94)," * Eligible For Prep For age "&amp;$X$20&amp;" "&amp;$Y$21&amp;" is more than Clients tested HIV Negative for Prep Initiation"&amp;CHAR(10),""),IF(Z95&gt;(Z93-Z94)," * Eligible For Prep For age "&amp;$Z$20&amp;" "&amp;$Z$21&amp;" is more than Clients tested HIV Negative for Prep Initiation"&amp;CHAR(10),""),IF(AA95&gt;(AA93-AA94)," * Eligible For Prep For age "&amp;$Z$20&amp;" "&amp;$AA$21&amp;" is more than Clients tested HIV Negative for Prep Initiation"&amp;CHAR(10),""))</f>
        <v/>
      </c>
      <c r="AJ95" s="763"/>
      <c r="AK95" s="33"/>
      <c r="AL95" s="843"/>
      <c r="AM95" s="14">
        <v>66</v>
      </c>
      <c r="AN95" s="82"/>
      <c r="AO95" s="83"/>
    </row>
    <row r="96" spans="1:41" ht="25.9" thickBot="1" x14ac:dyDescent="0.8">
      <c r="A96" s="149" t="s">
        <v>590</v>
      </c>
      <c r="B96" s="150" t="s">
        <v>641</v>
      </c>
      <c r="C96" s="77" t="s">
        <v>188</v>
      </c>
      <c r="D96" s="109"/>
      <c r="E96" s="110"/>
      <c r="F96" s="110"/>
      <c r="G96" s="110"/>
      <c r="H96" s="110"/>
      <c r="I96" s="110"/>
      <c r="J96" s="151">
        <f>SUM(J97:J102)</f>
        <v>0</v>
      </c>
      <c r="K96" s="151">
        <f t="shared" ref="K96:AA96" si="16">SUM(K97:K102)</f>
        <v>0</v>
      </c>
      <c r="L96" s="151">
        <f t="shared" si="16"/>
        <v>0</v>
      </c>
      <c r="M96" s="151">
        <f t="shared" si="16"/>
        <v>0</v>
      </c>
      <c r="N96" s="151">
        <f t="shared" si="16"/>
        <v>0</v>
      </c>
      <c r="O96" s="151">
        <f t="shared" si="16"/>
        <v>0</v>
      </c>
      <c r="P96" s="151">
        <f t="shared" si="16"/>
        <v>0</v>
      </c>
      <c r="Q96" s="151">
        <f t="shared" si="16"/>
        <v>0</v>
      </c>
      <c r="R96" s="151">
        <f t="shared" si="16"/>
        <v>0</v>
      </c>
      <c r="S96" s="151">
        <f t="shared" si="16"/>
        <v>0</v>
      </c>
      <c r="T96" s="151">
        <f t="shared" si="16"/>
        <v>0</v>
      </c>
      <c r="U96" s="151">
        <f t="shared" si="16"/>
        <v>0</v>
      </c>
      <c r="V96" s="151">
        <f t="shared" si="16"/>
        <v>0</v>
      </c>
      <c r="W96" s="151">
        <f t="shared" si="16"/>
        <v>0</v>
      </c>
      <c r="X96" s="151">
        <f t="shared" si="16"/>
        <v>0</v>
      </c>
      <c r="Y96" s="151">
        <f t="shared" si="16"/>
        <v>0</v>
      </c>
      <c r="Z96" s="151">
        <f t="shared" si="16"/>
        <v>0</v>
      </c>
      <c r="AA96" s="376">
        <f t="shared" si="16"/>
        <v>0</v>
      </c>
      <c r="AB96" s="434"/>
      <c r="AC96" s="401"/>
      <c r="AD96" s="401"/>
      <c r="AE96" s="401"/>
      <c r="AF96" s="401"/>
      <c r="AG96" s="357"/>
      <c r="AH96" s="214">
        <f t="shared" si="15"/>
        <v>0</v>
      </c>
      <c r="AI96" s="130" t="str">
        <f>CONCATENATE(IF(D96&gt;D95," * Initiated new on PrEP  for Age "&amp;D20&amp;" "&amp;D21&amp;" is more than Eligible for PrEP"&amp;CHAR(10),""),IF(E96&gt;E95," * Initiated new on PrEP  for Age "&amp;D20&amp;" "&amp;E21&amp;" is more than Eligible for PrEP"&amp;CHAR(10),""),IF(F96&gt;F95," * Initiated new on PrEP  for Age "&amp;F20&amp;" "&amp;F21&amp;" is more than Eligible for PrEP"&amp;CHAR(10),""),IF(G96&gt;G95," * Initiated new on PrEP  for Age "&amp;F20&amp;" "&amp;G21&amp;" is more than Eligible for PrEP"&amp;CHAR(10),""),IF(H96&gt;H95," * Initiated new on PrEP  for Age "&amp;H20&amp;" "&amp;H21&amp;" is more than Eligible for PrEP"&amp;CHAR(10),""),IF(I96&gt;I95," * Initiated new on PrEP  for Age "&amp;H20&amp;" "&amp;I21&amp;" is more than Eligible for PrEP"&amp;CHAR(10),""),IF(J96&gt;J95," * Initiated new on PrEP  for Age "&amp;J20&amp;" "&amp;J21&amp;" is more than Eligible for PrEP"&amp;CHAR(10),""),IF(K96&gt;K95," * Initiated new on PrEP  for Age "&amp;J20&amp;" "&amp;K21&amp;" is more than Eligible for PrEP"&amp;CHAR(10),""),IF(L96&gt;L95," * Initiated new on PrEP  for Age "&amp;L20&amp;" "&amp;L21&amp;" is more than Eligible for PrEP"&amp;CHAR(10),""),IF(M96&gt;M95," * Initiated new on PrEP  for Age "&amp;L20&amp;" "&amp;M21&amp;" is more than Eligible for PrEP"&amp;CHAR(10),""),IF(N96&gt;N95," * Initiated new on PrEP  for Age "&amp;N20&amp;" "&amp;N21&amp;" is more than Eligible for PrEP"&amp;CHAR(10),""),IF(O96&gt;O95," * Initiated new on PrEP  for Age "&amp;N20&amp;" "&amp;O21&amp;" is more than Eligible for PrEP"&amp;CHAR(10),""),IF(P96&gt;P95," * Initiated new on PrEP  for Age "&amp;P20&amp;" "&amp;P21&amp;" is more than Eligible for PrEP"&amp;CHAR(10),""),IF(Q96&gt;Q95," * Initiated new on PrEP  for Age "&amp;P20&amp;" "&amp;Q21&amp;" is more than Eligible for PrEP"&amp;CHAR(10),""),IF(R96&gt;R95," * Initiated new on PrEP  for Age "&amp;R20&amp;" "&amp;R21&amp;" is more than Eligible for PrEP"&amp;CHAR(10),""),IF(S96&gt;S95," * Initiated new on PrEP  for Age "&amp;R20&amp;" "&amp;S21&amp;" is more than Eligible for PrEP"&amp;CHAR(10),""),IF(T96&gt;T95," * Initiated new on PrEP  for Age "&amp;T20&amp;" "&amp;T21&amp;" is more than Eligible for PrEP"&amp;CHAR(10),""),IF(U96&gt;U95," * Initiated new on PrEP  for Age "&amp;T20&amp;" "&amp;U21&amp;" is more than Eligible for PrEP"&amp;CHAR(10),""),IF(V96&gt;V95," * Initiated new on PrEP  for Age "&amp;V20&amp;" "&amp;V21&amp;" is more than Eligible for PrEP"&amp;CHAR(10),""),IF(W96&gt;W95," * Initiated new on PrEP  for Age "&amp;V20&amp;" "&amp;W21&amp;" is more than Eligible for PrEP"&amp;CHAR(10),""),IF(X96&gt;X95," * Initiated new on PrEP  for Age "&amp;X20&amp;" "&amp;X21&amp;" is more than Eligible for PrEP"&amp;CHAR(10),""),IF(Y96&gt;Y95," * Initiated new on PrEP  for Age "&amp;X20&amp;" "&amp;Y21&amp;" is more than Eligible for PrEP"&amp;CHAR(10),""),IF(Z96&gt;Z95," * Initiated new on PrEP  for Age "&amp;Z20&amp;" "&amp;Z21&amp;" is more than Eligible for PrEP"&amp;CHAR(10),""),IF(AA96&gt;AA95," * Initiated new on PrEP  for Age "&amp;Z20&amp;" "&amp;AA21&amp;" is more than Eligible for PrEP"&amp;CHAR(10),""))</f>
        <v/>
      </c>
      <c r="AJ96" s="763"/>
      <c r="AK96" s="33" t="str">
        <f>CONCATENATE(IF(AH96&lt;&gt;SUM(AH125,AH126)," * Total Sum of (PMTCT Discordant Couple + HTS Discordant Couple) is not equal to F02-03"&amp;CHAR(10),""))</f>
        <v/>
      </c>
      <c r="AL96" s="843"/>
      <c r="AM96" s="14">
        <v>67</v>
      </c>
      <c r="AN96" s="82"/>
      <c r="AO96" s="83"/>
    </row>
    <row r="97" spans="1:41" ht="25.5" x14ac:dyDescent="0.75">
      <c r="A97" s="663" t="s">
        <v>582</v>
      </c>
      <c r="B97" s="84" t="s">
        <v>395</v>
      </c>
      <c r="C97" s="85" t="s">
        <v>583</v>
      </c>
      <c r="D97" s="86"/>
      <c r="E97" s="87"/>
      <c r="F97" s="87"/>
      <c r="G97" s="87"/>
      <c r="H97" s="87"/>
      <c r="I97" s="87"/>
      <c r="J97" s="88"/>
      <c r="K97" s="88"/>
      <c r="L97" s="88"/>
      <c r="M97" s="88"/>
      <c r="N97" s="88"/>
      <c r="O97" s="88"/>
      <c r="P97" s="88"/>
      <c r="Q97" s="88"/>
      <c r="R97" s="88"/>
      <c r="S97" s="88"/>
      <c r="T97" s="88"/>
      <c r="U97" s="88"/>
      <c r="V97" s="88"/>
      <c r="W97" s="88"/>
      <c r="X97" s="88"/>
      <c r="Y97" s="88"/>
      <c r="Z97" s="88"/>
      <c r="AA97" s="362"/>
      <c r="AB97" s="434"/>
      <c r="AC97" s="401"/>
      <c r="AD97" s="401"/>
      <c r="AE97" s="401"/>
      <c r="AF97" s="401"/>
      <c r="AG97" s="357"/>
      <c r="AH97" s="199">
        <f t="shared" ref="AH97:AH100" si="17">SUM(J97:AA97)</f>
        <v>0</v>
      </c>
      <c r="AI97" s="130"/>
      <c r="AJ97" s="763"/>
      <c r="AK97" s="33"/>
      <c r="AL97" s="843"/>
      <c r="AM97" s="14">
        <v>68</v>
      </c>
      <c r="AN97" s="82"/>
      <c r="AO97" s="83"/>
    </row>
    <row r="98" spans="1:41" ht="25.5" x14ac:dyDescent="0.75">
      <c r="A98" s="664"/>
      <c r="B98" s="84" t="s">
        <v>390</v>
      </c>
      <c r="C98" s="85" t="s">
        <v>584</v>
      </c>
      <c r="D98" s="86"/>
      <c r="E98" s="87"/>
      <c r="F98" s="87"/>
      <c r="G98" s="87"/>
      <c r="H98" s="87"/>
      <c r="I98" s="87"/>
      <c r="J98" s="88"/>
      <c r="K98" s="88"/>
      <c r="L98" s="88"/>
      <c r="M98" s="88"/>
      <c r="N98" s="88"/>
      <c r="O98" s="88"/>
      <c r="P98" s="88"/>
      <c r="Q98" s="88"/>
      <c r="R98" s="88"/>
      <c r="S98" s="88"/>
      <c r="T98" s="88"/>
      <c r="U98" s="88"/>
      <c r="V98" s="88"/>
      <c r="W98" s="88"/>
      <c r="X98" s="88"/>
      <c r="Y98" s="88"/>
      <c r="Z98" s="88"/>
      <c r="AA98" s="362"/>
      <c r="AB98" s="434"/>
      <c r="AC98" s="401"/>
      <c r="AD98" s="401"/>
      <c r="AE98" s="401"/>
      <c r="AF98" s="401"/>
      <c r="AG98" s="357"/>
      <c r="AH98" s="199">
        <f t="shared" si="17"/>
        <v>0</v>
      </c>
      <c r="AI98" s="130"/>
      <c r="AJ98" s="763"/>
      <c r="AK98" s="33"/>
      <c r="AL98" s="843"/>
      <c r="AM98" s="14">
        <v>69</v>
      </c>
      <c r="AN98" s="82"/>
      <c r="AO98" s="83"/>
    </row>
    <row r="99" spans="1:41" ht="25.5" x14ac:dyDescent="0.75">
      <c r="A99" s="664"/>
      <c r="B99" s="84" t="s">
        <v>391</v>
      </c>
      <c r="C99" s="85" t="s">
        <v>585</v>
      </c>
      <c r="D99" s="86"/>
      <c r="E99" s="87"/>
      <c r="F99" s="87"/>
      <c r="G99" s="87"/>
      <c r="H99" s="87"/>
      <c r="I99" s="87"/>
      <c r="J99" s="88"/>
      <c r="K99" s="88"/>
      <c r="L99" s="88"/>
      <c r="M99" s="88"/>
      <c r="N99" s="88"/>
      <c r="O99" s="88"/>
      <c r="P99" s="88"/>
      <c r="Q99" s="88"/>
      <c r="R99" s="88"/>
      <c r="S99" s="88"/>
      <c r="T99" s="88"/>
      <c r="U99" s="88"/>
      <c r="V99" s="88"/>
      <c r="W99" s="88"/>
      <c r="X99" s="88"/>
      <c r="Y99" s="88"/>
      <c r="Z99" s="88"/>
      <c r="AA99" s="362"/>
      <c r="AB99" s="434"/>
      <c r="AC99" s="401"/>
      <c r="AD99" s="401"/>
      <c r="AE99" s="401"/>
      <c r="AF99" s="401"/>
      <c r="AG99" s="357"/>
      <c r="AH99" s="199">
        <f t="shared" si="17"/>
        <v>0</v>
      </c>
      <c r="AI99" s="130"/>
      <c r="AJ99" s="763"/>
      <c r="AK99" s="33"/>
      <c r="AL99" s="843"/>
      <c r="AM99" s="14">
        <v>70</v>
      </c>
      <c r="AN99" s="82"/>
      <c r="AO99" s="83"/>
    </row>
    <row r="100" spans="1:41" ht="25.5" x14ac:dyDescent="0.75">
      <c r="A100" s="664"/>
      <c r="B100" s="84" t="s">
        <v>392</v>
      </c>
      <c r="C100" s="85" t="s">
        <v>586</v>
      </c>
      <c r="D100" s="86"/>
      <c r="E100" s="87"/>
      <c r="F100" s="87"/>
      <c r="G100" s="87"/>
      <c r="H100" s="87"/>
      <c r="I100" s="87"/>
      <c r="J100" s="88"/>
      <c r="K100" s="88"/>
      <c r="L100" s="88"/>
      <c r="M100" s="88"/>
      <c r="N100" s="88"/>
      <c r="O100" s="88"/>
      <c r="P100" s="88"/>
      <c r="Q100" s="88"/>
      <c r="R100" s="88"/>
      <c r="S100" s="88"/>
      <c r="T100" s="88"/>
      <c r="U100" s="88"/>
      <c r="V100" s="88"/>
      <c r="W100" s="88"/>
      <c r="X100" s="88"/>
      <c r="Y100" s="88"/>
      <c r="Z100" s="88"/>
      <c r="AA100" s="362"/>
      <c r="AB100" s="434"/>
      <c r="AC100" s="401"/>
      <c r="AD100" s="401"/>
      <c r="AE100" s="401"/>
      <c r="AF100" s="401"/>
      <c r="AG100" s="357"/>
      <c r="AH100" s="199">
        <f t="shared" si="17"/>
        <v>0</v>
      </c>
      <c r="AI100" s="130"/>
      <c r="AJ100" s="763"/>
      <c r="AK100" s="33"/>
      <c r="AL100" s="843"/>
      <c r="AM100" s="14">
        <v>71</v>
      </c>
      <c r="AN100" s="82"/>
      <c r="AO100" s="83"/>
    </row>
    <row r="101" spans="1:41" ht="25.5" x14ac:dyDescent="0.75">
      <c r="A101" s="664"/>
      <c r="B101" s="84" t="s">
        <v>393</v>
      </c>
      <c r="C101" s="85" t="s">
        <v>587</v>
      </c>
      <c r="D101" s="86"/>
      <c r="E101" s="87"/>
      <c r="F101" s="87"/>
      <c r="G101" s="87"/>
      <c r="H101" s="87"/>
      <c r="I101" s="87"/>
      <c r="J101" s="88"/>
      <c r="K101" s="88"/>
      <c r="L101" s="88"/>
      <c r="M101" s="88"/>
      <c r="N101" s="88"/>
      <c r="O101" s="88"/>
      <c r="P101" s="88"/>
      <c r="Q101" s="88"/>
      <c r="R101" s="88"/>
      <c r="S101" s="88"/>
      <c r="T101" s="88"/>
      <c r="U101" s="88"/>
      <c r="V101" s="88"/>
      <c r="W101" s="88"/>
      <c r="X101" s="88"/>
      <c r="Y101" s="88"/>
      <c r="Z101" s="88"/>
      <c r="AA101" s="362"/>
      <c r="AB101" s="434"/>
      <c r="AC101" s="401"/>
      <c r="AD101" s="401"/>
      <c r="AE101" s="401"/>
      <c r="AF101" s="401"/>
      <c r="AG101" s="357"/>
      <c r="AH101" s="199">
        <f>SUM(J101:AA101)</f>
        <v>0</v>
      </c>
      <c r="AI101" s="130"/>
      <c r="AJ101" s="763"/>
      <c r="AK101" s="33"/>
      <c r="AL101" s="843"/>
      <c r="AM101" s="14">
        <v>72</v>
      </c>
      <c r="AN101" s="82"/>
      <c r="AO101" s="83"/>
    </row>
    <row r="102" spans="1:41" ht="25.9" thickBot="1" x14ac:dyDescent="0.8">
      <c r="A102" s="751"/>
      <c r="B102" s="96" t="s">
        <v>394</v>
      </c>
      <c r="C102" s="97" t="s">
        <v>588</v>
      </c>
      <c r="D102" s="114"/>
      <c r="E102" s="113"/>
      <c r="F102" s="113"/>
      <c r="G102" s="113"/>
      <c r="H102" s="113"/>
      <c r="I102" s="113"/>
      <c r="J102" s="100"/>
      <c r="K102" s="100"/>
      <c r="L102" s="100"/>
      <c r="M102" s="100"/>
      <c r="N102" s="100"/>
      <c r="O102" s="100"/>
      <c r="P102" s="100"/>
      <c r="Q102" s="100"/>
      <c r="R102" s="100"/>
      <c r="S102" s="100"/>
      <c r="T102" s="100"/>
      <c r="U102" s="100"/>
      <c r="V102" s="100"/>
      <c r="W102" s="100"/>
      <c r="X102" s="100"/>
      <c r="Y102" s="100"/>
      <c r="Z102" s="100"/>
      <c r="AA102" s="364"/>
      <c r="AB102" s="434"/>
      <c r="AC102" s="401"/>
      <c r="AD102" s="401"/>
      <c r="AE102" s="401"/>
      <c r="AF102" s="401"/>
      <c r="AG102" s="357"/>
      <c r="AH102" s="218">
        <f>SUM(J102:AA102)</f>
        <v>0</v>
      </c>
      <c r="AI102" s="130"/>
      <c r="AJ102" s="763"/>
      <c r="AK102" s="33"/>
      <c r="AL102" s="843"/>
      <c r="AM102" s="14">
        <v>73</v>
      </c>
      <c r="AN102" s="82"/>
      <c r="AO102" s="83"/>
    </row>
    <row r="103" spans="1:41" ht="25.5" x14ac:dyDescent="0.75">
      <c r="A103" s="663" t="s">
        <v>1132</v>
      </c>
      <c r="B103" s="102" t="s">
        <v>561</v>
      </c>
      <c r="C103" s="77" t="s">
        <v>352</v>
      </c>
      <c r="D103" s="109"/>
      <c r="E103" s="110"/>
      <c r="F103" s="110"/>
      <c r="G103" s="110"/>
      <c r="H103" s="110"/>
      <c r="I103" s="110"/>
      <c r="J103" s="105"/>
      <c r="K103" s="105"/>
      <c r="L103" s="105"/>
      <c r="M103" s="105"/>
      <c r="N103" s="105"/>
      <c r="O103" s="105"/>
      <c r="P103" s="105"/>
      <c r="Q103" s="105"/>
      <c r="R103" s="105"/>
      <c r="S103" s="105"/>
      <c r="T103" s="105"/>
      <c r="U103" s="105"/>
      <c r="V103" s="105"/>
      <c r="W103" s="105"/>
      <c r="X103" s="105"/>
      <c r="Y103" s="105"/>
      <c r="Z103" s="105"/>
      <c r="AA103" s="365"/>
      <c r="AB103" s="434"/>
      <c r="AC103" s="401"/>
      <c r="AD103" s="401"/>
      <c r="AE103" s="401"/>
      <c r="AF103" s="401"/>
      <c r="AG103" s="357"/>
      <c r="AH103" s="214">
        <f>SUM(J103:AA103)</f>
        <v>0</v>
      </c>
      <c r="AI103" s="148"/>
      <c r="AJ103" s="763"/>
      <c r="AK103" s="33"/>
      <c r="AL103" s="843"/>
      <c r="AM103" s="14">
        <v>74</v>
      </c>
      <c r="AN103" s="82"/>
      <c r="AO103" s="83"/>
    </row>
    <row r="104" spans="1:41" ht="25.5" x14ac:dyDescent="0.75">
      <c r="A104" s="664"/>
      <c r="B104" s="84" t="s">
        <v>565</v>
      </c>
      <c r="C104" s="85" t="s">
        <v>567</v>
      </c>
      <c r="D104" s="86"/>
      <c r="E104" s="87"/>
      <c r="F104" s="87"/>
      <c r="G104" s="87"/>
      <c r="H104" s="87"/>
      <c r="I104" s="87"/>
      <c r="J104" s="88"/>
      <c r="K104" s="88"/>
      <c r="L104" s="88"/>
      <c r="M104" s="88"/>
      <c r="N104" s="88"/>
      <c r="O104" s="88"/>
      <c r="P104" s="88"/>
      <c r="Q104" s="88"/>
      <c r="R104" s="88"/>
      <c r="S104" s="88"/>
      <c r="T104" s="88"/>
      <c r="U104" s="88"/>
      <c r="V104" s="88"/>
      <c r="W104" s="88"/>
      <c r="X104" s="88"/>
      <c r="Y104" s="88"/>
      <c r="Z104" s="88"/>
      <c r="AA104" s="362"/>
      <c r="AB104" s="434"/>
      <c r="AC104" s="401"/>
      <c r="AD104" s="401"/>
      <c r="AE104" s="401"/>
      <c r="AF104" s="401"/>
      <c r="AG104" s="357"/>
      <c r="AH104" s="199">
        <f>SUM(J104:AA104)</f>
        <v>0</v>
      </c>
      <c r="AI104" s="130"/>
      <c r="AJ104" s="763"/>
      <c r="AK104" s="33"/>
      <c r="AL104" s="843"/>
      <c r="AM104" s="14">
        <v>75</v>
      </c>
      <c r="AN104" s="82"/>
      <c r="AO104" s="83"/>
    </row>
    <row r="105" spans="1:41" ht="25.5" x14ac:dyDescent="0.75">
      <c r="A105" s="664"/>
      <c r="B105" s="84" t="s">
        <v>566</v>
      </c>
      <c r="C105" s="85" t="s">
        <v>568</v>
      </c>
      <c r="D105" s="86"/>
      <c r="E105" s="87"/>
      <c r="F105" s="87"/>
      <c r="G105" s="87"/>
      <c r="H105" s="87"/>
      <c r="I105" s="87"/>
      <c r="J105" s="88"/>
      <c r="K105" s="88"/>
      <c r="L105" s="88"/>
      <c r="M105" s="88"/>
      <c r="N105" s="88"/>
      <c r="O105" s="88"/>
      <c r="P105" s="88"/>
      <c r="Q105" s="88"/>
      <c r="R105" s="88"/>
      <c r="S105" s="88"/>
      <c r="T105" s="88"/>
      <c r="U105" s="88"/>
      <c r="V105" s="88"/>
      <c r="W105" s="88"/>
      <c r="X105" s="88"/>
      <c r="Y105" s="88"/>
      <c r="Z105" s="88"/>
      <c r="AA105" s="362"/>
      <c r="AB105" s="434"/>
      <c r="AC105" s="401"/>
      <c r="AD105" s="401"/>
      <c r="AE105" s="401"/>
      <c r="AF105" s="401"/>
      <c r="AG105" s="357"/>
      <c r="AH105" s="199">
        <f t="shared" ref="AH105:AH107" si="18">SUM(J105:AA105)</f>
        <v>0</v>
      </c>
      <c r="AI105" s="130"/>
      <c r="AJ105" s="763"/>
      <c r="AK105" s="33"/>
      <c r="AL105" s="843"/>
      <c r="AM105" s="14">
        <v>76</v>
      </c>
      <c r="AN105" s="82"/>
      <c r="AO105" s="83"/>
    </row>
    <row r="106" spans="1:41" ht="25.9" thickBot="1" x14ac:dyDescent="0.8">
      <c r="A106" s="665"/>
      <c r="B106" s="132" t="s">
        <v>658</v>
      </c>
      <c r="C106" s="97" t="s">
        <v>189</v>
      </c>
      <c r="D106" s="114"/>
      <c r="E106" s="113"/>
      <c r="F106" s="113"/>
      <c r="G106" s="113"/>
      <c r="H106" s="113"/>
      <c r="I106" s="113"/>
      <c r="J106" s="100"/>
      <c r="K106" s="100"/>
      <c r="L106" s="100"/>
      <c r="M106" s="100"/>
      <c r="N106" s="100"/>
      <c r="O106" s="100"/>
      <c r="P106" s="100"/>
      <c r="Q106" s="100"/>
      <c r="R106" s="100"/>
      <c r="S106" s="100"/>
      <c r="T106" s="100"/>
      <c r="U106" s="100"/>
      <c r="V106" s="100"/>
      <c r="W106" s="100"/>
      <c r="X106" s="100"/>
      <c r="Y106" s="100"/>
      <c r="Z106" s="100"/>
      <c r="AA106" s="364"/>
      <c r="AB106" s="434"/>
      <c r="AC106" s="401"/>
      <c r="AD106" s="401"/>
      <c r="AE106" s="401"/>
      <c r="AF106" s="401"/>
      <c r="AG106" s="357"/>
      <c r="AH106" s="199">
        <f t="shared" si="18"/>
        <v>0</v>
      </c>
      <c r="AI106" s="32"/>
      <c r="AJ106" s="763"/>
      <c r="AK106" s="33"/>
      <c r="AL106" s="843"/>
      <c r="AM106" s="14">
        <v>77</v>
      </c>
      <c r="AN106" s="82"/>
      <c r="AO106" s="83"/>
    </row>
    <row r="107" spans="1:41" ht="127.5" customHeight="1" thickBot="1" x14ac:dyDescent="0.8">
      <c r="A107" s="613" t="s">
        <v>1033</v>
      </c>
      <c r="B107" s="614" t="s">
        <v>1134</v>
      </c>
      <c r="C107" s="615" t="s">
        <v>1034</v>
      </c>
      <c r="D107" s="353"/>
      <c r="E107" s="354"/>
      <c r="F107" s="354"/>
      <c r="G107" s="354"/>
      <c r="H107" s="354"/>
      <c r="I107" s="354"/>
      <c r="J107" s="272"/>
      <c r="K107" s="272"/>
      <c r="L107" s="272"/>
      <c r="M107" s="272"/>
      <c r="N107" s="272"/>
      <c r="O107" s="272"/>
      <c r="P107" s="272"/>
      <c r="Q107" s="272"/>
      <c r="R107" s="272"/>
      <c r="S107" s="272"/>
      <c r="T107" s="272"/>
      <c r="U107" s="272"/>
      <c r="V107" s="272"/>
      <c r="W107" s="272"/>
      <c r="X107" s="272"/>
      <c r="Y107" s="272"/>
      <c r="Z107" s="272"/>
      <c r="AA107" s="377"/>
      <c r="AB107" s="434"/>
      <c r="AC107" s="401"/>
      <c r="AD107" s="401"/>
      <c r="AE107" s="401"/>
      <c r="AF107" s="401"/>
      <c r="AG107" s="357"/>
      <c r="AH107" s="199">
        <f t="shared" si="18"/>
        <v>0</v>
      </c>
      <c r="AI107" s="32"/>
      <c r="AJ107" s="763"/>
      <c r="AK107" s="33"/>
      <c r="AL107" s="843"/>
      <c r="AM107" s="14"/>
      <c r="AN107" s="82"/>
      <c r="AO107" s="83"/>
    </row>
    <row r="108" spans="1:41" ht="51.4" hidden="1" thickBot="1" x14ac:dyDescent="0.8">
      <c r="A108" s="352" t="s">
        <v>850</v>
      </c>
      <c r="B108" s="611" t="s">
        <v>1016</v>
      </c>
      <c r="C108" s="77" t="s">
        <v>570</v>
      </c>
      <c r="D108" s="109"/>
      <c r="E108" s="110"/>
      <c r="F108" s="110"/>
      <c r="G108" s="110"/>
      <c r="H108" s="110"/>
      <c r="I108" s="110"/>
      <c r="J108" s="151">
        <f>SUM(J109:J114)</f>
        <v>0</v>
      </c>
      <c r="K108" s="151">
        <f t="shared" ref="K108:AA108" si="19">SUM(K109:K114)</f>
        <v>0</v>
      </c>
      <c r="L108" s="151">
        <f t="shared" si="19"/>
        <v>0</v>
      </c>
      <c r="M108" s="151">
        <f t="shared" si="19"/>
        <v>0</v>
      </c>
      <c r="N108" s="151">
        <f t="shared" si="19"/>
        <v>0</v>
      </c>
      <c r="O108" s="151">
        <f t="shared" si="19"/>
        <v>0</v>
      </c>
      <c r="P108" s="151">
        <f t="shared" si="19"/>
        <v>0</v>
      </c>
      <c r="Q108" s="151">
        <f t="shared" si="19"/>
        <v>0</v>
      </c>
      <c r="R108" s="151">
        <f t="shared" si="19"/>
        <v>0</v>
      </c>
      <c r="S108" s="151">
        <f t="shared" si="19"/>
        <v>0</v>
      </c>
      <c r="T108" s="151">
        <f t="shared" si="19"/>
        <v>0</v>
      </c>
      <c r="U108" s="151">
        <f t="shared" si="19"/>
        <v>0</v>
      </c>
      <c r="V108" s="151">
        <f t="shared" si="19"/>
        <v>0</v>
      </c>
      <c r="W108" s="151">
        <f t="shared" si="19"/>
        <v>0</v>
      </c>
      <c r="X108" s="151">
        <f t="shared" si="19"/>
        <v>0</v>
      </c>
      <c r="Y108" s="151">
        <f t="shared" si="19"/>
        <v>0</v>
      </c>
      <c r="Z108" s="151">
        <f t="shared" si="19"/>
        <v>0</v>
      </c>
      <c r="AA108" s="376">
        <f t="shared" si="19"/>
        <v>0</v>
      </c>
      <c r="AB108" s="434"/>
      <c r="AC108" s="401"/>
      <c r="AD108" s="401"/>
      <c r="AE108" s="401"/>
      <c r="AF108" s="401"/>
      <c r="AG108" s="357"/>
      <c r="AH108" s="438">
        <f>SUM(J108:AA108)</f>
        <v>0</v>
      </c>
      <c r="AI108" s="32"/>
      <c r="AJ108" s="763"/>
      <c r="AK108" s="33"/>
      <c r="AL108" s="843"/>
      <c r="AM108" s="14">
        <v>78</v>
      </c>
      <c r="AN108" s="82"/>
      <c r="AO108" s="83"/>
    </row>
    <row r="109" spans="1:41" ht="25.5" hidden="1" x14ac:dyDescent="0.75">
      <c r="A109" s="663" t="s">
        <v>581</v>
      </c>
      <c r="B109" s="84" t="s">
        <v>395</v>
      </c>
      <c r="C109" s="85" t="s">
        <v>591</v>
      </c>
      <c r="D109" s="86"/>
      <c r="E109" s="87"/>
      <c r="F109" s="87"/>
      <c r="G109" s="87"/>
      <c r="H109" s="87"/>
      <c r="I109" s="87"/>
      <c r="J109" s="88"/>
      <c r="K109" s="88"/>
      <c r="L109" s="88"/>
      <c r="M109" s="88"/>
      <c r="N109" s="88"/>
      <c r="O109" s="88"/>
      <c r="P109" s="88"/>
      <c r="Q109" s="88"/>
      <c r="R109" s="88"/>
      <c r="S109" s="88"/>
      <c r="T109" s="88"/>
      <c r="U109" s="88"/>
      <c r="V109" s="88"/>
      <c r="W109" s="88"/>
      <c r="X109" s="88"/>
      <c r="Y109" s="88"/>
      <c r="Z109" s="88"/>
      <c r="AA109" s="362"/>
      <c r="AB109" s="434"/>
      <c r="AC109" s="401"/>
      <c r="AD109" s="401"/>
      <c r="AE109" s="401"/>
      <c r="AF109" s="401"/>
      <c r="AG109" s="357"/>
      <c r="AH109" s="199">
        <f>SUM(J109:AA109)</f>
        <v>0</v>
      </c>
      <c r="AI109" s="130"/>
      <c r="AJ109" s="763"/>
      <c r="AK109" s="33"/>
      <c r="AL109" s="843"/>
      <c r="AM109" s="14">
        <v>79</v>
      </c>
      <c r="AN109" s="82"/>
      <c r="AO109" s="83"/>
    </row>
    <row r="110" spans="1:41" ht="25.5" hidden="1" x14ac:dyDescent="0.75">
      <c r="A110" s="664"/>
      <c r="B110" s="84" t="s">
        <v>390</v>
      </c>
      <c r="C110" s="85" t="s">
        <v>592</v>
      </c>
      <c r="D110" s="86"/>
      <c r="E110" s="87"/>
      <c r="F110" s="87"/>
      <c r="G110" s="87"/>
      <c r="H110" s="87"/>
      <c r="I110" s="87"/>
      <c r="J110" s="88"/>
      <c r="K110" s="88"/>
      <c r="L110" s="88"/>
      <c r="M110" s="88"/>
      <c r="N110" s="88"/>
      <c r="O110" s="88"/>
      <c r="P110" s="88"/>
      <c r="Q110" s="88"/>
      <c r="R110" s="88"/>
      <c r="S110" s="88"/>
      <c r="T110" s="88"/>
      <c r="U110" s="88"/>
      <c r="V110" s="88"/>
      <c r="W110" s="88"/>
      <c r="X110" s="88"/>
      <c r="Y110" s="88"/>
      <c r="Z110" s="88"/>
      <c r="AA110" s="362"/>
      <c r="AB110" s="434"/>
      <c r="AC110" s="401"/>
      <c r="AD110" s="401"/>
      <c r="AE110" s="401"/>
      <c r="AF110" s="401"/>
      <c r="AG110" s="357"/>
      <c r="AH110" s="199">
        <f>SUM(J110:AA110)</f>
        <v>0</v>
      </c>
      <c r="AI110" s="130"/>
      <c r="AJ110" s="763"/>
      <c r="AK110" s="33"/>
      <c r="AL110" s="843"/>
      <c r="AM110" s="14">
        <v>80</v>
      </c>
      <c r="AN110" s="82"/>
      <c r="AO110" s="83"/>
    </row>
    <row r="111" spans="1:41" ht="25.5" hidden="1" x14ac:dyDescent="0.75">
      <c r="A111" s="664"/>
      <c r="B111" s="84" t="s">
        <v>391</v>
      </c>
      <c r="C111" s="85" t="s">
        <v>593</v>
      </c>
      <c r="D111" s="86"/>
      <c r="E111" s="87"/>
      <c r="F111" s="87"/>
      <c r="G111" s="87"/>
      <c r="H111" s="87"/>
      <c r="I111" s="87"/>
      <c r="J111" s="88"/>
      <c r="K111" s="88"/>
      <c r="L111" s="88"/>
      <c r="M111" s="88"/>
      <c r="N111" s="88"/>
      <c r="O111" s="88"/>
      <c r="P111" s="88"/>
      <c r="Q111" s="88"/>
      <c r="R111" s="88"/>
      <c r="S111" s="88"/>
      <c r="T111" s="88"/>
      <c r="U111" s="88"/>
      <c r="V111" s="88"/>
      <c r="W111" s="88"/>
      <c r="X111" s="88"/>
      <c r="Y111" s="88"/>
      <c r="Z111" s="88"/>
      <c r="AA111" s="362"/>
      <c r="AB111" s="434"/>
      <c r="AC111" s="401"/>
      <c r="AD111" s="401"/>
      <c r="AE111" s="401"/>
      <c r="AF111" s="401"/>
      <c r="AG111" s="357"/>
      <c r="AH111" s="199">
        <f t="shared" ref="AH111:AH114" si="20">SUM(J111:AA111)</f>
        <v>0</v>
      </c>
      <c r="AI111" s="130"/>
      <c r="AJ111" s="763"/>
      <c r="AK111" s="33"/>
      <c r="AL111" s="843"/>
      <c r="AM111" s="14">
        <v>81</v>
      </c>
      <c r="AN111" s="82"/>
      <c r="AO111" s="83"/>
    </row>
    <row r="112" spans="1:41" ht="25.5" hidden="1" x14ac:dyDescent="0.75">
      <c r="A112" s="664"/>
      <c r="B112" s="84" t="s">
        <v>392</v>
      </c>
      <c r="C112" s="85" t="s">
        <v>594</v>
      </c>
      <c r="D112" s="86"/>
      <c r="E112" s="87"/>
      <c r="F112" s="87"/>
      <c r="G112" s="87"/>
      <c r="H112" s="87"/>
      <c r="I112" s="87"/>
      <c r="J112" s="88"/>
      <c r="K112" s="88"/>
      <c r="L112" s="88"/>
      <c r="M112" s="88"/>
      <c r="N112" s="88"/>
      <c r="O112" s="88"/>
      <c r="P112" s="88"/>
      <c r="Q112" s="88"/>
      <c r="R112" s="88"/>
      <c r="S112" s="88"/>
      <c r="T112" s="88"/>
      <c r="U112" s="88"/>
      <c r="V112" s="88"/>
      <c r="W112" s="88"/>
      <c r="X112" s="88"/>
      <c r="Y112" s="88"/>
      <c r="Z112" s="88"/>
      <c r="AA112" s="362"/>
      <c r="AB112" s="434"/>
      <c r="AC112" s="401"/>
      <c r="AD112" s="401"/>
      <c r="AE112" s="401"/>
      <c r="AF112" s="401"/>
      <c r="AG112" s="357"/>
      <c r="AH112" s="199">
        <f t="shared" si="20"/>
        <v>0</v>
      </c>
      <c r="AI112" s="130"/>
      <c r="AJ112" s="763"/>
      <c r="AK112" s="33"/>
      <c r="AL112" s="843"/>
      <c r="AM112" s="14">
        <v>82</v>
      </c>
      <c r="AN112" s="82"/>
      <c r="AO112" s="83"/>
    </row>
    <row r="113" spans="1:41" ht="25.5" hidden="1" x14ac:dyDescent="0.75">
      <c r="A113" s="664"/>
      <c r="B113" s="84" t="s">
        <v>393</v>
      </c>
      <c r="C113" s="85" t="s">
        <v>595</v>
      </c>
      <c r="D113" s="86"/>
      <c r="E113" s="87"/>
      <c r="F113" s="87"/>
      <c r="G113" s="87"/>
      <c r="H113" s="87"/>
      <c r="I113" s="87"/>
      <c r="J113" s="88"/>
      <c r="K113" s="88"/>
      <c r="L113" s="88"/>
      <c r="M113" s="88"/>
      <c r="N113" s="88"/>
      <c r="O113" s="88"/>
      <c r="P113" s="88"/>
      <c r="Q113" s="88"/>
      <c r="R113" s="88"/>
      <c r="S113" s="88"/>
      <c r="T113" s="88"/>
      <c r="U113" s="88"/>
      <c r="V113" s="88"/>
      <c r="W113" s="88"/>
      <c r="X113" s="88"/>
      <c r="Y113" s="88"/>
      <c r="Z113" s="88"/>
      <c r="AA113" s="362"/>
      <c r="AB113" s="434"/>
      <c r="AC113" s="401"/>
      <c r="AD113" s="401"/>
      <c r="AE113" s="401"/>
      <c r="AF113" s="401"/>
      <c r="AG113" s="357"/>
      <c r="AH113" s="199">
        <f t="shared" si="20"/>
        <v>0</v>
      </c>
      <c r="AI113" s="130"/>
      <c r="AJ113" s="763"/>
      <c r="AK113" s="33"/>
      <c r="AL113" s="843"/>
      <c r="AM113" s="14">
        <v>83</v>
      </c>
      <c r="AN113" s="82"/>
      <c r="AO113" s="83"/>
    </row>
    <row r="114" spans="1:41" ht="25.9" hidden="1" thickBot="1" x14ac:dyDescent="0.8">
      <c r="A114" s="751"/>
      <c r="B114" s="96" t="s">
        <v>394</v>
      </c>
      <c r="C114" s="97" t="s">
        <v>596</v>
      </c>
      <c r="D114" s="152"/>
      <c r="E114" s="134"/>
      <c r="F114" s="134"/>
      <c r="G114" s="134"/>
      <c r="H114" s="134"/>
      <c r="I114" s="134"/>
      <c r="J114" s="135"/>
      <c r="K114" s="135"/>
      <c r="L114" s="135"/>
      <c r="M114" s="135"/>
      <c r="N114" s="135"/>
      <c r="O114" s="135"/>
      <c r="P114" s="135"/>
      <c r="Q114" s="135"/>
      <c r="R114" s="135"/>
      <c r="S114" s="135"/>
      <c r="T114" s="135"/>
      <c r="U114" s="135"/>
      <c r="V114" s="135"/>
      <c r="W114" s="135"/>
      <c r="X114" s="135"/>
      <c r="Y114" s="135"/>
      <c r="Z114" s="135"/>
      <c r="AA114" s="373"/>
      <c r="AB114" s="434"/>
      <c r="AC114" s="401"/>
      <c r="AD114" s="401"/>
      <c r="AE114" s="401"/>
      <c r="AF114" s="401"/>
      <c r="AG114" s="357"/>
      <c r="AH114" s="439">
        <f t="shared" si="20"/>
        <v>0</v>
      </c>
      <c r="AI114" s="130"/>
      <c r="AJ114" s="763"/>
      <c r="AK114" s="33"/>
      <c r="AL114" s="843"/>
      <c r="AM114" s="14">
        <v>84</v>
      </c>
      <c r="AN114" s="82"/>
      <c r="AO114" s="83"/>
    </row>
    <row r="115" spans="1:41" ht="25.5" x14ac:dyDescent="0.75">
      <c r="A115" s="636" t="s">
        <v>1136</v>
      </c>
      <c r="B115" s="616" t="s">
        <v>1137</v>
      </c>
      <c r="C115" s="617" t="s">
        <v>191</v>
      </c>
      <c r="D115" s="154"/>
      <c r="E115" s="110"/>
      <c r="F115" s="110"/>
      <c r="G115" s="110"/>
      <c r="H115" s="110"/>
      <c r="I115" s="110"/>
      <c r="J115" s="105"/>
      <c r="K115" s="105"/>
      <c r="L115" s="105"/>
      <c r="M115" s="105"/>
      <c r="N115" s="105"/>
      <c r="O115" s="105"/>
      <c r="P115" s="105"/>
      <c r="Q115" s="105"/>
      <c r="R115" s="105"/>
      <c r="S115" s="105"/>
      <c r="T115" s="105"/>
      <c r="U115" s="105"/>
      <c r="V115" s="105"/>
      <c r="W115" s="105"/>
      <c r="X115" s="105"/>
      <c r="Y115" s="105"/>
      <c r="Z115" s="105"/>
      <c r="AA115" s="365"/>
      <c r="AB115" s="434"/>
      <c r="AC115" s="401"/>
      <c r="AD115" s="401"/>
      <c r="AE115" s="401"/>
      <c r="AF115" s="401"/>
      <c r="AG115" s="357"/>
      <c r="AH115" s="214">
        <f t="shared" si="15"/>
        <v>0</v>
      </c>
      <c r="AI115" s="757" t="str">
        <f>CONCATENATE(IF(D116&gt;D115," * F02-07 for Age "&amp;D20&amp;" "&amp;D21&amp;" is more than F02-06"&amp;CHAR(10),""),IF(E116&gt;E115," * F02-07 for Age "&amp;D20&amp;" "&amp;E21&amp;" is more than F02-06"&amp;CHAR(10),""),IF(F116&gt;F115," * F02-07 for Age "&amp;F20&amp;" "&amp;F21&amp;" is more than F02-06"&amp;CHAR(10),""),IF(G116&gt;G115," * F02-07 for Age "&amp;F20&amp;" "&amp;G21&amp;" is more than F02-06"&amp;CHAR(10),""),IF(H116&gt;H115," * F02-07 for Age "&amp;H20&amp;" "&amp;H21&amp;" is more than F02-06"&amp;CHAR(10),""),IF(I116&gt;I115," * F02-07 for Age "&amp;H20&amp;" "&amp;I21&amp;" is more than F02-06"&amp;CHAR(10),""),IF(J116&gt;J115," * F02-07 for Age "&amp;J20&amp;" "&amp;J21&amp;" is more than F02-06"&amp;CHAR(10),""),IF(K116&gt;K115," * F02-07 for Age "&amp;J20&amp;" "&amp;K21&amp;" is more than F02-06"&amp;CHAR(10),""),IF(L116&gt;L115," * F02-07 for Age "&amp;L20&amp;" "&amp;L21&amp;" is more than F02-06"&amp;CHAR(10),""),IF(M116&gt;M115," * F02-07 for Age "&amp;L20&amp;" "&amp;M21&amp;" is more than F02-06"&amp;CHAR(10),""),IF(N116&gt;N115," * F02-07 for Age "&amp;N20&amp;" "&amp;N21&amp;" is more than F02-06"&amp;CHAR(10),""),IF(O116&gt;O115," * F02-07 for Age "&amp;N20&amp;" "&amp;O21&amp;" is more than F02-06"&amp;CHAR(10),""),IF(P116&gt;P115," * F02-07 for Age "&amp;P20&amp;" "&amp;P21&amp;" is more than F02-06"&amp;CHAR(10),""),IF(Q116&gt;Q115," * F02-07 for Age "&amp;P20&amp;" "&amp;Q21&amp;" is more than F02-06"&amp;CHAR(10),""),IF(R116&gt;R115," * F02-07 for Age "&amp;R20&amp;" "&amp;R21&amp;" is more than F02-06"&amp;CHAR(10),""),IF(S116&gt;S115," * F02-07 for Age "&amp;R20&amp;" "&amp;S21&amp;" is more than F02-06"&amp;CHAR(10),""),IF(T116&gt;T115," * F02-07 for Age "&amp;T20&amp;" "&amp;T21&amp;" is more than F02-06"&amp;CHAR(10),""),IF(U116&gt;U115," * F02-07 for Age "&amp;T20&amp;" "&amp;U21&amp;" is more than F02-06"&amp;CHAR(10),""),IF(V116&gt;V115," * F02-07 for Age "&amp;V20&amp;" "&amp;V21&amp;" is more than F02-06"&amp;CHAR(10),""),IF(W116&gt;W115," * F02-07 for Age "&amp;V20&amp;" "&amp;W21&amp;" is more than F02-06"&amp;CHAR(10),""),IF(X116&gt;X115," * F02-07 for Age "&amp;X20&amp;" "&amp;X21&amp;" is more than F02-06"&amp;CHAR(10),""),IF(Y116&gt;Y115," * F02-07 for Age "&amp;X20&amp;" "&amp;Y21&amp;" is more than F02-06"&amp;CHAR(10),""),IF(Z116&gt;Z115," * F02-07 for Age "&amp;Z20&amp;" "&amp;Z21&amp;" is more than F02-06"&amp;CHAR(10),""),IF(AA116&gt;AA115," * F02-07 for Age "&amp;Z20&amp;" "&amp;AA21&amp;" is more than F02-06"&amp;CHAR(10),""),IF(AH116&gt;AH115," * Total F02-07 is more than Total F02-06"&amp;CHAR(10),""))</f>
        <v/>
      </c>
      <c r="AJ115" s="763"/>
      <c r="AK115" s="33"/>
      <c r="AL115" s="843"/>
      <c r="AM115" s="14">
        <v>85</v>
      </c>
      <c r="AN115" s="82"/>
      <c r="AO115" s="83"/>
    </row>
    <row r="116" spans="1:41" ht="25.9" thickBot="1" x14ac:dyDescent="0.8">
      <c r="A116" s="670"/>
      <c r="B116" s="457" t="s">
        <v>1138</v>
      </c>
      <c r="C116" s="189" t="s">
        <v>192</v>
      </c>
      <c r="D116" s="155"/>
      <c r="E116" s="87"/>
      <c r="F116" s="87"/>
      <c r="G116" s="87"/>
      <c r="H116" s="87"/>
      <c r="I116" s="87"/>
      <c r="J116" s="88"/>
      <c r="K116" s="88"/>
      <c r="L116" s="88"/>
      <c r="M116" s="88"/>
      <c r="N116" s="88"/>
      <c r="O116" s="88"/>
      <c r="P116" s="88"/>
      <c r="Q116" s="88"/>
      <c r="R116" s="88"/>
      <c r="S116" s="88"/>
      <c r="T116" s="88"/>
      <c r="U116" s="88"/>
      <c r="V116" s="88"/>
      <c r="W116" s="88"/>
      <c r="X116" s="88"/>
      <c r="Y116" s="88"/>
      <c r="Z116" s="88"/>
      <c r="AA116" s="362"/>
      <c r="AB116" s="434"/>
      <c r="AC116" s="401"/>
      <c r="AD116" s="401"/>
      <c r="AE116" s="401"/>
      <c r="AF116" s="401"/>
      <c r="AG116" s="357"/>
      <c r="AH116" s="199">
        <f t="shared" si="15"/>
        <v>0</v>
      </c>
      <c r="AI116" s="757"/>
      <c r="AJ116" s="763"/>
      <c r="AK116" s="33"/>
      <c r="AL116" s="843"/>
      <c r="AM116" s="14">
        <v>86</v>
      </c>
      <c r="AN116" s="82"/>
      <c r="AO116" s="83"/>
    </row>
    <row r="117" spans="1:41" ht="25.9" hidden="1" thickBot="1" x14ac:dyDescent="0.8">
      <c r="A117" s="637"/>
      <c r="B117" s="132" t="s">
        <v>659</v>
      </c>
      <c r="C117" s="156" t="s">
        <v>353</v>
      </c>
      <c r="D117" s="133"/>
      <c r="E117" s="113"/>
      <c r="F117" s="113"/>
      <c r="G117" s="113"/>
      <c r="H117" s="113"/>
      <c r="I117" s="113"/>
      <c r="J117" s="100"/>
      <c r="K117" s="100"/>
      <c r="L117" s="100"/>
      <c r="M117" s="100"/>
      <c r="N117" s="100"/>
      <c r="O117" s="100"/>
      <c r="P117" s="100"/>
      <c r="Q117" s="100"/>
      <c r="R117" s="100"/>
      <c r="S117" s="100"/>
      <c r="T117" s="100"/>
      <c r="U117" s="100"/>
      <c r="V117" s="100"/>
      <c r="W117" s="100"/>
      <c r="X117" s="100"/>
      <c r="Y117" s="100"/>
      <c r="Z117" s="100"/>
      <c r="AA117" s="364"/>
      <c r="AB117" s="434"/>
      <c r="AC117" s="401"/>
      <c r="AD117" s="401"/>
      <c r="AE117" s="401"/>
      <c r="AF117" s="401"/>
      <c r="AG117" s="357"/>
      <c r="AH117" s="218">
        <f t="shared" si="15"/>
        <v>0</v>
      </c>
      <c r="AI117" s="130" t="str">
        <f>CONCATENATE(IF(D107&lt;SUM(D117,D115)," * Sum of Tested For HIV while on Prep_CT for Age "&amp;D90&amp;" "&amp;D91&amp;" is more than Prep_CT"&amp;CHAR(10),""),IF(E107&lt;SUM(E117,E115)," * Sum of Tested For HIV while on Prep_CT  for Age "&amp;D90&amp;" "&amp;E91&amp;" is more than Prep_CT"&amp;CHAR(10),""),IF(F107&lt;SUM(F117,F115)," * Sum of Tested For HIV while on Prep_CT  for Age "&amp;F90&amp;" "&amp;F91&amp;" is more than Prep_CT"&amp;CHAR(10),""),IF(G107&lt;SUM(G117,G115)," * Sum of Tested For HIV while on Prep_CT  for Age "&amp;F90&amp;" "&amp;G91&amp;" is more than Prep_CT"&amp;CHAR(10),""),IF(H107&lt;SUM(H117,H115)," * Sum of Tested For HIV while on Prep_CT  for Age "&amp;H90&amp;" "&amp;H91&amp;" is more than Prep_CT"&amp;CHAR(10),""),IF(I107&lt;SUM(I117,I115)," * Sum of Tested For HIV while on Prep_CT  for Age "&amp;H90&amp;" "&amp;I91&amp;" is more than Prep_CT"&amp;CHAR(10),""),IF(J107&lt;SUM(J117,J115)," * Sum of Tested For HIV while on Prep_CT  for Age "&amp;J90&amp;" "&amp;J91&amp;" is more than Prep_CT"&amp;CHAR(10),""),IF(K107&lt;SUM(K117,K115)," * Sum of Tested For HIV while on Prep_CT  for Age "&amp;J90&amp;" "&amp;K91&amp;" is more than Prep_CT"&amp;CHAR(10),""),IF(L107&lt;SUM(L117,L115)," * Sum of Tested For HIV while on Prep_CT  for Age "&amp;L90&amp;" "&amp;L91&amp;" is more than Prep_CT"&amp;CHAR(10),""),IF(M107&lt;SUM(M117,M115)," * Sum of Tested For HIV while on Prep_CT  for Age "&amp;L90&amp;" "&amp;M91&amp;" is more than Prep_CT"&amp;CHAR(10),""),IF(N107&lt;SUM(N117,N115)," * Sum of Tested For HIV while on Prep_CT  for Age "&amp;N90&amp;" "&amp;N91&amp;" is more than Prep_CT"&amp;CHAR(10),""),IF(O107&lt;SUM(O117,O115)," * Sum of Tested For HIV while on Prep_CT  for Age "&amp;N90&amp;" "&amp;O91&amp;" is more than Prep_CT"&amp;CHAR(10),""),IF(P107&lt;SUM(P117,P115)," * Sum of Tested For HIV while on Prep_CT  for Age "&amp;P90&amp;" "&amp;P91&amp;" is more than Prep_CT"&amp;CHAR(10),""),IF(Q107&lt;SUM(Q117,Q115)," * Sum of Tested For HIV while on Prep_CT  for Age "&amp;P90&amp;" "&amp;Q91&amp;" is more than Prep_CT"&amp;CHAR(10),""),IF(R107&lt;SUM(R117,R115)," * Sum of Tested For HIV while on Prep_CT  for Age "&amp;R90&amp;" "&amp;R91&amp;" is more than Prep_CT"&amp;CHAR(10),""),IF(S107&lt;SUM(S117,S115)," * Sum of Tested For HIV while on Prep_CT  for Age "&amp;R90&amp;" "&amp;S91&amp;" is more than Prep_CT"&amp;CHAR(10),""),IF(T107&lt;SUM(T117,T115)," * Sum of Tested For HIV while on Prep_CT  for Age "&amp;T90&amp;" "&amp;T91&amp;" is more than Prep_CT"&amp;CHAR(10),""),IF(U107&lt;SUM(U8,U115)," * Sum of Tested For HIV while on Prep_CT  for Age "&amp;T90&amp;" "&amp;U91&amp;" is more than Prep_CT"&amp;CHAR(10),""),IF(V107&lt;SUM(V117,V115)," * Sum of Tested For HIV while on Prep_CT  for Age "&amp;V90&amp;" "&amp;V91&amp;" is more than Prep_CT"&amp;CHAR(10),""),IF(W107&lt;SUM(W117,W115)," * Sum of Tested For HIV while on Prep_CT  for Age "&amp;V90&amp;" "&amp;W91&amp;" is more than Prep_CT"&amp;CHAR(10),""),IF(X107&lt;SUM(X117,X115)," * Sum of Tested For HIV while on Prep_CT  for Age "&amp;X90&amp;" "&amp;X91&amp;" is more than Prep_CT"&amp;CHAR(10),""),IF(Y107&lt;SUM(Y117,Y115)," * Sum of Tested For HIV while on Prep_CT  for Age "&amp;X90&amp;" "&amp;Y91&amp;" is more than Prep_CT"&amp;CHAR(10),""),IF(Z107&lt;SUM(Z117,Z115)," * Sum of Tested For HIV while on Prep_CT  for Age "&amp;Z90&amp;" "&amp;Z91&amp;" is more than Prep_CT"&amp;CHAR(10),""),IF(AA107&lt;SUM(AA117,AA115)," * Sum of Tested For HIV while on Prep_CT  for Age "&amp;Z90&amp;" "&amp;AA91&amp;" is more than Prep_CT"&amp;CHAR(10),""))</f>
        <v/>
      </c>
      <c r="AJ117" s="763"/>
      <c r="AK117" s="33"/>
      <c r="AL117" s="843"/>
      <c r="AM117" s="14">
        <v>87</v>
      </c>
      <c r="AN117" s="82"/>
      <c r="AO117" s="83"/>
    </row>
    <row r="118" spans="1:41" ht="25.5" x14ac:dyDescent="0.75">
      <c r="A118" s="636" t="s">
        <v>21</v>
      </c>
      <c r="B118" s="102" t="s">
        <v>660</v>
      </c>
      <c r="C118" s="77" t="s">
        <v>354</v>
      </c>
      <c r="D118" s="109"/>
      <c r="E118" s="110"/>
      <c r="F118" s="110"/>
      <c r="G118" s="110"/>
      <c r="H118" s="110"/>
      <c r="I118" s="110"/>
      <c r="J118" s="105"/>
      <c r="K118" s="105"/>
      <c r="L118" s="105"/>
      <c r="M118" s="105"/>
      <c r="N118" s="105"/>
      <c r="O118" s="105"/>
      <c r="P118" s="105"/>
      <c r="Q118" s="105"/>
      <c r="R118" s="105"/>
      <c r="S118" s="105"/>
      <c r="T118" s="105"/>
      <c r="U118" s="105"/>
      <c r="V118" s="105"/>
      <c r="W118" s="105"/>
      <c r="X118" s="105"/>
      <c r="Y118" s="105"/>
      <c r="Z118" s="105"/>
      <c r="AA118" s="365"/>
      <c r="AB118" s="434"/>
      <c r="AC118" s="401"/>
      <c r="AD118" s="401"/>
      <c r="AE118" s="401"/>
      <c r="AF118" s="401"/>
      <c r="AG118" s="357"/>
      <c r="AH118" s="214">
        <f t="shared" si="15"/>
        <v>0</v>
      </c>
      <c r="AI118" s="130"/>
      <c r="AJ118" s="763"/>
      <c r="AK118" s="33"/>
      <c r="AL118" s="843"/>
      <c r="AM118" s="14">
        <v>88</v>
      </c>
      <c r="AN118" s="82"/>
      <c r="AO118" s="83"/>
    </row>
    <row r="119" spans="1:41" ht="25.5" x14ac:dyDescent="0.75">
      <c r="A119" s="670"/>
      <c r="B119" s="84" t="s">
        <v>1017</v>
      </c>
      <c r="C119" s="85" t="s">
        <v>355</v>
      </c>
      <c r="D119" s="86"/>
      <c r="E119" s="87"/>
      <c r="F119" s="87"/>
      <c r="G119" s="87"/>
      <c r="H119" s="87"/>
      <c r="I119" s="87"/>
      <c r="J119" s="88"/>
      <c r="K119" s="88"/>
      <c r="L119" s="88"/>
      <c r="M119" s="88"/>
      <c r="N119" s="88"/>
      <c r="O119" s="88"/>
      <c r="P119" s="88"/>
      <c r="Q119" s="88"/>
      <c r="R119" s="88"/>
      <c r="S119" s="88"/>
      <c r="T119" s="88"/>
      <c r="U119" s="88"/>
      <c r="V119" s="88"/>
      <c r="W119" s="88"/>
      <c r="X119" s="88"/>
      <c r="Y119" s="88"/>
      <c r="Z119" s="88"/>
      <c r="AA119" s="362"/>
      <c r="AB119" s="434"/>
      <c r="AC119" s="401"/>
      <c r="AD119" s="401"/>
      <c r="AE119" s="401"/>
      <c r="AF119" s="401"/>
      <c r="AG119" s="357"/>
      <c r="AH119" s="199">
        <f t="shared" si="15"/>
        <v>0</v>
      </c>
      <c r="AI119" s="130"/>
      <c r="AJ119" s="763"/>
      <c r="AK119" s="33"/>
      <c r="AL119" s="843"/>
      <c r="AM119" s="14">
        <v>89</v>
      </c>
      <c r="AN119" s="82"/>
      <c r="AO119" s="83"/>
    </row>
    <row r="120" spans="1:41" ht="25.5" x14ac:dyDescent="0.75">
      <c r="A120" s="670"/>
      <c r="B120" s="132" t="s">
        <v>661</v>
      </c>
      <c r="C120" s="85" t="s">
        <v>194</v>
      </c>
      <c r="D120" s="86"/>
      <c r="E120" s="87"/>
      <c r="F120" s="87"/>
      <c r="G120" s="87"/>
      <c r="H120" s="87"/>
      <c r="I120" s="87"/>
      <c r="J120" s="88"/>
      <c r="K120" s="88"/>
      <c r="L120" s="88"/>
      <c r="M120" s="88"/>
      <c r="N120" s="88"/>
      <c r="O120" s="88"/>
      <c r="P120" s="88"/>
      <c r="Q120" s="88"/>
      <c r="R120" s="88"/>
      <c r="S120" s="88"/>
      <c r="T120" s="88"/>
      <c r="U120" s="88"/>
      <c r="V120" s="88"/>
      <c r="W120" s="88"/>
      <c r="X120" s="88"/>
      <c r="Y120" s="88"/>
      <c r="Z120" s="88"/>
      <c r="AA120" s="362"/>
      <c r="AB120" s="434"/>
      <c r="AC120" s="401"/>
      <c r="AD120" s="401"/>
      <c r="AE120" s="401"/>
      <c r="AF120" s="401"/>
      <c r="AG120" s="357"/>
      <c r="AH120" s="199">
        <f t="shared" si="15"/>
        <v>0</v>
      </c>
      <c r="AI120" s="130"/>
      <c r="AJ120" s="763"/>
      <c r="AK120" s="33"/>
      <c r="AL120" s="843"/>
      <c r="AM120" s="14">
        <v>90</v>
      </c>
      <c r="AN120" s="82"/>
      <c r="AO120" s="83"/>
    </row>
    <row r="121" spans="1:41" ht="25.5" x14ac:dyDescent="0.75">
      <c r="A121" s="670"/>
      <c r="B121" s="612" t="s">
        <v>662</v>
      </c>
      <c r="C121" s="85" t="s">
        <v>195</v>
      </c>
      <c r="D121" s="86"/>
      <c r="E121" s="87"/>
      <c r="F121" s="87"/>
      <c r="G121" s="87"/>
      <c r="H121" s="87"/>
      <c r="I121" s="87"/>
      <c r="J121" s="88"/>
      <c r="K121" s="88"/>
      <c r="L121" s="88"/>
      <c r="M121" s="88"/>
      <c r="N121" s="88"/>
      <c r="O121" s="88"/>
      <c r="P121" s="88"/>
      <c r="Q121" s="88"/>
      <c r="R121" s="88"/>
      <c r="S121" s="88"/>
      <c r="T121" s="88"/>
      <c r="U121" s="88"/>
      <c r="V121" s="88"/>
      <c r="W121" s="88"/>
      <c r="X121" s="88"/>
      <c r="Y121" s="88"/>
      <c r="Z121" s="88"/>
      <c r="AA121" s="362"/>
      <c r="AB121" s="434"/>
      <c r="AC121" s="401"/>
      <c r="AD121" s="401"/>
      <c r="AE121" s="401"/>
      <c r="AF121" s="401"/>
      <c r="AG121" s="357"/>
      <c r="AH121" s="199">
        <f t="shared" si="15"/>
        <v>0</v>
      </c>
      <c r="AI121" s="130"/>
      <c r="AJ121" s="763"/>
      <c r="AK121" s="33"/>
      <c r="AL121" s="843"/>
      <c r="AM121" s="14">
        <v>91</v>
      </c>
      <c r="AN121" s="82"/>
      <c r="AO121" s="83"/>
    </row>
    <row r="122" spans="1:41" ht="25.5" x14ac:dyDescent="0.75">
      <c r="A122" s="670"/>
      <c r="B122" s="84" t="s">
        <v>663</v>
      </c>
      <c r="C122" s="85" t="s">
        <v>196</v>
      </c>
      <c r="D122" s="86"/>
      <c r="E122" s="87"/>
      <c r="F122" s="87"/>
      <c r="G122" s="87"/>
      <c r="H122" s="87"/>
      <c r="I122" s="87"/>
      <c r="J122" s="88"/>
      <c r="K122" s="88"/>
      <c r="L122" s="88"/>
      <c r="M122" s="88"/>
      <c r="N122" s="88"/>
      <c r="O122" s="88"/>
      <c r="P122" s="88"/>
      <c r="Q122" s="88"/>
      <c r="R122" s="88"/>
      <c r="S122" s="88"/>
      <c r="T122" s="88"/>
      <c r="U122" s="88"/>
      <c r="V122" s="88"/>
      <c r="W122" s="88"/>
      <c r="X122" s="88"/>
      <c r="Y122" s="88"/>
      <c r="Z122" s="88"/>
      <c r="AA122" s="362"/>
      <c r="AB122" s="434"/>
      <c r="AC122" s="401"/>
      <c r="AD122" s="401"/>
      <c r="AE122" s="401"/>
      <c r="AF122" s="401"/>
      <c r="AG122" s="357"/>
      <c r="AH122" s="199">
        <f t="shared" si="15"/>
        <v>0</v>
      </c>
      <c r="AI122" s="130"/>
      <c r="AJ122" s="763"/>
      <c r="AK122" s="33"/>
      <c r="AL122" s="843"/>
      <c r="AM122" s="14">
        <v>92</v>
      </c>
      <c r="AN122" s="82"/>
      <c r="AO122" s="83"/>
    </row>
    <row r="123" spans="1:41" ht="25.5" x14ac:dyDescent="0.75">
      <c r="A123" s="670"/>
      <c r="B123" s="84" t="s">
        <v>664</v>
      </c>
      <c r="C123" s="85" t="s">
        <v>197</v>
      </c>
      <c r="D123" s="86"/>
      <c r="E123" s="87"/>
      <c r="F123" s="87"/>
      <c r="G123" s="87"/>
      <c r="H123" s="87"/>
      <c r="I123" s="87"/>
      <c r="J123" s="88"/>
      <c r="K123" s="88"/>
      <c r="L123" s="88"/>
      <c r="M123" s="88"/>
      <c r="N123" s="88"/>
      <c r="O123" s="88"/>
      <c r="P123" s="88"/>
      <c r="Q123" s="88"/>
      <c r="R123" s="88"/>
      <c r="S123" s="88"/>
      <c r="T123" s="88"/>
      <c r="U123" s="88"/>
      <c r="V123" s="88"/>
      <c r="W123" s="88"/>
      <c r="X123" s="88"/>
      <c r="Y123" s="88"/>
      <c r="Z123" s="88"/>
      <c r="AA123" s="362"/>
      <c r="AB123" s="434"/>
      <c r="AC123" s="401"/>
      <c r="AD123" s="401"/>
      <c r="AE123" s="401"/>
      <c r="AF123" s="401"/>
      <c r="AG123" s="357"/>
      <c r="AH123" s="199">
        <f t="shared" si="15"/>
        <v>0</v>
      </c>
      <c r="AI123" s="130"/>
      <c r="AJ123" s="763"/>
      <c r="AK123" s="33"/>
      <c r="AL123" s="843"/>
      <c r="AM123" s="14">
        <v>93</v>
      </c>
      <c r="AN123" s="82"/>
      <c r="AO123" s="83"/>
    </row>
    <row r="124" spans="1:41" ht="25.9" thickBot="1" x14ac:dyDescent="0.8">
      <c r="A124" s="637"/>
      <c r="B124" s="96" t="s">
        <v>665</v>
      </c>
      <c r="C124" s="97" t="s">
        <v>198</v>
      </c>
      <c r="D124" s="114"/>
      <c r="E124" s="113"/>
      <c r="F124" s="113"/>
      <c r="G124" s="113"/>
      <c r="H124" s="113"/>
      <c r="I124" s="113"/>
      <c r="J124" s="100"/>
      <c r="K124" s="100"/>
      <c r="L124" s="100"/>
      <c r="M124" s="100"/>
      <c r="N124" s="100"/>
      <c r="O124" s="100"/>
      <c r="P124" s="100"/>
      <c r="Q124" s="100"/>
      <c r="R124" s="100"/>
      <c r="S124" s="100"/>
      <c r="T124" s="100"/>
      <c r="U124" s="100"/>
      <c r="V124" s="100"/>
      <c r="W124" s="100"/>
      <c r="X124" s="100"/>
      <c r="Y124" s="100"/>
      <c r="Z124" s="100"/>
      <c r="AA124" s="364"/>
      <c r="AB124" s="434"/>
      <c r="AC124" s="401"/>
      <c r="AD124" s="401"/>
      <c r="AE124" s="401"/>
      <c r="AF124" s="401"/>
      <c r="AG124" s="357"/>
      <c r="AH124" s="218">
        <f t="shared" si="15"/>
        <v>0</v>
      </c>
      <c r="AI124" s="130"/>
      <c r="AJ124" s="763"/>
      <c r="AK124" s="33"/>
      <c r="AL124" s="843"/>
      <c r="AM124" s="14">
        <v>94</v>
      </c>
      <c r="AN124" s="82"/>
      <c r="AO124" s="83"/>
    </row>
    <row r="125" spans="1:41" ht="25.5" x14ac:dyDescent="0.75">
      <c r="A125" s="636" t="s">
        <v>114</v>
      </c>
      <c r="B125" s="157" t="s">
        <v>666</v>
      </c>
      <c r="C125" s="77" t="s">
        <v>356</v>
      </c>
      <c r="D125" s="109"/>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367"/>
      <c r="AB125" s="434"/>
      <c r="AC125" s="401"/>
      <c r="AD125" s="401"/>
      <c r="AE125" s="401"/>
      <c r="AF125" s="401"/>
      <c r="AG125" s="357"/>
      <c r="AH125" s="440"/>
      <c r="AI125" s="130"/>
      <c r="AJ125" s="763"/>
      <c r="AK125" s="33"/>
      <c r="AL125" s="843"/>
      <c r="AM125" s="14">
        <v>95</v>
      </c>
      <c r="AN125" s="82"/>
      <c r="AO125" s="83"/>
    </row>
    <row r="126" spans="1:41" ht="25.9" thickBot="1" x14ac:dyDescent="0.8">
      <c r="A126" s="834"/>
      <c r="B126" s="158" t="s">
        <v>667</v>
      </c>
      <c r="C126" s="97" t="s">
        <v>357</v>
      </c>
      <c r="D126" s="152"/>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378"/>
      <c r="AB126" s="435"/>
      <c r="AC126" s="436"/>
      <c r="AD126" s="436"/>
      <c r="AE126" s="436"/>
      <c r="AF126" s="436"/>
      <c r="AG126" s="358"/>
      <c r="AH126" s="441"/>
      <c r="AI126" s="136"/>
      <c r="AJ126" s="764"/>
      <c r="AK126" s="137"/>
      <c r="AL126" s="844"/>
      <c r="AM126" s="14">
        <v>96</v>
      </c>
      <c r="AN126" s="82"/>
      <c r="AO126" s="83"/>
    </row>
    <row r="127" spans="1:41" ht="25.9" thickBot="1" x14ac:dyDescent="0.8">
      <c r="A127" s="691" t="s">
        <v>975</v>
      </c>
      <c r="B127" s="692"/>
      <c r="C127" s="692"/>
      <c r="D127" s="692"/>
      <c r="E127" s="692"/>
      <c r="F127" s="692"/>
      <c r="G127" s="692"/>
      <c r="H127" s="692"/>
      <c r="I127" s="692"/>
      <c r="J127" s="692"/>
      <c r="K127" s="692"/>
      <c r="L127" s="692"/>
      <c r="M127" s="692"/>
      <c r="N127" s="692"/>
      <c r="O127" s="692"/>
      <c r="P127" s="692"/>
      <c r="Q127" s="692"/>
      <c r="R127" s="692"/>
      <c r="S127" s="692"/>
      <c r="T127" s="692"/>
      <c r="U127" s="692"/>
      <c r="V127" s="692"/>
      <c r="W127" s="692"/>
      <c r="X127" s="692"/>
      <c r="Y127" s="692"/>
      <c r="Z127" s="692"/>
      <c r="AA127" s="692"/>
      <c r="AB127" s="693"/>
      <c r="AC127" s="693"/>
      <c r="AD127" s="693"/>
      <c r="AE127" s="693"/>
      <c r="AF127" s="693"/>
      <c r="AG127" s="693"/>
      <c r="AH127" s="692"/>
      <c r="AI127" s="692"/>
      <c r="AJ127" s="692"/>
      <c r="AK127" s="692"/>
      <c r="AL127" s="694"/>
      <c r="AM127" s="14">
        <v>97</v>
      </c>
      <c r="AN127" s="82"/>
      <c r="AO127" s="83"/>
    </row>
    <row r="128" spans="1:41" ht="26.25" customHeight="1" x14ac:dyDescent="0.75">
      <c r="A128" s="749" t="s">
        <v>37</v>
      </c>
      <c r="B128" s="768" t="s">
        <v>346</v>
      </c>
      <c r="C128" s="754" t="s">
        <v>327</v>
      </c>
      <c r="D128" s="669" t="s">
        <v>0</v>
      </c>
      <c r="E128" s="669"/>
      <c r="F128" s="669" t="s">
        <v>1</v>
      </c>
      <c r="G128" s="669"/>
      <c r="H128" s="669" t="s">
        <v>2</v>
      </c>
      <c r="I128" s="669"/>
      <c r="J128" s="669" t="s">
        <v>3</v>
      </c>
      <c r="K128" s="669"/>
      <c r="L128" s="669" t="s">
        <v>4</v>
      </c>
      <c r="M128" s="669"/>
      <c r="N128" s="669" t="s">
        <v>5</v>
      </c>
      <c r="O128" s="669"/>
      <c r="P128" s="669" t="s">
        <v>6</v>
      </c>
      <c r="Q128" s="669"/>
      <c r="R128" s="669" t="s">
        <v>7</v>
      </c>
      <c r="S128" s="669"/>
      <c r="T128" s="669" t="s">
        <v>8</v>
      </c>
      <c r="U128" s="669"/>
      <c r="V128" s="669" t="s">
        <v>23</v>
      </c>
      <c r="W128" s="669"/>
      <c r="X128" s="669" t="s">
        <v>24</v>
      </c>
      <c r="Y128" s="669"/>
      <c r="Z128" s="669" t="s">
        <v>9</v>
      </c>
      <c r="AA128" s="669"/>
      <c r="AB128" s="858"/>
      <c r="AC128" s="859"/>
      <c r="AD128" s="859"/>
      <c r="AE128" s="859"/>
      <c r="AF128" s="859"/>
      <c r="AG128" s="860"/>
      <c r="AH128" s="804" t="s">
        <v>19</v>
      </c>
      <c r="AI128" s="786" t="s">
        <v>380</v>
      </c>
      <c r="AJ128" s="801" t="s">
        <v>386</v>
      </c>
      <c r="AK128" s="784" t="s">
        <v>387</v>
      </c>
      <c r="AL128" s="814" t="s">
        <v>387</v>
      </c>
      <c r="AM128" s="14">
        <v>98</v>
      </c>
      <c r="AN128" s="82"/>
      <c r="AO128" s="83"/>
    </row>
    <row r="129" spans="1:41" ht="27" customHeight="1" thickBot="1" x14ac:dyDescent="0.8">
      <c r="A129" s="750"/>
      <c r="B129" s="796"/>
      <c r="C129" s="755"/>
      <c r="D129" s="75" t="s">
        <v>10</v>
      </c>
      <c r="E129" s="75" t="s">
        <v>11</v>
      </c>
      <c r="F129" s="75" t="s">
        <v>10</v>
      </c>
      <c r="G129" s="75" t="s">
        <v>11</v>
      </c>
      <c r="H129" s="75" t="s">
        <v>10</v>
      </c>
      <c r="I129" s="75" t="s">
        <v>11</v>
      </c>
      <c r="J129" s="75" t="s">
        <v>10</v>
      </c>
      <c r="K129" s="75" t="s">
        <v>11</v>
      </c>
      <c r="L129" s="75" t="s">
        <v>10</v>
      </c>
      <c r="M129" s="75" t="s">
        <v>11</v>
      </c>
      <c r="N129" s="75" t="s">
        <v>10</v>
      </c>
      <c r="O129" s="75" t="s">
        <v>11</v>
      </c>
      <c r="P129" s="75" t="s">
        <v>10</v>
      </c>
      <c r="Q129" s="75" t="s">
        <v>11</v>
      </c>
      <c r="R129" s="75" t="s">
        <v>10</v>
      </c>
      <c r="S129" s="75" t="s">
        <v>11</v>
      </c>
      <c r="T129" s="75" t="s">
        <v>10</v>
      </c>
      <c r="U129" s="75" t="s">
        <v>11</v>
      </c>
      <c r="V129" s="75" t="s">
        <v>10</v>
      </c>
      <c r="W129" s="75" t="s">
        <v>11</v>
      </c>
      <c r="X129" s="75" t="s">
        <v>10</v>
      </c>
      <c r="Y129" s="75" t="s">
        <v>11</v>
      </c>
      <c r="Z129" s="75" t="s">
        <v>10</v>
      </c>
      <c r="AA129" s="75" t="s">
        <v>11</v>
      </c>
      <c r="AB129" s="430"/>
      <c r="AC129" s="417"/>
      <c r="AD129" s="417"/>
      <c r="AE129" s="417"/>
      <c r="AF129" s="417"/>
      <c r="AG129" s="431"/>
      <c r="AH129" s="805"/>
      <c r="AI129" s="787"/>
      <c r="AJ129" s="773"/>
      <c r="AK129" s="784"/>
      <c r="AL129" s="815"/>
      <c r="AM129" s="14">
        <v>99</v>
      </c>
      <c r="AN129" s="82"/>
      <c r="AO129" s="83"/>
    </row>
    <row r="130" spans="1:41" s="67" customFormat="1" ht="25.5" x14ac:dyDescent="0.75">
      <c r="A130" s="827" t="s">
        <v>974</v>
      </c>
      <c r="B130" s="76" t="s">
        <v>1018</v>
      </c>
      <c r="C130" s="77" t="s">
        <v>212</v>
      </c>
      <c r="D130" s="159"/>
      <c r="E130" s="80"/>
      <c r="F130" s="80"/>
      <c r="G130" s="80"/>
      <c r="H130" s="80"/>
      <c r="I130" s="80"/>
      <c r="J130" s="80"/>
      <c r="K130" s="80"/>
      <c r="L130" s="80"/>
      <c r="M130" s="80"/>
      <c r="N130" s="80"/>
      <c r="O130" s="80"/>
      <c r="P130" s="80"/>
      <c r="Q130" s="80"/>
      <c r="R130" s="80"/>
      <c r="S130" s="80"/>
      <c r="T130" s="80"/>
      <c r="U130" s="80"/>
      <c r="V130" s="80"/>
      <c r="W130" s="80"/>
      <c r="X130" s="80"/>
      <c r="Y130" s="80"/>
      <c r="Z130" s="80"/>
      <c r="AA130" s="361"/>
      <c r="AB130" s="432"/>
      <c r="AC130" s="433"/>
      <c r="AD130" s="433"/>
      <c r="AE130" s="433"/>
      <c r="AF130" s="433"/>
      <c r="AG130" s="360"/>
      <c r="AH130" s="55">
        <f>SUM(D130:AA130)</f>
        <v>0</v>
      </c>
      <c r="AI130" s="160" t="str">
        <f>CONCATENATE(IF(D130&lt;&gt;SUM(D132,D134,D136,D138,D140)," *  Iniated On IPT New ON ART for Age "&amp;D20&amp;" "&amp;D21&amp;" is not equal to the sum of  Completed IPT New on ART+ Discontinued New on ART + LTFU New on ART + Died New on ART + Transferred Out New on ART)"&amp;CHAR(10),""),IF(E130&lt;&gt;SUM(E132,E134,E136,E138,E140)," *  Iniated On IPT New ON ART for Age "&amp;D20&amp;" "&amp;E21&amp;" is not equal to the sum of F03-03+F03-05+F03-07+F03-09+F03-11"&amp;CHAR(10),""),IF(F130&lt;&gt;SUM(F132,F134,F136,F138,F140)," *  Iniated On IPT New ON ART for Age "&amp;F20&amp;" "&amp;F21&amp;" is not equal to the sum of  Completed IPT New on ART+ Discontinued New on ART + LTFU New on ART + Died New on ART + Transferred Out New on ART)"&amp;CHAR(10),""),IF(G130&lt;&gt;SUM(G132,G134,G136,G138,G140)," *  Iniated On IPT New ON ART for Age "&amp;F20&amp;" "&amp;G21&amp;" is not equal to the sum of F03-03+F03-05+F03-07+F03-09+F03-11"&amp;CHAR(10),""),IF(H130&lt;&gt;SUM(H132,H134,H136,H138,H140)," *  Iniated On IPT New ON ART for Age "&amp;H20&amp;" "&amp;H21&amp;" is not equal to the sum of  Completed IPT New on ART+ Discontinued New on ART + LTFU New on ART + Died New on ART + Transferred Out New on ART)"&amp;CHAR(10),""),IF(I130&lt;&gt;SUM(I132,I134,I136,I138,I140)," *  Iniated On IPT New ON ART for Age "&amp;H20&amp;" "&amp;I21&amp;" is not equal to the sum of F03-03+F03-05+F03-07+F03-09+F03-11"&amp;CHAR(10),""),IF(J130&lt;&gt;SUM(J132,J134,J136,J138,J140)," *  Iniated On IPT New ON ART for Age "&amp;J20&amp;" "&amp;J21&amp;" is not equal to the sum of  Completed IPT New on ART+ Discontinued New on ART + LTFU New on ART + Died New on ART + Transferred Out New on ART)"&amp;CHAR(10),""),IF(K130&lt;&gt;SUM(K132,K134,K136,K138,K140)," *  Iniated On IPT New ON ART for Age "&amp;J20&amp;" "&amp;K21&amp;" is not equal to the sum of F03-03+F03-05+F03-07+F03-09+F03-11"&amp;CHAR(10),""),IF(L130&lt;&gt;SUM(L132,L134,L136,L138,L140)," *  Iniated On IPT New ON ART for Age "&amp;L20&amp;" "&amp;L21&amp;" is not equal to the sum of  Completed IPT New on ART+ Discontinued New on ART + LTFU New on ART + Died New on ART + Transferred Out New on ART)"&amp;CHAR(10),""),IF(M130&lt;&gt;SUM(M132,M134,M136,M138,M140)," *  Iniated On IPT New ON ART for Age "&amp;L20&amp;" "&amp;M21&amp;" is not equal to the sum of F03-03+F03-05+F03-07+F03-09+F03-11"&amp;CHAR(10),""),IF(N130&lt;&gt;SUM(N132,N134,N136,N138,N140)," *  Iniated On IPT New ON ART for Age "&amp;N20&amp;" "&amp;N21&amp;" is not equal to the sum of  Completed IPT New on ART+ Discontinued New on ART + LTFU New on ART + Died New on ART + Transferred Out New on ART)"&amp;CHAR(10),""),IF(O130&lt;&gt;SUM(O132,O134,O136,O138,O140)," *  Iniated On IPT New ON ART for Age "&amp;N20&amp;" "&amp;O21&amp;" is not equal to the sum of F03-03+F03-05+F03-07+F03-09+F03-11"&amp;CHAR(10),""),IF(P130&lt;&gt;SUM(P132,P134,P136,P138,P140)," *  Iniated On IPT New ON ART for Age "&amp;P20&amp;" "&amp;P21&amp;" is not equal to the sum of  Completed IPT New on ART+ Discontinued New on ART + LTFU New on ART + Died New on ART + Transferred Out New on ART)"&amp;CHAR(10),""),IF(Q130&lt;&gt;SUM(Q132,Q134,Q136,Q138,Q140)," *  Iniated On IPT New ON ART for Age "&amp;P20&amp;" "&amp;Q21&amp;" is not equal to the sum of F03-03+F03-05+F03-07+F03-09+F03-11"&amp;CHAR(10),""),IF(R130&lt;&gt;SUM(R132,R134,R136,R138,R140)," *  Iniated On IPT New ON ART for Age "&amp;R20&amp;" "&amp;R21&amp;" is not equal to the sum of  Completed IPT New on ART+ Discontinued New on ART + LTFU New on ART + Died New on ART + Transferred Out New on ART)"&amp;CHAR(10),""),IF(S130&lt;&gt;SUM(S132,S134,S136,S138,S140)," *  Iniated On IPT New ON ART for Age "&amp;R20&amp;" "&amp;S21&amp;" is not equal to the sum of F03-03+F03-05+F03-07+F03-09+F03-11"&amp;CHAR(10),""),IF(T130&lt;&gt;SUM(T132,T134,T136,T138,T140)," *  Iniated On IPT New ON ART for Age "&amp;T20&amp;" "&amp;T21&amp;" is not equal to the sum of  Completed IPT New on ART+ Discontinued New on ART + LTFU New on ART + Died New on ART + Transferred Out New on ART)"&amp;CHAR(10),""),IF(U130&lt;&gt;SUM(U132,U134,U136,U138,U140)," *  Iniated On IPT New ON ART for Age "&amp;T20&amp;" "&amp;U21&amp;" is not equal to the sum of F03-03+F03-05+F03-07+F03-09+F03-11"&amp;CHAR(10),""),IF(V130&lt;&gt;SUM(V132,V134,V136,V138,V140)," *  Iniated On IPT New ON ART for Age "&amp;V20&amp;" "&amp;V21&amp;" is not equal to the sum of  Completed IPT New on ART+ Discontinued New on ART + LTFU New on ART + Died New on ART + Transferred Out New on ART)"&amp;CHAR(10),""),IF(W130&lt;&gt;SUM(W132,W134,W136,W138,W140)," *  Iniated On IPT New ON ART for Age "&amp;V20&amp;" "&amp;W21&amp;" is not equal to the sum of F03-03+F03-05+F03-07+F03-09+F03-11"&amp;CHAR(10),""),IF(X130&lt;&gt;SUM(X132,X134,X136,X138,X140)," *  Iniated On IPT New ON ART for Age "&amp;X20&amp;" "&amp;X21&amp;" is not equal to the sum of  Completed IPT New on ART+ Discontinued New on ART + LTFU New on ART + Died New on ART + Transferred Out New on ART)"&amp;CHAR(10),""),IF(Y130&lt;&gt;SUM(Y132,Y134,Y136,Y138,Y140)," *  Iniated On IPT New ON ART for Age "&amp;X20&amp;" "&amp;Y21&amp;" is not equal to the sum of F03-03+F03-05+F03-07+F03-09+F03-11"&amp;CHAR(10),""),IF(Z130&lt;&gt;SUM(Z132,Z134,Z136,Z138,Z140)," *  Iniated On IPT New ON ART for Age "&amp;Z20&amp;" "&amp;Z21&amp;" is not equal to the sum of  Completed IPT New on ART+ Discontinued New on ART + LTFU New on ART + Died New on ART + Transferred Out New on ART)"&amp;CHAR(10),""),IF(AA130&lt;&gt;SUM(AA132,AA134,AA136,AA138,AA140)," *  Iniated On IPT New ON ART for Age "&amp;Z20&amp;" "&amp;AA21&amp;" is not equal to the sum of  Completed IPT New on ART+ Discontinued New on ART + LTFU New on ART + Died New on ART + Transferred Out New on ART)"&amp;CHAR(10),""))</f>
        <v/>
      </c>
      <c r="AJ130" s="798" t="str">
        <f>CONCATENATE(AI130,AI131,AI132,AI133,AI134,AI135,AI136,AI137,AI138,AI139,AI140,AI141)</f>
        <v/>
      </c>
      <c r="AK130" s="161"/>
      <c r="AL130" s="866" t="str">
        <f>CONCATENATE(AK130,AK131,AK132,AK133,AK134,AK135,AK136,AK137,AK138,AK139,AK140,AK141)</f>
        <v/>
      </c>
      <c r="AM130" s="14">
        <v>100</v>
      </c>
      <c r="AN130" s="89"/>
      <c r="AO130" s="83"/>
    </row>
    <row r="131" spans="1:41" s="67" customFormat="1" ht="25.9" thickBot="1" x14ac:dyDescent="0.8">
      <c r="A131" s="637"/>
      <c r="B131" s="96" t="s">
        <v>668</v>
      </c>
      <c r="C131" s="97" t="s">
        <v>213</v>
      </c>
      <c r="D131" s="162"/>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364"/>
      <c r="AB131" s="434"/>
      <c r="AC131" s="401"/>
      <c r="AD131" s="401"/>
      <c r="AE131" s="401"/>
      <c r="AF131" s="401"/>
      <c r="AG131" s="357"/>
      <c r="AH131" s="218">
        <f t="shared" ref="AH131:AH141" si="21">SUM(D131:AA131)</f>
        <v>0</v>
      </c>
      <c r="AI131" s="130" t="str">
        <f>CONCATENATE(IF(D131&lt;&gt;SUM(D133,D135,D137,D139,D141)," * F03-02 for Age "&amp;D20&amp;" "&amp;D21&amp;" is not equal to the sum of (F03-04+F03-06+F03-08+F03-10+F03-12)"&amp;CHAR(10),""),IF(E131&lt;&gt;SUM(E133,E135,E137,E139,E141)," * F03-02 for Age "&amp;D20&amp;" "&amp;E21&amp;" is not equal to the sum of F03-04+F03-06+F03-08+F03-10+F03-12"&amp;CHAR(10),""),IF(F131&lt;&gt;SUM(F133,F135,F137,F139,F141)," * F03-02 for Age "&amp;F20&amp;" "&amp;F21&amp;" is not equal to the sum of (F03-04+F03-06+F03-08+F03-10+F03-12)"&amp;CHAR(10),""),IF(G131&lt;&gt;SUM(G133,G135,G137,G139,G141)," * F03-02 for Age "&amp;F20&amp;" "&amp;G21&amp;" is not equal to the sum of F03-04+F03-06+F03-08+F03-10+F03-12"&amp;CHAR(10),""),IF(H131&lt;&gt;SUM(H133,H135,H137,H139,H141)," * F03-02 for Age "&amp;H20&amp;" "&amp;H21&amp;" is not equal to the sum of (F03-04+F03-06+F03-08+F03-10+F03-12)"&amp;CHAR(10),""),IF(I131&lt;&gt;SUM(I133,I135,I137,I139,I141)," * F03-02 for Age "&amp;H20&amp;" "&amp;I21&amp;" is not equal to the sum of F03-04+F03-06+F03-08+F03-10+F03-12"&amp;CHAR(10),""),IF(J131&lt;&gt;SUM(J133,J135,J137,J139,J141)," * F03-02 for Age "&amp;J20&amp;" "&amp;J21&amp;" is not equal to the sum of (F03-04+F03-06+F03-08+F03-10+F03-12)"&amp;CHAR(10),""),IF(K131&lt;&gt;SUM(K133,K135,K137,K139,K141)," * F03-02 for Age "&amp;J20&amp;" "&amp;K21&amp;" is not equal to the sum of F03-04+F03-06+F03-08+F03-10+F03-12"&amp;CHAR(10),""),IF(L131&lt;&gt;SUM(L133,L135,L137,L139,L141)," * F03-02 for Age "&amp;L20&amp;" "&amp;L21&amp;" is not equal to the sum of (F03-04+F03-06+F03-08+F03-10+F03-12)"&amp;CHAR(10),""),IF(M131&lt;&gt;SUM(M133,M135,M137,M139,M141)," * F03-02 for Age "&amp;L20&amp;" "&amp;M21&amp;" is not equal to the sum of F03-04+F03-06+F03-08+F03-10+F03-12"&amp;CHAR(10),""),IF(N131&lt;&gt;SUM(N133,N135,N137,N139,N141)," * F03-02 for Age "&amp;N20&amp;" "&amp;N21&amp;" is not equal to the sum of (F03-04+F03-06+F03-08+F03-10+F03-12)"&amp;CHAR(10),""),IF(O131&lt;&gt;SUM(O133,O135,O137,O139,O141)," * F03-02 for Age "&amp;N20&amp;" "&amp;O21&amp;" is not equal to the sum of F03-04+F03-06+F03-08+F03-10+F03-12"&amp;CHAR(10),""),IF(P131&lt;&gt;SUM(P133,P135,P137,P139,P141)," * F03-02 for Age "&amp;P20&amp;" "&amp;P21&amp;" is not equal to the sum of (F03-04+F03-06+F03-08+F03-10+F03-12)"&amp;CHAR(10),""),IF(Q131&lt;&gt;SUM(Q133,Q135,Q137,Q139,Q141)," * F03-02 for Age "&amp;P20&amp;" "&amp;Q21&amp;" is not equal to the sum of F03-04+F03-06+F03-08+F03-10+F03-12"&amp;CHAR(10),""),IF(R131&lt;&gt;SUM(R133,R135,R137,R139,R141)," * F03-02 for Age "&amp;R20&amp;" "&amp;R21&amp;" is not equal to the sum of (F03-04+F03-06+F03-08+F03-10+F03-12)"&amp;CHAR(10),""),IF(S131&lt;&gt;SUM(S133,S135,S137,S139,S141)," * F03-02 for Age "&amp;R20&amp;" "&amp;S21&amp;" is not equal to the sum of F03-04+F03-06+F03-08+F03-10+F03-12"&amp;CHAR(10),""),IF(T131&lt;&gt;SUM(T133,T135,T137,T139,T141)," * F03-02 for Age "&amp;T20&amp;" "&amp;T21&amp;" is not equal to the sum of (F03-04+F03-06+F03-08+F03-10+F03-12)"&amp;CHAR(10),""),IF(U131&lt;&gt;SUM(U133,U135,U137,U139,U141)," * F03-02 for Age "&amp;T20&amp;" "&amp;U21&amp;" is not equal to the sum of F03-04+F03-06+F03-08+F03-10+F03-12"&amp;CHAR(10),""),IF(V131&lt;&gt;SUM(V133,V135,V137,V139,V141)," * F03-02 for Age "&amp;V20&amp;" "&amp;V21&amp;" is not equal to the sum of (F03-04+F03-06+F03-08+F03-10+F03-12)"&amp;CHAR(10),""),IF(W131&lt;&gt;SUM(W133,W135,W137,W139,W141)," * F03-02 for Age "&amp;V20&amp;" "&amp;W21&amp;" is not equal to the sum of F03-04+F03-06+F03-08+F03-10+F03-12"&amp;CHAR(10),""),IF(X131&lt;&gt;SUM(X133,X135,X137,X139,X141)," * F03-02 for Age "&amp;X20&amp;" "&amp;X21&amp;" is not equal to the sum of (F03-04+F03-06+F03-08+F03-10+F03-12)"&amp;CHAR(10),""),IF(Y131&lt;&gt;SUM(Y133,Y135,Y137,Y139,Y141)," * F03-02 for Age "&amp;X20&amp;" "&amp;Y21&amp;" is not equal to the sum of F03-04+F03-06+F03-08+F03-10+F03-12"&amp;CHAR(10),""),IF(Z131&lt;&gt;SUM(Z133,Z135,Z137,Z139,Z141)," * F03-02 for Age "&amp;Z20&amp;" "&amp;Z21&amp;" is not equal to the sum of (F03-04+F03-06+F03-08+F03-10+F03-12)"&amp;CHAR(10),""),IF(AA131&lt;&gt;SUM(AA133,AA135,AA137,AA139,AA141)," * F03-02 for Age "&amp;Z20&amp;" "&amp;AA21&amp;" is not equal to the sum of (F03-04+F03-06+F03-08+F03-10+F03-12)"&amp;CHAR(10),""))</f>
        <v/>
      </c>
      <c r="AJ131" s="799"/>
      <c r="AK131" s="66"/>
      <c r="AL131" s="843"/>
      <c r="AM131" s="14">
        <v>101</v>
      </c>
      <c r="AN131" s="89"/>
      <c r="AO131" s="83"/>
    </row>
    <row r="132" spans="1:41" ht="25.5" x14ac:dyDescent="0.75">
      <c r="A132" s="636" t="s">
        <v>963</v>
      </c>
      <c r="B132" s="102" t="s">
        <v>669</v>
      </c>
      <c r="C132" s="77" t="s">
        <v>214</v>
      </c>
      <c r="D132" s="163"/>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379"/>
      <c r="AB132" s="434"/>
      <c r="AC132" s="401"/>
      <c r="AD132" s="401"/>
      <c r="AE132" s="401"/>
      <c r="AF132" s="401"/>
      <c r="AG132" s="357"/>
      <c r="AH132" s="214">
        <f t="shared" si="21"/>
        <v>0</v>
      </c>
      <c r="AI132" s="130" t="str">
        <f>CONCATENATE(IF(D132&gt;D130," * F03-03 for Age "&amp;D20&amp;" "&amp;D21&amp;" is more than F03-01"&amp;CHAR(10),""),IF(E132&gt;E130," * F03-03 for Age "&amp;D20&amp;" "&amp;E21&amp;" is more than F03-01"&amp;CHAR(10),""),IF(F132&gt;F130," * F03-03 for Age "&amp;F20&amp;" "&amp;F21&amp;" is more than F03-01"&amp;CHAR(10),""),IF(G132&gt;G130," * F03-03 for Age "&amp;F20&amp;" "&amp;G21&amp;" is more than F03-01"&amp;CHAR(10),""),IF(H132&gt;H130," * F03-03 for Age "&amp;H20&amp;" "&amp;H21&amp;" is more than F03-01"&amp;CHAR(10),""),IF(I132&gt;I130," * F03-03 for Age "&amp;H20&amp;" "&amp;I21&amp;" is more than F03-01"&amp;CHAR(10),""),IF(J132&gt;J130," * F03-03 for Age "&amp;J20&amp;" "&amp;J21&amp;" is more than F03-01"&amp;CHAR(10),""),IF(K132&gt;K130," * F03-03 for Age "&amp;J20&amp;" "&amp;K21&amp;" is more than F03-01"&amp;CHAR(10),""),IF(L132&gt;L130," * F03-03 for Age "&amp;L20&amp;" "&amp;L21&amp;" is more than F03-01"&amp;CHAR(10),""),IF(M132&gt;M130," * F03-03 for Age "&amp;L20&amp;" "&amp;M21&amp;" is more than F03-01"&amp;CHAR(10),""),IF(N132&gt;N130," * F03-03 for Age "&amp;N20&amp;" "&amp;N21&amp;" is more than F03-01"&amp;CHAR(10),""),IF(O132&gt;O130," * F03-03 for Age "&amp;N20&amp;" "&amp;O21&amp;" is more than F03-01"&amp;CHAR(10),""),IF(P132&gt;P130," * F03-03 for Age "&amp;P20&amp;" "&amp;P21&amp;" is more than F03-01"&amp;CHAR(10),""),IF(Q132&gt;Q130," * F03-03 for Age "&amp;P20&amp;" "&amp;Q21&amp;" is more than F03-01"&amp;CHAR(10),""),IF(R132&gt;R130," * F03-03 for Age "&amp;R20&amp;" "&amp;R21&amp;" is more than F03-01"&amp;CHAR(10),""),IF(S132&gt;S130," * F03-03 for Age "&amp;R20&amp;" "&amp;S21&amp;" is more than F03-01"&amp;CHAR(10),""),IF(T132&gt;T130," * F03-03 for Age "&amp;T20&amp;" "&amp;T21&amp;" is more than F03-01"&amp;CHAR(10),""),IF(U132&gt;U130," * F03-03 for Age "&amp;T20&amp;" "&amp;U21&amp;" is more than F03-01"&amp;CHAR(10),""),IF(V132&gt;V130," * F03-03 for Age "&amp;V20&amp;" "&amp;V21&amp;" is more than F03-01"&amp;CHAR(10),""),IF(W132&gt;W130," * F03-03 for Age "&amp;V20&amp;" "&amp;W21&amp;" is more than F03-01"&amp;CHAR(10),""),IF(X132&gt;X130," * F03-03 for Age "&amp;X20&amp;" "&amp;X21&amp;" is more than F03-01"&amp;CHAR(10),""),IF(Y132&gt;Y130," * F03-03 for Age "&amp;X20&amp;" "&amp;Y21&amp;" is more than F03-01"&amp;CHAR(10),""),IF(Z132&gt;Z130," * F03-03 for Age "&amp;Z20&amp;" "&amp;Z21&amp;" is more than F03-01"&amp;CHAR(10),""),IF(AA132&gt;AA130," * F03-03 for Age "&amp;Z20&amp;" "&amp;AA21&amp;" is more than F03-01"&amp;CHAR(10),""))</f>
        <v/>
      </c>
      <c r="AJ132" s="799"/>
      <c r="AK132" s="33"/>
      <c r="AL132" s="843"/>
      <c r="AM132" s="14">
        <v>102</v>
      </c>
      <c r="AN132" s="82"/>
      <c r="AO132" s="83"/>
    </row>
    <row r="133" spans="1:41" ht="25.9" thickBot="1" x14ac:dyDescent="0.8">
      <c r="A133" s="637"/>
      <c r="B133" s="96" t="s">
        <v>668</v>
      </c>
      <c r="C133" s="97" t="s">
        <v>215</v>
      </c>
      <c r="D133" s="165"/>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c r="AA133" s="380"/>
      <c r="AB133" s="434"/>
      <c r="AC133" s="401"/>
      <c r="AD133" s="401"/>
      <c r="AE133" s="401"/>
      <c r="AF133" s="401"/>
      <c r="AG133" s="357"/>
      <c r="AH133" s="218">
        <f t="shared" si="21"/>
        <v>0</v>
      </c>
      <c r="AI133" s="130" t="str">
        <f>CONCATENATE(IF(D133&gt;D131," * F03-04 for Age "&amp;D20&amp;" "&amp;D21&amp;" is more than F03-02"&amp;CHAR(10),""),IF(E133&gt;E131," * F03-04 for Age "&amp;D20&amp;" "&amp;E21&amp;" is more than F03-02"&amp;CHAR(10),""),IF(F133&gt;F131," * F03-04 for Age "&amp;F20&amp;" "&amp;F21&amp;" is more than F03-02"&amp;CHAR(10),""),IF(G133&gt;G131," * F03-04 for Age "&amp;F20&amp;" "&amp;G21&amp;" is more than F03-02"&amp;CHAR(10),""),IF(H133&gt;H131," * F03-04 for Age "&amp;H20&amp;" "&amp;H21&amp;" is more than F03-02"&amp;CHAR(10),""),IF(I133&gt;I131," * F03-04 for Age "&amp;H20&amp;" "&amp;I21&amp;" is more than F03-02"&amp;CHAR(10),""),IF(J133&gt;J131," * F03-04 for Age "&amp;J20&amp;" "&amp;J21&amp;" is more than F03-02"&amp;CHAR(10),""),IF(K133&gt;K131," * F03-04 for Age "&amp;J20&amp;" "&amp;K21&amp;" is more than F03-02"&amp;CHAR(10),""),IF(L133&gt;L131," * F03-04 for Age "&amp;L20&amp;" "&amp;L21&amp;" is more than F03-02"&amp;CHAR(10),""),IF(M133&gt;M131," * F03-04 for Age "&amp;L20&amp;" "&amp;M21&amp;" is more than F03-02"&amp;CHAR(10),""),IF(N133&gt;N131," * F03-04 for Age "&amp;N20&amp;" "&amp;N21&amp;" is more than F03-02"&amp;CHAR(10),""),IF(O133&gt;O131," * F03-04 for Age "&amp;N20&amp;" "&amp;O21&amp;" is more than F03-02"&amp;CHAR(10),""),IF(P133&gt;P131," * F03-04 for Age "&amp;P20&amp;" "&amp;P21&amp;" is more than F03-02"&amp;CHAR(10),""),IF(Q133&gt;Q131," * F03-04 for Age "&amp;P20&amp;" "&amp;Q21&amp;" is more than F03-02"&amp;CHAR(10),""),IF(R133&gt;R131," * F03-04 for Age "&amp;R20&amp;" "&amp;R21&amp;" is more than F03-02"&amp;CHAR(10),""),IF(S133&gt;S131," * F03-04 for Age "&amp;R20&amp;" "&amp;S21&amp;" is more than F03-02"&amp;CHAR(10),""),IF(T133&gt;T131," * F03-04 for Age "&amp;T20&amp;" "&amp;T21&amp;" is more than F03-02"&amp;CHAR(10),""),IF(U133&gt;U131," * F03-04 for Age "&amp;T20&amp;" "&amp;U21&amp;" is more than F03-02"&amp;CHAR(10),""),IF(V133&gt;V131," * F03-04 for Age "&amp;V20&amp;" "&amp;V21&amp;" is more than F03-02"&amp;CHAR(10),""),IF(W133&gt;W131," * F03-04 for Age "&amp;V20&amp;" "&amp;W21&amp;" is more than F03-02"&amp;CHAR(10),""),IF(X133&gt;X131," * F03-04 for Age "&amp;X20&amp;" "&amp;X21&amp;" is more than F03-02"&amp;CHAR(10),""),IF(Y133&gt;Y131," * F03-04 for Age "&amp;X20&amp;" "&amp;Y21&amp;" is more than F03-02"&amp;CHAR(10),""),IF(Z133&gt;Z131," * F03-04 for Age "&amp;Z20&amp;" "&amp;Z21&amp;" is more than F03-02"&amp;CHAR(10),""),IF(AA133&gt;AA131," * F03-04 for Age "&amp;Z20&amp;" "&amp;AA21&amp;" is more than F03-02"&amp;CHAR(10),""),IF(AH133&gt;AH131," * Total F03-04 is more than Total F03-02"&amp;CHAR(10),""))</f>
        <v/>
      </c>
      <c r="AJ133" s="799"/>
      <c r="AK133" s="33"/>
      <c r="AL133" s="843"/>
      <c r="AM133" s="14">
        <v>103</v>
      </c>
      <c r="AN133" s="82"/>
      <c r="AO133" s="83"/>
    </row>
    <row r="134" spans="1:41" s="15" customFormat="1" ht="25.5" x14ac:dyDescent="0.75">
      <c r="A134" s="828" t="s">
        <v>29</v>
      </c>
      <c r="B134" s="167" t="s">
        <v>670</v>
      </c>
      <c r="C134" s="168" t="s">
        <v>216</v>
      </c>
      <c r="D134" s="169"/>
      <c r="E134" s="170"/>
      <c r="F134" s="170"/>
      <c r="G134" s="170"/>
      <c r="H134" s="170"/>
      <c r="I134" s="170"/>
      <c r="J134" s="170"/>
      <c r="K134" s="170"/>
      <c r="L134" s="170"/>
      <c r="M134" s="170"/>
      <c r="N134" s="170"/>
      <c r="O134" s="170"/>
      <c r="P134" s="170"/>
      <c r="Q134" s="170"/>
      <c r="R134" s="170"/>
      <c r="S134" s="170"/>
      <c r="T134" s="170"/>
      <c r="U134" s="170"/>
      <c r="V134" s="170"/>
      <c r="W134" s="170"/>
      <c r="X134" s="170"/>
      <c r="Y134" s="170"/>
      <c r="Z134" s="170"/>
      <c r="AA134" s="381"/>
      <c r="AB134" s="434"/>
      <c r="AC134" s="401"/>
      <c r="AD134" s="401"/>
      <c r="AE134" s="401"/>
      <c r="AF134" s="401"/>
      <c r="AG134" s="357"/>
      <c r="AH134" s="214">
        <f t="shared" si="21"/>
        <v>0</v>
      </c>
      <c r="AI134" s="130" t="str">
        <f>CONCATENATE(IF(D287&lt;SUM(D130,D131)," * Total Initiated on IPT for Age "&amp;D20&amp;" "&amp;D21&amp;" is More than Current ON ART "&amp;CHAR(10),""),IF(E287&lt;SUM(E130,E131)," * Total Initiated on IPT for Age "&amp;D20&amp;" "&amp;E21&amp;" is More than Current ON ART"&amp;CHAR(10),""),IF(F287&lt;SUM(F130,F131)," * Total Initiated on IPT for Age "&amp;F20&amp;" "&amp;F21&amp;" is More than Current ON ART "&amp;CHAR(10),""),IF(G287&lt;SUM(G130,G131)," * Total Initiated on IPT for Age "&amp;F20&amp;" "&amp;G21&amp;" is More than Current ON ART"&amp;CHAR(10),""),IF(H287&lt;SUM(H130,H131)," * Total Initiated on IPT for Age "&amp;H20&amp;" "&amp;H21&amp;" is More than Current ON ART "&amp;CHAR(10),""),IF(I287&lt;SUM(I130,I131)," * Total Initiated on IPT for Age "&amp;H20&amp;" "&amp;I21&amp;" is More than Current ON ART"&amp;CHAR(10),""),IF(J287&lt;SUM(J130,J131)," * Total Initiated on IPT for Age "&amp;J20&amp;" "&amp;J21&amp;" is More than Current ON ART "&amp;CHAR(10),""),IF(K287&lt;SUM(K130,K131)," * Total Initiated on IPT for Age "&amp;J20&amp;" "&amp;K21&amp;" is More than Current ON ART"&amp;CHAR(10),""),IF(L287&lt;SUM(L130,L131)," * Total Initiated on IPT for Age "&amp;L20&amp;" "&amp;L21&amp;" is More than Current ON ART "&amp;CHAR(10),""),IF(M287&lt;SUM(M130,M131)," * Total Initiated on IPT for Age "&amp;L20&amp;" "&amp;M21&amp;" is More than Current ON ART"&amp;CHAR(10),""),IF(N287&lt;SUM(N130,N131)," * Total Initiated on IPT for Age "&amp;N20&amp;" "&amp;N21&amp;" is More than Current ON ART "&amp;CHAR(10),""),IF(O287&lt;SUM(O130,O131)," * Total Initiated on IPT for Age "&amp;N20&amp;" "&amp;O21&amp;" is More than Current ON ART"&amp;CHAR(10),""),IF(P287&lt;SUM(P130,P131)," * Total Initiated on IPT for Age "&amp;P20&amp;" "&amp;P21&amp;" is More than Current ON ART "&amp;CHAR(10),""),IF(Q287&lt;SUM(Q130,Q131)," * Total Initiated on IPT for Age "&amp;P20&amp;" "&amp;Q21&amp;" is More than Current ON ART"&amp;CHAR(10),""),IF(R287&lt;SUM(R130,R131)," * Total Initiated on IPT for Age "&amp;R20&amp;" "&amp;R21&amp;" is More than Current ON ART "&amp;CHAR(10),""),IF(S287&lt;SUM(S130,S131)," * Total Initiated on IPT for Age "&amp;R20&amp;" "&amp;S21&amp;" is More than Current ON ART"&amp;CHAR(10),""),IF(T287&lt;SUM(T130,T131)," * Total Initiated on IPT for Age "&amp;T20&amp;" "&amp;T21&amp;" is More than Current ON ART "&amp;CHAR(10),""),IF(U287&lt;SUM(U130,U131)," * Total Initiated on IPT for Age "&amp;T20&amp;" "&amp;U21&amp;" is More than Current ON ART"&amp;CHAR(10),""),IF(V287&lt;SUM(V130,V131)," * Total Initiated on IPT for Age "&amp;V20&amp;" "&amp;V21&amp;" is More than Current ON ART "&amp;CHAR(10),""),IF(W287&lt;SUM(W130,W131)," * Total Initiated on IPT for Age "&amp;V20&amp;" "&amp;W21&amp;" is More than Current ON ART"&amp;CHAR(10),""),IF(X287&lt;SUM(X130,X131)," * Total Initiated on IPT for Age "&amp;X20&amp;" "&amp;X21&amp;" is More than Current ON ART "&amp;CHAR(10),""),IF(Y287&lt;SUM(Y130,Y131)," * Total Initiated on IPT for Age "&amp;X20&amp;" "&amp;Y21&amp;" is More than Current ON ART"&amp;CHAR(10),""),IF(Z287&lt;SUM(Z130,Z131)," * Total Initiated on IPT for Age "&amp;Z20&amp;" "&amp;Z21&amp;" is More than Current ON ART "&amp;CHAR(10),""),IF(AA287&lt;SUM(AA130,AA131)," * Total Initiated on IPT for Age "&amp;Z20&amp;" "&amp;AA21&amp;" is More than Current ON ART "&amp;CHAR(10),""))</f>
        <v/>
      </c>
      <c r="AJ134" s="799"/>
      <c r="AK134" s="33"/>
      <c r="AL134" s="843"/>
      <c r="AM134" s="14">
        <v>104</v>
      </c>
      <c r="AN134" s="82"/>
      <c r="AO134" s="171"/>
    </row>
    <row r="135" spans="1:41" s="15" customFormat="1" ht="25.9" thickBot="1" x14ac:dyDescent="0.8">
      <c r="A135" s="829"/>
      <c r="B135" s="172" t="s">
        <v>671</v>
      </c>
      <c r="C135" s="173" t="s">
        <v>217</v>
      </c>
      <c r="D135" s="174"/>
      <c r="E135" s="175"/>
      <c r="F135" s="175"/>
      <c r="G135" s="175"/>
      <c r="H135" s="175"/>
      <c r="I135" s="175"/>
      <c r="J135" s="175"/>
      <c r="K135" s="175"/>
      <c r="L135" s="175"/>
      <c r="M135" s="175"/>
      <c r="N135" s="175"/>
      <c r="O135" s="175"/>
      <c r="P135" s="175"/>
      <c r="Q135" s="175"/>
      <c r="R135" s="175"/>
      <c r="S135" s="175"/>
      <c r="T135" s="175"/>
      <c r="U135" s="175"/>
      <c r="V135" s="175"/>
      <c r="W135" s="175"/>
      <c r="X135" s="175"/>
      <c r="Y135" s="175"/>
      <c r="Z135" s="175"/>
      <c r="AA135" s="382"/>
      <c r="AB135" s="434"/>
      <c r="AC135" s="401"/>
      <c r="AD135" s="401"/>
      <c r="AE135" s="401"/>
      <c r="AF135" s="401"/>
      <c r="AG135" s="357"/>
      <c r="AH135" s="218">
        <f t="shared" si="21"/>
        <v>0</v>
      </c>
      <c r="AI135" s="130"/>
      <c r="AJ135" s="799"/>
      <c r="AK135" s="33"/>
      <c r="AL135" s="843"/>
      <c r="AM135" s="14">
        <v>105</v>
      </c>
      <c r="AN135" s="82"/>
      <c r="AO135" s="171"/>
    </row>
    <row r="136" spans="1:41" s="15" customFormat="1" ht="25.5" x14ac:dyDescent="0.75">
      <c r="A136" s="828" t="s">
        <v>30</v>
      </c>
      <c r="B136" s="167" t="s">
        <v>670</v>
      </c>
      <c r="C136" s="168" t="s">
        <v>218</v>
      </c>
      <c r="D136" s="169"/>
      <c r="E136" s="170"/>
      <c r="F136" s="170"/>
      <c r="G136" s="170"/>
      <c r="H136" s="170"/>
      <c r="I136" s="170"/>
      <c r="J136" s="170"/>
      <c r="K136" s="170"/>
      <c r="L136" s="170"/>
      <c r="M136" s="170"/>
      <c r="N136" s="170"/>
      <c r="O136" s="170"/>
      <c r="P136" s="170"/>
      <c r="Q136" s="170"/>
      <c r="R136" s="170"/>
      <c r="S136" s="170"/>
      <c r="T136" s="170"/>
      <c r="U136" s="170"/>
      <c r="V136" s="170"/>
      <c r="W136" s="170"/>
      <c r="X136" s="170"/>
      <c r="Y136" s="170"/>
      <c r="Z136" s="170"/>
      <c r="AA136" s="381"/>
      <c r="AB136" s="434"/>
      <c r="AC136" s="401"/>
      <c r="AD136" s="401"/>
      <c r="AE136" s="401"/>
      <c r="AF136" s="401"/>
      <c r="AG136" s="357"/>
      <c r="AH136" s="214">
        <f t="shared" si="21"/>
        <v>0</v>
      </c>
      <c r="AI136" s="130"/>
      <c r="AJ136" s="799"/>
      <c r="AK136" s="33"/>
      <c r="AL136" s="843"/>
      <c r="AM136" s="14">
        <v>106</v>
      </c>
      <c r="AN136" s="82"/>
      <c r="AO136" s="171"/>
    </row>
    <row r="137" spans="1:41" s="15" customFormat="1" ht="25.9" thickBot="1" x14ac:dyDescent="0.8">
      <c r="A137" s="829"/>
      <c r="B137" s="172" t="s">
        <v>671</v>
      </c>
      <c r="C137" s="173" t="s">
        <v>219</v>
      </c>
      <c r="D137" s="174"/>
      <c r="E137" s="175"/>
      <c r="F137" s="175"/>
      <c r="G137" s="175"/>
      <c r="H137" s="175"/>
      <c r="I137" s="175"/>
      <c r="J137" s="175"/>
      <c r="K137" s="175"/>
      <c r="L137" s="175"/>
      <c r="M137" s="175"/>
      <c r="N137" s="175"/>
      <c r="O137" s="175"/>
      <c r="P137" s="175"/>
      <c r="Q137" s="175"/>
      <c r="R137" s="175"/>
      <c r="S137" s="175"/>
      <c r="T137" s="175"/>
      <c r="U137" s="175"/>
      <c r="V137" s="175"/>
      <c r="W137" s="175"/>
      <c r="X137" s="175"/>
      <c r="Y137" s="175"/>
      <c r="Z137" s="175"/>
      <c r="AA137" s="382"/>
      <c r="AB137" s="434"/>
      <c r="AC137" s="401"/>
      <c r="AD137" s="401"/>
      <c r="AE137" s="401"/>
      <c r="AF137" s="401"/>
      <c r="AG137" s="357"/>
      <c r="AH137" s="218">
        <f t="shared" si="21"/>
        <v>0</v>
      </c>
      <c r="AI137" s="130"/>
      <c r="AJ137" s="799"/>
      <c r="AK137" s="33"/>
      <c r="AL137" s="843"/>
      <c r="AM137" s="14">
        <v>107</v>
      </c>
      <c r="AN137" s="82"/>
      <c r="AO137" s="171"/>
    </row>
    <row r="138" spans="1:41" s="15" customFormat="1" ht="25.5" x14ac:dyDescent="0.75">
      <c r="A138" s="828" t="s">
        <v>31</v>
      </c>
      <c r="B138" s="167" t="s">
        <v>670</v>
      </c>
      <c r="C138" s="168" t="s">
        <v>220</v>
      </c>
      <c r="D138" s="169"/>
      <c r="E138" s="170"/>
      <c r="F138" s="170"/>
      <c r="G138" s="170"/>
      <c r="H138" s="170"/>
      <c r="I138" s="170"/>
      <c r="J138" s="170"/>
      <c r="K138" s="170"/>
      <c r="L138" s="170"/>
      <c r="M138" s="170"/>
      <c r="N138" s="170"/>
      <c r="O138" s="170"/>
      <c r="P138" s="170"/>
      <c r="Q138" s="170"/>
      <c r="R138" s="170"/>
      <c r="S138" s="170"/>
      <c r="T138" s="170"/>
      <c r="U138" s="170"/>
      <c r="V138" s="170"/>
      <c r="W138" s="170"/>
      <c r="X138" s="170"/>
      <c r="Y138" s="170"/>
      <c r="Z138" s="170"/>
      <c r="AA138" s="381"/>
      <c r="AB138" s="434"/>
      <c r="AC138" s="401"/>
      <c r="AD138" s="401"/>
      <c r="AE138" s="401"/>
      <c r="AF138" s="401"/>
      <c r="AG138" s="357"/>
      <c r="AH138" s="214">
        <f t="shared" si="21"/>
        <v>0</v>
      </c>
      <c r="AI138" s="130"/>
      <c r="AJ138" s="799"/>
      <c r="AK138" s="33"/>
      <c r="AL138" s="843"/>
      <c r="AM138" s="14">
        <v>108</v>
      </c>
      <c r="AN138" s="82"/>
      <c r="AO138" s="171"/>
    </row>
    <row r="139" spans="1:41" s="15" customFormat="1" ht="25.9" thickBot="1" x14ac:dyDescent="0.8">
      <c r="A139" s="829"/>
      <c r="B139" s="172" t="s">
        <v>671</v>
      </c>
      <c r="C139" s="173" t="s">
        <v>221</v>
      </c>
      <c r="D139" s="174"/>
      <c r="E139" s="175"/>
      <c r="F139" s="175"/>
      <c r="G139" s="175"/>
      <c r="H139" s="175"/>
      <c r="I139" s="175"/>
      <c r="J139" s="175"/>
      <c r="K139" s="175"/>
      <c r="L139" s="175"/>
      <c r="M139" s="175"/>
      <c r="N139" s="175"/>
      <c r="O139" s="175"/>
      <c r="P139" s="175"/>
      <c r="Q139" s="175"/>
      <c r="R139" s="175"/>
      <c r="S139" s="175"/>
      <c r="T139" s="175"/>
      <c r="U139" s="175"/>
      <c r="V139" s="175"/>
      <c r="W139" s="175"/>
      <c r="X139" s="175"/>
      <c r="Y139" s="175"/>
      <c r="Z139" s="175"/>
      <c r="AA139" s="382"/>
      <c r="AB139" s="434"/>
      <c r="AC139" s="401"/>
      <c r="AD139" s="401"/>
      <c r="AE139" s="401"/>
      <c r="AF139" s="401"/>
      <c r="AG139" s="357"/>
      <c r="AH139" s="218">
        <f t="shared" si="21"/>
        <v>0</v>
      </c>
      <c r="AI139" s="130"/>
      <c r="AJ139" s="799"/>
      <c r="AK139" s="33"/>
      <c r="AL139" s="843"/>
      <c r="AM139" s="14">
        <v>109</v>
      </c>
      <c r="AN139" s="82"/>
      <c r="AO139" s="171"/>
    </row>
    <row r="140" spans="1:41" s="15" customFormat="1" ht="25.5" x14ac:dyDescent="0.75">
      <c r="A140" s="828" t="s">
        <v>32</v>
      </c>
      <c r="B140" s="176" t="s">
        <v>670</v>
      </c>
      <c r="C140" s="177" t="s">
        <v>222</v>
      </c>
      <c r="D140" s="178"/>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374"/>
      <c r="AB140" s="434"/>
      <c r="AC140" s="401"/>
      <c r="AD140" s="401"/>
      <c r="AE140" s="401"/>
      <c r="AF140" s="401"/>
      <c r="AG140" s="357"/>
      <c r="AH140" s="55">
        <f t="shared" si="21"/>
        <v>0</v>
      </c>
      <c r="AI140" s="130"/>
      <c r="AJ140" s="799"/>
      <c r="AK140" s="33"/>
      <c r="AL140" s="843"/>
      <c r="AM140" s="14">
        <v>110</v>
      </c>
      <c r="AN140" s="82"/>
      <c r="AO140" s="171"/>
    </row>
    <row r="141" spans="1:41" s="15" customFormat="1" ht="25.9" thickBot="1" x14ac:dyDescent="0.8">
      <c r="A141" s="909"/>
      <c r="B141" s="179" t="s">
        <v>671</v>
      </c>
      <c r="C141" s="173" t="s">
        <v>223</v>
      </c>
      <c r="D141" s="180"/>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c r="AA141" s="383"/>
      <c r="AB141" s="435"/>
      <c r="AC141" s="436"/>
      <c r="AD141" s="436"/>
      <c r="AE141" s="436"/>
      <c r="AF141" s="436"/>
      <c r="AG141" s="358"/>
      <c r="AH141" s="439">
        <f t="shared" si="21"/>
        <v>0</v>
      </c>
      <c r="AI141" s="136"/>
      <c r="AJ141" s="800"/>
      <c r="AK141" s="137"/>
      <c r="AL141" s="844"/>
      <c r="AM141" s="14">
        <v>111</v>
      </c>
      <c r="AN141" s="82"/>
      <c r="AO141" s="171"/>
    </row>
    <row r="142" spans="1:41" ht="25.9" thickBot="1" x14ac:dyDescent="0.8">
      <c r="A142" s="691" t="s">
        <v>126</v>
      </c>
      <c r="B142" s="692"/>
      <c r="C142" s="692"/>
      <c r="D142" s="695"/>
      <c r="E142" s="695"/>
      <c r="F142" s="695"/>
      <c r="G142" s="695"/>
      <c r="H142" s="695"/>
      <c r="I142" s="695"/>
      <c r="J142" s="695"/>
      <c r="K142" s="695"/>
      <c r="L142" s="692"/>
      <c r="M142" s="692"/>
      <c r="N142" s="692"/>
      <c r="O142" s="692"/>
      <c r="P142" s="692"/>
      <c r="Q142" s="692"/>
      <c r="R142" s="692"/>
      <c r="S142" s="692"/>
      <c r="T142" s="692"/>
      <c r="U142" s="692"/>
      <c r="V142" s="692"/>
      <c r="W142" s="692"/>
      <c r="X142" s="692"/>
      <c r="Y142" s="692"/>
      <c r="Z142" s="692"/>
      <c r="AA142" s="692"/>
      <c r="AB142" s="693"/>
      <c r="AC142" s="693"/>
      <c r="AD142" s="693"/>
      <c r="AE142" s="693"/>
      <c r="AF142" s="693"/>
      <c r="AG142" s="693"/>
      <c r="AH142" s="692"/>
      <c r="AI142" s="692"/>
      <c r="AJ142" s="692"/>
      <c r="AK142" s="692"/>
      <c r="AL142" s="694"/>
      <c r="AM142" s="14">
        <v>112</v>
      </c>
      <c r="AN142" s="82"/>
      <c r="AO142" s="83"/>
    </row>
    <row r="143" spans="1:41" ht="26.25" customHeight="1" x14ac:dyDescent="0.75">
      <c r="A143" s="749" t="s">
        <v>37</v>
      </c>
      <c r="B143" s="752" t="s">
        <v>346</v>
      </c>
      <c r="C143" s="870" t="s">
        <v>327</v>
      </c>
      <c r="D143" s="774"/>
      <c r="E143" s="775"/>
      <c r="F143" s="775"/>
      <c r="G143" s="775"/>
      <c r="H143" s="775"/>
      <c r="I143" s="775"/>
      <c r="J143" s="775"/>
      <c r="K143" s="776"/>
      <c r="L143" s="824" t="s">
        <v>4</v>
      </c>
      <c r="M143" s="669"/>
      <c r="N143" s="669" t="s">
        <v>5</v>
      </c>
      <c r="O143" s="669"/>
      <c r="P143" s="669" t="s">
        <v>6</v>
      </c>
      <c r="Q143" s="669"/>
      <c r="R143" s="669" t="s">
        <v>7</v>
      </c>
      <c r="S143" s="669"/>
      <c r="T143" s="669" t="s">
        <v>8</v>
      </c>
      <c r="U143" s="669"/>
      <c r="V143" s="669" t="s">
        <v>23</v>
      </c>
      <c r="W143" s="669"/>
      <c r="X143" s="669" t="s">
        <v>24</v>
      </c>
      <c r="Y143" s="669"/>
      <c r="Z143" s="669" t="s">
        <v>9</v>
      </c>
      <c r="AA143" s="669"/>
      <c r="AB143" s="858"/>
      <c r="AC143" s="859"/>
      <c r="AD143" s="859"/>
      <c r="AE143" s="859"/>
      <c r="AF143" s="859"/>
      <c r="AG143" s="860"/>
      <c r="AH143" s="804" t="s">
        <v>19</v>
      </c>
      <c r="AI143" s="786" t="s">
        <v>380</v>
      </c>
      <c r="AJ143" s="801" t="s">
        <v>386</v>
      </c>
      <c r="AK143" s="784" t="s">
        <v>387</v>
      </c>
      <c r="AL143" s="814" t="s">
        <v>387</v>
      </c>
      <c r="AM143" s="14">
        <v>113</v>
      </c>
      <c r="AN143" s="82"/>
      <c r="AO143" s="83"/>
    </row>
    <row r="144" spans="1:41" ht="27" customHeight="1" thickBot="1" x14ac:dyDescent="0.8">
      <c r="A144" s="750"/>
      <c r="B144" s="753"/>
      <c r="C144" s="871"/>
      <c r="D144" s="777"/>
      <c r="E144" s="778"/>
      <c r="F144" s="778"/>
      <c r="G144" s="778"/>
      <c r="H144" s="778"/>
      <c r="I144" s="778"/>
      <c r="J144" s="778"/>
      <c r="K144" s="779"/>
      <c r="L144" s="337" t="s">
        <v>10</v>
      </c>
      <c r="M144" s="75" t="s">
        <v>11</v>
      </c>
      <c r="N144" s="75" t="s">
        <v>10</v>
      </c>
      <c r="O144" s="75" t="s">
        <v>11</v>
      </c>
      <c r="P144" s="75" t="s">
        <v>10</v>
      </c>
      <c r="Q144" s="75" t="s">
        <v>11</v>
      </c>
      <c r="R144" s="75" t="s">
        <v>10</v>
      </c>
      <c r="S144" s="75" t="s">
        <v>11</v>
      </c>
      <c r="T144" s="75" t="s">
        <v>10</v>
      </c>
      <c r="U144" s="75" t="s">
        <v>11</v>
      </c>
      <c r="V144" s="75" t="s">
        <v>10</v>
      </c>
      <c r="W144" s="75" t="s">
        <v>11</v>
      </c>
      <c r="X144" s="75" t="s">
        <v>10</v>
      </c>
      <c r="Y144" s="75" t="s">
        <v>11</v>
      </c>
      <c r="Z144" s="75" t="s">
        <v>10</v>
      </c>
      <c r="AA144" s="75" t="s">
        <v>11</v>
      </c>
      <c r="AB144" s="430"/>
      <c r="AC144" s="417"/>
      <c r="AD144" s="417"/>
      <c r="AE144" s="417"/>
      <c r="AF144" s="417"/>
      <c r="AG144" s="431"/>
      <c r="AH144" s="805"/>
      <c r="AI144" s="787"/>
      <c r="AJ144" s="773"/>
      <c r="AK144" s="784"/>
      <c r="AL144" s="815"/>
      <c r="AM144" s="14">
        <v>114</v>
      </c>
      <c r="AN144" s="82"/>
      <c r="AO144" s="83"/>
    </row>
    <row r="145" spans="1:41" ht="25.5" x14ac:dyDescent="0.75">
      <c r="A145" s="827" t="s">
        <v>33</v>
      </c>
      <c r="B145" s="76" t="s">
        <v>672</v>
      </c>
      <c r="C145" s="153" t="s">
        <v>358</v>
      </c>
      <c r="D145" s="78"/>
      <c r="E145" s="79"/>
      <c r="F145" s="79"/>
      <c r="G145" s="79"/>
      <c r="H145" s="79"/>
      <c r="I145" s="79"/>
      <c r="J145" s="79"/>
      <c r="K145" s="79"/>
      <c r="L145" s="79"/>
      <c r="M145" s="80"/>
      <c r="N145" s="79"/>
      <c r="O145" s="80"/>
      <c r="P145" s="79"/>
      <c r="Q145" s="80"/>
      <c r="R145" s="79"/>
      <c r="S145" s="80"/>
      <c r="T145" s="79"/>
      <c r="U145" s="80"/>
      <c r="V145" s="79"/>
      <c r="W145" s="80"/>
      <c r="X145" s="183"/>
      <c r="Y145" s="80"/>
      <c r="Z145" s="183"/>
      <c r="AA145" s="361"/>
      <c r="AB145" s="432"/>
      <c r="AC145" s="433"/>
      <c r="AD145" s="433"/>
      <c r="AE145" s="433"/>
      <c r="AF145" s="433"/>
      <c r="AG145" s="360"/>
      <c r="AH145" s="55">
        <f>SUM(D145:AA145)</f>
        <v>0</v>
      </c>
      <c r="AI145" s="160"/>
      <c r="AJ145" s="762" t="str">
        <f>CONCATENATE(AI145,AI146,AI147,AI150,AI151,AI152,AI153,AI154,AI155,AI158,AI159,AI160,AI161,AI162,AI163,AI166,AI167,AI168)</f>
        <v/>
      </c>
      <c r="AK145" s="81"/>
      <c r="AL145" s="866" t="str">
        <f>CONCATENATE(AK145,AK146,AK147,AK150,AK151,AK152,AK153,AK154,AK155,AK158,AK159,AK160,AK161,AK162,AK163,AK166,AK167,AK168)</f>
        <v/>
      </c>
      <c r="AM145" s="14">
        <v>115</v>
      </c>
      <c r="AN145" s="82"/>
      <c r="AO145" s="83"/>
    </row>
    <row r="146" spans="1:41" ht="25.5" x14ac:dyDescent="0.75">
      <c r="A146" s="670"/>
      <c r="B146" s="84" t="s">
        <v>152</v>
      </c>
      <c r="C146" s="85" t="s">
        <v>224</v>
      </c>
      <c r="D146" s="86"/>
      <c r="E146" s="87"/>
      <c r="F146" s="87"/>
      <c r="G146" s="87"/>
      <c r="H146" s="87"/>
      <c r="I146" s="87"/>
      <c r="J146" s="87"/>
      <c r="K146" s="87"/>
      <c r="L146" s="87"/>
      <c r="M146" s="88"/>
      <c r="N146" s="87"/>
      <c r="O146" s="88"/>
      <c r="P146" s="87"/>
      <c r="Q146" s="88"/>
      <c r="R146" s="87"/>
      <c r="S146" s="88"/>
      <c r="T146" s="87"/>
      <c r="U146" s="88"/>
      <c r="V146" s="87"/>
      <c r="W146" s="88"/>
      <c r="X146" s="184"/>
      <c r="Y146" s="88"/>
      <c r="Z146" s="184"/>
      <c r="AA146" s="362"/>
      <c r="AB146" s="434"/>
      <c r="AC146" s="401"/>
      <c r="AD146" s="401"/>
      <c r="AE146" s="401"/>
      <c r="AF146" s="401"/>
      <c r="AG146" s="357"/>
      <c r="AH146" s="199">
        <f t="shared" ref="AH146:AH168" si="22">SUM(D146:AA146)</f>
        <v>0</v>
      </c>
      <c r="AI146" s="130" t="str">
        <f>CONCATENATE(IF(D148&lt;&gt;SUM(D150,D151,D152)," * Total CXCA Screening positive for Age "&amp;D20&amp;" "&amp;D21&amp;" is Not equal to  the sum of (Cryotherapy and Leep and Thermocoagulation)"&amp;CHAR(10),""),IF(E148&lt;&gt;SUM(E150,E151,E152)," * Total CXCA Screening positive for Age "&amp;D20&amp;" "&amp;E21&amp;" is Not equal to  the sum of (Cryotherapy and Leep and Thermocoagulation)"&amp;CHAR(10),""),IF(F148&lt;&gt;SUM(F150,F151,F152)," * Total CXCA Screening positive for Age "&amp;F20&amp;" "&amp;F21&amp;" is Not equal to  the sum of (Cryotherapy and Leep and Thermocoagulation)"&amp;CHAR(10),""),IF(G148&lt;&gt;SUM(G150,G151,G152)," * Total CXCA Screening positive for Age "&amp;F20&amp;" "&amp;G21&amp;" is Not equal to  the sum of (Cryotherapy and Leep and Thermocoagulation)"&amp;CHAR(10),""),IF(H148&lt;&gt;SUM(H150,H151,H152)," * Total CXCA Screening positive for Age "&amp;H20&amp;" "&amp;H21&amp;" is Not equal to  the sum of (Cryotherapy and Leep and Thermocoagulation)"&amp;CHAR(10),""),IF(I148&lt;&gt;SUM(I150,I151,I152)," * Total CXCA Screening positive for Age "&amp;H20&amp;" "&amp;I21&amp;" is Not equal to  the sum of (Cryotherapy and Leep and Thermocoagulation)"&amp;CHAR(10),""),IF(J148&lt;&gt;SUM(J150,J151,J152)," * Total CXCA Screening positive for Age "&amp;J20&amp;" "&amp;J21&amp;" is Not equal to  the sum of (Cryotherapy and Leep and Thermocoagulation)"&amp;CHAR(10),""),IF(K148&lt;&gt;SUM(K150,K151,K152)," * Total CXCA Screening positive for Age "&amp;J20&amp;" "&amp;K21&amp;" is Not equal to  the sum of (Cryotherapy and Leep and Thermocoagulation)"&amp;CHAR(10),""),IF(L148&lt;&gt;SUM(L150,L151,L152)," * Total CXCA Screening positive for Age "&amp;L20&amp;" "&amp;L21&amp;" is Not equal to  the sum of (Cryotherapy and Leep and Thermocoagulation)"&amp;CHAR(10),""),IF(M148&lt;&gt;SUM(M150,M151,M152)," * Total CXCA Screening positive for Age "&amp;L20&amp;" "&amp;M21&amp;" is Not equal to  the sum of (Cryotherapy and Leep and Thermocoagulation)"&amp;CHAR(10),""),IF(N148&lt;&gt;SUM(N150,N151,N152)," * Total CXCA Screening positive for Age "&amp;N20&amp;" "&amp;N21&amp;" is Not equal to  the sum of (Cryotherapy and Leep and Thermocoagulation)"&amp;CHAR(10),""),IF(O148&lt;&gt;SUM(O150,O151,O152)," * Total CXCA Screening positive for Age "&amp;N20&amp;" "&amp;O21&amp;" is Not equal to  the sum of (Cryotherapy and Leep and Thermocoagulation)"&amp;CHAR(10),""),IF(P148&lt;&gt;SUM(P150,P151,P152)," * Total CXCA Screening positive for Age "&amp;P20&amp;" "&amp;P21&amp;" is Not equal to  the sum of (Cryotherapy and Leep and Thermocoagulation)"&amp;CHAR(10),""),IF(Q148&lt;&gt;SUM(Q150,Q151,Q152)," * Total CXCA Screening positive for Age "&amp;P20&amp;" "&amp;Q21&amp;" is Not equal to  the sum of (Cryotherapy and Leep and Thermocoagulation)"&amp;CHAR(10),""),IF(R148&lt;&gt;SUM(R150,R151,R152)," * Total CXCA Screening positive for Age "&amp;R20&amp;" "&amp;R21&amp;" is Not equal to  the sum of (Cryotherapy and Leep and Thermocoagulation)"&amp;CHAR(10),""),IF(S148&lt;&gt;SUM(S150,S151,S152)," * Total CXCA Screening positive for Age "&amp;R20&amp;" "&amp;S21&amp;" is Not equal to  the sum of (Cryotherapy and Leep and Thermocoagulation)"&amp;CHAR(10),""),IF(T148&lt;&gt;SUM(T150,T151,T152)," * Total CXCA Screening positive for Age "&amp;T20&amp;" "&amp;T21&amp;" is Not equal to  the sum of (Cryotherapy and Leep and Thermocoagulation)"&amp;CHAR(10),""),IF(U148&lt;&gt;SUM(U150,U151,U152)," * Total CXCA Screening positive for Age "&amp;T20&amp;" "&amp;U21&amp;" is Not equal to  the sum of (Cryotherapy and Leep and Thermocoagulation)"&amp;CHAR(10),""),IF(V148&lt;&gt;SUM(V150,V151,V152)," * Total CXCA Screening positive for Age "&amp;V20&amp;" "&amp;V21&amp;" is Not equal to  the sum of (Cryotherapy and Leep and Thermocoagulation)"&amp;CHAR(10),""),IF(W148&lt;&gt;SUM(W150,W151,W152)," * Total CXCA Screening positive for Age "&amp;V20&amp;" "&amp;W21&amp;" is Not equal to  the sum of (Cryotherapy and Leep and Thermocoagulation)"&amp;CHAR(10),""),IF(X148&lt;&gt;SUM(X150,X151,X152)," * Total CXCA Screening positive for Age "&amp;X20&amp;" "&amp;X21&amp;" is Not equal to  the sum of (Cryotherapy and Leep and Thermocoagulation)"&amp;CHAR(10),""),IF(Y148&lt;&gt;SUM(Y150,Y151,Y152)," * Total CXCA Screening positive for Age "&amp;X20&amp;" "&amp;Y21&amp;" is Not equal to  the sum of (Cryotherapy and Leep and Thermocoagulation)"&amp;CHAR(10),""),IF(Z148&lt;&gt;SUM(Z150,Z151,Z152)," * Total CXCA Screening positive for Age "&amp;Z20&amp;" "&amp;Z21&amp;" is Not equal to  the sum of (Cryotherapy and Leep and Thermocoagulation)"&amp;CHAR(10),""),IF(AA148&lt;&gt;SUM(AA150,AA151,AA152)," * Total CXCA Screening positive for Age "&amp;Z20&amp;" "&amp;AA21&amp;" is Not equal to  the sum of (Cryotherapy and Leep and Thermocoagulation)"&amp;CHAR(10),""))</f>
        <v/>
      </c>
      <c r="AJ146" s="763"/>
      <c r="AK146" s="33"/>
      <c r="AL146" s="843"/>
      <c r="AM146" s="14">
        <v>116</v>
      </c>
      <c r="AN146" s="82"/>
      <c r="AO146" s="83"/>
    </row>
    <row r="147" spans="1:41" ht="25.5" x14ac:dyDescent="0.75">
      <c r="A147" s="670"/>
      <c r="B147" s="84" t="s">
        <v>673</v>
      </c>
      <c r="C147" s="85" t="s">
        <v>359</v>
      </c>
      <c r="D147" s="86"/>
      <c r="E147" s="87"/>
      <c r="F147" s="87"/>
      <c r="G147" s="87"/>
      <c r="H147" s="87"/>
      <c r="I147" s="87"/>
      <c r="J147" s="87"/>
      <c r="K147" s="87"/>
      <c r="L147" s="87"/>
      <c r="M147" s="88"/>
      <c r="N147" s="87"/>
      <c r="O147" s="88"/>
      <c r="P147" s="87"/>
      <c r="Q147" s="88"/>
      <c r="R147" s="87"/>
      <c r="S147" s="88"/>
      <c r="T147" s="87"/>
      <c r="U147" s="88"/>
      <c r="V147" s="87"/>
      <c r="W147" s="88"/>
      <c r="X147" s="184"/>
      <c r="Y147" s="88"/>
      <c r="Z147" s="184"/>
      <c r="AA147" s="362"/>
      <c r="AB147" s="434"/>
      <c r="AC147" s="401"/>
      <c r="AD147" s="401"/>
      <c r="AE147" s="401"/>
      <c r="AF147" s="401"/>
      <c r="AG147" s="357"/>
      <c r="AH147" s="199">
        <f t="shared" si="22"/>
        <v>0</v>
      </c>
      <c r="AI147" s="130"/>
      <c r="AJ147" s="763"/>
      <c r="AK147" s="33"/>
      <c r="AL147" s="843"/>
      <c r="AM147" s="14">
        <v>117</v>
      </c>
      <c r="AN147" s="82"/>
      <c r="AO147" s="83"/>
    </row>
    <row r="148" spans="1:41" ht="25.5" x14ac:dyDescent="0.75">
      <c r="A148" s="670"/>
      <c r="B148" s="185" t="s">
        <v>866</v>
      </c>
      <c r="C148" s="85" t="s">
        <v>867</v>
      </c>
      <c r="D148" s="86"/>
      <c r="E148" s="87"/>
      <c r="F148" s="87"/>
      <c r="G148" s="87"/>
      <c r="H148" s="87"/>
      <c r="I148" s="87"/>
      <c r="J148" s="87"/>
      <c r="K148" s="87"/>
      <c r="L148" s="87"/>
      <c r="M148" s="186">
        <f>M147+M146</f>
        <v>0</v>
      </c>
      <c r="N148" s="187"/>
      <c r="O148" s="186">
        <f>O147+O146</f>
        <v>0</v>
      </c>
      <c r="P148" s="87"/>
      <c r="Q148" s="186">
        <f>Q147+Q146</f>
        <v>0</v>
      </c>
      <c r="R148" s="87"/>
      <c r="S148" s="186">
        <f>S147+S146</f>
        <v>0</v>
      </c>
      <c r="T148" s="87"/>
      <c r="U148" s="186">
        <f>U147+U146</f>
        <v>0</v>
      </c>
      <c r="V148" s="87"/>
      <c r="W148" s="186">
        <f>W147+W146</f>
        <v>0</v>
      </c>
      <c r="X148" s="184"/>
      <c r="Y148" s="186">
        <f>Y147+Y146</f>
        <v>0</v>
      </c>
      <c r="Z148" s="184"/>
      <c r="AA148" s="384">
        <f>AA147+AA146</f>
        <v>0</v>
      </c>
      <c r="AB148" s="434"/>
      <c r="AC148" s="401"/>
      <c r="AD148" s="401"/>
      <c r="AE148" s="401"/>
      <c r="AF148" s="401"/>
      <c r="AG148" s="357"/>
      <c r="AH148" s="199">
        <f t="shared" si="22"/>
        <v>0</v>
      </c>
      <c r="AI148" s="130"/>
      <c r="AJ148" s="763"/>
      <c r="AK148" s="33"/>
      <c r="AL148" s="843"/>
      <c r="AM148" s="14">
        <v>118</v>
      </c>
      <c r="AN148" s="82"/>
      <c r="AO148" s="83"/>
    </row>
    <row r="149" spans="1:41" ht="25.5" x14ac:dyDescent="0.75">
      <c r="A149" s="670"/>
      <c r="B149" s="188" t="s">
        <v>1006</v>
      </c>
      <c r="C149" s="85" t="s">
        <v>1003</v>
      </c>
      <c r="D149" s="86"/>
      <c r="E149" s="87"/>
      <c r="F149" s="87"/>
      <c r="G149" s="87"/>
      <c r="H149" s="87"/>
      <c r="I149" s="87"/>
      <c r="J149" s="87"/>
      <c r="K149" s="87"/>
      <c r="L149" s="87"/>
      <c r="M149" s="190"/>
      <c r="N149" s="187"/>
      <c r="O149" s="190"/>
      <c r="P149" s="87"/>
      <c r="Q149" s="190"/>
      <c r="R149" s="87"/>
      <c r="S149" s="190"/>
      <c r="T149" s="87"/>
      <c r="U149" s="190"/>
      <c r="V149" s="87"/>
      <c r="W149" s="190"/>
      <c r="X149" s="184"/>
      <c r="Y149" s="190"/>
      <c r="Z149" s="184"/>
      <c r="AA149" s="385"/>
      <c r="AB149" s="434"/>
      <c r="AC149" s="401"/>
      <c r="AD149" s="401"/>
      <c r="AE149" s="401"/>
      <c r="AF149" s="401"/>
      <c r="AG149" s="357"/>
      <c r="AH149" s="199"/>
      <c r="AI149" s="130"/>
      <c r="AJ149" s="763"/>
      <c r="AK149" s="33"/>
      <c r="AL149" s="843"/>
      <c r="AM149" s="14">
        <v>119</v>
      </c>
      <c r="AN149" s="82"/>
      <c r="AO149" s="83"/>
    </row>
    <row r="150" spans="1:41" ht="25.5" x14ac:dyDescent="0.75">
      <c r="A150" s="670"/>
      <c r="B150" s="84" t="s">
        <v>674</v>
      </c>
      <c r="C150" s="85" t="s">
        <v>229</v>
      </c>
      <c r="D150" s="86"/>
      <c r="E150" s="87"/>
      <c r="F150" s="87"/>
      <c r="G150" s="87"/>
      <c r="H150" s="87"/>
      <c r="I150" s="87"/>
      <c r="J150" s="87"/>
      <c r="K150" s="87"/>
      <c r="L150" s="87"/>
      <c r="M150" s="88"/>
      <c r="N150" s="87"/>
      <c r="O150" s="88"/>
      <c r="P150" s="87"/>
      <c r="Q150" s="88"/>
      <c r="R150" s="87"/>
      <c r="S150" s="88"/>
      <c r="T150" s="87"/>
      <c r="U150" s="88"/>
      <c r="V150" s="87"/>
      <c r="W150" s="88"/>
      <c r="X150" s="184"/>
      <c r="Y150" s="88"/>
      <c r="Z150" s="184"/>
      <c r="AA150" s="362"/>
      <c r="AB150" s="434"/>
      <c r="AC150" s="401"/>
      <c r="AD150" s="401"/>
      <c r="AE150" s="401"/>
      <c r="AF150" s="401"/>
      <c r="AG150" s="357"/>
      <c r="AH150" s="199">
        <f t="shared" si="22"/>
        <v>0</v>
      </c>
      <c r="AI150" s="130"/>
      <c r="AJ150" s="763"/>
      <c r="AK150" s="33"/>
      <c r="AL150" s="843"/>
      <c r="AM150" s="14">
        <v>120</v>
      </c>
      <c r="AN150" s="82"/>
      <c r="AO150" s="83"/>
    </row>
    <row r="151" spans="1:41" ht="25.5" x14ac:dyDescent="0.75">
      <c r="A151" s="670"/>
      <c r="B151" s="84" t="s">
        <v>675</v>
      </c>
      <c r="C151" s="85" t="s">
        <v>230</v>
      </c>
      <c r="D151" s="86"/>
      <c r="E151" s="87"/>
      <c r="F151" s="87"/>
      <c r="G151" s="87"/>
      <c r="H151" s="87"/>
      <c r="I151" s="87"/>
      <c r="J151" s="87"/>
      <c r="K151" s="87"/>
      <c r="L151" s="87"/>
      <c r="M151" s="88"/>
      <c r="N151" s="87"/>
      <c r="O151" s="88"/>
      <c r="P151" s="87"/>
      <c r="Q151" s="88"/>
      <c r="R151" s="87"/>
      <c r="S151" s="88"/>
      <c r="T151" s="87"/>
      <c r="U151" s="88"/>
      <c r="V151" s="87"/>
      <c r="W151" s="88"/>
      <c r="X151" s="184"/>
      <c r="Y151" s="88"/>
      <c r="Z151" s="184"/>
      <c r="AA151" s="362"/>
      <c r="AB151" s="434"/>
      <c r="AC151" s="401"/>
      <c r="AD151" s="401"/>
      <c r="AE151" s="401"/>
      <c r="AF151" s="401"/>
      <c r="AG151" s="357"/>
      <c r="AH151" s="199">
        <f t="shared" si="22"/>
        <v>0</v>
      </c>
      <c r="AI151" s="130"/>
      <c r="AJ151" s="763"/>
      <c r="AK151" s="33"/>
      <c r="AL151" s="843"/>
      <c r="AM151" s="14">
        <v>121</v>
      </c>
      <c r="AN151" s="82"/>
      <c r="AO151" s="83"/>
    </row>
    <row r="152" spans="1:41" ht="25.9" thickBot="1" x14ac:dyDescent="0.8">
      <c r="A152" s="637"/>
      <c r="B152" s="96" t="s">
        <v>676</v>
      </c>
      <c r="C152" s="97" t="s">
        <v>231</v>
      </c>
      <c r="D152" s="114"/>
      <c r="E152" s="113"/>
      <c r="F152" s="113"/>
      <c r="G152" s="113"/>
      <c r="H152" s="113"/>
      <c r="I152" s="113"/>
      <c r="J152" s="113"/>
      <c r="K152" s="113"/>
      <c r="L152" s="113"/>
      <c r="M152" s="100"/>
      <c r="N152" s="113"/>
      <c r="O152" s="100"/>
      <c r="P152" s="113"/>
      <c r="Q152" s="100"/>
      <c r="R152" s="113"/>
      <c r="S152" s="100"/>
      <c r="T152" s="113"/>
      <c r="U152" s="100"/>
      <c r="V152" s="113"/>
      <c r="W152" s="100"/>
      <c r="X152" s="191"/>
      <c r="Y152" s="100"/>
      <c r="Z152" s="191"/>
      <c r="AA152" s="364"/>
      <c r="AB152" s="434"/>
      <c r="AC152" s="401"/>
      <c r="AD152" s="401"/>
      <c r="AE152" s="401"/>
      <c r="AF152" s="401"/>
      <c r="AG152" s="357"/>
      <c r="AH152" s="218">
        <f t="shared" si="22"/>
        <v>0</v>
      </c>
      <c r="AI152" s="130"/>
      <c r="AJ152" s="763"/>
      <c r="AK152" s="33"/>
      <c r="AL152" s="843"/>
      <c r="AM152" s="14">
        <v>122</v>
      </c>
      <c r="AN152" s="82"/>
      <c r="AO152" s="83"/>
    </row>
    <row r="153" spans="1:41" ht="25.5" x14ac:dyDescent="0.75">
      <c r="A153" s="636" t="s">
        <v>468</v>
      </c>
      <c r="B153" s="102" t="s">
        <v>672</v>
      </c>
      <c r="C153" s="77" t="s">
        <v>360</v>
      </c>
      <c r="D153" s="109"/>
      <c r="E153" s="110"/>
      <c r="F153" s="110"/>
      <c r="G153" s="110"/>
      <c r="H153" s="110"/>
      <c r="I153" s="110"/>
      <c r="J153" s="110"/>
      <c r="K153" s="110"/>
      <c r="L153" s="110"/>
      <c r="M153" s="105"/>
      <c r="N153" s="110"/>
      <c r="O153" s="105"/>
      <c r="P153" s="110"/>
      <c r="Q153" s="105"/>
      <c r="R153" s="110"/>
      <c r="S153" s="105"/>
      <c r="T153" s="110"/>
      <c r="U153" s="105"/>
      <c r="V153" s="110"/>
      <c r="W153" s="105"/>
      <c r="X153" s="192"/>
      <c r="Y153" s="105"/>
      <c r="Z153" s="192"/>
      <c r="AA153" s="365"/>
      <c r="AB153" s="434"/>
      <c r="AC153" s="401"/>
      <c r="AD153" s="401"/>
      <c r="AE153" s="401"/>
      <c r="AF153" s="401"/>
      <c r="AG153" s="357"/>
      <c r="AH153" s="214">
        <f t="shared" si="22"/>
        <v>0</v>
      </c>
      <c r="AI153" s="130"/>
      <c r="AJ153" s="763"/>
      <c r="AK153" s="33"/>
      <c r="AL153" s="843"/>
      <c r="AM153" s="14">
        <v>123</v>
      </c>
      <c r="AN153" s="82"/>
      <c r="AO153" s="83"/>
    </row>
    <row r="154" spans="1:41" ht="25.5" x14ac:dyDescent="0.75">
      <c r="A154" s="670"/>
      <c r="B154" s="84" t="s">
        <v>152</v>
      </c>
      <c r="C154" s="85" t="s">
        <v>361</v>
      </c>
      <c r="D154" s="86"/>
      <c r="E154" s="87"/>
      <c r="F154" s="87"/>
      <c r="G154" s="87"/>
      <c r="H154" s="87"/>
      <c r="I154" s="87"/>
      <c r="J154" s="87"/>
      <c r="K154" s="87"/>
      <c r="L154" s="87"/>
      <c r="M154" s="88"/>
      <c r="N154" s="87"/>
      <c r="O154" s="88"/>
      <c r="P154" s="87"/>
      <c r="Q154" s="88"/>
      <c r="R154" s="87"/>
      <c r="S154" s="88"/>
      <c r="T154" s="87"/>
      <c r="U154" s="88"/>
      <c r="V154" s="87"/>
      <c r="W154" s="88"/>
      <c r="X154" s="184"/>
      <c r="Y154" s="88"/>
      <c r="Z154" s="184"/>
      <c r="AA154" s="362"/>
      <c r="AB154" s="434"/>
      <c r="AC154" s="401"/>
      <c r="AD154" s="401"/>
      <c r="AE154" s="401"/>
      <c r="AF154" s="401"/>
      <c r="AG154" s="357"/>
      <c r="AH154" s="199">
        <f t="shared" si="22"/>
        <v>0</v>
      </c>
      <c r="AI154" s="130" t="str">
        <f>CONCATENATE(IF(D156&lt;&gt;SUM(D158,D159,D160)," * Total CXCA Screening positive for Age "&amp;D20&amp;" "&amp;D21&amp;" is Not equal to  the sum of (Cryotherapy and Leep and Thermocoagulation)"&amp;CHAR(10),""),IF(E156&lt;&gt;SUM(E158,E159,E160)," * Total CXCA Screening positive for Age "&amp;D20&amp;" "&amp;E21&amp;" is Not equal to  the sum of (Cryotherapy and Leep and Thermocoagulation)"&amp;CHAR(10),""),IF(F156&lt;&gt;SUM(F158,F159,F160)," * Total CXCA Screening positive for Age "&amp;F20&amp;" "&amp;F21&amp;" is Not equal to  the sum of (Cryotherapy and Leep and Thermocoagulation)"&amp;CHAR(10),""),IF(G156&lt;&gt;SUM(G158,G159,G160)," * Total CXCA Screening positive for Age "&amp;F20&amp;" "&amp;G21&amp;" is Not equal to  the sum of (Cryotherapy and Leep and Thermocoagulation)"&amp;CHAR(10),""),IF(H156&lt;&gt;SUM(H158,H159,H160)," * Total CXCA Screening positive for Age "&amp;H20&amp;" "&amp;H21&amp;" is Not equal to  the sum of (Cryotherapy and Leep and Thermocoagulation)"&amp;CHAR(10),""),IF(I156&lt;&gt;SUM(I158,I159,I160)," * Total CXCA Screening positive for Age "&amp;H20&amp;" "&amp;I21&amp;" is Not equal to  the sum of (Cryotherapy and Leep and Thermocoagulation)"&amp;CHAR(10),""),IF(J156&lt;&gt;SUM(J158,J159,J160)," * Total CXCA Screening positive for Age "&amp;J20&amp;" "&amp;J21&amp;" is Not equal to  the sum of (Cryotherapy and Leep and Thermocoagulation)"&amp;CHAR(10),""),IF(K156&lt;&gt;SUM(K158,K159,K160)," * Total CXCA Screening positive for Age "&amp;J20&amp;" "&amp;K21&amp;" is Not equal to  the sum of (Cryotherapy and Leep and Thermocoagulation)"&amp;CHAR(10),""),IF(L156&lt;&gt;SUM(L158,L159,L160)," * Total CXCA Screening positive for Age "&amp;L20&amp;" "&amp;L21&amp;" is Not equal to  the sum of (Cryotherapy and Leep and Thermocoagulation)"&amp;CHAR(10),""),IF(M156&lt;&gt;SUM(M158,M159,M160)," * Total CXCA Screening positive for Age "&amp;L20&amp;" "&amp;M21&amp;" is Not equal to  the sum of (Cryotherapy and Leep and Thermocoagulation)"&amp;CHAR(10),""),IF(N156&lt;&gt;SUM(N158,N159,N160)," * Total CXCA Screening positive for Age "&amp;N20&amp;" "&amp;N21&amp;" is Not equal to  the sum of (Cryotherapy and Leep and Thermocoagulation)"&amp;CHAR(10),""),IF(O156&lt;&gt;SUM(O158,O159,O160)," * Total CXCA Screening positive for Age "&amp;N20&amp;" "&amp;O21&amp;" is Not equal to  the sum of (Cryotherapy and Leep and Thermocoagulation)"&amp;CHAR(10),""),IF(P156&lt;&gt;SUM(P158,P159,P160)," * Total CXCA Screening positive for Age "&amp;P20&amp;" "&amp;P21&amp;" is Not equal to  the sum of (Cryotherapy and Leep and Thermocoagulation)"&amp;CHAR(10),""),IF(Q156&lt;&gt;SUM(Q158,Q159,Q160)," * Total CXCA Screening positive for Age "&amp;P20&amp;" "&amp;Q21&amp;" is Not equal to  the sum of (Cryotherapy and Leep and Thermocoagulation)"&amp;CHAR(10),""),IF(R156&lt;&gt;SUM(R158,R159,R160)," * Total CXCA Screening positive for Age "&amp;R20&amp;" "&amp;R21&amp;" is Not equal to  the sum of (Cryotherapy and Leep and Thermocoagulation)"&amp;CHAR(10),""),IF(S156&lt;&gt;SUM(S158,S159,S160)," * Total CXCA Screening positive for Age "&amp;R20&amp;" "&amp;S21&amp;" is Not equal to  the sum of (Cryotherapy and Leep and Thermocoagulation)"&amp;CHAR(10),""),IF(T156&lt;&gt;SUM(T158,T159,T160)," * Total CXCA Screening positive for Age "&amp;T20&amp;" "&amp;T21&amp;" is Not equal to  the sum of (Cryotherapy and Leep and Thermocoagulation)"&amp;CHAR(10),""),IF(U156&lt;&gt;SUM(U158,U159,U160)," * Total CXCA Screening positive for Age "&amp;T20&amp;" "&amp;U21&amp;" is Not equal to  the sum of (Cryotherapy and Leep and Thermocoagulation)"&amp;CHAR(10),""),IF(V156&lt;&gt;SUM(V158,V159,V160)," * Total CXCA Screening positive for Age "&amp;V20&amp;" "&amp;V21&amp;" is Not equal to  the sum of (Cryotherapy and Leep and Thermocoagulation)"&amp;CHAR(10),""),IF(W156&lt;&gt;SUM(W158,W159,W160)," * Total CXCA Screening positive for Age "&amp;V20&amp;" "&amp;W21&amp;" is Not equal to  the sum of (Cryotherapy and Leep and Thermocoagulation)"&amp;CHAR(10),""),IF(X156&lt;&gt;SUM(X158,X159,X160)," * Total CXCA Screening positive for Age "&amp;X20&amp;" "&amp;X21&amp;" is Not equal to  the sum of (Cryotherapy and Leep and Thermocoagulation)"&amp;CHAR(10),""),IF(Y156&lt;&gt;SUM(Y158,Y159,Y160)," * Total CXCA Screening positive for Age "&amp;X20&amp;" "&amp;Y21&amp;" is Not equal to  the sum of (Cryotherapy and Leep and Thermocoagulation)"&amp;CHAR(10),""),IF(Z156&lt;&gt;SUM(Z158,Z159,Z160)," * Total CXCA Screening positive for Age "&amp;Z20&amp;" "&amp;Z21&amp;" is Not equal to  the sum of (Cryotherapy and Leep and Thermocoagulation)"&amp;CHAR(10),""),IF(AA156&lt;&gt;SUM(AA158,AA159,AA160)," * Total CXCA Screening positive for Age "&amp;Z20&amp;" "&amp;AA21&amp;" is Not equal to  the sum of (Cryotherapy and Leep and Thermocoagulation)"&amp;CHAR(10),""))</f>
        <v/>
      </c>
      <c r="AJ154" s="763"/>
      <c r="AK154" s="33"/>
      <c r="AL154" s="843"/>
      <c r="AM154" s="14">
        <v>124</v>
      </c>
      <c r="AN154" s="82"/>
      <c r="AO154" s="83"/>
    </row>
    <row r="155" spans="1:41" ht="25.5" x14ac:dyDescent="0.75">
      <c r="A155" s="670"/>
      <c r="B155" s="84" t="s">
        <v>673</v>
      </c>
      <c r="C155" s="85" t="s">
        <v>239</v>
      </c>
      <c r="D155" s="86"/>
      <c r="E155" s="87"/>
      <c r="F155" s="87"/>
      <c r="G155" s="87"/>
      <c r="H155" s="87"/>
      <c r="I155" s="87"/>
      <c r="J155" s="87"/>
      <c r="K155" s="87"/>
      <c r="L155" s="87"/>
      <c r="M155" s="88"/>
      <c r="N155" s="87"/>
      <c r="O155" s="88"/>
      <c r="P155" s="87"/>
      <c r="Q155" s="88"/>
      <c r="R155" s="87"/>
      <c r="S155" s="88"/>
      <c r="T155" s="87"/>
      <c r="U155" s="88"/>
      <c r="V155" s="87"/>
      <c r="W155" s="88"/>
      <c r="X155" s="184"/>
      <c r="Y155" s="88"/>
      <c r="Z155" s="184"/>
      <c r="AA155" s="362"/>
      <c r="AB155" s="434"/>
      <c r="AC155" s="401"/>
      <c r="AD155" s="401"/>
      <c r="AE155" s="401"/>
      <c r="AF155" s="401"/>
      <c r="AG155" s="357"/>
      <c r="AH155" s="199">
        <f t="shared" si="22"/>
        <v>0</v>
      </c>
      <c r="AI155" s="130"/>
      <c r="AJ155" s="763"/>
      <c r="AK155" s="33"/>
      <c r="AL155" s="843"/>
      <c r="AM155" s="14">
        <v>125</v>
      </c>
      <c r="AN155" s="82"/>
      <c r="AO155" s="83"/>
    </row>
    <row r="156" spans="1:41" ht="25.5" x14ac:dyDescent="0.75">
      <c r="A156" s="670"/>
      <c r="B156" s="185" t="s">
        <v>866</v>
      </c>
      <c r="C156" s="85" t="s">
        <v>868</v>
      </c>
      <c r="D156" s="86"/>
      <c r="E156" s="87"/>
      <c r="F156" s="87"/>
      <c r="G156" s="87"/>
      <c r="H156" s="87"/>
      <c r="I156" s="87"/>
      <c r="J156" s="87"/>
      <c r="K156" s="87"/>
      <c r="L156" s="87"/>
      <c r="M156" s="186">
        <f>M155+M154</f>
        <v>0</v>
      </c>
      <c r="N156" s="187"/>
      <c r="O156" s="186">
        <f>O155+O154</f>
        <v>0</v>
      </c>
      <c r="P156" s="87"/>
      <c r="Q156" s="186">
        <f>Q155+Q154</f>
        <v>0</v>
      </c>
      <c r="R156" s="87"/>
      <c r="S156" s="186">
        <f>S155+S154</f>
        <v>0</v>
      </c>
      <c r="T156" s="87"/>
      <c r="U156" s="186">
        <f>U155+U154</f>
        <v>0</v>
      </c>
      <c r="V156" s="87"/>
      <c r="W156" s="186">
        <f>W155+W154</f>
        <v>0</v>
      </c>
      <c r="X156" s="184"/>
      <c r="Y156" s="186">
        <f>Y155+Y154</f>
        <v>0</v>
      </c>
      <c r="Z156" s="184"/>
      <c r="AA156" s="384">
        <f>AA155+AA154</f>
        <v>0</v>
      </c>
      <c r="AB156" s="434"/>
      <c r="AC156" s="401"/>
      <c r="AD156" s="401"/>
      <c r="AE156" s="401"/>
      <c r="AF156" s="401"/>
      <c r="AG156" s="357"/>
      <c r="AH156" s="199">
        <f t="shared" si="22"/>
        <v>0</v>
      </c>
      <c r="AI156" s="130"/>
      <c r="AJ156" s="763"/>
      <c r="AK156" s="33"/>
      <c r="AL156" s="843"/>
      <c r="AM156" s="14">
        <v>126</v>
      </c>
      <c r="AN156" s="82"/>
      <c r="AO156" s="83"/>
    </row>
    <row r="157" spans="1:41" ht="25.5" x14ac:dyDescent="0.75">
      <c r="A157" s="670"/>
      <c r="B157" s="188" t="s">
        <v>1006</v>
      </c>
      <c r="C157" s="85" t="s">
        <v>1005</v>
      </c>
      <c r="D157" s="86"/>
      <c r="E157" s="87"/>
      <c r="F157" s="87"/>
      <c r="G157" s="87"/>
      <c r="H157" s="87"/>
      <c r="I157" s="87"/>
      <c r="J157" s="87"/>
      <c r="K157" s="87"/>
      <c r="L157" s="87"/>
      <c r="M157" s="190"/>
      <c r="N157" s="187"/>
      <c r="O157" s="190"/>
      <c r="P157" s="87"/>
      <c r="Q157" s="190"/>
      <c r="R157" s="87"/>
      <c r="S157" s="190"/>
      <c r="T157" s="87"/>
      <c r="U157" s="190"/>
      <c r="V157" s="87"/>
      <c r="W157" s="190"/>
      <c r="X157" s="184"/>
      <c r="Y157" s="190"/>
      <c r="Z157" s="184"/>
      <c r="AA157" s="385"/>
      <c r="AB157" s="434"/>
      <c r="AC157" s="401"/>
      <c r="AD157" s="401"/>
      <c r="AE157" s="401"/>
      <c r="AF157" s="401"/>
      <c r="AG157" s="357"/>
      <c r="AH157" s="199"/>
      <c r="AI157" s="130"/>
      <c r="AJ157" s="763"/>
      <c r="AK157" s="33"/>
      <c r="AL157" s="843"/>
      <c r="AM157" s="14">
        <v>127</v>
      </c>
      <c r="AN157" s="82"/>
      <c r="AO157" s="83"/>
    </row>
    <row r="158" spans="1:41" ht="25.5" x14ac:dyDescent="0.75">
      <c r="A158" s="670"/>
      <c r="B158" s="84" t="s">
        <v>674</v>
      </c>
      <c r="C158" s="85" t="s">
        <v>240</v>
      </c>
      <c r="D158" s="86"/>
      <c r="E158" s="87"/>
      <c r="F158" s="87"/>
      <c r="G158" s="87"/>
      <c r="H158" s="87"/>
      <c r="I158" s="87"/>
      <c r="J158" s="87"/>
      <c r="K158" s="87"/>
      <c r="L158" s="87"/>
      <c r="M158" s="88"/>
      <c r="N158" s="87"/>
      <c r="O158" s="88"/>
      <c r="P158" s="87"/>
      <c r="Q158" s="88"/>
      <c r="R158" s="87"/>
      <c r="S158" s="88"/>
      <c r="T158" s="87"/>
      <c r="U158" s="88"/>
      <c r="V158" s="87"/>
      <c r="W158" s="88"/>
      <c r="X158" s="184"/>
      <c r="Y158" s="88"/>
      <c r="Z158" s="184"/>
      <c r="AA158" s="362"/>
      <c r="AB158" s="434"/>
      <c r="AC158" s="401"/>
      <c r="AD158" s="401"/>
      <c r="AE158" s="401"/>
      <c r="AF158" s="401"/>
      <c r="AG158" s="357"/>
      <c r="AH158" s="199">
        <f t="shared" si="22"/>
        <v>0</v>
      </c>
      <c r="AI158" s="130"/>
      <c r="AJ158" s="763"/>
      <c r="AK158" s="33"/>
      <c r="AL158" s="843"/>
      <c r="AM158" s="14">
        <v>128</v>
      </c>
      <c r="AN158" s="82"/>
      <c r="AO158" s="83"/>
    </row>
    <row r="159" spans="1:41" ht="25.5" x14ac:dyDescent="0.75">
      <c r="A159" s="670"/>
      <c r="B159" s="84" t="s">
        <v>675</v>
      </c>
      <c r="C159" s="85" t="s">
        <v>362</v>
      </c>
      <c r="D159" s="86"/>
      <c r="E159" s="87"/>
      <c r="F159" s="87"/>
      <c r="G159" s="87"/>
      <c r="H159" s="87"/>
      <c r="I159" s="87"/>
      <c r="J159" s="87"/>
      <c r="K159" s="87"/>
      <c r="L159" s="87"/>
      <c r="M159" s="88"/>
      <c r="N159" s="87"/>
      <c r="O159" s="88"/>
      <c r="P159" s="87"/>
      <c r="Q159" s="88"/>
      <c r="R159" s="87"/>
      <c r="S159" s="88"/>
      <c r="T159" s="87"/>
      <c r="U159" s="88"/>
      <c r="V159" s="87"/>
      <c r="W159" s="88"/>
      <c r="X159" s="184"/>
      <c r="Y159" s="88"/>
      <c r="Z159" s="184"/>
      <c r="AA159" s="362"/>
      <c r="AB159" s="434"/>
      <c r="AC159" s="401"/>
      <c r="AD159" s="401"/>
      <c r="AE159" s="401"/>
      <c r="AF159" s="401"/>
      <c r="AG159" s="357"/>
      <c r="AH159" s="199">
        <f t="shared" si="22"/>
        <v>0</v>
      </c>
      <c r="AI159" s="130"/>
      <c r="AJ159" s="763"/>
      <c r="AK159" s="33"/>
      <c r="AL159" s="843"/>
      <c r="AM159" s="14">
        <v>129</v>
      </c>
      <c r="AN159" s="82"/>
      <c r="AO159" s="83"/>
    </row>
    <row r="160" spans="1:41" ht="25.9" thickBot="1" x14ac:dyDescent="0.8">
      <c r="A160" s="637"/>
      <c r="B160" s="96" t="s">
        <v>676</v>
      </c>
      <c r="C160" s="97" t="s">
        <v>242</v>
      </c>
      <c r="D160" s="114"/>
      <c r="E160" s="113"/>
      <c r="F160" s="113"/>
      <c r="G160" s="113"/>
      <c r="H160" s="113"/>
      <c r="I160" s="113"/>
      <c r="J160" s="113"/>
      <c r="K160" s="113"/>
      <c r="L160" s="113"/>
      <c r="M160" s="100"/>
      <c r="N160" s="113"/>
      <c r="O160" s="100"/>
      <c r="P160" s="113"/>
      <c r="Q160" s="100"/>
      <c r="R160" s="113"/>
      <c r="S160" s="100"/>
      <c r="T160" s="113"/>
      <c r="U160" s="100"/>
      <c r="V160" s="113"/>
      <c r="W160" s="100"/>
      <c r="X160" s="191"/>
      <c r="Y160" s="100"/>
      <c r="Z160" s="191"/>
      <c r="AA160" s="364"/>
      <c r="AB160" s="434"/>
      <c r="AC160" s="401"/>
      <c r="AD160" s="401"/>
      <c r="AE160" s="401"/>
      <c r="AF160" s="401"/>
      <c r="AG160" s="357"/>
      <c r="AH160" s="218">
        <f t="shared" si="22"/>
        <v>0</v>
      </c>
      <c r="AI160" s="130"/>
      <c r="AJ160" s="763"/>
      <c r="AK160" s="33"/>
      <c r="AL160" s="843"/>
      <c r="AM160" s="14">
        <v>130</v>
      </c>
      <c r="AN160" s="82"/>
      <c r="AO160" s="83"/>
    </row>
    <row r="161" spans="1:41" ht="25.5" x14ac:dyDescent="0.75">
      <c r="A161" s="636" t="s">
        <v>25</v>
      </c>
      <c r="B161" s="102" t="s">
        <v>672</v>
      </c>
      <c r="C161" s="77" t="s">
        <v>363</v>
      </c>
      <c r="D161" s="109"/>
      <c r="E161" s="110"/>
      <c r="F161" s="110"/>
      <c r="G161" s="110"/>
      <c r="H161" s="110"/>
      <c r="I161" s="110"/>
      <c r="J161" s="110"/>
      <c r="K161" s="110"/>
      <c r="L161" s="110"/>
      <c r="M161" s="105"/>
      <c r="N161" s="110"/>
      <c r="O161" s="105"/>
      <c r="P161" s="110"/>
      <c r="Q161" s="105"/>
      <c r="R161" s="110"/>
      <c r="S161" s="105"/>
      <c r="T161" s="110"/>
      <c r="U161" s="105"/>
      <c r="V161" s="110"/>
      <c r="W161" s="105"/>
      <c r="X161" s="192"/>
      <c r="Y161" s="105"/>
      <c r="Z161" s="192"/>
      <c r="AA161" s="365"/>
      <c r="AB161" s="434"/>
      <c r="AC161" s="401"/>
      <c r="AD161" s="401"/>
      <c r="AE161" s="401"/>
      <c r="AF161" s="401"/>
      <c r="AG161" s="357"/>
      <c r="AH161" s="214">
        <f t="shared" si="22"/>
        <v>0</v>
      </c>
      <c r="AI161" s="130"/>
      <c r="AJ161" s="763"/>
      <c r="AK161" s="33"/>
      <c r="AL161" s="843"/>
      <c r="AM161" s="14">
        <v>131</v>
      </c>
      <c r="AN161" s="82"/>
      <c r="AO161" s="83"/>
    </row>
    <row r="162" spans="1:41" ht="25.5" x14ac:dyDescent="0.75">
      <c r="A162" s="670"/>
      <c r="B162" s="84" t="s">
        <v>152</v>
      </c>
      <c r="C162" s="85" t="s">
        <v>364</v>
      </c>
      <c r="D162" s="86"/>
      <c r="E162" s="87"/>
      <c r="F162" s="87"/>
      <c r="G162" s="87"/>
      <c r="H162" s="87"/>
      <c r="I162" s="87"/>
      <c r="J162" s="87"/>
      <c r="K162" s="87"/>
      <c r="L162" s="87"/>
      <c r="M162" s="88"/>
      <c r="N162" s="87"/>
      <c r="O162" s="88"/>
      <c r="P162" s="87"/>
      <c r="Q162" s="88"/>
      <c r="R162" s="87"/>
      <c r="S162" s="88"/>
      <c r="T162" s="87"/>
      <c r="U162" s="88"/>
      <c r="V162" s="87"/>
      <c r="W162" s="88"/>
      <c r="X162" s="184"/>
      <c r="Y162" s="88"/>
      <c r="Z162" s="184"/>
      <c r="AA162" s="362"/>
      <c r="AB162" s="434"/>
      <c r="AC162" s="401"/>
      <c r="AD162" s="401"/>
      <c r="AE162" s="401"/>
      <c r="AF162" s="401"/>
      <c r="AG162" s="357"/>
      <c r="AH162" s="199">
        <f t="shared" si="22"/>
        <v>0</v>
      </c>
      <c r="AI162" s="130" t="str">
        <f>CONCATENATE(IF(D164&lt;&gt;SUM(D166,D167,D168)," Total CXCA Screening positive for Age "&amp;D20&amp;" "&amp;D21&amp;" is not equal to the sum of (Cryotherapy and Leep and Thermocoagulation)"&amp;CHAR(10),""),IF(E164&lt;&gt;SUM(E166,E167,E168)," Total CXCA Screening positive for Age "&amp;D20&amp;" "&amp;E21&amp;" is not equal to the sum of (Cryotherapy and Leep and Thermocoagulation)"&amp;CHAR(10),""),IF(F164&lt;&gt;SUM(F166,F167,F168)," Total CXCA Screening positive for Age "&amp;F20&amp;" "&amp;F21&amp;" is not equal to the sum of (Cryotherapy and Leep and Thermocoagulation)"&amp;CHAR(10),""),IF(G164&lt;&gt;SUM(G166,G167,G168)," Total CXCA Screening positive for Age "&amp;F20&amp;" "&amp;G21&amp;" is not equal to the sum of (Cryotherapy and Leep and Thermocoagulation)"&amp;CHAR(10),""),IF(H164&lt;&gt;SUM(H166,H167,H168)," Total CXCA Screening positive for Age "&amp;H20&amp;" "&amp;H21&amp;" is not equal to the sum of (Cryotherapy and Leep and Thermocoagulation)"&amp;CHAR(10),""),IF(I164&lt;&gt;SUM(I166,I167,I168)," Total CXCA Screening positive for Age "&amp;H20&amp;" "&amp;I21&amp;" is not equal to the sum of (Cryotherapy and Leep and Thermocoagulation)"&amp;CHAR(10),""),IF(J164&lt;&gt;SUM(J166,J167,J168)," Total CXCA Screening positive for Age "&amp;J20&amp;" "&amp;J21&amp;" is not equal to the sum of (Cryotherapy and Leep and Thermocoagulation)"&amp;CHAR(10),""),IF(K164&lt;&gt;SUM(K166,K167,K168)," Total CXCA Screening positive for Age "&amp;J20&amp;" "&amp;K21&amp;" is not equal to the sum of (Cryotherapy and Leep and Thermocoagulation)"&amp;CHAR(10),""),IF(L164&lt;&gt;SUM(L166,L167,L168)," Total CXCA Screening positive for Age "&amp;L20&amp;" "&amp;L21&amp;" is not equal to the sum of (Cryotherapy and Leep and Thermocoagulation)"&amp;CHAR(10),""),IF(M164&lt;&gt;SUM(M166,M167,M168)," Total CXCA Screening positive for Age "&amp;L20&amp;" "&amp;M21&amp;" is not equal to the sum of (Cryotherapy and Leep and Thermocoagulation)"&amp;CHAR(10),""),IF(N164&lt;&gt;SUM(N166,N167,N168)," Total CXCA Screening positive for Age "&amp;N20&amp;" "&amp;N21&amp;" is not equal to the sum of (Cryotherapy and Leep and Thermocoagulation)"&amp;CHAR(10),""),IF(O164&lt;&gt;SUM(O166,O167,O168)," Total CXCA Screening positive for Age "&amp;N20&amp;" "&amp;O21&amp;" is not equal to the sum of (Cryotherapy and Leep and Thermocoagulation)"&amp;CHAR(10),""),IF(P164&lt;&gt;SUM(P166,P167,P168)," Total CXCA Screening positive for Age "&amp;P20&amp;" "&amp;P21&amp;" is not equal to the sum of (Cryotherapy and Leep and Thermocoagulation)"&amp;CHAR(10),""),IF(Q164&lt;&gt;SUM(Q166,Q167,Q168)," Total CXCA Screening positive for Age "&amp;P20&amp;" "&amp;Q21&amp;" is not equal to the sum of (Cryotherapy and Leep and Thermocoagulation)"&amp;CHAR(10),""),IF(R164&lt;&gt;SUM(R166,R167,R168)," Total CXCA Screening positive for Age "&amp;R20&amp;" "&amp;R21&amp;" is not equal to the sum of (Cryotherapy and Leep and Thermocoagulation)"&amp;CHAR(10),""),IF(S164&lt;&gt;SUM(S166,S167,S168)," Total CXCA Screening positive for Age "&amp;R20&amp;" "&amp;S21&amp;" is not equal to the sum of (Cryotherapy and Leep and Thermocoagulation)"&amp;CHAR(10),""),IF(T164&lt;&gt;SUM(T166,T167,T168)," Total CXCA Screening positive for Age "&amp;T20&amp;" "&amp;T21&amp;" is not equal to the sum of (Cryotherapy and Leep and Thermocoagulation)"&amp;CHAR(10),""),IF(U164&lt;&gt;SUM(U166,U167,U168)," Total CXCA Screening positive for Age "&amp;T20&amp;" "&amp;U21&amp;" is not equal to the sum of (Cryotherapy and Leep and Thermocoagulation)"&amp;CHAR(10),""),IF(V164&lt;&gt;SUM(V166,V167,V168)," Total CXCA Screening positive for Age "&amp;V20&amp;" "&amp;V21&amp;" is not equal to the sum of (Cryotherapy and Leep and Thermocoagulation)"&amp;CHAR(10),""),IF(W164&lt;&gt;SUM(W166,W167,W168)," Total CXCA Screening positive for Age "&amp;V20&amp;" "&amp;W21&amp;" is not equal to the sum of (Cryotherapy and Leep and Thermocoagulation)"&amp;CHAR(10),""),IF(X164&lt;&gt;SUM(X166,X167,X168)," Total CXCA Screening positive for Age "&amp;X20&amp;" "&amp;X21&amp;" is not equal to the sum of (Cryotherapy and Leep and Thermocoagulation)"&amp;CHAR(10),""),IF(Y164&lt;&gt;SUM(Y166,Y167,Y168)," Total CXCA Screening positive for Age "&amp;X20&amp;" "&amp;Y21&amp;" is not equal to the sum of (Cryotherapy and Leep and Thermocoagulation)"&amp;CHAR(10),""),IF(Z164&lt;&gt;SUM(Z166,Z167,Z168)," Total CXCA Screening positive for Age "&amp;Z20&amp;" "&amp;Z21&amp;" is not equal to the sum of (Cryotherapy and Leep and Thermocoagulation)"&amp;CHAR(10),""),IF(AA164&lt;&gt;SUM(AA166,AA167,AA168)," Total CXCA Screening positive for Age "&amp;Z20&amp;" "&amp;AA21&amp;" is not equal to the sum of (Cryotherapy and Leep and Thermocoagulation)"&amp;CHAR(10),""))</f>
        <v/>
      </c>
      <c r="AJ162" s="763"/>
      <c r="AK162" s="33"/>
      <c r="AL162" s="843"/>
      <c r="AM162" s="14">
        <v>132</v>
      </c>
      <c r="AN162" s="82"/>
      <c r="AO162" s="83"/>
    </row>
    <row r="163" spans="1:41" ht="25.5" x14ac:dyDescent="0.75">
      <c r="A163" s="670"/>
      <c r="B163" s="84" t="s">
        <v>673</v>
      </c>
      <c r="C163" s="85" t="s">
        <v>365</v>
      </c>
      <c r="D163" s="86"/>
      <c r="E163" s="87"/>
      <c r="F163" s="87"/>
      <c r="G163" s="87"/>
      <c r="H163" s="87"/>
      <c r="I163" s="87"/>
      <c r="J163" s="87"/>
      <c r="K163" s="87"/>
      <c r="L163" s="87"/>
      <c r="M163" s="88"/>
      <c r="N163" s="87"/>
      <c r="O163" s="88"/>
      <c r="P163" s="87"/>
      <c r="Q163" s="88"/>
      <c r="R163" s="87"/>
      <c r="S163" s="88"/>
      <c r="T163" s="87"/>
      <c r="U163" s="88"/>
      <c r="V163" s="87"/>
      <c r="W163" s="88"/>
      <c r="X163" s="184"/>
      <c r="Y163" s="88"/>
      <c r="Z163" s="184"/>
      <c r="AA163" s="362"/>
      <c r="AB163" s="434"/>
      <c r="AC163" s="401"/>
      <c r="AD163" s="401"/>
      <c r="AE163" s="401"/>
      <c r="AF163" s="401"/>
      <c r="AG163" s="357"/>
      <c r="AH163" s="199">
        <f t="shared" si="22"/>
        <v>0</v>
      </c>
      <c r="AI163" s="130"/>
      <c r="AJ163" s="763"/>
      <c r="AK163" s="33"/>
      <c r="AL163" s="843"/>
      <c r="AM163" s="14">
        <v>133</v>
      </c>
      <c r="AN163" s="82"/>
      <c r="AO163" s="83"/>
    </row>
    <row r="164" spans="1:41" ht="25.5" x14ac:dyDescent="0.75">
      <c r="A164" s="670"/>
      <c r="B164" s="185" t="s">
        <v>866</v>
      </c>
      <c r="C164" s="85" t="s">
        <v>869</v>
      </c>
      <c r="D164" s="86"/>
      <c r="E164" s="87"/>
      <c r="F164" s="87"/>
      <c r="G164" s="87"/>
      <c r="H164" s="87"/>
      <c r="I164" s="87"/>
      <c r="J164" s="87"/>
      <c r="K164" s="87"/>
      <c r="L164" s="87"/>
      <c r="M164" s="186">
        <f>M163+M162</f>
        <v>0</v>
      </c>
      <c r="N164" s="187"/>
      <c r="O164" s="186">
        <f>O163+O162</f>
        <v>0</v>
      </c>
      <c r="P164" s="87"/>
      <c r="Q164" s="186">
        <f>Q163+Q162</f>
        <v>0</v>
      </c>
      <c r="R164" s="87"/>
      <c r="S164" s="186">
        <f>S163+S162</f>
        <v>0</v>
      </c>
      <c r="T164" s="87"/>
      <c r="U164" s="186">
        <f>U163+U162</f>
        <v>0</v>
      </c>
      <c r="V164" s="87"/>
      <c r="W164" s="186">
        <f>W163+W162</f>
        <v>0</v>
      </c>
      <c r="X164" s="184"/>
      <c r="Y164" s="186">
        <f>Y163+Y162</f>
        <v>0</v>
      </c>
      <c r="Z164" s="184"/>
      <c r="AA164" s="384">
        <f>AA163+AA162</f>
        <v>0</v>
      </c>
      <c r="AB164" s="434"/>
      <c r="AC164" s="401"/>
      <c r="AD164" s="401"/>
      <c r="AE164" s="401"/>
      <c r="AF164" s="401"/>
      <c r="AG164" s="357"/>
      <c r="AH164" s="199">
        <f t="shared" si="22"/>
        <v>0</v>
      </c>
      <c r="AI164" s="130"/>
      <c r="AJ164" s="763"/>
      <c r="AK164" s="33"/>
      <c r="AL164" s="843"/>
      <c r="AM164" s="14">
        <v>134</v>
      </c>
      <c r="AN164" s="82"/>
      <c r="AO164" s="83"/>
    </row>
    <row r="165" spans="1:41" ht="25.5" x14ac:dyDescent="0.75">
      <c r="A165" s="670"/>
      <c r="B165" s="188" t="s">
        <v>1006</v>
      </c>
      <c r="C165" s="85" t="s">
        <v>1004</v>
      </c>
      <c r="D165" s="86"/>
      <c r="E165" s="87"/>
      <c r="F165" s="87"/>
      <c r="G165" s="87"/>
      <c r="H165" s="87"/>
      <c r="I165" s="87"/>
      <c r="J165" s="87"/>
      <c r="K165" s="87"/>
      <c r="L165" s="87"/>
      <c r="M165" s="190"/>
      <c r="N165" s="187"/>
      <c r="O165" s="190"/>
      <c r="P165" s="87"/>
      <c r="Q165" s="190"/>
      <c r="R165" s="87"/>
      <c r="S165" s="190"/>
      <c r="T165" s="87"/>
      <c r="U165" s="190"/>
      <c r="V165" s="87"/>
      <c r="W165" s="190"/>
      <c r="X165" s="184"/>
      <c r="Y165" s="190"/>
      <c r="Z165" s="184"/>
      <c r="AA165" s="385"/>
      <c r="AB165" s="434"/>
      <c r="AC165" s="401"/>
      <c r="AD165" s="401"/>
      <c r="AE165" s="401"/>
      <c r="AF165" s="401"/>
      <c r="AG165" s="357"/>
      <c r="AH165" s="199"/>
      <c r="AI165" s="130"/>
      <c r="AJ165" s="763"/>
      <c r="AK165" s="33"/>
      <c r="AL165" s="843"/>
      <c r="AM165" s="14">
        <v>135</v>
      </c>
      <c r="AN165" s="82"/>
      <c r="AO165" s="83"/>
    </row>
    <row r="166" spans="1:41" ht="25.5" x14ac:dyDescent="0.75">
      <c r="A166" s="670"/>
      <c r="B166" s="84" t="s">
        <v>674</v>
      </c>
      <c r="C166" s="85" t="s">
        <v>250</v>
      </c>
      <c r="D166" s="86"/>
      <c r="E166" s="87"/>
      <c r="F166" s="87"/>
      <c r="G166" s="87"/>
      <c r="H166" s="87"/>
      <c r="I166" s="87"/>
      <c r="J166" s="87"/>
      <c r="K166" s="87"/>
      <c r="L166" s="87"/>
      <c r="M166" s="88"/>
      <c r="N166" s="87"/>
      <c r="O166" s="88"/>
      <c r="P166" s="87"/>
      <c r="Q166" s="88"/>
      <c r="R166" s="87"/>
      <c r="S166" s="88"/>
      <c r="T166" s="87"/>
      <c r="U166" s="88"/>
      <c r="V166" s="87"/>
      <c r="W166" s="88"/>
      <c r="X166" s="184"/>
      <c r="Y166" s="88"/>
      <c r="Z166" s="184"/>
      <c r="AA166" s="362"/>
      <c r="AB166" s="434"/>
      <c r="AC166" s="401"/>
      <c r="AD166" s="401"/>
      <c r="AE166" s="401"/>
      <c r="AF166" s="401"/>
      <c r="AG166" s="357"/>
      <c r="AH166" s="199">
        <f t="shared" si="22"/>
        <v>0</v>
      </c>
      <c r="AI166" s="130"/>
      <c r="AJ166" s="763"/>
      <c r="AK166" s="33"/>
      <c r="AL166" s="843"/>
      <c r="AM166" s="14">
        <v>136</v>
      </c>
      <c r="AN166" s="82"/>
      <c r="AO166" s="83"/>
    </row>
    <row r="167" spans="1:41" ht="25.5" x14ac:dyDescent="0.75">
      <c r="A167" s="670"/>
      <c r="B167" s="84" t="s">
        <v>675</v>
      </c>
      <c r="C167" s="85" t="s">
        <v>366</v>
      </c>
      <c r="D167" s="86"/>
      <c r="E167" s="87"/>
      <c r="F167" s="87"/>
      <c r="G167" s="87"/>
      <c r="H167" s="87"/>
      <c r="I167" s="87"/>
      <c r="J167" s="87"/>
      <c r="K167" s="87"/>
      <c r="L167" s="87"/>
      <c r="M167" s="88"/>
      <c r="N167" s="87"/>
      <c r="O167" s="88"/>
      <c r="P167" s="87"/>
      <c r="Q167" s="88"/>
      <c r="R167" s="87"/>
      <c r="S167" s="88"/>
      <c r="T167" s="87"/>
      <c r="U167" s="88"/>
      <c r="V167" s="87"/>
      <c r="W167" s="88"/>
      <c r="X167" s="184"/>
      <c r="Y167" s="88"/>
      <c r="Z167" s="184"/>
      <c r="AA167" s="362"/>
      <c r="AB167" s="434"/>
      <c r="AC167" s="401"/>
      <c r="AD167" s="401"/>
      <c r="AE167" s="401"/>
      <c r="AF167" s="401"/>
      <c r="AG167" s="357"/>
      <c r="AH167" s="199">
        <f t="shared" si="22"/>
        <v>0</v>
      </c>
      <c r="AI167" s="130"/>
      <c r="AJ167" s="763"/>
      <c r="AK167" s="33"/>
      <c r="AL167" s="843"/>
      <c r="AM167" s="14">
        <v>137</v>
      </c>
      <c r="AN167" s="82"/>
      <c r="AO167" s="83"/>
    </row>
    <row r="168" spans="1:41" ht="25.9" thickBot="1" x14ac:dyDescent="0.8">
      <c r="A168" s="834"/>
      <c r="B168" s="132" t="s">
        <v>676</v>
      </c>
      <c r="C168" s="97" t="s">
        <v>367</v>
      </c>
      <c r="D168" s="152"/>
      <c r="E168" s="134"/>
      <c r="F168" s="134"/>
      <c r="G168" s="134"/>
      <c r="H168" s="134"/>
      <c r="I168" s="134"/>
      <c r="J168" s="134"/>
      <c r="K168" s="134"/>
      <c r="L168" s="134"/>
      <c r="M168" s="100"/>
      <c r="N168" s="113"/>
      <c r="O168" s="100"/>
      <c r="P168" s="113"/>
      <c r="Q168" s="100"/>
      <c r="R168" s="113"/>
      <c r="S168" s="100"/>
      <c r="T168" s="113"/>
      <c r="U168" s="100"/>
      <c r="V168" s="113"/>
      <c r="W168" s="100"/>
      <c r="X168" s="191"/>
      <c r="Y168" s="100"/>
      <c r="Z168" s="191"/>
      <c r="AA168" s="364"/>
      <c r="AB168" s="435"/>
      <c r="AC168" s="436"/>
      <c r="AD168" s="436"/>
      <c r="AE168" s="436"/>
      <c r="AF168" s="436"/>
      <c r="AG168" s="358"/>
      <c r="AH168" s="439">
        <f t="shared" si="22"/>
        <v>0</v>
      </c>
      <c r="AI168" s="136"/>
      <c r="AJ168" s="764"/>
      <c r="AK168" s="137"/>
      <c r="AL168" s="844"/>
      <c r="AM168" s="14">
        <v>138</v>
      </c>
      <c r="AN168" s="82"/>
      <c r="AO168" s="83"/>
    </row>
    <row r="169" spans="1:41" ht="25.9" thickBot="1" x14ac:dyDescent="0.8">
      <c r="A169" s="691" t="s">
        <v>127</v>
      </c>
      <c r="B169" s="692"/>
      <c r="C169" s="692"/>
      <c r="D169" s="692"/>
      <c r="E169" s="692"/>
      <c r="F169" s="692"/>
      <c r="G169" s="692"/>
      <c r="H169" s="692"/>
      <c r="I169" s="692"/>
      <c r="J169" s="692"/>
      <c r="K169" s="692"/>
      <c r="L169" s="692"/>
      <c r="M169" s="692"/>
      <c r="N169" s="692"/>
      <c r="O169" s="692"/>
      <c r="P169" s="692"/>
      <c r="Q169" s="692"/>
      <c r="R169" s="692"/>
      <c r="S169" s="692"/>
      <c r="T169" s="692"/>
      <c r="U169" s="692"/>
      <c r="V169" s="692"/>
      <c r="W169" s="692"/>
      <c r="X169" s="692"/>
      <c r="Y169" s="692"/>
      <c r="Z169" s="692"/>
      <c r="AA169" s="692"/>
      <c r="AB169" s="693"/>
      <c r="AC169" s="693"/>
      <c r="AD169" s="693"/>
      <c r="AE169" s="693"/>
      <c r="AF169" s="693"/>
      <c r="AG169" s="693"/>
      <c r="AH169" s="692"/>
      <c r="AI169" s="692"/>
      <c r="AJ169" s="692"/>
      <c r="AK169" s="692"/>
      <c r="AL169" s="694"/>
      <c r="AM169" s="14">
        <v>139</v>
      </c>
      <c r="AN169" s="82"/>
      <c r="AO169" s="83"/>
    </row>
    <row r="170" spans="1:41" ht="26.25" customHeight="1" x14ac:dyDescent="0.75">
      <c r="A170" s="749" t="s">
        <v>37</v>
      </c>
      <c r="B170" s="768" t="s">
        <v>346</v>
      </c>
      <c r="C170" s="754" t="s">
        <v>327</v>
      </c>
      <c r="D170" s="669" t="s">
        <v>0</v>
      </c>
      <c r="E170" s="669"/>
      <c r="F170" s="669" t="s">
        <v>1</v>
      </c>
      <c r="G170" s="669"/>
      <c r="H170" s="669" t="s">
        <v>2</v>
      </c>
      <c r="I170" s="669"/>
      <c r="J170" s="669" t="s">
        <v>3</v>
      </c>
      <c r="K170" s="669"/>
      <c r="L170" s="669" t="s">
        <v>4</v>
      </c>
      <c r="M170" s="669"/>
      <c r="N170" s="669" t="s">
        <v>5</v>
      </c>
      <c r="O170" s="669"/>
      <c r="P170" s="669" t="s">
        <v>6</v>
      </c>
      <c r="Q170" s="669"/>
      <c r="R170" s="669" t="s">
        <v>7</v>
      </c>
      <c r="S170" s="669"/>
      <c r="T170" s="669" t="s">
        <v>8</v>
      </c>
      <c r="U170" s="669"/>
      <c r="V170" s="669" t="s">
        <v>23</v>
      </c>
      <c r="W170" s="669"/>
      <c r="X170" s="669" t="s">
        <v>24</v>
      </c>
      <c r="Y170" s="669"/>
      <c r="Z170" s="669" t="s">
        <v>9</v>
      </c>
      <c r="AA170" s="669"/>
      <c r="AB170" s="858"/>
      <c r="AC170" s="859"/>
      <c r="AD170" s="859"/>
      <c r="AE170" s="859"/>
      <c r="AF170" s="859"/>
      <c r="AG170" s="860"/>
      <c r="AH170" s="804" t="s">
        <v>19</v>
      </c>
      <c r="AI170" s="786" t="s">
        <v>380</v>
      </c>
      <c r="AJ170" s="801" t="s">
        <v>386</v>
      </c>
      <c r="AK170" s="784" t="s">
        <v>387</v>
      </c>
      <c r="AL170" s="814" t="s">
        <v>387</v>
      </c>
      <c r="AM170" s="14">
        <v>140</v>
      </c>
      <c r="AN170" s="82"/>
      <c r="AO170" s="83"/>
    </row>
    <row r="171" spans="1:41" ht="27" customHeight="1" thickBot="1" x14ac:dyDescent="0.8">
      <c r="A171" s="889"/>
      <c r="B171" s="769"/>
      <c r="C171" s="835"/>
      <c r="D171" s="336" t="s">
        <v>10</v>
      </c>
      <c r="E171" s="336" t="s">
        <v>11</v>
      </c>
      <c r="F171" s="336" t="s">
        <v>10</v>
      </c>
      <c r="G171" s="336" t="s">
        <v>11</v>
      </c>
      <c r="H171" s="336" t="s">
        <v>10</v>
      </c>
      <c r="I171" s="336" t="s">
        <v>11</v>
      </c>
      <c r="J171" s="336" t="s">
        <v>10</v>
      </c>
      <c r="K171" s="336" t="s">
        <v>11</v>
      </c>
      <c r="L171" s="336" t="s">
        <v>10</v>
      </c>
      <c r="M171" s="336" t="s">
        <v>11</v>
      </c>
      <c r="N171" s="336" t="s">
        <v>10</v>
      </c>
      <c r="O171" s="336" t="s">
        <v>11</v>
      </c>
      <c r="P171" s="336" t="s">
        <v>10</v>
      </c>
      <c r="Q171" s="336" t="s">
        <v>11</v>
      </c>
      <c r="R171" s="336" t="s">
        <v>10</v>
      </c>
      <c r="S171" s="336" t="s">
        <v>11</v>
      </c>
      <c r="T171" s="336" t="s">
        <v>10</v>
      </c>
      <c r="U171" s="336" t="s">
        <v>11</v>
      </c>
      <c r="V171" s="336" t="s">
        <v>10</v>
      </c>
      <c r="W171" s="336" t="s">
        <v>11</v>
      </c>
      <c r="X171" s="336" t="s">
        <v>10</v>
      </c>
      <c r="Y171" s="336" t="s">
        <v>11</v>
      </c>
      <c r="Z171" s="336" t="s">
        <v>10</v>
      </c>
      <c r="AA171" s="336" t="s">
        <v>11</v>
      </c>
      <c r="AB171" s="418"/>
      <c r="AC171" s="419"/>
      <c r="AD171" s="419"/>
      <c r="AE171" s="419"/>
      <c r="AF171" s="419"/>
      <c r="AG171" s="420"/>
      <c r="AH171" s="813"/>
      <c r="AI171" s="787"/>
      <c r="AJ171" s="773"/>
      <c r="AK171" s="784"/>
      <c r="AL171" s="815"/>
      <c r="AM171" s="14">
        <v>141</v>
      </c>
      <c r="AN171" s="82"/>
      <c r="AO171" s="83"/>
    </row>
    <row r="172" spans="1:41" ht="30.75" hidden="1" customHeight="1" x14ac:dyDescent="0.75">
      <c r="A172" s="867" t="s">
        <v>959</v>
      </c>
      <c r="B172" s="193" t="s">
        <v>677</v>
      </c>
      <c r="C172" s="63" t="s">
        <v>522</v>
      </c>
      <c r="D172" s="194">
        <f t="shared" ref="D172:AA172" si="23">D8</f>
        <v>0</v>
      </c>
      <c r="E172" s="194">
        <f t="shared" si="23"/>
        <v>0</v>
      </c>
      <c r="F172" s="194">
        <f t="shared" si="23"/>
        <v>0</v>
      </c>
      <c r="G172" s="194">
        <f t="shared" si="23"/>
        <v>0</v>
      </c>
      <c r="H172" s="194">
        <f t="shared" si="23"/>
        <v>0</v>
      </c>
      <c r="I172" s="194">
        <f t="shared" si="23"/>
        <v>0</v>
      </c>
      <c r="J172" s="194">
        <f t="shared" si="23"/>
        <v>0</v>
      </c>
      <c r="K172" s="194">
        <f t="shared" si="23"/>
        <v>0</v>
      </c>
      <c r="L172" s="194">
        <f t="shared" si="23"/>
        <v>0</v>
      </c>
      <c r="M172" s="194">
        <f t="shared" si="23"/>
        <v>0</v>
      </c>
      <c r="N172" s="194">
        <f t="shared" si="23"/>
        <v>0</v>
      </c>
      <c r="O172" s="194">
        <f t="shared" si="23"/>
        <v>0</v>
      </c>
      <c r="P172" s="194">
        <f t="shared" si="23"/>
        <v>0</v>
      </c>
      <c r="Q172" s="194">
        <f t="shared" si="23"/>
        <v>0</v>
      </c>
      <c r="R172" s="194">
        <f t="shared" si="23"/>
        <v>0</v>
      </c>
      <c r="S172" s="194">
        <f t="shared" si="23"/>
        <v>0</v>
      </c>
      <c r="T172" s="194">
        <f t="shared" si="23"/>
        <v>0</v>
      </c>
      <c r="U172" s="194">
        <f t="shared" si="23"/>
        <v>0</v>
      </c>
      <c r="V172" s="194">
        <f t="shared" si="23"/>
        <v>0</v>
      </c>
      <c r="W172" s="194">
        <f t="shared" si="23"/>
        <v>0</v>
      </c>
      <c r="X172" s="194">
        <f t="shared" si="23"/>
        <v>0</v>
      </c>
      <c r="Y172" s="194">
        <f t="shared" si="23"/>
        <v>0</v>
      </c>
      <c r="Z172" s="194">
        <f t="shared" si="23"/>
        <v>0</v>
      </c>
      <c r="AA172" s="194">
        <f t="shared" si="23"/>
        <v>0</v>
      </c>
      <c r="AB172" s="194"/>
      <c r="AC172" s="194"/>
      <c r="AD172" s="194"/>
      <c r="AE172" s="194"/>
      <c r="AF172" s="194"/>
      <c r="AG172" s="194"/>
      <c r="AH172" s="194">
        <f>AH8</f>
        <v>0</v>
      </c>
      <c r="AI172" s="32" t="str">
        <f>CONCATENATE(IF(D173&gt;D172," * No Screened for GBV "&amp;$D$20&amp;" "&amp;$D$21&amp;" is more than Clients Seen at OPD"&amp;CHAR(10),""),IF(E173&gt;E172," * No Screened For GBV "&amp;$D$20&amp;" "&amp;$E$21&amp;" is more than Clients Seen at OPD"&amp;CHAR(10),""),IF(F173&gt;F172," * No Screened For GBV "&amp;$F$20&amp;" "&amp;$F$21&amp;" is more than Clients Seen at OPD"&amp;CHAR(10),""),IF(G173&gt;G172," * No Screened For GBV "&amp;$F$20&amp;" "&amp;$G$21&amp;" is more than Clients Seen at OPD"&amp;CHAR(10),""),IF(H173&gt;H172," * No Screened For GBV "&amp;$H$20&amp;" "&amp;$H$21&amp;" is more than Clients Seen at OPD"&amp;CHAR(10),""),IF(I173&gt;I172," * No Screened For GBV "&amp;$H$20&amp;" "&amp;$I$21&amp;" is more than Clients Seen at OPD"&amp;CHAR(10),""),IF(J173&gt;J172," * No Screened For GBV "&amp;$J$20&amp;" "&amp;$J$21&amp;" is more than Clients Seen at OPD"&amp;CHAR(10),""),IF(K173&gt;K172," * No Screened For GBV "&amp;$J$20&amp;" "&amp;$K$21&amp;" is more than Clients Seen at OPD"&amp;CHAR(10),""),IF(L173&gt;L172," * No Screened For GBV "&amp;$L$20&amp;" "&amp;$L$21&amp;" is more than Clients Seen at OPD"&amp;CHAR(10),""),IF(M173&gt;M172," * No Screened For GBV "&amp;$L$20&amp;" "&amp;$M$21&amp;" is more than Clients Seen at OPD"&amp;CHAR(10),""),IF(N173&gt;N172," * No Screened For GBV "&amp;$N$20&amp;" "&amp;$N$21&amp;" is more than Clients Seen at OPD"&amp;CHAR(10),""),IF(O173&gt;O172," * No Screened For GBV "&amp;$N$20&amp;" "&amp;$O$21&amp;" is more than Clients Seen at OPD"&amp;CHAR(10),""),IF(P173&gt;P172," * No Screened For GBV "&amp;$P$20&amp;" "&amp;$P$21&amp;" is more than Clients Seen at OPD"&amp;CHAR(10),""),IF(Q173&gt;Q172," * No Screened For GBV "&amp;$P$20&amp;" "&amp;$Q$21&amp;" is more than Clients Seen at OPD"&amp;CHAR(10),""),IF(R173&gt;R172," * No Screened For GBV "&amp;$R$20&amp;" "&amp;$R$21&amp;" is more than Clients Seen at OPD"&amp;CHAR(10),""),IF(S173&gt;S172," * No Screened For GBV "&amp;$R$20&amp;" "&amp;$S$21&amp;" is more than Clients Seen at OPD"&amp;CHAR(10),""),IF(T173&gt;T172," * No Screened For GBV "&amp;$T$20&amp;" "&amp;$T$21&amp;" is more than Clients Seen at OPD"&amp;CHAR(10),""),IF(U173&gt;U172," * No Screened For GBV "&amp;$T$20&amp;" "&amp;$U$21&amp;" is more than Clients Seen at OPD"&amp;CHAR(10),""),IF(V173&gt;V172," * No Screened For GBV "&amp;$V$20&amp;" "&amp;$V$21&amp;" is more than Clients Seen at OPD"&amp;CHAR(10),""),IF(W173&gt;W172," * No Screened For GBV "&amp;$V$20&amp;" "&amp;$W$21&amp;" is more than Clients Seen at OPD"&amp;CHAR(10),""),IF(X173&gt;X172," * No Screened For GBV "&amp;$X$20&amp;" "&amp;$X$21&amp;" is more than Clients Seen at OPD"&amp;CHAR(10),""),IF(Y173&gt;Y172," * No Screened For GBV "&amp;$X$20&amp;" "&amp;$Y$21&amp;" is more than Clients Seen at OPD"&amp;CHAR(10),""),IF(Z173&gt;Z172," * No Screened For GBV "&amp;$Z$20&amp;" "&amp;$Z$21&amp;" is more than Clients Seen at OPD"&amp;CHAR(10),""),IF(AA173&gt;AA172," * No Screened For GBV "&amp;$Z$20&amp;" "&amp;$AA$21&amp;" is more than Clients Seen at OPD"&amp;CHAR(10),""))</f>
        <v/>
      </c>
      <c r="AJ172" s="861" t="str">
        <f>CONCATENATE(AI172,AI173,AI174,AI175,AI176,AI177,AI178,AI179,AI180)</f>
        <v/>
      </c>
      <c r="AK172" s="81"/>
      <c r="AL172" s="863" t="str">
        <f>CONCATENATE(AK172,AK209,AK210,AK211,AK212,AK213,AK214,AK215,AK216,AK217,AK218,AK219,AK220,AK221,AK222)</f>
        <v/>
      </c>
      <c r="AM172" s="14">
        <v>142</v>
      </c>
      <c r="AN172" s="82"/>
      <c r="AO172" s="83"/>
    </row>
    <row r="173" spans="1:41" ht="25.9" hidden="1" thickBot="1" x14ac:dyDescent="0.8">
      <c r="A173" s="868"/>
      <c r="B173" s="195" t="s">
        <v>914</v>
      </c>
      <c r="C173" s="51" t="s">
        <v>523</v>
      </c>
      <c r="D173" s="196"/>
      <c r="E173" s="196"/>
      <c r="F173" s="196"/>
      <c r="G173" s="196"/>
      <c r="H173" s="196"/>
      <c r="I173" s="196"/>
      <c r="J173" s="196"/>
      <c r="K173" s="196"/>
      <c r="L173" s="196"/>
      <c r="M173" s="196"/>
      <c r="N173" s="196"/>
      <c r="O173" s="196"/>
      <c r="P173" s="196"/>
      <c r="Q173" s="196"/>
      <c r="R173" s="196"/>
      <c r="S173" s="196"/>
      <c r="T173" s="196"/>
      <c r="U173" s="196"/>
      <c r="V173" s="196"/>
      <c r="W173" s="196"/>
      <c r="X173" s="196"/>
      <c r="Y173" s="196"/>
      <c r="Z173" s="196"/>
      <c r="AA173" s="196"/>
      <c r="AB173" s="386"/>
      <c r="AC173" s="386"/>
      <c r="AD173" s="386"/>
      <c r="AE173" s="386"/>
      <c r="AF173" s="386"/>
      <c r="AG173" s="386"/>
      <c r="AH173" s="31">
        <f>SUM(D173:AA173)</f>
        <v>0</v>
      </c>
      <c r="AI173" s="148"/>
      <c r="AJ173" s="683"/>
      <c r="AK173" s="33"/>
      <c r="AL173" s="864"/>
      <c r="AM173" s="14">
        <v>143</v>
      </c>
      <c r="AN173" s="82"/>
      <c r="AO173" s="83"/>
    </row>
    <row r="174" spans="1:41" ht="25.9" hidden="1" thickBot="1" x14ac:dyDescent="0.8">
      <c r="A174" s="868"/>
      <c r="B174" s="197" t="s">
        <v>918</v>
      </c>
      <c r="C174" s="51" t="s">
        <v>879</v>
      </c>
      <c r="D174" s="198">
        <f>D175+D177+D179+D180</f>
        <v>0</v>
      </c>
      <c r="E174" s="198">
        <f t="shared" ref="E174:AA174" si="24">E175+E177+E179+E180</f>
        <v>0</v>
      </c>
      <c r="F174" s="198">
        <f t="shared" si="24"/>
        <v>0</v>
      </c>
      <c r="G174" s="198">
        <f t="shared" si="24"/>
        <v>0</v>
      </c>
      <c r="H174" s="198">
        <f t="shared" si="24"/>
        <v>0</v>
      </c>
      <c r="I174" s="198">
        <f t="shared" si="24"/>
        <v>0</v>
      </c>
      <c r="J174" s="198">
        <f t="shared" si="24"/>
        <v>0</v>
      </c>
      <c r="K174" s="198">
        <f t="shared" si="24"/>
        <v>0</v>
      </c>
      <c r="L174" s="198">
        <f t="shared" si="24"/>
        <v>0</v>
      </c>
      <c r="M174" s="198">
        <f t="shared" si="24"/>
        <v>0</v>
      </c>
      <c r="N174" s="198">
        <f t="shared" si="24"/>
        <v>0</v>
      </c>
      <c r="O174" s="198">
        <f t="shared" si="24"/>
        <v>0</v>
      </c>
      <c r="P174" s="198">
        <f t="shared" si="24"/>
        <v>0</v>
      </c>
      <c r="Q174" s="198">
        <f t="shared" si="24"/>
        <v>0</v>
      </c>
      <c r="R174" s="198">
        <f t="shared" si="24"/>
        <v>0</v>
      </c>
      <c r="S174" s="198">
        <f t="shared" si="24"/>
        <v>0</v>
      </c>
      <c r="T174" s="198">
        <f t="shared" si="24"/>
        <v>0</v>
      </c>
      <c r="U174" s="198">
        <f t="shared" si="24"/>
        <v>0</v>
      </c>
      <c r="V174" s="198">
        <f t="shared" si="24"/>
        <v>0</v>
      </c>
      <c r="W174" s="198">
        <f t="shared" si="24"/>
        <v>0</v>
      </c>
      <c r="X174" s="198">
        <f t="shared" si="24"/>
        <v>0</v>
      </c>
      <c r="Y174" s="198">
        <f t="shared" si="24"/>
        <v>0</v>
      </c>
      <c r="Z174" s="198">
        <f t="shared" si="24"/>
        <v>0</v>
      </c>
      <c r="AA174" s="198">
        <f t="shared" si="24"/>
        <v>0</v>
      </c>
      <c r="AB174" s="387"/>
      <c r="AC174" s="387"/>
      <c r="AD174" s="387"/>
      <c r="AE174" s="387"/>
      <c r="AF174" s="387"/>
      <c r="AG174" s="387"/>
      <c r="AH174" s="199">
        <f t="shared" ref="AH174:AH180" si="25">SUM(D174:AA174)</f>
        <v>0</v>
      </c>
      <c r="AI174" s="148"/>
      <c r="AJ174" s="683"/>
      <c r="AK174" s="33"/>
      <c r="AL174" s="864"/>
      <c r="AM174" s="14">
        <v>144</v>
      </c>
      <c r="AN174" s="82"/>
      <c r="AO174" s="83"/>
    </row>
    <row r="175" spans="1:41" ht="25.9" hidden="1" thickBot="1" x14ac:dyDescent="0.8">
      <c r="A175" s="868"/>
      <c r="B175" s="195" t="s">
        <v>870</v>
      </c>
      <c r="C175" s="51" t="s">
        <v>880</v>
      </c>
      <c r="D175" s="200"/>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c r="AA175" s="200"/>
      <c r="AB175" s="388"/>
      <c r="AC175" s="388"/>
      <c r="AD175" s="388"/>
      <c r="AE175" s="388"/>
      <c r="AF175" s="388"/>
      <c r="AG175" s="388"/>
      <c r="AH175" s="31">
        <f t="shared" si="25"/>
        <v>0</v>
      </c>
      <c r="AI175" s="32" t="str">
        <f>CONCATENATE(IF(D176&gt;D175," * OPD Sexual Violence Initiated Pep "&amp;$D$20&amp;" "&amp;$D$21&amp;" is more than OPD Sexual Violence Rape Survivors"&amp;CHAR(10),""),IF(E176&gt;E175," * OPD Sexual Violence Initiated Pep "&amp;$D$20&amp;" "&amp;$E$21&amp;" is more than OPD Sexual Violence Rape Survivors"&amp;CHAR(10),""),IF(F176&gt;F175," * OPD Sexual Violence Initiated Pep "&amp;$F$20&amp;" "&amp;$F$21&amp;" is more than OPD Sexual Violence Rape Survivors"&amp;CHAR(10),""),IF(G176&gt;G175," * OPD Sexual Violence Initiated Pep "&amp;$F$20&amp;" "&amp;$G$21&amp;" is more than OPD Sexual Violence Rape Survivors"&amp;CHAR(10),""),IF(H176&gt;H175," * OPD Sexual Violence Initiated Pep "&amp;$H$20&amp;" "&amp;$H$21&amp;" is more than OPD Sexual Violence Rape Survivors"&amp;CHAR(10),""),IF(I176&gt;I175," * OPD Sexual Violence Initiated Pep "&amp;$H$20&amp;" "&amp;$I$21&amp;" is more than OPD Sexual Violence Rape Survivors"&amp;CHAR(10),""),IF(J176&gt;J175," * OPD Sexual Violence Initiated Pep "&amp;$J$20&amp;" "&amp;$J$21&amp;" is more than OPD Sexual Violence Rape Survivors"&amp;CHAR(10),""),IF(K176&gt;K175," * OPD Sexual Violence Initiated Pep "&amp;$J$20&amp;" "&amp;$K$21&amp;" is more than OPD Sexual Violence Rape Survivors"&amp;CHAR(10),""),IF(L176&gt;L175," * OPD Sexual Violence Initiated Pep "&amp;$L$20&amp;" "&amp;$L$21&amp;" is more than OPD Sexual Violence Rape Survivors"&amp;CHAR(10),""),IF(M176&gt;M175," * OPD Sexual Violence Initiated Pep "&amp;$L$20&amp;" "&amp;$M$21&amp;" is more than OPD Sexual Violence Rape Survivors"&amp;CHAR(10),""),IF(N176&gt;N175," * OPD Sexual Violence Initiated Pep "&amp;$N$20&amp;" "&amp;$N$21&amp;" is more than OPD Sexual Violence Rape Survivors"&amp;CHAR(10),""),IF(O176&gt;O175," * OPD Sexual Violence Initiated Pep "&amp;$N$20&amp;" "&amp;$O$21&amp;" is more than OPD Sexual Violence Rape Survivors"&amp;CHAR(10),""),IF(P176&gt;P175," * OPD Sexual Violence Initiated Pep "&amp;$P$20&amp;" "&amp;$P$21&amp;" is more than OPD Sexual Violence Rape Survivors"&amp;CHAR(10),""),IF(Q176&gt;Q175," * OPD Sexual Violence Initiated Pep "&amp;$P$20&amp;" "&amp;$Q$21&amp;" is more than OPD Sexual Violence Rape Survivors"&amp;CHAR(10),""),IF(R176&gt;R175," * OPD Sexual Violence Initiated Pep "&amp;$R$20&amp;" "&amp;$R$21&amp;" is more than OPD Sexual Violence Rape Survivors"&amp;CHAR(10),""),IF(S176&gt;S175," * OPD Sexual Violence Initiated Pep "&amp;$R$20&amp;" "&amp;$S$21&amp;" is more than OPD Sexual Violence Rape Survivors"&amp;CHAR(10),""),IF(T176&gt;T175," * OPD Sexual Violence Initiated Pep "&amp;$T$20&amp;" "&amp;$T$21&amp;" is more than OPD Sexual Violence Rape Survivors"&amp;CHAR(10),""),IF(U176&gt;U175," * OPD Sexual Violence Initiated Pep "&amp;$T$20&amp;" "&amp;$U$21&amp;" is more than OPD Sexual Violence Rape Survivors"&amp;CHAR(10),""),IF(V176&gt;V175," * OPD Sexual Violence Initiated Pep "&amp;$V$20&amp;" "&amp;$V$21&amp;" is more than OPD Sexual Violence Rape Survivors"&amp;CHAR(10),""),IF(W176&gt;W175," * OPD Sexual Violence Initiated Pep "&amp;$V$20&amp;" "&amp;$W$21&amp;" is more than OPD Sexual Violence Rape Survivors"&amp;CHAR(10),""),IF(X176&gt;X175," * OPD Sexual Violence Initiated Pep "&amp;$X$20&amp;" "&amp;$X$21&amp;" is more than OPD Sexual Violence Rape Survivors"&amp;CHAR(10),""),IF(Y176&gt;Y175," * OPD Sexual Violence Initiated Pep "&amp;$X$20&amp;" "&amp;$Y$21&amp;" is more than OPD Sexual Violence Rape Survivors"&amp;CHAR(10),""),IF(Z176&gt;Z175," * OPD Sexual Violence Initiated Pep "&amp;$Z$20&amp;" "&amp;$Z$21&amp;" is more than OPD Sexual Violence Rape Survivors"&amp;CHAR(10),""),IF(AA176&gt;AA175," * OPD Sexual Violence Initiated Pep "&amp;$Z$20&amp;" "&amp;$AA$21&amp;" is more than OPD Sexual Violence Rape Survivors"&amp;CHAR(10),""))</f>
        <v/>
      </c>
      <c r="AJ175" s="683"/>
      <c r="AK175" s="33"/>
      <c r="AL175" s="864"/>
      <c r="AM175" s="14">
        <v>145</v>
      </c>
      <c r="AN175" s="82"/>
      <c r="AO175" s="83"/>
    </row>
    <row r="176" spans="1:41" ht="25.9" hidden="1" thickBot="1" x14ac:dyDescent="0.8">
      <c r="A176" s="868"/>
      <c r="B176" s="195" t="s">
        <v>871</v>
      </c>
      <c r="C176" s="51" t="s">
        <v>881</v>
      </c>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c r="AA176" s="201"/>
      <c r="AB176" s="388"/>
      <c r="AC176" s="388"/>
      <c r="AD176" s="388"/>
      <c r="AE176" s="388"/>
      <c r="AF176" s="388"/>
      <c r="AG176" s="388"/>
      <c r="AH176" s="31">
        <f t="shared" si="25"/>
        <v>0</v>
      </c>
      <c r="AI176" s="148"/>
      <c r="AJ176" s="683"/>
      <c r="AK176" s="33"/>
      <c r="AL176" s="864"/>
      <c r="AM176" s="14">
        <v>146</v>
      </c>
      <c r="AN176" s="82"/>
      <c r="AO176" s="83"/>
    </row>
    <row r="177" spans="1:41" ht="25.9" hidden="1" thickBot="1" x14ac:dyDescent="0.8">
      <c r="A177" s="868"/>
      <c r="B177" s="195" t="s">
        <v>872</v>
      </c>
      <c r="C177" s="51" t="s">
        <v>882</v>
      </c>
      <c r="D177" s="200"/>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c r="AA177" s="200"/>
      <c r="AB177" s="388"/>
      <c r="AC177" s="388"/>
      <c r="AD177" s="388"/>
      <c r="AE177" s="388"/>
      <c r="AF177" s="388"/>
      <c r="AG177" s="388"/>
      <c r="AH177" s="31">
        <f t="shared" si="25"/>
        <v>0</v>
      </c>
      <c r="AI177" s="32" t="str">
        <f>CONCATENATE(IF(D178&gt;D177," * OPD  Physical Violence Initiated Pep "&amp;$D$20&amp;" "&amp;$D$21&amp;" is more than OPD Physical Violence Rape Survivors"&amp;CHAR(10),""),IF(E178&gt;E177," * OPD  Physical Violence Initiated Pep "&amp;$D$20&amp;" "&amp;$E$21&amp;" is more than OPD Physical Violence Rape Survivors"&amp;CHAR(10),""),IF(F178&gt;F177," * OPD  Physical Violence Initiated Pep "&amp;$F$20&amp;" "&amp;$F$21&amp;" is more than OPD Physical Violence Rape Survivors"&amp;CHAR(10),""),IF(G178&gt;G177," * OPD  Physical Violence Initiated Pep "&amp;$F$20&amp;" "&amp;$G$21&amp;" is more than OPD Physical Violence Rape Survivors"&amp;CHAR(10),""),IF(H178&gt;H177," * OPD  Physical Violence Initiated Pep "&amp;$H$20&amp;" "&amp;$H$21&amp;" is more than OPD Physical Violence Rape Survivors"&amp;CHAR(10),""),IF(I178&gt;I177," * OPD  Physical Violence Initiated Pep "&amp;$H$20&amp;" "&amp;$I$21&amp;" is more than OPD Physical Violence Rape Survivors"&amp;CHAR(10),""),IF(J178&gt;J177," * OPD  Physical Violence Initiated Pep "&amp;$J$20&amp;" "&amp;$J$21&amp;" is more than OPD Physical Violence Rape Survivors"&amp;CHAR(10),""),IF(K178&gt;K177," * OPD  Physical Violence Initiated Pep "&amp;$J$20&amp;" "&amp;$K$21&amp;" is more than OPD Physical Violence Rape Survivors"&amp;CHAR(10),""),IF(L178&gt;L177," * OPD  Physical Violence Initiated Pep "&amp;$L$20&amp;" "&amp;$L$21&amp;" is more than OPD Physical Violence Rape Survivors"&amp;CHAR(10),""),IF(M178&gt;M177," * OPD  Physical Violence Initiated Pep "&amp;$L$20&amp;" "&amp;$M$21&amp;" is more than OPD Physical Violence Rape Survivors"&amp;CHAR(10),""),IF(N178&gt;N177," * OPD  Physical Violence Initiated Pep "&amp;$N$20&amp;" "&amp;$N$21&amp;" is more than OPD Physical Violence Rape Survivors"&amp;CHAR(10),""),IF(O178&gt;O177," * OPD  Physical Violence Initiated Pep "&amp;$N$20&amp;" "&amp;$O$21&amp;" is more than OPD Physical Violence Rape Survivors"&amp;CHAR(10),""),IF(P178&gt;P177," * OPD  Physical Violence Initiated Pep "&amp;$P$20&amp;" "&amp;$P$21&amp;" is more than OPD Physical Violence Rape Survivors"&amp;CHAR(10),""),IF(Q178&gt;Q177," * OPD  Physical Violence Initiated Pep "&amp;$P$20&amp;" "&amp;$Q$21&amp;" is more than OPD Physical Violence Rape Survivors"&amp;CHAR(10),""),IF(R178&gt;R177," * OPD  Physical Violence Initiated Pep "&amp;$R$20&amp;" "&amp;$R$21&amp;" is more than OPD Physical Violence Rape Survivors"&amp;CHAR(10),""),IF(S178&gt;S177," * OPD  Physical Violence Initiated Pep "&amp;$R$20&amp;" "&amp;$S$21&amp;" is more than OPD Physical Violence Rape Survivors"&amp;CHAR(10),""),IF(T178&gt;T177," * OPD  Physical Violence Initiated Pep "&amp;$T$20&amp;" "&amp;$T$21&amp;" is more than OPD Physical Violence Rape Survivors"&amp;CHAR(10),""),IF(U178&gt;U177," * OPD  Physical Violence Initiated Pep "&amp;$T$20&amp;" "&amp;$U$21&amp;" is more than OPD Physical Violence Rape Survivors"&amp;CHAR(10),""),IF(V178&gt;V177," * OPD  Physical Violence Initiated Pep "&amp;$V$20&amp;" "&amp;$V$21&amp;" is more than OPD Physical Violence Rape Survivors"&amp;CHAR(10),""),IF(W178&gt;W177," * OPD  Physical Violence Initiated Pep "&amp;$V$20&amp;" "&amp;$W$21&amp;" is more than OPD Physical Violence Rape Survivors"&amp;CHAR(10),""),IF(X178&gt;X177," * OPD  Physical Violence Initiated Pep "&amp;$X$20&amp;" "&amp;$X$21&amp;" is more than OPD Physical Violence Rape Survivors"&amp;CHAR(10),""),IF(Y178&gt;Y177," * OPD  Physical Violence Initiated Pep "&amp;$X$20&amp;" "&amp;$Y$21&amp;" is more than OPD Physical Violence Rape Survivors"&amp;CHAR(10),""),IF(Z178&gt;Z177," * OPD  Physical Violence Initiated Pep "&amp;$Z$20&amp;" "&amp;$Z$21&amp;" is more than OPD Physical Violence Rape Survivors"&amp;CHAR(10),""),IF(AA178&gt;AA177," * OPD  Physical Violence Initiated Pep "&amp;$Z$20&amp;" "&amp;$AA$21&amp;" is more than OPD Physical Violence Rape Survivors"&amp;CHAR(10),""))</f>
        <v/>
      </c>
      <c r="AJ177" s="683"/>
      <c r="AK177" s="33"/>
      <c r="AL177" s="864"/>
      <c r="AM177" s="14">
        <v>147</v>
      </c>
      <c r="AN177" s="82"/>
      <c r="AO177" s="83"/>
    </row>
    <row r="178" spans="1:41" ht="25.9" hidden="1" thickBot="1" x14ac:dyDescent="0.8">
      <c r="A178" s="868"/>
      <c r="B178" s="195" t="s">
        <v>873</v>
      </c>
      <c r="C178" s="51" t="s">
        <v>883</v>
      </c>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c r="AA178" s="201"/>
      <c r="AB178" s="388"/>
      <c r="AC178" s="388"/>
      <c r="AD178" s="388"/>
      <c r="AE178" s="388"/>
      <c r="AF178" s="388"/>
      <c r="AG178" s="388"/>
      <c r="AH178" s="31">
        <f t="shared" si="25"/>
        <v>0</v>
      </c>
      <c r="AI178" s="148"/>
      <c r="AJ178" s="683"/>
      <c r="AK178" s="33"/>
      <c r="AL178" s="864"/>
      <c r="AM178" s="14">
        <v>148</v>
      </c>
      <c r="AN178" s="82"/>
      <c r="AO178" s="83"/>
    </row>
    <row r="179" spans="1:41" ht="25.9" hidden="1" thickBot="1" x14ac:dyDescent="0.8">
      <c r="A179" s="868"/>
      <c r="B179" s="195" t="s">
        <v>874</v>
      </c>
      <c r="C179" s="51" t="s">
        <v>884</v>
      </c>
      <c r="D179" s="202"/>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c r="AA179" s="203"/>
      <c r="AB179" s="388"/>
      <c r="AC179" s="388"/>
      <c r="AD179" s="388"/>
      <c r="AE179" s="388"/>
      <c r="AF179" s="388"/>
      <c r="AG179" s="388"/>
      <c r="AH179" s="31">
        <f t="shared" si="25"/>
        <v>0</v>
      </c>
      <c r="AI179" s="148"/>
      <c r="AJ179" s="683"/>
      <c r="AK179" s="33"/>
      <c r="AL179" s="864"/>
      <c r="AM179" s="14">
        <v>149</v>
      </c>
      <c r="AN179" s="82"/>
      <c r="AO179" s="83"/>
    </row>
    <row r="180" spans="1:41" ht="25.9" hidden="1" thickBot="1" x14ac:dyDescent="0.8">
      <c r="A180" s="869"/>
      <c r="B180" s="204" t="s">
        <v>909</v>
      </c>
      <c r="C180" s="56" t="s">
        <v>885</v>
      </c>
      <c r="D180" s="205"/>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c r="AA180" s="207"/>
      <c r="AB180" s="388"/>
      <c r="AC180" s="388"/>
      <c r="AD180" s="388"/>
      <c r="AE180" s="388"/>
      <c r="AF180" s="388"/>
      <c r="AG180" s="388"/>
      <c r="AH180" s="31">
        <f t="shared" si="25"/>
        <v>0</v>
      </c>
      <c r="AI180" s="148"/>
      <c r="AJ180" s="862"/>
      <c r="AK180" s="81"/>
      <c r="AL180" s="864"/>
      <c r="AM180" s="14">
        <v>150</v>
      </c>
      <c r="AN180" s="82"/>
      <c r="AO180" s="83"/>
    </row>
    <row r="181" spans="1:41" ht="25.9" hidden="1" thickBot="1" x14ac:dyDescent="0.8">
      <c r="A181" s="867" t="s">
        <v>876</v>
      </c>
      <c r="B181" s="193" t="s">
        <v>920</v>
      </c>
      <c r="C181" s="63" t="s">
        <v>886</v>
      </c>
      <c r="D181" s="194">
        <f t="shared" ref="D181:AA181" si="26">D11</f>
        <v>0</v>
      </c>
      <c r="E181" s="194">
        <f t="shared" si="26"/>
        <v>0</v>
      </c>
      <c r="F181" s="194">
        <f t="shared" si="26"/>
        <v>0</v>
      </c>
      <c r="G181" s="194">
        <f t="shared" si="26"/>
        <v>0</v>
      </c>
      <c r="H181" s="194">
        <f t="shared" si="26"/>
        <v>0</v>
      </c>
      <c r="I181" s="194">
        <f t="shared" si="26"/>
        <v>0</v>
      </c>
      <c r="J181" s="194">
        <f t="shared" si="26"/>
        <v>0</v>
      </c>
      <c r="K181" s="194">
        <f t="shared" si="26"/>
        <v>0</v>
      </c>
      <c r="L181" s="194">
        <f t="shared" si="26"/>
        <v>0</v>
      </c>
      <c r="M181" s="194">
        <f t="shared" si="26"/>
        <v>0</v>
      </c>
      <c r="N181" s="194">
        <f t="shared" si="26"/>
        <v>0</v>
      </c>
      <c r="O181" s="194">
        <f t="shared" si="26"/>
        <v>0</v>
      </c>
      <c r="P181" s="194">
        <f t="shared" si="26"/>
        <v>0</v>
      </c>
      <c r="Q181" s="194">
        <f t="shared" si="26"/>
        <v>0</v>
      </c>
      <c r="R181" s="194">
        <f t="shared" si="26"/>
        <v>0</v>
      </c>
      <c r="S181" s="194">
        <f t="shared" si="26"/>
        <v>0</v>
      </c>
      <c r="T181" s="194">
        <f t="shared" si="26"/>
        <v>0</v>
      </c>
      <c r="U181" s="194">
        <f t="shared" si="26"/>
        <v>0</v>
      </c>
      <c r="V181" s="194">
        <f t="shared" si="26"/>
        <v>0</v>
      </c>
      <c r="W181" s="194">
        <f t="shared" si="26"/>
        <v>0</v>
      </c>
      <c r="X181" s="194">
        <f t="shared" si="26"/>
        <v>0</v>
      </c>
      <c r="Y181" s="194">
        <f t="shared" si="26"/>
        <v>0</v>
      </c>
      <c r="Z181" s="194">
        <f t="shared" si="26"/>
        <v>0</v>
      </c>
      <c r="AA181" s="194">
        <f t="shared" si="26"/>
        <v>0</v>
      </c>
      <c r="AB181" s="194"/>
      <c r="AC181" s="194"/>
      <c r="AD181" s="194"/>
      <c r="AE181" s="194"/>
      <c r="AF181" s="194"/>
      <c r="AG181" s="194"/>
      <c r="AH181" s="194">
        <f>AH11</f>
        <v>0</v>
      </c>
      <c r="AI181" s="32" t="str">
        <f>CONCATENATE(IF(D182&gt;D181," * No Screened for GBV "&amp;$D$20&amp;" "&amp;$D$21&amp;" is more than Clients Seen at IPD"&amp;CHAR(10),""),IF(E182&gt;E181," * No Screened For GBV "&amp;$D$20&amp;" "&amp;$E$21&amp;" is more than Clients Seen at IPD"&amp;CHAR(10),""),IF(F182&gt;F181," * No Screened For GBV "&amp;$F$20&amp;" "&amp;$F$21&amp;" is more than Clients Seen at IPD"&amp;CHAR(10),""),IF(G182&gt;G181," * No Screened For GBV "&amp;$F$20&amp;" "&amp;$G$21&amp;" is more than Clients Seen at IPD"&amp;CHAR(10),""),IF(H182&gt;H181," * No Screened For GBV "&amp;$H$20&amp;" "&amp;$H$21&amp;" is more than Clients Seen at IPD"&amp;CHAR(10),""),IF(I182&gt;I181," * No Screened For GBV "&amp;$H$20&amp;" "&amp;$I$21&amp;" is more than Clients Seen at IPD"&amp;CHAR(10),""),IF(J182&gt;J181," * No Screened For GBV "&amp;$J$20&amp;" "&amp;$J$21&amp;" is more than Clients Seen at IPD"&amp;CHAR(10),""),IF(K182&gt;K181," * No Screened For GBV "&amp;$J$20&amp;" "&amp;$K$21&amp;" is more than Clients Seen at IPD"&amp;CHAR(10),""),IF(L182&gt;L181," * No Screened For GBV "&amp;$L$20&amp;" "&amp;$L$21&amp;" is more than Clients Seen at IPD"&amp;CHAR(10),""),IF(M182&gt;M181," * No Screened For GBV "&amp;$L$20&amp;" "&amp;$M$21&amp;" is more than Clients Seen at IPD"&amp;CHAR(10),""),IF(N182&gt;N181," * No Screened For GBV "&amp;$N$20&amp;" "&amp;$N$21&amp;" is more than Clients Seen at IPD"&amp;CHAR(10),""),IF(O182&gt;O181," * No Screened For GBV "&amp;$N$20&amp;" "&amp;$O$21&amp;" is more than Clients Seen at IPD"&amp;CHAR(10),""),IF(P182&gt;P181," * No Screened For GBV "&amp;$P$20&amp;" "&amp;$P$21&amp;" is more than Clients Seen at IPD"&amp;CHAR(10),""),IF(Q182&gt;Q181," * No Screened For GBV "&amp;$P$20&amp;" "&amp;$Q$21&amp;" is more than Clients Seen at IPD"&amp;CHAR(10),""),IF(R182&gt;R181," * No Screened For GBV "&amp;$R$20&amp;" "&amp;$R$21&amp;" is more than Clients Seen at IPD"&amp;CHAR(10),""),IF(S182&gt;S181," * No Screened For GBV "&amp;$R$20&amp;" "&amp;$S$21&amp;" is more than Clients Seen at IPD"&amp;CHAR(10),""),IF(T182&gt;T181," * No Screened For GBV "&amp;$T$20&amp;" "&amp;$T$21&amp;" is more than Clients Seen at IPD"&amp;CHAR(10),""),IF(U182&gt;U181," * No Screened For GBV "&amp;$T$20&amp;" "&amp;$U$21&amp;" is more than Clients Seen at IPD"&amp;CHAR(10),""),IF(V182&gt;V181," * No Screened For GBV "&amp;$V$20&amp;" "&amp;$V$21&amp;" is more than Clients Seen at IPD"&amp;CHAR(10),""),IF(W182&gt;W181," * No Screened For GBV "&amp;$V$20&amp;" "&amp;$W$21&amp;" is more than Clients Seen at IPD"&amp;CHAR(10),""),IF(X182&gt;X181," * No Screened For GBV "&amp;$X$20&amp;" "&amp;$X$21&amp;" is more than Clients Seen at IPD"&amp;CHAR(10),""),IF(Y182&gt;Y181," * No Screened For GBV "&amp;$X$20&amp;" "&amp;$Y$21&amp;" is more than Clients Seen at IPD"&amp;CHAR(10),""),IF(Z182&gt;Z181," * No Screened For GBV "&amp;$Z$20&amp;" "&amp;$Z$21&amp;" is more than Clients Seen at IPD"&amp;CHAR(10),""),IF(AA182&gt;AA181," * No Screened For GBV "&amp;$Z$20&amp;" "&amp;$AA$21&amp;" is more than Clients Seen at IPD"&amp;CHAR(10),""))</f>
        <v/>
      </c>
      <c r="AJ181" s="680" t="str">
        <f>CONCATENATE(AI181,AI182,AI183,AI184,AI185,AI186,AI187,AI188,AI189)</f>
        <v/>
      </c>
      <c r="AK181" s="81"/>
      <c r="AL181" s="864"/>
      <c r="AM181" s="14">
        <v>151</v>
      </c>
      <c r="AN181" s="82"/>
      <c r="AO181" s="83"/>
    </row>
    <row r="182" spans="1:41" ht="25.9" hidden="1" thickBot="1" x14ac:dyDescent="0.8">
      <c r="A182" s="868"/>
      <c r="B182" s="195" t="s">
        <v>915</v>
      </c>
      <c r="C182" s="51" t="s">
        <v>887</v>
      </c>
      <c r="D182" s="196"/>
      <c r="E182" s="196"/>
      <c r="F182" s="196"/>
      <c r="G182" s="196"/>
      <c r="H182" s="196"/>
      <c r="I182" s="196"/>
      <c r="J182" s="196"/>
      <c r="K182" s="196"/>
      <c r="L182" s="196"/>
      <c r="M182" s="196"/>
      <c r="N182" s="196"/>
      <c r="O182" s="196"/>
      <c r="P182" s="196"/>
      <c r="Q182" s="196"/>
      <c r="R182" s="196"/>
      <c r="S182" s="196"/>
      <c r="T182" s="196"/>
      <c r="U182" s="196"/>
      <c r="V182" s="196"/>
      <c r="W182" s="196"/>
      <c r="X182" s="196"/>
      <c r="Y182" s="196"/>
      <c r="Z182" s="196"/>
      <c r="AA182" s="196"/>
      <c r="AB182" s="388"/>
      <c r="AC182" s="388"/>
      <c r="AD182" s="388"/>
      <c r="AE182" s="388"/>
      <c r="AF182" s="388"/>
      <c r="AG182" s="388"/>
      <c r="AH182" s="72">
        <f t="shared" ref="AH182:AH207" si="27">SUM(D182:AA182)</f>
        <v>0</v>
      </c>
      <c r="AI182" s="148"/>
      <c r="AJ182" s="656"/>
      <c r="AK182" s="33"/>
      <c r="AL182" s="864"/>
      <c r="AM182" s="14">
        <v>152</v>
      </c>
      <c r="AN182" s="82"/>
      <c r="AO182" s="83"/>
    </row>
    <row r="183" spans="1:41" ht="25.9" hidden="1" thickBot="1" x14ac:dyDescent="0.8">
      <c r="A183" s="868"/>
      <c r="B183" s="197" t="s">
        <v>923</v>
      </c>
      <c r="C183" s="51" t="s">
        <v>888</v>
      </c>
      <c r="D183" s="198">
        <f>D184+D186+D188+D189</f>
        <v>0</v>
      </c>
      <c r="E183" s="198">
        <f t="shared" ref="E183" si="28">E184+E186+E188+E189</f>
        <v>0</v>
      </c>
      <c r="F183" s="198">
        <f t="shared" ref="F183" si="29">F184+F186+F188+F189</f>
        <v>0</v>
      </c>
      <c r="G183" s="198">
        <f t="shared" ref="G183" si="30">G184+G186+G188+G189</f>
        <v>0</v>
      </c>
      <c r="H183" s="198">
        <f t="shared" ref="H183" si="31">H184+H186+H188+H189</f>
        <v>0</v>
      </c>
      <c r="I183" s="198">
        <f t="shared" ref="I183" si="32">I184+I186+I188+I189</f>
        <v>0</v>
      </c>
      <c r="J183" s="198">
        <f t="shared" ref="J183" si="33">J184+J186+J188+J189</f>
        <v>0</v>
      </c>
      <c r="K183" s="198">
        <f t="shared" ref="K183" si="34">K184+K186+K188+K189</f>
        <v>0</v>
      </c>
      <c r="L183" s="198">
        <f t="shared" ref="L183" si="35">L184+L186+L188+L189</f>
        <v>0</v>
      </c>
      <c r="M183" s="198">
        <f t="shared" ref="M183" si="36">M184+M186+M188+M189</f>
        <v>0</v>
      </c>
      <c r="N183" s="198">
        <f t="shared" ref="N183" si="37">N184+N186+N188+N189</f>
        <v>0</v>
      </c>
      <c r="O183" s="198">
        <f t="shared" ref="O183" si="38">O184+O186+O188+O189</f>
        <v>0</v>
      </c>
      <c r="P183" s="198">
        <f t="shared" ref="P183" si="39">P184+P186+P188+P189</f>
        <v>0</v>
      </c>
      <c r="Q183" s="198">
        <f t="shared" ref="Q183" si="40">Q184+Q186+Q188+Q189</f>
        <v>0</v>
      </c>
      <c r="R183" s="198">
        <f t="shared" ref="R183" si="41">R184+R186+R188+R189</f>
        <v>0</v>
      </c>
      <c r="S183" s="198">
        <f t="shared" ref="S183" si="42">S184+S186+S188+S189</f>
        <v>0</v>
      </c>
      <c r="T183" s="198">
        <f t="shared" ref="T183" si="43">T184+T186+T188+T189</f>
        <v>0</v>
      </c>
      <c r="U183" s="198">
        <f t="shared" ref="U183" si="44">U184+U186+U188+U189</f>
        <v>0</v>
      </c>
      <c r="V183" s="198">
        <f t="shared" ref="V183" si="45">V184+V186+V188+V189</f>
        <v>0</v>
      </c>
      <c r="W183" s="198">
        <f t="shared" ref="W183" si="46">W184+W186+W188+W189</f>
        <v>0</v>
      </c>
      <c r="X183" s="198">
        <f t="shared" ref="X183" si="47">X184+X186+X188+X189</f>
        <v>0</v>
      </c>
      <c r="Y183" s="198">
        <f t="shared" ref="Y183" si="48">Y184+Y186+Y188+Y189</f>
        <v>0</v>
      </c>
      <c r="Z183" s="198">
        <f t="shared" ref="Z183" si="49">Z184+Z186+Z188+Z189</f>
        <v>0</v>
      </c>
      <c r="AA183" s="198">
        <f t="shared" ref="AA183" si="50">AA184+AA186+AA188+AA189</f>
        <v>0</v>
      </c>
      <c r="AB183" s="387"/>
      <c r="AC183" s="387"/>
      <c r="AD183" s="387"/>
      <c r="AE183" s="387"/>
      <c r="AF183" s="387"/>
      <c r="AG183" s="387"/>
      <c r="AH183" s="72">
        <f t="shared" si="27"/>
        <v>0</v>
      </c>
      <c r="AI183" s="148"/>
      <c r="AJ183" s="656"/>
      <c r="AK183" s="33"/>
      <c r="AL183" s="864"/>
      <c r="AM183" s="14">
        <v>153</v>
      </c>
      <c r="AN183" s="82"/>
      <c r="AO183" s="83"/>
    </row>
    <row r="184" spans="1:41" ht="25.9" hidden="1" thickBot="1" x14ac:dyDescent="0.8">
      <c r="A184" s="868"/>
      <c r="B184" s="195" t="s">
        <v>870</v>
      </c>
      <c r="C184" s="51" t="s">
        <v>889</v>
      </c>
      <c r="D184" s="200"/>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c r="AA184" s="200"/>
      <c r="AB184" s="388"/>
      <c r="AC184" s="388"/>
      <c r="AD184" s="388"/>
      <c r="AE184" s="388"/>
      <c r="AF184" s="388"/>
      <c r="AG184" s="388"/>
      <c r="AH184" s="72">
        <f t="shared" si="27"/>
        <v>0</v>
      </c>
      <c r="AI184" s="32" t="str">
        <f>CONCATENATE(IF(D185&gt;D184," * IPD Sexual Violence Initiated Pep "&amp;$D$20&amp;" "&amp;$D$21&amp;" is more than IPD Sexual Violence Rape Survivors"&amp;CHAR(10),""),IF(E185&gt;E184," * IPD Sexual Violence Initiated Pep "&amp;$D$20&amp;" "&amp;$E$21&amp;" is more than IPD Sexual Violence Rape Survivors"&amp;CHAR(10),""),IF(F185&gt;F184," * IPD Sexual Violence Initiated Pep "&amp;$F$20&amp;" "&amp;$F$21&amp;" is more than IPD Sexual Violence Rape Survivors"&amp;CHAR(10),""),IF(G185&gt;G184," * IPD Sexual Violence Initiated Pep "&amp;$F$20&amp;" "&amp;$G$21&amp;" is more than IPD Sexual Violence Rape Survivors"&amp;CHAR(10),""),IF(H185&gt;H184," * IPD Sexual Violence Initiated Pep "&amp;$H$20&amp;" "&amp;$H$21&amp;" is more than IPD Sexual Violence Rape Survivors"&amp;CHAR(10),""),IF(I185&gt;I184," * IPD Sexual Violence Initiated Pep "&amp;$H$20&amp;" "&amp;$I$21&amp;" is more than IPD Sexual Violence Rape Survivors"&amp;CHAR(10),""),IF(J185&gt;J184," * IPD Sexual Violence Initiated Pep "&amp;$J$20&amp;" "&amp;$J$21&amp;" is more than IPD Sexual Violence Rape Survivors"&amp;CHAR(10),""),IF(K185&gt;K184," * IPD Sexual Violence Initiated Pep "&amp;$J$20&amp;" "&amp;$K$21&amp;" is more than IPD Sexual Violence Rape Survivors"&amp;CHAR(10),""),IF(L185&gt;L184," * IPD Sexual Violence Initiated Pep "&amp;$L$20&amp;" "&amp;$L$21&amp;" is more than IPD Sexual Violence Rape Survivors"&amp;CHAR(10),""),IF(M185&gt;M184," * IPD Sexual Violence Initiated Pep "&amp;$L$20&amp;" "&amp;$M$21&amp;" is more than IPD Sexual Violence Rape Survivors"&amp;CHAR(10),""),IF(N185&gt;N184," * IPD Sexual Violence Initiated Pep "&amp;$N$20&amp;" "&amp;$N$21&amp;" is more than IPD Sexual Violence Rape Survivors"&amp;CHAR(10),""),IF(O185&gt;O184," * IPD Sexual Violence Initiated Pep "&amp;$N$20&amp;" "&amp;$O$21&amp;" is more than IPD Sexual Violence Rape Survivors"&amp;CHAR(10),""),IF(P185&gt;P184," * IPD Sexual Violence Initiated Pep "&amp;$P$20&amp;" "&amp;$P$21&amp;" is more than IPD Sexual Violence Rape Survivors"&amp;CHAR(10),""),IF(Q185&gt;Q184," * IPD Sexual Violence Initiated Pep "&amp;$P$20&amp;" "&amp;$Q$21&amp;" is more than IPD Sexual Violence Rape Survivors"&amp;CHAR(10),""),IF(R185&gt;R184," * IPD Sexual Violence Initiated Pep "&amp;$R$20&amp;" "&amp;$R$21&amp;" is more than IPD Sexual Violence Rape Survivors"&amp;CHAR(10),""),IF(S185&gt;S184," * IPD Sexual Violence Initiated Pep "&amp;$R$20&amp;" "&amp;$S$21&amp;" is more than IPD Sexual Violence Rape Survivors"&amp;CHAR(10),""),IF(T185&gt;T184," * IPD Sexual Violence Initiated Pep "&amp;$T$20&amp;" "&amp;$T$21&amp;" is more than IPD Sexual Violence Rape Survivors"&amp;CHAR(10),""),IF(U185&gt;U184," * IPD Sexual Violence Initiated Pep "&amp;$T$20&amp;" "&amp;$U$21&amp;" is more than IPD Sexual Violence Rape Survivors"&amp;CHAR(10),""),IF(V185&gt;V184," * IPD Sexual Violence Initiated Pep "&amp;$V$20&amp;" "&amp;$V$21&amp;" is more than IPD Sexual Violence Rape Survivors"&amp;CHAR(10),""),IF(W185&gt;W184," * IPD Sexual Violence Initiated Pep "&amp;$V$20&amp;" "&amp;$W$21&amp;" is more than IPD Sexual Violence Rape Survivors"&amp;CHAR(10),""),IF(X185&gt;X184," * IPD Sexual Violence Initiated Pep "&amp;$X$20&amp;" "&amp;$X$21&amp;" is more than IPD Sexual Violence Rape Survivors"&amp;CHAR(10),""),IF(Y185&gt;Y184," * IPD Sexual Violence Initiated Pep "&amp;$X$20&amp;" "&amp;$Y$21&amp;" is more than IPD Sexual Violence Rape Survivors"&amp;CHAR(10),""),IF(Z185&gt;Z184," * IPD Sexual Violence Initiated Pep "&amp;$Z$20&amp;" "&amp;$Z$21&amp;" is more than IPD Sexual Violence Rape Survivors"&amp;CHAR(10),""),IF(AA185&gt;AA184," * IPD Sexual Violence Initiated Pep "&amp;$Z$20&amp;" "&amp;$AA$21&amp;" is more than IPD Sexual Violence Rape Survivors"&amp;CHAR(10),""))</f>
        <v/>
      </c>
      <c r="AJ184" s="656"/>
      <c r="AK184" s="33"/>
      <c r="AL184" s="864"/>
      <c r="AM184" s="14">
        <v>154</v>
      </c>
      <c r="AN184" s="82"/>
      <c r="AO184" s="83"/>
    </row>
    <row r="185" spans="1:41" ht="25.9" hidden="1" thickBot="1" x14ac:dyDescent="0.8">
      <c r="A185" s="868"/>
      <c r="B185" s="195" t="s">
        <v>871</v>
      </c>
      <c r="C185" s="51" t="s">
        <v>890</v>
      </c>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c r="AA185" s="201"/>
      <c r="AB185" s="388"/>
      <c r="AC185" s="388"/>
      <c r="AD185" s="388"/>
      <c r="AE185" s="388"/>
      <c r="AF185" s="388"/>
      <c r="AG185" s="388"/>
      <c r="AH185" s="72">
        <f t="shared" si="27"/>
        <v>0</v>
      </c>
      <c r="AI185" s="148"/>
      <c r="AJ185" s="656"/>
      <c r="AK185" s="33"/>
      <c r="AL185" s="864"/>
      <c r="AM185" s="14">
        <v>155</v>
      </c>
      <c r="AN185" s="82"/>
      <c r="AO185" s="83"/>
    </row>
    <row r="186" spans="1:41" ht="25.9" hidden="1" thickBot="1" x14ac:dyDescent="0.8">
      <c r="A186" s="868"/>
      <c r="B186" s="195" t="s">
        <v>872</v>
      </c>
      <c r="C186" s="51" t="s">
        <v>891</v>
      </c>
      <c r="D186" s="200"/>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c r="AA186" s="200"/>
      <c r="AB186" s="388"/>
      <c r="AC186" s="388"/>
      <c r="AD186" s="388"/>
      <c r="AE186" s="388"/>
      <c r="AF186" s="388"/>
      <c r="AG186" s="388"/>
      <c r="AH186" s="72">
        <f t="shared" si="27"/>
        <v>0</v>
      </c>
      <c r="AI186" s="32" t="str">
        <f>CONCATENATE(IF(D187&gt;D186," * IPD  Physical Violence Initiated Pep "&amp;$D$20&amp;" "&amp;$D$21&amp;" is more than IPD Physical Violence Rape Survivors"&amp;CHAR(10),""),IF(E187&gt;E186," * IPD  Physical Violence Initiated Pep "&amp;$D$20&amp;" "&amp;$E$21&amp;" is more than IPD Physical Violence Rape Survivors"&amp;CHAR(10),""),IF(F187&gt;F186," * IPD  Physical Violence Initiated Pep "&amp;$F$20&amp;" "&amp;$F$21&amp;" is more than IPD Physical Violence Rape Survivors"&amp;CHAR(10),""),IF(G187&gt;G186," * IPD  Physical Violence Initiated Pep "&amp;$F$20&amp;" "&amp;$G$21&amp;" is more than IPD Physical Violence Rape Survivors"&amp;CHAR(10),""),IF(H187&gt;H186," * IPD  Physical Violence Initiated Pep "&amp;$H$20&amp;" "&amp;$H$21&amp;" is more than IPD Physical Violence Rape Survivors"&amp;CHAR(10),""),IF(I187&gt;I186," * IPD  Physical Violence Initiated Pep "&amp;$H$20&amp;" "&amp;$I$21&amp;" is more than IPD Physical Violence Rape Survivors"&amp;CHAR(10),""),IF(J187&gt;J186," * IPD  Physical Violence Initiated Pep "&amp;$J$20&amp;" "&amp;$J$21&amp;" is more than IPD Physical Violence Rape Survivors"&amp;CHAR(10),""),IF(K187&gt;K186," * IPD  Physical Violence Initiated Pep "&amp;$J$20&amp;" "&amp;$K$21&amp;" is more than IPD Physical Violence Rape Survivors"&amp;CHAR(10),""),IF(L187&gt;L186," * IPD  Physical Violence Initiated Pep "&amp;$L$20&amp;" "&amp;$L$21&amp;" is more than IPD Physical Violence Rape Survivors"&amp;CHAR(10),""),IF(M187&gt;M186," * IPD  Physical Violence Initiated Pep "&amp;$L$20&amp;" "&amp;$M$21&amp;" is more than IPD Physical Violence Rape Survivors"&amp;CHAR(10),""),IF(N187&gt;N186," * IPD  Physical Violence Initiated Pep "&amp;$N$20&amp;" "&amp;$N$21&amp;" is more than IPD Physical Violence Rape Survivors"&amp;CHAR(10),""),IF(O187&gt;O186," * IPD  Physical Violence Initiated Pep "&amp;$N$20&amp;" "&amp;$O$21&amp;" is more than IPD Physical Violence Rape Survivors"&amp;CHAR(10),""),IF(P187&gt;P186," * IPD  Physical Violence Initiated Pep "&amp;$P$20&amp;" "&amp;$P$21&amp;" is more than IPD Physical Violence Rape Survivors"&amp;CHAR(10),""),IF(Q187&gt;Q186," * IPD  Physical Violence Initiated Pep "&amp;$P$20&amp;" "&amp;$Q$21&amp;" is more than IPD Physical Violence Rape Survivors"&amp;CHAR(10),""),IF(R187&gt;R186," * IPD  Physical Violence Initiated Pep "&amp;$R$20&amp;" "&amp;$R$21&amp;" is more than IPD Physical Violence Rape Survivors"&amp;CHAR(10),""),IF(S187&gt;S186," * IPD  Physical Violence Initiated Pep "&amp;$R$20&amp;" "&amp;$S$21&amp;" is more than IPD Physical Violence Rape Survivors"&amp;CHAR(10),""),IF(T187&gt;T186," * IPD  Physical Violence Initiated Pep "&amp;$T$20&amp;" "&amp;$T$21&amp;" is more than IPD Physical Violence Rape Survivors"&amp;CHAR(10),""),IF(U187&gt;U186," * IPD  Physical Violence Initiated Pep "&amp;$T$20&amp;" "&amp;$U$21&amp;" is more than IPD Physical Violence Rape Survivors"&amp;CHAR(10),""),IF(V187&gt;V186," * IPD  Physical Violence Initiated Pep "&amp;$V$20&amp;" "&amp;$V$21&amp;" is more than IPD Physical Violence Rape Survivors"&amp;CHAR(10),""),IF(W187&gt;W186," * IPD  Physical Violence Initiated Pep "&amp;$V$20&amp;" "&amp;$W$21&amp;" is more than IPD Physical Violence Rape Survivors"&amp;CHAR(10),""),IF(X187&gt;X186," * IPD  Physical Violence Initiated Pep "&amp;$X$20&amp;" "&amp;$X$21&amp;" is more than IPD Physical Violence Rape Survivors"&amp;CHAR(10),""),IF(Y187&gt;Y186," * IPD  Physical Violence Initiated Pep "&amp;$X$20&amp;" "&amp;$Y$21&amp;" is more than IPD Physical Violence Rape Survivors"&amp;CHAR(10),""),IF(Z187&gt;Z186," * IPD  Physical Violence Initiated Pep "&amp;$Z$20&amp;" "&amp;$Z$21&amp;" is more than IPD Physical Violence Rape Survivors"&amp;CHAR(10),""),IF(AA187&gt;AA186," * IPD  Physical Violence Initiated Pep "&amp;$Z$20&amp;" "&amp;$AA$21&amp;" is more than IPD Physical Violence Rape Survivors"&amp;CHAR(10),""))</f>
        <v/>
      </c>
      <c r="AJ186" s="656"/>
      <c r="AK186" s="33"/>
      <c r="AL186" s="864"/>
      <c r="AM186" s="14">
        <v>156</v>
      </c>
      <c r="AN186" s="82"/>
      <c r="AO186" s="83"/>
    </row>
    <row r="187" spans="1:41" ht="25.9" hidden="1" thickBot="1" x14ac:dyDescent="0.8">
      <c r="A187" s="868"/>
      <c r="B187" s="195" t="s">
        <v>873</v>
      </c>
      <c r="C187" s="51" t="s">
        <v>892</v>
      </c>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c r="AA187" s="201"/>
      <c r="AB187" s="388"/>
      <c r="AC187" s="388"/>
      <c r="AD187" s="388"/>
      <c r="AE187" s="388"/>
      <c r="AF187" s="388"/>
      <c r="AG187" s="388"/>
      <c r="AH187" s="72">
        <f t="shared" si="27"/>
        <v>0</v>
      </c>
      <c r="AI187" s="148"/>
      <c r="AJ187" s="656"/>
      <c r="AK187" s="33"/>
      <c r="AL187" s="864"/>
      <c r="AM187" s="14">
        <v>157</v>
      </c>
      <c r="AN187" s="82"/>
      <c r="AO187" s="83"/>
    </row>
    <row r="188" spans="1:41" ht="25.9" hidden="1" thickBot="1" x14ac:dyDescent="0.8">
      <c r="A188" s="868"/>
      <c r="B188" s="195" t="s">
        <v>874</v>
      </c>
      <c r="C188" s="51" t="s">
        <v>893</v>
      </c>
      <c r="D188" s="202"/>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c r="AA188" s="203"/>
      <c r="AB188" s="388"/>
      <c r="AC188" s="388"/>
      <c r="AD188" s="388"/>
      <c r="AE188" s="388"/>
      <c r="AF188" s="388"/>
      <c r="AG188" s="388"/>
      <c r="AH188" s="55">
        <f t="shared" si="27"/>
        <v>0</v>
      </c>
      <c r="AI188" s="148"/>
      <c r="AJ188" s="656"/>
      <c r="AK188" s="33"/>
      <c r="AL188" s="864"/>
      <c r="AM188" s="14">
        <v>158</v>
      </c>
      <c r="AN188" s="82"/>
      <c r="AO188" s="83"/>
    </row>
    <row r="189" spans="1:41" ht="25.9" hidden="1" thickBot="1" x14ac:dyDescent="0.8">
      <c r="A189" s="869"/>
      <c r="B189" s="204" t="s">
        <v>909</v>
      </c>
      <c r="C189" s="56" t="s">
        <v>894</v>
      </c>
      <c r="D189" s="205"/>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c r="AA189" s="207"/>
      <c r="AB189" s="388"/>
      <c r="AC189" s="388"/>
      <c r="AD189" s="388"/>
      <c r="AE189" s="388"/>
      <c r="AF189" s="388"/>
      <c r="AG189" s="388"/>
      <c r="AH189" s="55">
        <f t="shared" si="27"/>
        <v>0</v>
      </c>
      <c r="AI189" s="148"/>
      <c r="AJ189" s="681"/>
      <c r="AK189" s="81"/>
      <c r="AL189" s="864"/>
      <c r="AM189" s="14">
        <v>159</v>
      </c>
      <c r="AN189" s="82"/>
      <c r="AO189" s="83"/>
    </row>
    <row r="190" spans="1:41" ht="25.9" hidden="1" thickBot="1" x14ac:dyDescent="0.8">
      <c r="A190" s="867" t="s">
        <v>878</v>
      </c>
      <c r="B190" s="193" t="s">
        <v>921</v>
      </c>
      <c r="C190" s="63" t="s">
        <v>895</v>
      </c>
      <c r="D190" s="208"/>
      <c r="E190" s="208"/>
      <c r="F190" s="208"/>
      <c r="G190" s="208"/>
      <c r="H190" s="208"/>
      <c r="I190" s="208"/>
      <c r="J190" s="208"/>
      <c r="K190" s="208"/>
      <c r="L190" s="208"/>
      <c r="M190" s="208"/>
      <c r="N190" s="208"/>
      <c r="O190" s="208"/>
      <c r="P190" s="208"/>
      <c r="Q190" s="208"/>
      <c r="R190" s="208"/>
      <c r="S190" s="208"/>
      <c r="T190" s="208"/>
      <c r="U190" s="208"/>
      <c r="V190" s="208"/>
      <c r="W190" s="208"/>
      <c r="X190" s="208"/>
      <c r="Y190" s="208"/>
      <c r="Z190" s="208"/>
      <c r="AA190" s="208"/>
      <c r="AB190" s="389"/>
      <c r="AC190" s="389"/>
      <c r="AD190" s="389"/>
      <c r="AE190" s="389"/>
      <c r="AF190" s="389"/>
      <c r="AG190" s="389"/>
      <c r="AH190" s="55">
        <f t="shared" si="27"/>
        <v>0</v>
      </c>
      <c r="AI190" s="32" t="str">
        <f>CONCATENATE(IF(D191&gt;D190," * No Screened for GBV "&amp;$D$20&amp;" "&amp;$D$21&amp;" is more than Clients Seen at CCC"&amp;CHAR(10),""),IF(E191&gt;E190," * No Screened For GBV "&amp;$D$20&amp;" "&amp;$E$21&amp;" is more than Clients Seen at CCC"&amp;CHAR(10),""),IF(F191&gt;F190," * No Screened For GBV "&amp;$F$20&amp;" "&amp;$F$21&amp;" is more than Clients Seen at CCC"&amp;CHAR(10),""),IF(G191&gt;G190," * No Screened For GBV "&amp;$F$20&amp;" "&amp;$G$21&amp;" is more than Clients Seen at CCC"&amp;CHAR(10),""),IF(H191&gt;H190," * No Screened For GBV "&amp;$H$20&amp;" "&amp;$H$21&amp;" is more than Clients Seen at CCC"&amp;CHAR(10),""),IF(I191&gt;I190," * No Screened For GBV "&amp;$H$20&amp;" "&amp;$I$21&amp;" is more than Clients Seen at CCC"&amp;CHAR(10),""),IF(J191&gt;J190," * No Screened For GBV "&amp;$J$20&amp;" "&amp;$J$21&amp;" is more than Clients Seen at CCC"&amp;CHAR(10),""),IF(K191&gt;K190," * No Screened For GBV "&amp;$J$20&amp;" "&amp;$K$21&amp;" is more than Clients Seen at CCC"&amp;CHAR(10),""),IF(L191&gt;L190," * No Screened For GBV "&amp;$L$20&amp;" "&amp;$L$21&amp;" is more than Clients Seen at CCC"&amp;CHAR(10),""),IF(M191&gt;M190," * No Screened For GBV "&amp;$L$20&amp;" "&amp;$M$21&amp;" is more than Clients Seen at CCC"&amp;CHAR(10),""),IF(N191&gt;N190," * No Screened For GBV "&amp;$N$20&amp;" "&amp;$N$21&amp;" is more than Clients Seen at CCC"&amp;CHAR(10),""),IF(O191&gt;O190," * No Screened For GBV "&amp;$N$20&amp;" "&amp;$O$21&amp;" is more than Clients Seen at CCC"&amp;CHAR(10),""),IF(P191&gt;P190," * No Screened For GBV "&amp;$P$20&amp;" "&amp;$P$21&amp;" is more than Clients Seen at CCC"&amp;CHAR(10),""),IF(Q191&gt;Q190," * No Screened For GBV "&amp;$P$20&amp;" "&amp;$Q$21&amp;" is more than Clients Seen at CCC"&amp;CHAR(10),""),IF(R191&gt;R190," * No Screened For GBV "&amp;$R$20&amp;" "&amp;$R$21&amp;" is more than Clients Seen at CCC"&amp;CHAR(10),""),IF(S191&gt;S190," * No Screened For GBV "&amp;$R$20&amp;" "&amp;$S$21&amp;" is more than Clients Seen at CCC"&amp;CHAR(10),""),IF(T191&gt;T190," * No Screened For GBV "&amp;$T$20&amp;" "&amp;$T$21&amp;" is more than Clients Seen at CCC"&amp;CHAR(10),""),IF(U191&gt;U190," * No Screened For GBV "&amp;$T$20&amp;" "&amp;$U$21&amp;" is more than Clients Seen at CCC"&amp;CHAR(10),""),IF(V191&gt;V190," * No Screened For GBV "&amp;$V$20&amp;" "&amp;$V$21&amp;" is more than Clients Seen at CCC"&amp;CHAR(10),""),IF(W191&gt;W190," * No Screened For GBV "&amp;$V$20&amp;" "&amp;$W$21&amp;" is more than Clients Seen at CCC"&amp;CHAR(10),""),IF(X191&gt;X190," * No Screened For GBV "&amp;$X$20&amp;" "&amp;$X$21&amp;" is more than Clients Seen at CCC"&amp;CHAR(10),""),IF(Y191&gt;Y190," * No Screened For GBV "&amp;$X$20&amp;" "&amp;$Y$21&amp;" is more than Clients Seen at CCC"&amp;CHAR(10),""),IF(Z191&gt;Z190," * No Screened For GBV "&amp;$Z$20&amp;" "&amp;$Z$21&amp;" is more than Clients Seen at CCC"&amp;CHAR(10),""),IF(AA191&gt;AA190," * No Screened For GBV "&amp;$Z$20&amp;" "&amp;$AA$21&amp;" is more than Clients Seen at CCC"&amp;CHAR(10),""))</f>
        <v/>
      </c>
      <c r="AJ190" s="680" t="str">
        <f>CONCATENATE(AI190,AI191,AI192,AI193,AI194,AI195,AI196,AI197,AI198)</f>
        <v/>
      </c>
      <c r="AK190" s="81"/>
      <c r="AL190" s="864"/>
      <c r="AM190" s="14">
        <v>160</v>
      </c>
      <c r="AN190" s="82"/>
      <c r="AO190" s="83"/>
    </row>
    <row r="191" spans="1:41" ht="25.9" hidden="1" thickBot="1" x14ac:dyDescent="0.8">
      <c r="A191" s="868"/>
      <c r="B191" s="195" t="s">
        <v>916</v>
      </c>
      <c r="C191" s="51" t="s">
        <v>896</v>
      </c>
      <c r="D191" s="196"/>
      <c r="E191" s="196"/>
      <c r="F191" s="196"/>
      <c r="G191" s="196"/>
      <c r="H191" s="196"/>
      <c r="I191" s="196"/>
      <c r="J191" s="196"/>
      <c r="K191" s="196"/>
      <c r="L191" s="196"/>
      <c r="M191" s="196"/>
      <c r="N191" s="196"/>
      <c r="O191" s="196"/>
      <c r="P191" s="196"/>
      <c r="Q191" s="196"/>
      <c r="R191" s="196"/>
      <c r="S191" s="196"/>
      <c r="T191" s="196"/>
      <c r="U191" s="196"/>
      <c r="V191" s="196"/>
      <c r="W191" s="196"/>
      <c r="X191" s="196"/>
      <c r="Y191" s="196"/>
      <c r="Z191" s="196"/>
      <c r="AA191" s="196"/>
      <c r="AB191" s="388"/>
      <c r="AC191" s="388"/>
      <c r="AD191" s="388"/>
      <c r="AE191" s="388"/>
      <c r="AF191" s="388"/>
      <c r="AG191" s="388"/>
      <c r="AH191" s="55">
        <f t="shared" si="27"/>
        <v>0</v>
      </c>
      <c r="AI191" s="148"/>
      <c r="AJ191" s="656"/>
      <c r="AK191" s="33"/>
      <c r="AL191" s="864"/>
      <c r="AM191" s="14">
        <v>161</v>
      </c>
      <c r="AN191" s="82"/>
      <c r="AO191" s="83"/>
    </row>
    <row r="192" spans="1:41" ht="25.9" hidden="1" thickBot="1" x14ac:dyDescent="0.8">
      <c r="A192" s="868"/>
      <c r="B192" s="197" t="s">
        <v>924</v>
      </c>
      <c r="C192" s="51" t="s">
        <v>897</v>
      </c>
      <c r="D192" s="198">
        <f>D193+D195+D197+D198</f>
        <v>0</v>
      </c>
      <c r="E192" s="198">
        <f t="shared" ref="E192" si="51">E193+E195+E197+E198</f>
        <v>0</v>
      </c>
      <c r="F192" s="198">
        <f t="shared" ref="F192" si="52">F193+F195+F197+F198</f>
        <v>0</v>
      </c>
      <c r="G192" s="198">
        <f t="shared" ref="G192" si="53">G193+G195+G197+G198</f>
        <v>0</v>
      </c>
      <c r="H192" s="198">
        <f t="shared" ref="H192" si="54">H193+H195+H197+H198</f>
        <v>0</v>
      </c>
      <c r="I192" s="198">
        <f t="shared" ref="I192" si="55">I193+I195+I197+I198</f>
        <v>0</v>
      </c>
      <c r="J192" s="198">
        <f t="shared" ref="J192" si="56">J193+J195+J197+J198</f>
        <v>0</v>
      </c>
      <c r="K192" s="198">
        <f t="shared" ref="K192" si="57">K193+K195+K197+K198</f>
        <v>0</v>
      </c>
      <c r="L192" s="198">
        <f t="shared" ref="L192" si="58">L193+L195+L197+L198</f>
        <v>0</v>
      </c>
      <c r="M192" s="198">
        <f t="shared" ref="M192" si="59">M193+M195+M197+M198</f>
        <v>0</v>
      </c>
      <c r="N192" s="198">
        <f t="shared" ref="N192" si="60">N193+N195+N197+N198</f>
        <v>0</v>
      </c>
      <c r="O192" s="198">
        <f t="shared" ref="O192" si="61">O193+O195+O197+O198</f>
        <v>0</v>
      </c>
      <c r="P192" s="198">
        <f t="shared" ref="P192" si="62">P193+P195+P197+P198</f>
        <v>0</v>
      </c>
      <c r="Q192" s="198">
        <f t="shared" ref="Q192" si="63">Q193+Q195+Q197+Q198</f>
        <v>0</v>
      </c>
      <c r="R192" s="198">
        <f t="shared" ref="R192" si="64">R193+R195+R197+R198</f>
        <v>0</v>
      </c>
      <c r="S192" s="198">
        <f t="shared" ref="S192" si="65">S193+S195+S197+S198</f>
        <v>0</v>
      </c>
      <c r="T192" s="198">
        <f t="shared" ref="T192" si="66">T193+T195+T197+T198</f>
        <v>0</v>
      </c>
      <c r="U192" s="198">
        <f t="shared" ref="U192" si="67">U193+U195+U197+U198</f>
        <v>0</v>
      </c>
      <c r="V192" s="198">
        <f t="shared" ref="V192" si="68">V193+V195+V197+V198</f>
        <v>0</v>
      </c>
      <c r="W192" s="198">
        <f t="shared" ref="W192" si="69">W193+W195+W197+W198</f>
        <v>0</v>
      </c>
      <c r="X192" s="198">
        <f t="shared" ref="X192" si="70">X193+X195+X197+X198</f>
        <v>0</v>
      </c>
      <c r="Y192" s="198">
        <f t="shared" ref="Y192" si="71">Y193+Y195+Y197+Y198</f>
        <v>0</v>
      </c>
      <c r="Z192" s="198">
        <f t="shared" ref="Z192" si="72">Z193+Z195+Z197+Z198</f>
        <v>0</v>
      </c>
      <c r="AA192" s="198">
        <f t="shared" ref="AA192" si="73">AA193+AA195+AA197+AA198</f>
        <v>0</v>
      </c>
      <c r="AB192" s="387"/>
      <c r="AC192" s="387"/>
      <c r="AD192" s="387"/>
      <c r="AE192" s="387"/>
      <c r="AF192" s="387"/>
      <c r="AG192" s="387"/>
      <c r="AH192" s="55">
        <f t="shared" si="27"/>
        <v>0</v>
      </c>
      <c r="AI192" s="148"/>
      <c r="AJ192" s="656"/>
      <c r="AK192" s="33"/>
      <c r="AL192" s="864"/>
      <c r="AM192" s="14">
        <v>162</v>
      </c>
      <c r="AN192" s="82"/>
      <c r="AO192" s="83"/>
    </row>
    <row r="193" spans="1:41" ht="25.9" hidden="1" thickBot="1" x14ac:dyDescent="0.8">
      <c r="A193" s="868"/>
      <c r="B193" s="195" t="s">
        <v>870</v>
      </c>
      <c r="C193" s="51" t="s">
        <v>898</v>
      </c>
      <c r="D193" s="200"/>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c r="AA193" s="200"/>
      <c r="AB193" s="388"/>
      <c r="AC193" s="388"/>
      <c r="AD193" s="388"/>
      <c r="AE193" s="388"/>
      <c r="AF193" s="388"/>
      <c r="AG193" s="388"/>
      <c r="AH193" s="55">
        <f t="shared" si="27"/>
        <v>0</v>
      </c>
      <c r="AI193" s="32" t="str">
        <f>CONCATENATE(IF(D194&gt;D193," * CCC Sexual Violence Initiated Pep "&amp;$D$20&amp;" "&amp;$D$21&amp;" is more than CCC Sexual Violence Rape Survivors"&amp;CHAR(10),""),IF(E194&gt;E193," * CCC Sexual Violence Initiated Pep "&amp;$D$20&amp;" "&amp;$E$21&amp;" is more than CCC Sexual Violence Rape Survivors"&amp;CHAR(10),""),IF(F194&gt;F193," * CCC Sexual Violence Initiated Pep "&amp;$F$20&amp;" "&amp;$F$21&amp;" is more than CCC Sexual Violence Rape Survivors"&amp;CHAR(10),""),IF(G194&gt;G193," * CCC Sexual Violence Initiated Pep "&amp;$F$20&amp;" "&amp;$G$21&amp;" is more than CCC Sexual Violence Rape Survivors"&amp;CHAR(10),""),IF(H194&gt;H193," * CCC Sexual Violence Initiated Pep "&amp;$H$20&amp;" "&amp;$H$21&amp;" is more than CCC Sexual Violence Rape Survivors"&amp;CHAR(10),""),IF(I194&gt;I193," * CCC Sexual Violence Initiated Pep "&amp;$H$20&amp;" "&amp;$I$21&amp;" is more than CCC Sexual Violence Rape Survivors"&amp;CHAR(10),""),IF(J194&gt;J193," * CCC Sexual Violence Initiated Pep "&amp;$J$20&amp;" "&amp;$J$21&amp;" is more than CCC Sexual Violence Rape Survivors"&amp;CHAR(10),""),IF(K194&gt;K193," * CCC Sexual Violence Initiated Pep "&amp;$J$20&amp;" "&amp;$K$21&amp;" is more than CCC Sexual Violence Rape Survivors"&amp;CHAR(10),""),IF(L194&gt;L193," * CCC Sexual Violence Initiated Pep "&amp;$L$20&amp;" "&amp;$L$21&amp;" is more than CCC Sexual Violence Rape Survivors"&amp;CHAR(10),""),IF(M194&gt;M193," * CCC Sexual Violence Initiated Pep "&amp;$L$20&amp;" "&amp;$M$21&amp;" is more than CCC Sexual Violence Rape Survivors"&amp;CHAR(10),""),IF(N194&gt;N193," * CCC Sexual Violence Initiated Pep "&amp;$N$20&amp;" "&amp;$N$21&amp;" is more than CCC Sexual Violence Rape Survivors"&amp;CHAR(10),""),IF(O194&gt;O193," * CCC Sexual Violence Initiated Pep "&amp;$N$20&amp;" "&amp;$O$21&amp;" is more than CCC Sexual Violence Rape Survivors"&amp;CHAR(10),""),IF(P194&gt;P193," * CCC Sexual Violence Initiated Pep "&amp;$P$20&amp;" "&amp;$P$21&amp;" is more than CCC Sexual Violence Rape Survivors"&amp;CHAR(10),""),IF(Q194&gt;Q193," * CCC Sexual Violence Initiated Pep "&amp;$P$20&amp;" "&amp;$Q$21&amp;" is more than CCC Sexual Violence Rape Survivors"&amp;CHAR(10),""),IF(R194&gt;R193," * CCC Sexual Violence Initiated Pep "&amp;$R$20&amp;" "&amp;$R$21&amp;" is more than CCC Sexual Violence Rape Survivors"&amp;CHAR(10),""),IF(S194&gt;S193," * CCC Sexual Violence Initiated Pep "&amp;$R$20&amp;" "&amp;$S$21&amp;" is more than CCC Sexual Violence Rape Survivors"&amp;CHAR(10),""),IF(T194&gt;T193," * CCC Sexual Violence Initiated Pep "&amp;$T$20&amp;" "&amp;$T$21&amp;" is more than CCC Sexual Violence Rape Survivors"&amp;CHAR(10),""),IF(U194&gt;U193," * CCC Sexual Violence Initiated Pep "&amp;$T$20&amp;" "&amp;$U$21&amp;" is more than CCC Sexual Violence Rape Survivors"&amp;CHAR(10),""),IF(V194&gt;V193," * CCC Sexual Violence Initiated Pep "&amp;$V$20&amp;" "&amp;$V$21&amp;" is more than CCC Sexual Violence Rape Survivors"&amp;CHAR(10),""),IF(W194&gt;W193," * CCC Sexual Violence Initiated Pep "&amp;$V$20&amp;" "&amp;$W$21&amp;" is more than CCC Sexual Violence Rape Survivors"&amp;CHAR(10),""),IF(X194&gt;X193," * CCC Sexual Violence Initiated Pep "&amp;$X$20&amp;" "&amp;$X$21&amp;" is more than CCC Sexual Violence Rape Survivors"&amp;CHAR(10),""),IF(Y194&gt;Y193," * CCC Sexual Violence Initiated Pep "&amp;$X$20&amp;" "&amp;$Y$21&amp;" is more than CCC Sexual Violence Rape Survivors"&amp;CHAR(10),""),IF(Z194&gt;Z193," * CCC Sexual Violence Initiated Pep "&amp;$Z$20&amp;" "&amp;$Z$21&amp;" is more than CCC Sexual Violence Rape Survivors"&amp;CHAR(10),""),IF(AA194&gt;AA193," * CCC Sexual Violence Initiated Pep "&amp;$Z$20&amp;" "&amp;$AA$21&amp;" is more than CCC Sexual Violence Rape Survivors"&amp;CHAR(10),""))</f>
        <v/>
      </c>
      <c r="AJ193" s="656"/>
      <c r="AK193" s="33"/>
      <c r="AL193" s="864"/>
      <c r="AM193" s="14">
        <v>163</v>
      </c>
      <c r="AN193" s="82"/>
      <c r="AO193" s="83"/>
    </row>
    <row r="194" spans="1:41" ht="25.9" hidden="1" thickBot="1" x14ac:dyDescent="0.8">
      <c r="A194" s="868"/>
      <c r="B194" s="195" t="s">
        <v>871</v>
      </c>
      <c r="C194" s="51" t="s">
        <v>899</v>
      </c>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c r="AA194" s="201"/>
      <c r="AB194" s="388"/>
      <c r="AC194" s="388"/>
      <c r="AD194" s="388"/>
      <c r="AE194" s="388"/>
      <c r="AF194" s="388"/>
      <c r="AG194" s="388"/>
      <c r="AH194" s="55">
        <f t="shared" si="27"/>
        <v>0</v>
      </c>
      <c r="AI194" s="148"/>
      <c r="AJ194" s="656"/>
      <c r="AK194" s="33"/>
      <c r="AL194" s="864"/>
      <c r="AM194" s="14">
        <v>164</v>
      </c>
      <c r="AN194" s="82"/>
      <c r="AO194" s="83"/>
    </row>
    <row r="195" spans="1:41" ht="25.9" hidden="1" thickBot="1" x14ac:dyDescent="0.8">
      <c r="A195" s="868"/>
      <c r="B195" s="195" t="s">
        <v>872</v>
      </c>
      <c r="C195" s="51" t="s">
        <v>900</v>
      </c>
      <c r="D195" s="200"/>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c r="AA195" s="200"/>
      <c r="AB195" s="388"/>
      <c r="AC195" s="388"/>
      <c r="AD195" s="388"/>
      <c r="AE195" s="388"/>
      <c r="AF195" s="388"/>
      <c r="AG195" s="388"/>
      <c r="AH195" s="55">
        <f t="shared" si="27"/>
        <v>0</v>
      </c>
      <c r="AI195" s="32" t="str">
        <f>CONCATENATE(IF(D196&gt;D195," * CCC  Physical Violence Initiated Pep "&amp;$D$20&amp;" "&amp;$D$21&amp;" is more than CCC Physical Violence Rape Survivors"&amp;CHAR(10),""),IF(E196&gt;E195," * CCC  Physical Violence Initiated Pep "&amp;$D$20&amp;" "&amp;$E$21&amp;" is more than CCC Physical Violence Rape Survivors"&amp;CHAR(10),""),IF(F196&gt;F195," * CCC  Physical Violence Initiated Pep "&amp;$F$20&amp;" "&amp;$F$21&amp;" is more than CCC Physical Violence Rape Survivors"&amp;CHAR(10),""),IF(G196&gt;G195," * CCC  Physical Violence Initiated Pep "&amp;$F$20&amp;" "&amp;$G$21&amp;" is more than CCC Physical Violence Rape Survivors"&amp;CHAR(10),""),IF(H196&gt;H195," * CCC  Physical Violence Initiated Pep "&amp;$H$20&amp;" "&amp;$H$21&amp;" is more than CCC Physical Violence Rape Survivors"&amp;CHAR(10),""),IF(I196&gt;I195," * CCC  Physical Violence Initiated Pep "&amp;$H$20&amp;" "&amp;$I$21&amp;" is more than CCC Physical Violence Rape Survivors"&amp;CHAR(10),""),IF(J196&gt;J195," * CCC  Physical Violence Initiated Pep "&amp;$J$20&amp;" "&amp;$J$21&amp;" is more than CCC Physical Violence Rape Survivors"&amp;CHAR(10),""),IF(K196&gt;K195," * CCC  Physical Violence Initiated Pep "&amp;$J$20&amp;" "&amp;$K$21&amp;" is more than CCC Physical Violence Rape Survivors"&amp;CHAR(10),""),IF(L196&gt;L195," * CCC  Physical Violence Initiated Pep "&amp;$L$20&amp;" "&amp;$L$21&amp;" is more than CCC Physical Violence Rape Survivors"&amp;CHAR(10),""),IF(M196&gt;M195," * CCC  Physical Violence Initiated Pep "&amp;$L$20&amp;" "&amp;$M$21&amp;" is more than CCC Physical Violence Rape Survivors"&amp;CHAR(10),""),IF(N196&gt;N195," * CCC  Physical Violence Initiated Pep "&amp;$N$20&amp;" "&amp;$N$21&amp;" is more than CCC Physical Violence Rape Survivors"&amp;CHAR(10),""),IF(O196&gt;O195," * CCC  Physical Violence Initiated Pep "&amp;$N$20&amp;" "&amp;$O$21&amp;" is more than CCC Physical Violence Rape Survivors"&amp;CHAR(10),""),IF(P196&gt;P195," * CCC  Physical Violence Initiated Pep "&amp;$P$20&amp;" "&amp;$P$21&amp;" is more than CCC Physical Violence Rape Survivors"&amp;CHAR(10),""),IF(Q196&gt;Q195," * CCC  Physical Violence Initiated Pep "&amp;$P$20&amp;" "&amp;$Q$21&amp;" is more than CCC Physical Violence Rape Survivors"&amp;CHAR(10),""),IF(R196&gt;R195," * CCC  Physical Violence Initiated Pep "&amp;$R$20&amp;" "&amp;$R$21&amp;" is more than CCC Physical Violence Rape Survivors"&amp;CHAR(10),""),IF(S196&gt;S195," * CCC  Physical Violence Initiated Pep "&amp;$R$20&amp;" "&amp;$S$21&amp;" is more than CCC Physical Violence Rape Survivors"&amp;CHAR(10),""),IF(T196&gt;T195," * CCC  Physical Violence Initiated Pep "&amp;$T$20&amp;" "&amp;$T$21&amp;" is more than CCC Physical Violence Rape Survivors"&amp;CHAR(10),""),IF(U196&gt;U195," * CCC  Physical Violence Initiated Pep "&amp;$T$20&amp;" "&amp;$U$21&amp;" is more than CCC Physical Violence Rape Survivors"&amp;CHAR(10),""),IF(V196&gt;V195," * CCC  Physical Violence Initiated Pep "&amp;$V$20&amp;" "&amp;$V$21&amp;" is more than CCC Physical Violence Rape Survivors"&amp;CHAR(10),""),IF(W196&gt;W195," * CCC  Physical Violence Initiated Pep "&amp;$V$20&amp;" "&amp;$W$21&amp;" is more than CCC Physical Violence Rape Survivors"&amp;CHAR(10),""),IF(X196&gt;X195," * CCC  Physical Violence Initiated Pep "&amp;$X$20&amp;" "&amp;$X$21&amp;" is more than CCC Physical Violence Rape Survivors"&amp;CHAR(10),""),IF(Y196&gt;Y195," * CCC  Physical Violence Initiated Pep "&amp;$X$20&amp;" "&amp;$Y$21&amp;" is more than CCC Physical Violence Rape Survivors"&amp;CHAR(10),""),IF(Z196&gt;Z195," * CCC  Physical Violence Initiated Pep "&amp;$Z$20&amp;" "&amp;$Z$21&amp;" is more than CCC Physical Violence Rape Survivors"&amp;CHAR(10),""),IF(AA196&gt;AA195," * CCC  Physical Violence Initiated Pep "&amp;$Z$20&amp;" "&amp;$AA$21&amp;" is more than CCC Physical Violence Rape Survivors"&amp;CHAR(10),""))</f>
        <v/>
      </c>
      <c r="AJ195" s="656"/>
      <c r="AK195" s="33"/>
      <c r="AL195" s="864"/>
      <c r="AM195" s="14">
        <v>165</v>
      </c>
      <c r="AN195" s="82"/>
      <c r="AO195" s="83"/>
    </row>
    <row r="196" spans="1:41" ht="25.9" hidden="1" thickBot="1" x14ac:dyDescent="0.8">
      <c r="A196" s="868"/>
      <c r="B196" s="195" t="s">
        <v>873</v>
      </c>
      <c r="C196" s="51" t="s">
        <v>901</v>
      </c>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c r="AA196" s="201"/>
      <c r="AB196" s="388"/>
      <c r="AC196" s="388"/>
      <c r="AD196" s="388"/>
      <c r="AE196" s="388"/>
      <c r="AF196" s="388"/>
      <c r="AG196" s="388"/>
      <c r="AH196" s="55">
        <f t="shared" si="27"/>
        <v>0</v>
      </c>
      <c r="AI196" s="148"/>
      <c r="AJ196" s="656"/>
      <c r="AK196" s="33"/>
      <c r="AL196" s="864"/>
      <c r="AM196" s="14">
        <v>166</v>
      </c>
      <c r="AN196" s="82"/>
      <c r="AO196" s="83"/>
    </row>
    <row r="197" spans="1:41" ht="25.9" hidden="1" thickBot="1" x14ac:dyDescent="0.8">
      <c r="A197" s="868"/>
      <c r="B197" s="195" t="s">
        <v>874</v>
      </c>
      <c r="C197" s="51" t="s">
        <v>902</v>
      </c>
      <c r="D197" s="202"/>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c r="AA197" s="203"/>
      <c r="AB197" s="388"/>
      <c r="AC197" s="388"/>
      <c r="AD197" s="388"/>
      <c r="AE197" s="388"/>
      <c r="AF197" s="388"/>
      <c r="AG197" s="388"/>
      <c r="AH197" s="55">
        <f t="shared" si="27"/>
        <v>0</v>
      </c>
      <c r="AI197" s="148"/>
      <c r="AJ197" s="656"/>
      <c r="AK197" s="33"/>
      <c r="AL197" s="864"/>
      <c r="AM197" s="14">
        <v>167</v>
      </c>
      <c r="AN197" s="82"/>
      <c r="AO197" s="83"/>
    </row>
    <row r="198" spans="1:41" ht="25.9" hidden="1" thickBot="1" x14ac:dyDescent="0.8">
      <c r="A198" s="869"/>
      <c r="B198" s="204" t="s">
        <v>909</v>
      </c>
      <c r="C198" s="56" t="s">
        <v>903</v>
      </c>
      <c r="D198" s="205"/>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c r="AA198" s="207"/>
      <c r="AB198" s="388"/>
      <c r="AC198" s="388"/>
      <c r="AD198" s="388"/>
      <c r="AE198" s="388"/>
      <c r="AF198" s="388"/>
      <c r="AG198" s="388"/>
      <c r="AH198" s="55">
        <f t="shared" si="27"/>
        <v>0</v>
      </c>
      <c r="AI198" s="148"/>
      <c r="AJ198" s="681"/>
      <c r="AK198" s="81"/>
      <c r="AL198" s="864"/>
      <c r="AM198" s="14">
        <v>168</v>
      </c>
      <c r="AN198" s="82"/>
      <c r="AO198" s="83"/>
    </row>
    <row r="199" spans="1:41" ht="25.9" hidden="1" thickBot="1" x14ac:dyDescent="0.8">
      <c r="A199" s="867" t="s">
        <v>877</v>
      </c>
      <c r="B199" s="193" t="s">
        <v>922</v>
      </c>
      <c r="C199" s="63" t="s">
        <v>904</v>
      </c>
      <c r="D199" s="194">
        <f t="shared" ref="D199:AA199" si="74">D15</f>
        <v>0</v>
      </c>
      <c r="E199" s="194">
        <f t="shared" si="74"/>
        <v>0</v>
      </c>
      <c r="F199" s="194">
        <f t="shared" si="74"/>
        <v>0</v>
      </c>
      <c r="G199" s="194">
        <f t="shared" si="74"/>
        <v>0</v>
      </c>
      <c r="H199" s="194">
        <f t="shared" si="74"/>
        <v>0</v>
      </c>
      <c r="I199" s="194">
        <f t="shared" si="74"/>
        <v>0</v>
      </c>
      <c r="J199" s="194">
        <f t="shared" si="74"/>
        <v>0</v>
      </c>
      <c r="K199" s="194">
        <f t="shared" si="74"/>
        <v>0</v>
      </c>
      <c r="L199" s="194">
        <f t="shared" si="74"/>
        <v>0</v>
      </c>
      <c r="M199" s="194">
        <f t="shared" si="74"/>
        <v>0</v>
      </c>
      <c r="N199" s="194">
        <f t="shared" si="74"/>
        <v>0</v>
      </c>
      <c r="O199" s="194">
        <f t="shared" si="74"/>
        <v>0</v>
      </c>
      <c r="P199" s="194">
        <f t="shared" si="74"/>
        <v>0</v>
      </c>
      <c r="Q199" s="194">
        <f t="shared" si="74"/>
        <v>0</v>
      </c>
      <c r="R199" s="194">
        <f t="shared" si="74"/>
        <v>0</v>
      </c>
      <c r="S199" s="194">
        <f t="shared" si="74"/>
        <v>0</v>
      </c>
      <c r="T199" s="194">
        <f t="shared" si="74"/>
        <v>0</v>
      </c>
      <c r="U199" s="194">
        <f t="shared" si="74"/>
        <v>0</v>
      </c>
      <c r="V199" s="194">
        <f t="shared" si="74"/>
        <v>0</v>
      </c>
      <c r="W199" s="194">
        <f t="shared" si="74"/>
        <v>0</v>
      </c>
      <c r="X199" s="194">
        <f t="shared" si="74"/>
        <v>0</v>
      </c>
      <c r="Y199" s="194">
        <f t="shared" si="74"/>
        <v>0</v>
      </c>
      <c r="Z199" s="194">
        <f t="shared" si="74"/>
        <v>0</v>
      </c>
      <c r="AA199" s="194">
        <f t="shared" si="74"/>
        <v>0</v>
      </c>
      <c r="AB199" s="390"/>
      <c r="AC199" s="390"/>
      <c r="AD199" s="390"/>
      <c r="AE199" s="390"/>
      <c r="AF199" s="390"/>
      <c r="AG199" s="390"/>
      <c r="AH199" s="55">
        <f t="shared" si="27"/>
        <v>0</v>
      </c>
      <c r="AI199" s="32" t="str">
        <f>CONCATENATE(IF(D200&gt;D199," * No Screened for GBV "&amp;$D$20&amp;" "&amp;$D$21&amp;" is more than Clients Seen at MCH"&amp;CHAR(10),""),IF(E200&gt;E199," * No Screened For GBV "&amp;$D$20&amp;" "&amp;$E$21&amp;" is more than Clients Seen at MCH"&amp;CHAR(10),""),IF(F200&gt;F199," * No Screened For GBV "&amp;$F$20&amp;" "&amp;$F$21&amp;" is more than Clients Seen at MCH"&amp;CHAR(10),""),IF(G200&gt;G199," * No Screened For GBV "&amp;$F$20&amp;" "&amp;$G$21&amp;" is more than Clients Seen at MCH"&amp;CHAR(10),""),IF(H200&gt;H199," * No Screened For GBV "&amp;$H$20&amp;" "&amp;$H$21&amp;" is more than Clients Seen at MCH"&amp;CHAR(10),""),IF(I200&gt;I199," * No Screened For GBV "&amp;$H$20&amp;" "&amp;$I$21&amp;" is more than Clients Seen at MCH"&amp;CHAR(10),""),IF(J200&gt;J199," * No Screened For GBV "&amp;$J$20&amp;" "&amp;$J$21&amp;" is more than Clients Seen at MCH"&amp;CHAR(10),""),IF(K200&gt;K199," * No Screened For GBV "&amp;$J$20&amp;" "&amp;$K$21&amp;" is more than Clients Seen at MCH"&amp;CHAR(10),""),IF(L200&gt;L199," * No Screened For GBV "&amp;$L$20&amp;" "&amp;$L$21&amp;" is more than Clients Seen at MCH"&amp;CHAR(10),""),IF(M200&gt;M199," * No Screened For GBV "&amp;$L$20&amp;" "&amp;$M$21&amp;" is more than Clients Seen at MCH"&amp;CHAR(10),""),IF(N200&gt;N199," * No Screened For GBV "&amp;$N$20&amp;" "&amp;$N$21&amp;" is more than Clients Seen at MCH"&amp;CHAR(10),""),IF(O200&gt;O199," * No Screened For GBV "&amp;$N$20&amp;" "&amp;$O$21&amp;" is more than Clients Seen at MCH"&amp;CHAR(10),""),IF(P200&gt;P199," * No Screened For GBV "&amp;$P$20&amp;" "&amp;$P$21&amp;" is more than Clients Seen at MCH"&amp;CHAR(10),""),IF(Q200&gt;Q199," * No Screened For GBV "&amp;$P$20&amp;" "&amp;$Q$21&amp;" is more than Clients Seen at MCH"&amp;CHAR(10),""),IF(R200&gt;R199," * No Screened For GBV "&amp;$R$20&amp;" "&amp;$R$21&amp;" is more than Clients Seen at MCH"&amp;CHAR(10),""),IF(S200&gt;S199," * No Screened For GBV "&amp;$R$20&amp;" "&amp;$S$21&amp;" is more than Clients Seen at MCH"&amp;CHAR(10),""),IF(T200&gt;T199," * No Screened For GBV "&amp;$T$20&amp;" "&amp;$T$21&amp;" is more than Clients Seen at MCH"&amp;CHAR(10),""),IF(U200&gt;U199," * No Screened For GBV "&amp;$T$20&amp;" "&amp;$U$21&amp;" is more than Clients Seen at MCH"&amp;CHAR(10),""),IF(V200&gt;V199," * No Screened For GBV "&amp;$V$20&amp;" "&amp;$V$21&amp;" is more than Clients Seen at MCH"&amp;CHAR(10),""),IF(W200&gt;W199," * No Screened For GBV "&amp;$V$20&amp;" "&amp;$W$21&amp;" is more than Clients Seen at MCH"&amp;CHAR(10),""),IF(X200&gt;X199," * No Screened For GBV "&amp;$X$20&amp;" "&amp;$X$21&amp;" is more than Clients Seen at MCH"&amp;CHAR(10),""),IF(Y200&gt;Y199," * No Screened For GBV "&amp;$X$20&amp;" "&amp;$Y$21&amp;" is more than Clients Seen at MCH"&amp;CHAR(10),""),IF(Z200&gt;Z199," * No Screened For GBV "&amp;$Z$20&amp;" "&amp;$Z$21&amp;" is more than Clients Seen at MCH"&amp;CHAR(10),""),IF(AA200&gt;AA199," * No Screened For GBV "&amp;$Z$20&amp;" "&amp;$AA$21&amp;" is more than Clients Seen at MCH"&amp;CHAR(10),""))</f>
        <v/>
      </c>
      <c r="AJ199" s="680" t="str">
        <f>CONCATENATE(AI199,AI200,AI201,AI202,AI203,AI204,AI205,AI206,AI207)</f>
        <v/>
      </c>
      <c r="AK199" s="81"/>
      <c r="AL199" s="864"/>
      <c r="AM199" s="14">
        <v>169</v>
      </c>
      <c r="AN199" s="82"/>
      <c r="AO199" s="83"/>
    </row>
    <row r="200" spans="1:41" ht="25.9" hidden="1" thickBot="1" x14ac:dyDescent="0.8">
      <c r="A200" s="868"/>
      <c r="B200" s="195" t="s">
        <v>917</v>
      </c>
      <c r="C200" s="51" t="s">
        <v>905</v>
      </c>
      <c r="D200" s="196"/>
      <c r="E200" s="196"/>
      <c r="F200" s="196"/>
      <c r="G200" s="196"/>
      <c r="H200" s="196"/>
      <c r="I200" s="196"/>
      <c r="J200" s="196"/>
      <c r="K200" s="196"/>
      <c r="L200" s="196"/>
      <c r="M200" s="196"/>
      <c r="N200" s="196"/>
      <c r="O200" s="196"/>
      <c r="P200" s="196"/>
      <c r="Q200" s="196"/>
      <c r="R200" s="196"/>
      <c r="S200" s="196"/>
      <c r="T200" s="196"/>
      <c r="U200" s="196"/>
      <c r="V200" s="196"/>
      <c r="W200" s="196"/>
      <c r="X200" s="196"/>
      <c r="Y200" s="196"/>
      <c r="Z200" s="196"/>
      <c r="AA200" s="196"/>
      <c r="AB200" s="388"/>
      <c r="AC200" s="388"/>
      <c r="AD200" s="388"/>
      <c r="AE200" s="388"/>
      <c r="AF200" s="388"/>
      <c r="AG200" s="388"/>
      <c r="AH200" s="55">
        <f t="shared" si="27"/>
        <v>0</v>
      </c>
      <c r="AI200" s="148"/>
      <c r="AJ200" s="656"/>
      <c r="AK200" s="33"/>
      <c r="AL200" s="864"/>
      <c r="AM200" s="14">
        <v>170</v>
      </c>
      <c r="AN200" s="82"/>
      <c r="AO200" s="83"/>
    </row>
    <row r="201" spans="1:41" ht="25.9" hidden="1" thickBot="1" x14ac:dyDescent="0.8">
      <c r="A201" s="868"/>
      <c r="B201" s="197" t="s">
        <v>925</v>
      </c>
      <c r="C201" s="51" t="s">
        <v>906</v>
      </c>
      <c r="D201" s="198">
        <f>D202+D204+D206+D207</f>
        <v>0</v>
      </c>
      <c r="E201" s="198">
        <f t="shared" ref="E201" si="75">E202+E204+E206+E207</f>
        <v>0</v>
      </c>
      <c r="F201" s="198">
        <f t="shared" ref="F201" si="76">F202+F204+F206+F207</f>
        <v>0</v>
      </c>
      <c r="G201" s="198">
        <f t="shared" ref="G201" si="77">G202+G204+G206+G207</f>
        <v>0</v>
      </c>
      <c r="H201" s="198">
        <f t="shared" ref="H201" si="78">H202+H204+H206+H207</f>
        <v>0</v>
      </c>
      <c r="I201" s="198">
        <f t="shared" ref="I201" si="79">I202+I204+I206+I207</f>
        <v>0</v>
      </c>
      <c r="J201" s="198">
        <f t="shared" ref="J201" si="80">J202+J204+J206+J207</f>
        <v>0</v>
      </c>
      <c r="K201" s="198">
        <f t="shared" ref="K201" si="81">K202+K204+K206+K207</f>
        <v>0</v>
      </c>
      <c r="L201" s="198">
        <f t="shared" ref="L201" si="82">L202+L204+L206+L207</f>
        <v>0</v>
      </c>
      <c r="M201" s="198">
        <f t="shared" ref="M201" si="83">M202+M204+M206+M207</f>
        <v>0</v>
      </c>
      <c r="N201" s="198">
        <f t="shared" ref="N201" si="84">N202+N204+N206+N207</f>
        <v>0</v>
      </c>
      <c r="O201" s="198">
        <f t="shared" ref="O201" si="85">O202+O204+O206+O207</f>
        <v>0</v>
      </c>
      <c r="P201" s="198">
        <f t="shared" ref="P201" si="86">P202+P204+P206+P207</f>
        <v>0</v>
      </c>
      <c r="Q201" s="198">
        <f t="shared" ref="Q201" si="87">Q202+Q204+Q206+Q207</f>
        <v>0</v>
      </c>
      <c r="R201" s="198">
        <f t="shared" ref="R201" si="88">R202+R204+R206+R207</f>
        <v>0</v>
      </c>
      <c r="S201" s="198">
        <f t="shared" ref="S201" si="89">S202+S204+S206+S207</f>
        <v>0</v>
      </c>
      <c r="T201" s="198">
        <f t="shared" ref="T201" si="90">T202+T204+T206+T207</f>
        <v>0</v>
      </c>
      <c r="U201" s="198">
        <f t="shared" ref="U201" si="91">U202+U204+U206+U207</f>
        <v>0</v>
      </c>
      <c r="V201" s="198">
        <f t="shared" ref="V201" si="92">V202+V204+V206+V207</f>
        <v>0</v>
      </c>
      <c r="W201" s="198">
        <f t="shared" ref="W201" si="93">W202+W204+W206+W207</f>
        <v>0</v>
      </c>
      <c r="X201" s="198">
        <f t="shared" ref="X201" si="94">X202+X204+X206+X207</f>
        <v>0</v>
      </c>
      <c r="Y201" s="198">
        <f t="shared" ref="Y201" si="95">Y202+Y204+Y206+Y207</f>
        <v>0</v>
      </c>
      <c r="Z201" s="198">
        <f t="shared" ref="Z201" si="96">Z202+Z204+Z206+Z207</f>
        <v>0</v>
      </c>
      <c r="AA201" s="198">
        <f t="shared" ref="AA201" si="97">AA202+AA204+AA206+AA207</f>
        <v>0</v>
      </c>
      <c r="AB201" s="387"/>
      <c r="AC201" s="387"/>
      <c r="AD201" s="387"/>
      <c r="AE201" s="387"/>
      <c r="AF201" s="387"/>
      <c r="AG201" s="387"/>
      <c r="AH201" s="55">
        <f t="shared" si="27"/>
        <v>0</v>
      </c>
      <c r="AI201" s="148"/>
      <c r="AJ201" s="656"/>
      <c r="AK201" s="33"/>
      <c r="AL201" s="864"/>
      <c r="AM201" s="14">
        <v>171</v>
      </c>
      <c r="AN201" s="82"/>
      <c r="AO201" s="83"/>
    </row>
    <row r="202" spans="1:41" ht="25.9" hidden="1" thickBot="1" x14ac:dyDescent="0.8">
      <c r="A202" s="868"/>
      <c r="B202" s="195" t="s">
        <v>870</v>
      </c>
      <c r="C202" s="51" t="s">
        <v>907</v>
      </c>
      <c r="D202" s="200"/>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c r="AA202" s="200"/>
      <c r="AB202" s="388"/>
      <c r="AC202" s="388"/>
      <c r="AD202" s="388"/>
      <c r="AE202" s="388"/>
      <c r="AF202" s="388"/>
      <c r="AG202" s="388"/>
      <c r="AH202" s="55">
        <f t="shared" si="27"/>
        <v>0</v>
      </c>
      <c r="AI202" s="32" t="str">
        <f>CONCATENATE(IF(D203&gt;D202," * OPD Sexual Violence Initiated Pep "&amp;$D$20&amp;" "&amp;$D$21&amp;" is more than OPD Sexual Violence Rape Survivors"&amp;CHAR(10),""),IF(E203&gt;E202," * OPD Sexual Violence Initiated Pep "&amp;$D$20&amp;" "&amp;$E$21&amp;" is more than OPD Sexual Violence Rape Survivors"&amp;CHAR(10),""),IF(F203&gt;F202," * OPD Sexual Violence Initiated Pep "&amp;$F$20&amp;" "&amp;$F$21&amp;" is more than OPD Sexual Violence Rape Survivors"&amp;CHAR(10),""),IF(G203&gt;G202," * OPD Sexual Violence Initiated Pep "&amp;$F$20&amp;" "&amp;$G$21&amp;" is more than OPD Sexual Violence Rape Survivors"&amp;CHAR(10),""),IF(H203&gt;H202," * OPD Sexual Violence Initiated Pep "&amp;$H$20&amp;" "&amp;$H$21&amp;" is more than OPD Sexual Violence Rape Survivors"&amp;CHAR(10),""),IF(I203&gt;I202," * OPD Sexual Violence Initiated Pep "&amp;$H$20&amp;" "&amp;$I$21&amp;" is more than OPD Sexual Violence Rape Survivors"&amp;CHAR(10),""),IF(J203&gt;J202," * OPD Sexual Violence Initiated Pep "&amp;$J$20&amp;" "&amp;$J$21&amp;" is more than OPD Sexual Violence Rape Survivors"&amp;CHAR(10),""),IF(K203&gt;K202," * OPD Sexual Violence Initiated Pep "&amp;$J$20&amp;" "&amp;$K$21&amp;" is more than OPD Sexual Violence Rape Survivors"&amp;CHAR(10),""),IF(L203&gt;L202," * OPD Sexual Violence Initiated Pep "&amp;$L$20&amp;" "&amp;$L$21&amp;" is more than OPD Sexual Violence Rape Survivors"&amp;CHAR(10),""),IF(M203&gt;M202," * OPD Sexual Violence Initiated Pep "&amp;$L$20&amp;" "&amp;$M$21&amp;" is more than OPD Sexual Violence Rape Survivors"&amp;CHAR(10),""),IF(N203&gt;N202," * OPD Sexual Violence Initiated Pep "&amp;$N$20&amp;" "&amp;$N$21&amp;" is more than OPD Sexual Violence Rape Survivors"&amp;CHAR(10),""),IF(O203&gt;O202," * OPD Sexual Violence Initiated Pep "&amp;$N$20&amp;" "&amp;$O$21&amp;" is more than OPD Sexual Violence Rape Survivors"&amp;CHAR(10),""),IF(P203&gt;P202," * OPD Sexual Violence Initiated Pep "&amp;$P$20&amp;" "&amp;$P$21&amp;" is more than OPD Sexual Violence Rape Survivors"&amp;CHAR(10),""),IF(Q203&gt;Q202," * OPD Sexual Violence Initiated Pep "&amp;$P$20&amp;" "&amp;$Q$21&amp;" is more than OPD Sexual Violence Rape Survivors"&amp;CHAR(10),""),IF(R203&gt;R202," * OPD Sexual Violence Initiated Pep "&amp;$R$20&amp;" "&amp;$R$21&amp;" is more than OPD Sexual Violence Rape Survivors"&amp;CHAR(10),""),IF(S203&gt;S202," * OPD Sexual Violence Initiated Pep "&amp;$R$20&amp;" "&amp;$S$21&amp;" is more than OPD Sexual Violence Rape Survivors"&amp;CHAR(10),""),IF(T203&gt;T202," * OPD Sexual Violence Initiated Pep "&amp;$T$20&amp;" "&amp;$T$21&amp;" is more than OPD Sexual Violence Rape Survivors"&amp;CHAR(10),""),IF(U203&gt;U202," * OPD Sexual Violence Initiated Pep "&amp;$T$20&amp;" "&amp;$U$21&amp;" is more than OPD Sexual Violence Rape Survivors"&amp;CHAR(10),""),IF(V203&gt;V202," * OPD Sexual Violence Initiated Pep "&amp;$V$20&amp;" "&amp;$V$21&amp;" is more than OPD Sexual Violence Rape Survivors"&amp;CHAR(10),""),IF(W203&gt;W202," * OPD Sexual Violence Initiated Pep "&amp;$V$20&amp;" "&amp;$W$21&amp;" is more than OPD Sexual Violence Rape Survivors"&amp;CHAR(10),""),IF(X203&gt;X202," * OPD Sexual Violence Initiated Pep "&amp;$X$20&amp;" "&amp;$X$21&amp;" is more than OPD Sexual Violence Rape Survivors"&amp;CHAR(10),""),IF(Y203&gt;Y202," * OPD Sexual Violence Initiated Pep "&amp;$X$20&amp;" "&amp;$Y$21&amp;" is more than OPD Sexual Violence Rape Survivors"&amp;CHAR(10),""),IF(Z203&gt;Z202," * OPD Sexual Violence Initiated Pep "&amp;$Z$20&amp;" "&amp;$Z$21&amp;" is more than OPD Sexual Violence Rape Survivors"&amp;CHAR(10),""),IF(AA203&gt;AA202," * OPD Sexual Violence Initiated Pep "&amp;$Z$20&amp;" "&amp;$AA$21&amp;" is more than OPD Sexual Violence Rape Survivors"&amp;CHAR(10),""))</f>
        <v/>
      </c>
      <c r="AJ202" s="656"/>
      <c r="AK202" s="33"/>
      <c r="AL202" s="864"/>
      <c r="AM202" s="14">
        <v>172</v>
      </c>
      <c r="AN202" s="82"/>
      <c r="AO202" s="83"/>
    </row>
    <row r="203" spans="1:41" ht="25.9" hidden="1" thickBot="1" x14ac:dyDescent="0.8">
      <c r="A203" s="868"/>
      <c r="B203" s="195" t="s">
        <v>871</v>
      </c>
      <c r="C203" s="51" t="s">
        <v>908</v>
      </c>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c r="AA203" s="201"/>
      <c r="AB203" s="388"/>
      <c r="AC203" s="388"/>
      <c r="AD203" s="388"/>
      <c r="AE203" s="388"/>
      <c r="AF203" s="388"/>
      <c r="AG203" s="388"/>
      <c r="AH203" s="55">
        <f t="shared" si="27"/>
        <v>0</v>
      </c>
      <c r="AI203" s="148"/>
      <c r="AJ203" s="656"/>
      <c r="AK203" s="33"/>
      <c r="AL203" s="864"/>
      <c r="AM203" s="14">
        <v>173</v>
      </c>
      <c r="AN203" s="82"/>
      <c r="AO203" s="83"/>
    </row>
    <row r="204" spans="1:41" ht="25.9" hidden="1" thickBot="1" x14ac:dyDescent="0.8">
      <c r="A204" s="868"/>
      <c r="B204" s="195" t="s">
        <v>872</v>
      </c>
      <c r="C204" s="51" t="s">
        <v>910</v>
      </c>
      <c r="D204" s="200"/>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c r="AA204" s="200"/>
      <c r="AB204" s="388"/>
      <c r="AC204" s="388"/>
      <c r="AD204" s="388"/>
      <c r="AE204" s="388"/>
      <c r="AF204" s="388"/>
      <c r="AG204" s="388"/>
      <c r="AH204" s="55">
        <f t="shared" si="27"/>
        <v>0</v>
      </c>
      <c r="AI204" s="32" t="str">
        <f>CONCATENATE(IF(D205&gt;D204," * MCH  Physical Violence Initiated Pep "&amp;$D$20&amp;" "&amp;$D$21&amp;" is more than MCH Physical Violence Rape Survivors"&amp;CHAR(10),""),IF(E205&gt;E204," * MCH  Physical Violence Initiated Pep "&amp;$D$20&amp;" "&amp;$E$21&amp;" is more than MCH Physical Violence Rape Survivors"&amp;CHAR(10),""),IF(F205&gt;F204," * MCH  Physical Violence Initiated Pep "&amp;$F$20&amp;" "&amp;$F$21&amp;" is more than MCH Physical Violence Rape Survivors"&amp;CHAR(10),""),IF(G205&gt;G204," * MCH  Physical Violence Initiated Pep "&amp;$F$20&amp;" "&amp;$G$21&amp;" is more than MCH Physical Violence Rape Survivors"&amp;CHAR(10),""),IF(H205&gt;H204," * MCH  Physical Violence Initiated Pep "&amp;$H$20&amp;" "&amp;$H$21&amp;" is more than MCH Physical Violence Rape Survivors"&amp;CHAR(10),""),IF(I205&gt;I204," * MCH  Physical Violence Initiated Pep "&amp;$H$20&amp;" "&amp;$I$21&amp;" is more than MCH Physical Violence Rape Survivors"&amp;CHAR(10),""),IF(J205&gt;J204," * MCH  Physical Violence Initiated Pep "&amp;$J$20&amp;" "&amp;$J$21&amp;" is more than MCH Physical Violence Rape Survivors"&amp;CHAR(10),""),IF(K205&gt;K204," * MCH  Physical Violence Initiated Pep "&amp;$J$20&amp;" "&amp;$K$21&amp;" is more than MCH Physical Violence Rape Survivors"&amp;CHAR(10),""),IF(L205&gt;L204," * MCH  Physical Violence Initiated Pep "&amp;$L$20&amp;" "&amp;$L$21&amp;" is more than MCH Physical Violence Rape Survivors"&amp;CHAR(10),""),IF(M205&gt;M204," * MCH  Physical Violence Initiated Pep "&amp;$L$20&amp;" "&amp;$M$21&amp;" is more than MCH Physical Violence Rape Survivors"&amp;CHAR(10),""),IF(N205&gt;N204," * MCH  Physical Violence Initiated Pep "&amp;$N$20&amp;" "&amp;$N$21&amp;" is more than MCH Physical Violence Rape Survivors"&amp;CHAR(10),""),IF(O205&gt;O204," * MCH  Physical Violence Initiated Pep "&amp;$N$20&amp;" "&amp;$O$21&amp;" is more than MCH Physical Violence Rape Survivors"&amp;CHAR(10),""),IF(P205&gt;P204," * MCH  Physical Violence Initiated Pep "&amp;$P$20&amp;" "&amp;$P$21&amp;" is more than MCH Physical Violence Rape Survivors"&amp;CHAR(10),""),IF(Q205&gt;Q204," * MCH  Physical Violence Initiated Pep "&amp;$P$20&amp;" "&amp;$Q$21&amp;" is more than MCH Physical Violence Rape Survivors"&amp;CHAR(10),""),IF(R205&gt;R204," * MCH  Physical Violence Initiated Pep "&amp;$R$20&amp;" "&amp;$R$21&amp;" is more than MCH Physical Violence Rape Survivors"&amp;CHAR(10),""),IF(S205&gt;S204," * MCH  Physical Violence Initiated Pep "&amp;$R$20&amp;" "&amp;$S$21&amp;" is more than MCH Physical Violence Rape Survivors"&amp;CHAR(10),""),IF(T205&gt;T204," * MCH  Physical Violence Initiated Pep "&amp;$T$20&amp;" "&amp;$T$21&amp;" is more than MCH Physical Violence Rape Survivors"&amp;CHAR(10),""),IF(U205&gt;U204," * MCH  Physical Violence Initiated Pep "&amp;$T$20&amp;" "&amp;$U$21&amp;" is more than MCH Physical Violence Rape Survivors"&amp;CHAR(10),""),IF(V205&gt;V204," * MCH  Physical Violence Initiated Pep "&amp;$V$20&amp;" "&amp;$V$21&amp;" is more than MCH Physical Violence Rape Survivors"&amp;CHAR(10),""),IF(W205&gt;W204," * MCH  Physical Violence Initiated Pep "&amp;$V$20&amp;" "&amp;$W$21&amp;" is more than MCH Physical Violence Rape Survivors"&amp;CHAR(10),""),IF(X205&gt;X204," * MCH  Physical Violence Initiated Pep "&amp;$X$20&amp;" "&amp;$X$21&amp;" is more than MCH Physical Violence Rape Survivors"&amp;CHAR(10),""),IF(Y205&gt;Y204," * MCH  Physical Violence Initiated Pep "&amp;$X$20&amp;" "&amp;$Y$21&amp;" is more than MCH Physical Violence Rape Survivors"&amp;CHAR(10),""),IF(Z205&gt;Z204," * MCH  Physical Violence Initiated Pep "&amp;$Z$20&amp;" "&amp;$Z$21&amp;" is more than MCH Physical Violence Rape Survivors"&amp;CHAR(10),""),IF(AA205&gt;AA204," * MCH  Physical Violence Initiated Pep "&amp;$Z$20&amp;" "&amp;$AA$21&amp;" is more than MCH Physical Violence Rape Survivors"&amp;CHAR(10),""))</f>
        <v/>
      </c>
      <c r="AJ204" s="656"/>
      <c r="AK204" s="33"/>
      <c r="AL204" s="864"/>
      <c r="AM204" s="14">
        <v>174</v>
      </c>
      <c r="AN204" s="82"/>
      <c r="AO204" s="83"/>
    </row>
    <row r="205" spans="1:41" ht="25.9" hidden="1" thickBot="1" x14ac:dyDescent="0.8">
      <c r="A205" s="868"/>
      <c r="B205" s="195" t="s">
        <v>873</v>
      </c>
      <c r="C205" s="51" t="s">
        <v>911</v>
      </c>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c r="AA205" s="201"/>
      <c r="AB205" s="388"/>
      <c r="AC205" s="388"/>
      <c r="AD205" s="388"/>
      <c r="AE205" s="388"/>
      <c r="AF205" s="388"/>
      <c r="AG205" s="388"/>
      <c r="AH205" s="55">
        <f t="shared" si="27"/>
        <v>0</v>
      </c>
      <c r="AI205" s="148"/>
      <c r="AJ205" s="656"/>
      <c r="AK205" s="33"/>
      <c r="AL205" s="864"/>
      <c r="AM205" s="14">
        <v>175</v>
      </c>
      <c r="AN205" s="82"/>
      <c r="AO205" s="83"/>
    </row>
    <row r="206" spans="1:41" ht="25.9" hidden="1" thickBot="1" x14ac:dyDescent="0.8">
      <c r="A206" s="868"/>
      <c r="B206" s="195" t="s">
        <v>874</v>
      </c>
      <c r="C206" s="51" t="s">
        <v>912</v>
      </c>
      <c r="D206" s="202"/>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c r="AA206" s="203"/>
      <c r="AB206" s="388"/>
      <c r="AC206" s="388"/>
      <c r="AD206" s="388"/>
      <c r="AE206" s="388"/>
      <c r="AF206" s="388"/>
      <c r="AG206" s="388"/>
      <c r="AH206" s="55">
        <f t="shared" si="27"/>
        <v>0</v>
      </c>
      <c r="AI206" s="148"/>
      <c r="AJ206" s="656"/>
      <c r="AK206" s="33"/>
      <c r="AL206" s="864"/>
      <c r="AM206" s="14">
        <v>176</v>
      </c>
      <c r="AN206" s="82"/>
      <c r="AO206" s="83"/>
    </row>
    <row r="207" spans="1:41" ht="25.9" hidden="1" thickBot="1" x14ac:dyDescent="0.8">
      <c r="A207" s="869"/>
      <c r="B207" s="209" t="s">
        <v>909</v>
      </c>
      <c r="C207" s="51" t="s">
        <v>913</v>
      </c>
      <c r="D207" s="205"/>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c r="AA207" s="207"/>
      <c r="AB207" s="388"/>
      <c r="AC207" s="388"/>
      <c r="AD207" s="388"/>
      <c r="AE207" s="388"/>
      <c r="AF207" s="388"/>
      <c r="AG207" s="388"/>
      <c r="AH207" s="210">
        <f t="shared" si="27"/>
        <v>0</v>
      </c>
      <c r="AI207" s="148"/>
      <c r="AJ207" s="681"/>
      <c r="AK207" s="33"/>
      <c r="AL207" s="864"/>
      <c r="AM207" s="14">
        <v>177</v>
      </c>
      <c r="AN207" s="82"/>
      <c r="AO207" s="83"/>
    </row>
    <row r="208" spans="1:41" ht="25.5" x14ac:dyDescent="0.75">
      <c r="A208" s="770" t="s">
        <v>968</v>
      </c>
      <c r="B208" s="211" t="s">
        <v>967</v>
      </c>
      <c r="C208" s="77" t="s">
        <v>185</v>
      </c>
      <c r="D208" s="212"/>
      <c r="E208" s="213"/>
      <c r="F208" s="213"/>
      <c r="G208" s="213"/>
      <c r="H208" s="213"/>
      <c r="I208" s="213"/>
      <c r="J208" s="213"/>
      <c r="K208" s="213"/>
      <c r="L208" s="213"/>
      <c r="M208" s="213"/>
      <c r="N208" s="213"/>
      <c r="O208" s="213"/>
      <c r="P208" s="213"/>
      <c r="Q208" s="213"/>
      <c r="R208" s="213"/>
      <c r="S208" s="213"/>
      <c r="T208" s="213"/>
      <c r="U208" s="213"/>
      <c r="V208" s="213"/>
      <c r="W208" s="213"/>
      <c r="X208" s="213"/>
      <c r="Y208" s="213"/>
      <c r="Z208" s="213"/>
      <c r="AA208" s="442"/>
      <c r="AB208" s="432"/>
      <c r="AC208" s="433"/>
      <c r="AD208" s="433"/>
      <c r="AE208" s="433"/>
      <c r="AF208" s="433"/>
      <c r="AG208" s="360"/>
      <c r="AH208" s="214">
        <f>SUM(D208:AA208)</f>
        <v>0</v>
      </c>
      <c r="AI208" s="148" t="str">
        <f>CONCATENATE(IF(D209&gt;D208," * Initiated Pep for Age "&amp;D20&amp;" "&amp;D21&amp;" is more than Rape survivors"&amp;CHAR(10),""),IF(E209&gt;E208," * Initiated Pep for Age "&amp;D20&amp;" "&amp;E21&amp;" is more than Rape survivors"&amp;CHAR(10),""),IF(F209&gt;F208," * Initiated Pep for Age "&amp;F20&amp;" "&amp;F21&amp;" is more than Rape survivors"&amp;CHAR(10),""),IF(G209&gt;G208," * Initiated Pep for Age "&amp;F20&amp;" "&amp;G21&amp;" is more than Rape survivors"&amp;CHAR(10),""),IF(H209&gt;H208," * Initiated Pep for Age "&amp;H20&amp;" "&amp;H21&amp;" is more than Rape survivors"&amp;CHAR(10),""),IF(I209&gt;I208," * Initiated Pep for Age "&amp;H20&amp;" "&amp;I21&amp;" is more than Rape survivors"&amp;CHAR(10),""),IF(J209&gt;J208," * Initiated Pep for Age "&amp;J20&amp;" "&amp;J21&amp;" is more than Rape survivors"&amp;CHAR(10),""),IF(K209&gt;K208," * Initiated Pep for Age "&amp;J20&amp;" "&amp;K21&amp;" is more than Rape survivors"&amp;CHAR(10),""),IF(L209&gt;L208," * Initiated Pep for Age "&amp;L20&amp;" "&amp;L21&amp;" is more than Rape survivors"&amp;CHAR(10),""),IF(M209&gt;M208," * Initiated Pep for Age "&amp;L20&amp;" "&amp;M21&amp;" is more than Rape survivors"&amp;CHAR(10),""),IF(N209&gt;N208," * Initiated Pep for Age "&amp;N20&amp;" "&amp;N21&amp;" is more than Rape survivors"&amp;CHAR(10),""),IF(O209&gt;O208," * Initiated Pep for Age "&amp;N20&amp;" "&amp;O21&amp;" is more than Rape survivors"&amp;CHAR(10),""),IF(P209&gt;P208," * Initiated Pep for Age "&amp;P20&amp;" "&amp;P21&amp;" is more than Rape survivors"&amp;CHAR(10),""),IF(Q209&gt;Q208," * Initiated Pep for Age "&amp;P20&amp;" "&amp;Q21&amp;" is more than Rape survivors"&amp;CHAR(10),""),IF(R209&gt;R208," * Initiated Pep for Age "&amp;R20&amp;" "&amp;R21&amp;" is more than Rape survivors"&amp;CHAR(10),""),IF(S209&gt;S208," * Initiated Pep for Age "&amp;R20&amp;" "&amp;S21&amp;" is more than Rape survivors"&amp;CHAR(10),""),IF(T209&gt;T208," * Initiated Pep for Age "&amp;T20&amp;" "&amp;T21&amp;" is more than Rape survivors"&amp;CHAR(10),""),IF(U209&gt;U208," * Initiated Pep for Age "&amp;T20&amp;" "&amp;U21&amp;" is more than Rape survivors"&amp;CHAR(10),""),IF(V209&gt;V208," * Initiated Pep for Age "&amp;V20&amp;" "&amp;V21&amp;" is more than Rape survivors"&amp;CHAR(10),""),IF(W209&gt;W208," * Initiated Pep for Age "&amp;V20&amp;" "&amp;W21&amp;" is more than Rape survivors"&amp;CHAR(10),""),IF(X209&gt;X208," * Initiated Pep for Age "&amp;X20&amp;" "&amp;X21&amp;" is more than Rape survivors"&amp;CHAR(10),""),IF(Y209&gt;Y208," * Initiated Pep for Age "&amp;X20&amp;" "&amp;Y21&amp;" is more than Rape survivors"&amp;CHAR(10),""),IF(Z209&gt;Z208," * Initiated Pep for Age "&amp;Z20&amp;" "&amp;Z21&amp;" is more than Rape survivors"&amp;CHAR(10),""),IF(AA209&gt;AA208," * Initiated Pep for Age "&amp;Z20&amp;" "&amp;AA21&amp;" is more than Rape survivors"&amp;CHAR(10),""))</f>
        <v/>
      </c>
      <c r="AJ208" s="682" t="str">
        <f>CONCATENATE(AI172,AI210,AI211,AI212,AI213,AI215,AI217,AI219,AI221,AI222,AI209,AI214,AI208)</f>
        <v/>
      </c>
      <c r="AK208" s="33"/>
      <c r="AL208" s="864"/>
      <c r="AM208" s="14">
        <v>178</v>
      </c>
      <c r="AN208" s="82"/>
      <c r="AO208" s="83"/>
    </row>
    <row r="209" spans="1:41" ht="25.9" thickBot="1" x14ac:dyDescent="0.8">
      <c r="A209" s="771"/>
      <c r="B209" s="215" t="s">
        <v>926</v>
      </c>
      <c r="C209" s="153" t="s">
        <v>184</v>
      </c>
      <c r="D209" s="216"/>
      <c r="E209" s="217"/>
      <c r="F209" s="217"/>
      <c r="G209" s="217"/>
      <c r="H209" s="217"/>
      <c r="I209" s="217"/>
      <c r="J209" s="217"/>
      <c r="K209" s="217"/>
      <c r="L209" s="217"/>
      <c r="M209" s="217"/>
      <c r="N209" s="217"/>
      <c r="O209" s="217"/>
      <c r="P209" s="217"/>
      <c r="Q209" s="217"/>
      <c r="R209" s="217"/>
      <c r="S209" s="217"/>
      <c r="T209" s="217"/>
      <c r="U209" s="217"/>
      <c r="V209" s="217"/>
      <c r="W209" s="217"/>
      <c r="X209" s="217"/>
      <c r="Y209" s="217"/>
      <c r="Z209" s="217"/>
      <c r="AA209" s="443"/>
      <c r="AB209" s="434"/>
      <c r="AC209" s="401"/>
      <c r="AD209" s="401"/>
      <c r="AE209" s="401"/>
      <c r="AF209" s="401"/>
      <c r="AG209" s="357"/>
      <c r="AH209" s="218">
        <f t="shared" ref="AH209:AH222" si="98">SUM(D209:AA209)</f>
        <v>0</v>
      </c>
      <c r="AI209" s="148"/>
      <c r="AJ209" s="683"/>
      <c r="AK209" s="33"/>
      <c r="AL209" s="864"/>
      <c r="AM209" s="14">
        <v>179</v>
      </c>
      <c r="AN209" s="82"/>
      <c r="AO209" s="83"/>
    </row>
    <row r="210" spans="1:41" ht="25.9" thickBot="1" x14ac:dyDescent="0.8">
      <c r="A210" s="636" t="s">
        <v>969</v>
      </c>
      <c r="B210" s="211" t="s">
        <v>679</v>
      </c>
      <c r="C210" s="153" t="s">
        <v>251</v>
      </c>
      <c r="D210" s="219"/>
      <c r="E210" s="220"/>
      <c r="F210" s="220"/>
      <c r="G210" s="220"/>
      <c r="H210" s="220"/>
      <c r="I210" s="220"/>
      <c r="J210" s="220"/>
      <c r="K210" s="220"/>
      <c r="L210" s="220"/>
      <c r="M210" s="220"/>
      <c r="N210" s="220"/>
      <c r="O210" s="220"/>
      <c r="P210" s="220"/>
      <c r="Q210" s="220"/>
      <c r="R210" s="220"/>
      <c r="S210" s="220"/>
      <c r="T210" s="220"/>
      <c r="U210" s="220"/>
      <c r="V210" s="220"/>
      <c r="W210" s="220"/>
      <c r="X210" s="220"/>
      <c r="Y210" s="220"/>
      <c r="Z210" s="220"/>
      <c r="AA210" s="392"/>
      <c r="AB210" s="434"/>
      <c r="AC210" s="401"/>
      <c r="AD210" s="401"/>
      <c r="AE210" s="401"/>
      <c r="AF210" s="401"/>
      <c r="AG210" s="357"/>
      <c r="AH210" s="444">
        <f>SUM(D210:AA210)</f>
        <v>0</v>
      </c>
      <c r="AI210" s="130" t="str">
        <f>CONCATENATE(IF(D211&gt;D210," * Initiated Pep for Age "&amp;D19&amp;" "&amp;D20&amp;" is more than No of Clients"&amp;CHAR(10),""),IF(E211&gt;E210," * Initiated Pep for Age "&amp;D19&amp;" "&amp;E20&amp;" is more than No of Clients"&amp;CHAR(10),""),IF(F211&gt;F210," * Initiated Pep for Age "&amp;F19&amp;" "&amp;F20&amp;" is more than No of Clients"&amp;CHAR(10),""),IF(G211&gt;G210," * Initiated Pep for Age "&amp;F19&amp;" "&amp;G20&amp;" is more than No of Clients"&amp;CHAR(10),""),IF(H211&gt;H210," * Initiated Pep for Age "&amp;H19&amp;" "&amp;H20&amp;" is more than No of Clients"&amp;CHAR(10),""),IF(I211&gt;I210," * Initiated Pep for Age "&amp;H19&amp;" "&amp;I20&amp;" is more than No of Clients"&amp;CHAR(10),""),IF(J211&gt;J210," * Initiated Pep for Age "&amp;J19&amp;" "&amp;J20&amp;" is more than No of Clients"&amp;CHAR(10),""),IF(K211&gt;K210," * Initiated Pep for Age "&amp;J19&amp;" "&amp;K20&amp;" is more than No of Clients"&amp;CHAR(10),""),IF(L211&gt;L210," * Initiated Pep for Age "&amp;L19&amp;" "&amp;L20&amp;" is more than No of Clients"&amp;CHAR(10),""),IF(M211&gt;M210," * Initiated Pep for Age "&amp;L19&amp;" "&amp;M20&amp;" is more than No of Clients"&amp;CHAR(10),""),IF(N211&gt;N210," * Initiated Pep for Age "&amp;N19&amp;" "&amp;N20&amp;" is more than No of Clients"&amp;CHAR(10),""),IF(O211&gt;O210," * Initiated Pep for Age "&amp;N19&amp;" "&amp;O20&amp;" is more than No of Clients"&amp;CHAR(10),""),IF(P211&gt;P210," * Initiated Pep for Age "&amp;P19&amp;" "&amp;P20&amp;" is more than No of Clients"&amp;CHAR(10),""),IF(Q211&gt;Q210," * Initiated Pep for Age "&amp;P19&amp;" "&amp;Q20&amp;" is more than No of Clients"&amp;CHAR(10),""),IF(R211&gt;R210," * Initiated Pep for Age "&amp;R19&amp;" "&amp;R20&amp;" is more than No of Clients"&amp;CHAR(10),""),IF(S211&gt;S210," * Initiated Pep for Age "&amp;R19&amp;" "&amp;S20&amp;" is more than No of Clients"&amp;CHAR(10),""),IF(T211&gt;T210," * Initiated Pep for Age "&amp;T19&amp;" "&amp;T20&amp;" is more than No of Clients"&amp;CHAR(10),""),IF(U211&gt;U210," * Initiated Pep for Age "&amp;T19&amp;" "&amp;U20&amp;" is more than No of Clients"&amp;CHAR(10),""),IF(V211&gt;V210," * Initiated Pep for Age "&amp;V19&amp;" "&amp;V20&amp;" is more than No of Clients"&amp;CHAR(10),""),IF(W211&gt;W210," * Initiated Pep for Age "&amp;V19&amp;" "&amp;W20&amp;" is more than No of Clients"&amp;CHAR(10),""),IF(X211&gt;X210," * Initiated Pep for Age "&amp;X19&amp;" "&amp;X20&amp;" is more than No of Clients"&amp;CHAR(10),""),IF(Y211&gt;Y210," * Initiated Pep for Age "&amp;X19&amp;" "&amp;Y20&amp;" is more than No of Clients"&amp;CHAR(10),""),IF(Z211&gt;Z210," * Initiated Pep for Age "&amp;Z19&amp;" "&amp;Z20&amp;" is more than No of Clients"&amp;CHAR(10),""),IF(AA211&gt;AA210," * Initiated Pep for Age "&amp;Z19&amp;" "&amp;AA20&amp;" is more than No of Clients"&amp;CHAR(10),""))</f>
        <v/>
      </c>
      <c r="AJ210" s="683"/>
      <c r="AK210" s="33"/>
      <c r="AL210" s="864"/>
      <c r="AM210" s="14">
        <v>180</v>
      </c>
      <c r="AN210" s="82"/>
      <c r="AO210" s="83"/>
    </row>
    <row r="211" spans="1:41" ht="25.9" hidden="1" thickBot="1" x14ac:dyDescent="0.8">
      <c r="A211" s="637"/>
      <c r="B211" s="215" t="s">
        <v>678</v>
      </c>
      <c r="C211" s="221" t="s">
        <v>255</v>
      </c>
      <c r="D211" s="222"/>
      <c r="E211" s="223"/>
      <c r="F211" s="223"/>
      <c r="G211" s="223"/>
      <c r="H211" s="223"/>
      <c r="I211" s="223"/>
      <c r="J211" s="223"/>
      <c r="K211" s="223"/>
      <c r="L211" s="223"/>
      <c r="M211" s="223"/>
      <c r="N211" s="223"/>
      <c r="O211" s="223"/>
      <c r="P211" s="223"/>
      <c r="Q211" s="223"/>
      <c r="R211" s="223"/>
      <c r="S211" s="223"/>
      <c r="T211" s="223"/>
      <c r="U211" s="223"/>
      <c r="V211" s="223"/>
      <c r="W211" s="223"/>
      <c r="X211" s="223"/>
      <c r="Y211" s="223"/>
      <c r="Z211" s="223"/>
      <c r="AA211" s="391"/>
      <c r="AB211" s="434"/>
      <c r="AC211" s="401"/>
      <c r="AD211" s="401"/>
      <c r="AE211" s="401"/>
      <c r="AF211" s="401"/>
      <c r="AG211" s="357"/>
      <c r="AH211" s="60">
        <f t="shared" si="98"/>
        <v>0</v>
      </c>
      <c r="AI211" s="130"/>
      <c r="AJ211" s="683"/>
      <c r="AK211" s="33"/>
      <c r="AL211" s="864"/>
      <c r="AM211" s="14">
        <v>181</v>
      </c>
      <c r="AN211" s="82"/>
      <c r="AO211" s="83"/>
    </row>
    <row r="212" spans="1:41" s="15" customFormat="1" ht="25.5" x14ac:dyDescent="0.75">
      <c r="A212" s="663" t="s">
        <v>26</v>
      </c>
      <c r="B212" s="157" t="s">
        <v>680</v>
      </c>
      <c r="C212" s="153" t="s">
        <v>256</v>
      </c>
      <c r="D212" s="224"/>
      <c r="E212" s="224"/>
      <c r="F212" s="224"/>
      <c r="G212" s="224"/>
      <c r="H212" s="224"/>
      <c r="I212" s="224"/>
      <c r="J212" s="224"/>
      <c r="K212" s="224"/>
      <c r="L212" s="224"/>
      <c r="M212" s="224"/>
      <c r="N212" s="224"/>
      <c r="O212" s="224"/>
      <c r="P212" s="224"/>
      <c r="Q212" s="224"/>
      <c r="R212" s="224"/>
      <c r="S212" s="224"/>
      <c r="T212" s="224"/>
      <c r="U212" s="224"/>
      <c r="V212" s="224"/>
      <c r="W212" s="224"/>
      <c r="X212" s="224"/>
      <c r="Y212" s="224"/>
      <c r="Z212" s="224"/>
      <c r="AA212" s="393"/>
      <c r="AB212" s="434"/>
      <c r="AC212" s="401"/>
      <c r="AD212" s="401"/>
      <c r="AE212" s="401"/>
      <c r="AF212" s="401"/>
      <c r="AG212" s="357"/>
      <c r="AH212" s="55">
        <f t="shared" si="98"/>
        <v>0</v>
      </c>
      <c r="AI212" s="130" t="str">
        <f>CONCATENATE(IF(D212&gt;D208," * Total Rape Survivors for Age "&amp;D20&amp;" "&amp;D21&amp;" is less than Screened For STI"&amp;CHAR(10),""),IF(E212&gt;E208," * Total Rape Survivors for Age "&amp;D20&amp;" "&amp;E21&amp;" is less than Screened For STI"&amp;CHAR(10),""),IF(F212&gt;F208," * Total Rape Survivors for Age "&amp;F20&amp;" "&amp;F21&amp;" is less than Screened For STI"&amp;CHAR(10),""),IF(G212&gt;G208," * Total Rape Survivors for Age "&amp;F20&amp;" "&amp;G21&amp;" is less than Screened For STI"&amp;CHAR(10),""),IF(H212&gt;H208," * Total Rape Survivors for Age "&amp;H20&amp;" "&amp;H21&amp;" is less than Screened For STI"&amp;CHAR(10),""),IF(I212&gt;I208," * Total Rape Survivors for Age "&amp;H20&amp;" "&amp;I21&amp;" is less than Screened For STI"&amp;CHAR(10),""),IF(J212&gt;J208," * Total Rape Survivors for Age "&amp;J20&amp;" "&amp;J21&amp;" is less than Screened For STI"&amp;CHAR(10),""),IF(K212&gt;K208," * Total Rape Survivors for Age "&amp;J20&amp;" "&amp;K21&amp;" is less than Screened For STI"&amp;CHAR(10),""),IF(L212&gt;L208," * Total Rape Survivors for Age "&amp;L20&amp;" "&amp;L21&amp;" is less than Screened For STI"&amp;CHAR(10),""),IF(M212&gt;M208," * Total Rape Survivors for Age "&amp;L20&amp;" "&amp;M21&amp;" is less than Screened For STI"&amp;CHAR(10),""),IF(N212&gt;N208," * Total Rape Survivors for Age "&amp;N20&amp;" "&amp;N21&amp;" is less than Screened For STI"&amp;CHAR(10),""),IF(O212&gt;O208," * Total Rape Survivors for Age "&amp;N20&amp;" "&amp;O21&amp;" is less than Screened For STI"&amp;CHAR(10),""),IF(P212&gt;P208," * Total Rape Survivors for Age "&amp;P20&amp;" "&amp;P21&amp;" is less than Screened For STI"&amp;CHAR(10),""),IF(Q212&gt;Q208," * Total Rape Survivors for Age "&amp;P20&amp;" "&amp;Q21&amp;" is less than Screened For STI"&amp;CHAR(10),""),IF(R212&gt;R208," * Total Rape Survivors for Age "&amp;R20&amp;" "&amp;R21&amp;" is less than Screened For STI"&amp;CHAR(10),""),IF(S212&gt;S208," * Total Rape Survivors for Age "&amp;R20&amp;" "&amp;S21&amp;" is less than Screened For STI"&amp;CHAR(10),""),IF(T212&gt;T208," * Total Rape Survivors for Age "&amp;T20&amp;" "&amp;T21&amp;" is less than Screened For STI"&amp;CHAR(10),""),IF(U212&gt;U208," * Total Rape Survivors for Age "&amp;T20&amp;" "&amp;U21&amp;" is less than Screened For STI"&amp;CHAR(10),""),IF(V212&gt;V208," * Total Rape Survivors for Age "&amp;V20&amp;" "&amp;V21&amp;" is less than Screened For STI"&amp;CHAR(10),""),IF(W212&gt;W208," * Total Rape Survivors for Age "&amp;V20&amp;" "&amp;W21&amp;" is less than Screened For STI"&amp;CHAR(10),""),IF(X212&gt;X208," * Total Rape Survivors for Age "&amp;X20&amp;" "&amp;X21&amp;" is less than Screened For STI"&amp;CHAR(10),""),IF(Y212&gt;Y208," * Total Rape Survivors for Age "&amp;X20&amp;" "&amp;Y21&amp;" is less than Screened For STI"&amp;CHAR(10),""),IF(Z212&gt;Z208," * Total Rape Survivors for Age "&amp;Z20&amp;" "&amp;Z21&amp;" is less than Screened For STI"&amp;CHAR(10),""),IF(AA212&gt;AA208," * Total Rape Survivors for Age "&amp;Z20&amp;" "&amp;AA21&amp;" is less than Screened For STI"&amp;CHAR(10),""),IF(AH212&gt;AH208," * Total Total Rape Survivors is less than Total Screened For STI"&amp;CHAR(10),""))</f>
        <v/>
      </c>
      <c r="AJ212" s="683"/>
      <c r="AK212" s="33"/>
      <c r="AL212" s="864"/>
      <c r="AM212" s="14">
        <v>182</v>
      </c>
      <c r="AN212" s="82"/>
      <c r="AO212" s="171"/>
    </row>
    <row r="213" spans="1:41" s="15" customFormat="1" ht="25.5" x14ac:dyDescent="0.75">
      <c r="A213" s="664"/>
      <c r="B213" s="225" t="s">
        <v>681</v>
      </c>
      <c r="C213" s="85" t="s">
        <v>257</v>
      </c>
      <c r="D213" s="226"/>
      <c r="E213" s="227"/>
      <c r="F213" s="227"/>
      <c r="G213" s="227"/>
      <c r="H213" s="227"/>
      <c r="I213" s="227"/>
      <c r="J213" s="227"/>
      <c r="K213" s="227"/>
      <c r="L213" s="227"/>
      <c r="M213" s="227"/>
      <c r="N213" s="227"/>
      <c r="O213" s="227"/>
      <c r="P213" s="227"/>
      <c r="Q213" s="227"/>
      <c r="R213" s="227"/>
      <c r="S213" s="227"/>
      <c r="T213" s="227"/>
      <c r="U213" s="227"/>
      <c r="V213" s="227"/>
      <c r="W213" s="227"/>
      <c r="X213" s="227"/>
      <c r="Y213" s="227"/>
      <c r="Z213" s="227"/>
      <c r="AA213" s="394"/>
      <c r="AB213" s="434"/>
      <c r="AC213" s="401"/>
      <c r="AD213" s="401"/>
      <c r="AE213" s="401"/>
      <c r="AF213" s="401"/>
      <c r="AG213" s="357"/>
      <c r="AH213" s="199">
        <f t="shared" si="98"/>
        <v>0</v>
      </c>
      <c r="AI213" s="148" t="str">
        <f>CONCATENATE(IF(D213&gt;D212," * Screened For STI for Age "&amp;D20&amp;" "&amp;D21&amp;" is more than Tested For STI"&amp;CHAR(10),""),IF(E213&gt;E212," * Screened For STI for Age "&amp;D20&amp;" "&amp;E21&amp;" is more than Tested For STI"&amp;CHAR(10),""),IF(F213&gt;F212," * Screened For STI for Age "&amp;F20&amp;" "&amp;F21&amp;" is more than Tested For STI"&amp;CHAR(10),""),IF(G213&gt;G212," * Screened For STI for Age "&amp;F20&amp;" "&amp;G21&amp;" is more than Tested For STI"&amp;CHAR(10),""),IF(H213&gt;H212," * Screened For STI for Age "&amp;H20&amp;" "&amp;H21&amp;" is more than Tested For STI"&amp;CHAR(10),""),IF(I213&gt;I212," * Screened For STI for Age "&amp;H20&amp;" "&amp;I21&amp;" is more than Tested For STI"&amp;CHAR(10),""),IF(J213&gt;J212," * Screened For STI for Age "&amp;J20&amp;" "&amp;J21&amp;" is more than Tested For STI"&amp;CHAR(10),""),IF(K213&gt;K212," * Screened For STI for Age "&amp;J20&amp;" "&amp;K21&amp;" is more than Tested For STI"&amp;CHAR(10),""),IF(L213&gt;L212," * Screened For STI for Age "&amp;L20&amp;" "&amp;L21&amp;" is more than Tested For STI"&amp;CHAR(10),""),IF(M213&gt;M212," * Screened For STI for Age "&amp;L20&amp;" "&amp;M21&amp;" is more than Tested For STI"&amp;CHAR(10),""),IF(N213&gt;N212," * Screened For STI for Age "&amp;N20&amp;" "&amp;N21&amp;" is more than Tested For STI"&amp;CHAR(10),""),IF(O213&gt;O212," * Screened For STI for Age "&amp;N20&amp;" "&amp;O21&amp;" is more than Tested For STI"&amp;CHAR(10),""),IF(P213&gt;P212," * Screened For STI for Age "&amp;P20&amp;" "&amp;P21&amp;" is more than Tested For STI"&amp;CHAR(10),""),IF(Q213&gt;Q212," * Screened For STI for Age "&amp;P20&amp;" "&amp;Q21&amp;" is more than Tested For STI"&amp;CHAR(10),""),IF(R213&gt;R212," * Screened For STI for Age "&amp;R20&amp;" "&amp;R21&amp;" is more than Tested For STI"&amp;CHAR(10),""),IF(S213&gt;S212," * Screened For STI for Age "&amp;R20&amp;" "&amp;S21&amp;" is more than Tested For STI"&amp;CHAR(10),""),IF(T213&gt;T212," * Screened For STI for Age "&amp;T20&amp;" "&amp;T21&amp;" is more than Tested For STI"&amp;CHAR(10),""),IF(U213&gt;U212," * Screened For STI for Age "&amp;T20&amp;" "&amp;U21&amp;" is more than Tested For STI"&amp;CHAR(10),""),IF(V213&gt;V212," * Screened For STI for Age "&amp;V20&amp;" "&amp;V21&amp;" is more than Tested For STI"&amp;CHAR(10),""),IF(W213&gt;W212," * Screened For STI for Age "&amp;V20&amp;" "&amp;W21&amp;" is more than Tested For STI"&amp;CHAR(10),""),IF(X213&gt;X212," * Screened For STI for Age "&amp;X20&amp;" "&amp;X21&amp;" is more than Tested For STI"&amp;CHAR(10),""),IF(Y213&gt;Y212," * Screened For STI for Age "&amp;X20&amp;" "&amp;Y21&amp;" is more than Tested For STI"&amp;CHAR(10),""),IF(Z213&gt;Z212," * Screened For STI for Age "&amp;Z20&amp;" "&amp;Z21&amp;" is more than Tested For STI"&amp;CHAR(10),""),IF(AA213&gt;AA212," * Screened For STI for Age "&amp;AA20&amp;" "&amp;AA21&amp;" is more than Tested For STI"&amp;CHAR(10),""))</f>
        <v/>
      </c>
      <c r="AJ213" s="683"/>
      <c r="AK213" s="33"/>
      <c r="AL213" s="864"/>
      <c r="AM213" s="14">
        <v>183</v>
      </c>
      <c r="AN213" s="82"/>
      <c r="AO213" s="171"/>
    </row>
    <row r="214" spans="1:41" s="15" customFormat="1" ht="25.5" x14ac:dyDescent="0.75">
      <c r="A214" s="664"/>
      <c r="B214" s="225" t="s">
        <v>682</v>
      </c>
      <c r="C214" s="85" t="s">
        <v>258</v>
      </c>
      <c r="D214" s="228"/>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c r="AA214" s="375"/>
      <c r="AB214" s="434"/>
      <c r="AC214" s="401"/>
      <c r="AD214" s="401"/>
      <c r="AE214" s="401"/>
      <c r="AF214" s="401"/>
      <c r="AG214" s="357"/>
      <c r="AH214" s="199">
        <f t="shared" si="98"/>
        <v>0</v>
      </c>
      <c r="AI214" s="148" t="str">
        <f>CONCATENATE(IF(D214&gt;D213," * F05-07 for Age "&amp;D20&amp;" "&amp;D21&amp;" is more than F05-06"&amp;CHAR(10),""),IF(E214&gt;E213," * F05-07 for Age "&amp;D20&amp;" "&amp;E21&amp;" is more than F05-06"&amp;CHAR(10),""),IF(F214&gt;F213," * F05-07 for Age "&amp;F20&amp;" "&amp;F21&amp;" is more than F05-06"&amp;CHAR(10),""),IF(G214&gt;G213," * F05-07 for Age "&amp;F20&amp;" "&amp;G21&amp;" is more than F05-06"&amp;CHAR(10),""),IF(H214&gt;H213," * F05-07 for Age "&amp;H20&amp;" "&amp;H21&amp;" is more than F05-06"&amp;CHAR(10),""),IF(I214&gt;I213," * F05-07 for Age "&amp;H20&amp;" "&amp;I21&amp;" is more than F05-06"&amp;CHAR(10),""),IF(J214&gt;J213," * F05-07 for Age "&amp;J20&amp;" "&amp;J21&amp;" is more than F05-06"&amp;CHAR(10),""),IF(K214&gt;K213," * F05-07 for Age "&amp;J20&amp;" "&amp;K21&amp;" is more than F05-06"&amp;CHAR(10),""),IF(L214&gt;L213," * F05-07 for Age "&amp;L20&amp;" "&amp;L21&amp;" is more than F05-06"&amp;CHAR(10),""),IF(M214&gt;M213," * F05-07 for Age "&amp;L20&amp;" "&amp;M21&amp;" is more than F05-06"&amp;CHAR(10),""),IF(N214&gt;N213," * F05-07 for Age "&amp;N20&amp;" "&amp;N21&amp;" is more than F05-06"&amp;CHAR(10),""),IF(O214&gt;O213," * F05-07 for Age "&amp;N20&amp;" "&amp;O21&amp;" is more than F05-06"&amp;CHAR(10),""),IF(P214&gt;P213," * F05-07 for Age "&amp;P20&amp;" "&amp;P21&amp;" is more than F05-06"&amp;CHAR(10),""),IF(Q214&gt;Q213," * F05-07 for Age "&amp;P20&amp;" "&amp;Q21&amp;" is more than F05-06"&amp;CHAR(10),""),IF(R214&gt;R213," * F05-07 for Age "&amp;R20&amp;" "&amp;R21&amp;" is more than F05-06"&amp;CHAR(10),""),IF(S214&gt;S213," * F05-07 for Age "&amp;R20&amp;" "&amp;S21&amp;" is more than F05-06"&amp;CHAR(10),""),IF(T214&gt;T213," * F05-07 for Age "&amp;T20&amp;" "&amp;T21&amp;" is more than F05-06"&amp;CHAR(10),""),IF(U214&gt;U213," * F05-07 for Age "&amp;T20&amp;" "&amp;U21&amp;" is more than F05-06"&amp;CHAR(10),""),IF(V214&gt;V213," * F05-07 for Age "&amp;V20&amp;" "&amp;V21&amp;" is more than F05-06"&amp;CHAR(10),""),IF(W214&gt;W213," * F05-07 for Age "&amp;V20&amp;" "&amp;W21&amp;" is more than F05-06"&amp;CHAR(10),""),IF(X214&gt;X213," * F05-07 for Age "&amp;X20&amp;" "&amp;X21&amp;" is more than F05-06"&amp;CHAR(10),""),IF(Y214&gt;Y213," * F05-07 for Age "&amp;X20&amp;" "&amp;Y21&amp;" is more than F05-06"&amp;CHAR(10),""),IF(Z214&gt;Z213," * F05-07 for Age "&amp;Z20&amp;" "&amp;Z21&amp;" is more than F05-06"&amp;CHAR(10),""),IF(AA214&gt;AA213," * F05-07 for Age "&amp;Z20&amp;" "&amp;AA21&amp;" is more than F05-06"&amp;CHAR(10),""),IF(AH214&gt;AH213," * Total F05-07 is more than Total F05-06"&amp;CHAR(10),""))</f>
        <v/>
      </c>
      <c r="AJ214" s="683"/>
      <c r="AK214" s="33"/>
      <c r="AL214" s="864"/>
      <c r="AM214" s="14">
        <v>184</v>
      </c>
      <c r="AN214" s="82"/>
      <c r="AO214" s="171"/>
    </row>
    <row r="215" spans="1:41" s="15" customFormat="1" ht="25.5" x14ac:dyDescent="0.75">
      <c r="A215" s="664"/>
      <c r="B215" s="225" t="s">
        <v>683</v>
      </c>
      <c r="C215" s="85" t="s">
        <v>259</v>
      </c>
      <c r="D215" s="134"/>
      <c r="E215" s="134"/>
      <c r="F215" s="134"/>
      <c r="G215" s="134"/>
      <c r="H215" s="134"/>
      <c r="I215" s="134"/>
      <c r="J215" s="134"/>
      <c r="K215" s="227"/>
      <c r="L215" s="134"/>
      <c r="M215" s="227"/>
      <c r="N215" s="134"/>
      <c r="O215" s="227"/>
      <c r="P215" s="134"/>
      <c r="Q215" s="227"/>
      <c r="R215" s="134"/>
      <c r="S215" s="227"/>
      <c r="T215" s="134"/>
      <c r="U215" s="227"/>
      <c r="V215" s="134"/>
      <c r="W215" s="227"/>
      <c r="X215" s="134"/>
      <c r="Y215" s="227"/>
      <c r="Z215" s="134"/>
      <c r="AA215" s="394"/>
      <c r="AB215" s="434"/>
      <c r="AC215" s="401"/>
      <c r="AD215" s="401"/>
      <c r="AE215" s="401"/>
      <c r="AF215" s="401"/>
      <c r="AG215" s="357"/>
      <c r="AH215" s="199">
        <f t="shared" si="98"/>
        <v>0</v>
      </c>
      <c r="AI215" s="148" t="str">
        <f>CONCATENATE(IF(D215&gt;D208," * Given Emergency Contraceptive Pill for Age "&amp;D20&amp;" "&amp;D21&amp;" is more than Sexual Violence Rape Survivors"&amp;CHAR(10),""),IF(E215&gt;E208," * Given Emergency Contraceptive Pill for Age "&amp;D20&amp;" "&amp;E21&amp;" is more than Sexual Violence Rape Survivors"&amp;CHAR(10),""),IF(F215&gt;F208," * Given Emergency Contraceptive Pill for Age "&amp;F20&amp;" "&amp;F21&amp;" is more than Sexual Violence Rape Survivors"&amp;CHAR(10),""),IF(G215&gt;G208," * Given Emergency Contraceptive Pill for Age "&amp;F20&amp;" "&amp;G21&amp;" is more than Sexual Violence Rape Survivors"&amp;CHAR(10),""),IF(H215&gt;H208," * Given Emergency Contraceptive Pill for Age "&amp;H20&amp;" "&amp;H21&amp;" is more than Sexual Violence Rape Survivors"&amp;CHAR(10),""),IF(I215&gt;I208," * Given Emergency Contraceptive Pill for Age "&amp;H20&amp;" "&amp;I21&amp;" is more than Sexual Violence Rape Survivors"&amp;CHAR(10),""),IF(J215&gt;J208," * Given Emergency Contraceptive Pill for Age "&amp;J20&amp;" "&amp;J21&amp;" is more than Sexual Violence Rape Survivors"&amp;CHAR(10),""),IF(K215&gt;K208," * Given Emergency Contraceptive Pill for Age "&amp;J20&amp;" "&amp;K21&amp;" is more than Sexual Violence Rape Survivors"&amp;CHAR(10),""),IF(L215&gt;L208," * Given Emergency Contraceptive Pill for Age "&amp;L20&amp;" "&amp;L21&amp;" is more than Sexual Violence Rape Survivors"&amp;CHAR(10),""),IF(M215&gt;M208," * Given Emergency Contraceptive Pill for Age "&amp;L20&amp;" "&amp;M21&amp;" is more than Sexual Violence Rape Survivors"&amp;CHAR(10),""),IF(N215&gt;N208," * Given Emergency Contraceptive Pill for Age "&amp;N20&amp;" "&amp;N21&amp;" is more than Sexual Violence Rape Survivors"&amp;CHAR(10),""),IF(O215&gt;O208," * Given Emergency Contraceptive Pill for Age "&amp;N20&amp;" "&amp;O21&amp;" is more than Sexual Violence Rape Survivors"&amp;CHAR(10),""),IF(P215&gt;P208," * Given Emergency Contraceptive Pill for Age "&amp;P20&amp;" "&amp;P21&amp;" is more than Sexual Violence Rape Survivors"&amp;CHAR(10),""),IF(Q215&gt;Q208," * Given Emergency Contraceptive Pill for Age "&amp;P20&amp;" "&amp;Q21&amp;" is more than Sexual Violence Rape Survivors"&amp;CHAR(10),""),IF(R215&gt;R208," * Given Emergency Contraceptive Pill for Age "&amp;R20&amp;" "&amp;R21&amp;" is more than Sexual Violence Rape Survivors"&amp;CHAR(10),""),IF(S215&gt;S208," * Given Emergency Contraceptive Pill for Age "&amp;R20&amp;" "&amp;S21&amp;" is more than Sexual Violence Rape Survivors"&amp;CHAR(10),""),IF(T215&gt;T208," * Given Emergency Contraceptive Pill for Age "&amp;T20&amp;" "&amp;T21&amp;" is more than Sexual Violence Rape Survivors"&amp;CHAR(10),""),IF(U215&gt;U208," * Given Emergency Contraceptive Pill for Age "&amp;T20&amp;" "&amp;U21&amp;" is more than Sexual Violence Rape Survivors"&amp;CHAR(10),""),IF(V215&gt;V208," * Given Emergency Contraceptive Pill for Age "&amp;V20&amp;" "&amp;V21&amp;" is more than Sexual Violence Rape Survivors"&amp;CHAR(10),""),IF(W215&gt;W208," * Given Emergency Contraceptive Pill for Age "&amp;V20&amp;" "&amp;W21&amp;" is more than Sexual Violence Rape Survivors"&amp;CHAR(10),""),IF(X215&gt;X208," * Given Emergency Contraceptive Pill for Age "&amp;X20&amp;" "&amp;X21&amp;" is more than Sexual Violence Rape Survivors"&amp;CHAR(10),""),IF(Y215&gt;Y208," * Given Emergency Contraceptive Pill for Age "&amp;X20&amp;" "&amp;Y21&amp;" is more than Sexual Violence Rape Survivors"&amp;CHAR(10),""),IF(Z215&gt;Z208," * Given Emergency Contraceptive Pill for Age "&amp;Z20&amp;" "&amp;Z21&amp;" is more than Sexual Violence Rape Survivors"&amp;CHAR(10),""),IF(AA215&gt;AA208," * Given Emergency Contraceptive Pill for Age "&amp;Z20&amp;" "&amp;AA21&amp;" is more than Sexual Violence Rape Survivors"&amp;CHAR(10),""))</f>
        <v/>
      </c>
      <c r="AJ215" s="683"/>
      <c r="AK215" s="33"/>
      <c r="AL215" s="864"/>
      <c r="AM215" s="14">
        <v>185</v>
      </c>
      <c r="AN215" s="82"/>
      <c r="AO215" s="171"/>
    </row>
    <row r="216" spans="1:41" s="15" customFormat="1" ht="25.5" x14ac:dyDescent="0.75">
      <c r="A216" s="664"/>
      <c r="B216" s="225" t="s">
        <v>684</v>
      </c>
      <c r="C216" s="85" t="s">
        <v>260</v>
      </c>
      <c r="D216" s="134"/>
      <c r="E216" s="134"/>
      <c r="F216" s="134"/>
      <c r="G216" s="134"/>
      <c r="H216" s="134"/>
      <c r="I216" s="134"/>
      <c r="J216" s="134"/>
      <c r="K216" s="228"/>
      <c r="L216" s="134"/>
      <c r="M216" s="228"/>
      <c r="N216" s="134"/>
      <c r="O216" s="228"/>
      <c r="P216" s="134"/>
      <c r="Q216" s="228"/>
      <c r="R216" s="134"/>
      <c r="S216" s="228"/>
      <c r="T216" s="134"/>
      <c r="U216" s="228"/>
      <c r="V216" s="134"/>
      <c r="W216" s="228"/>
      <c r="X216" s="134"/>
      <c r="Y216" s="228"/>
      <c r="Z216" s="134"/>
      <c r="AA216" s="395"/>
      <c r="AB216" s="434"/>
      <c r="AC216" s="401"/>
      <c r="AD216" s="401"/>
      <c r="AE216" s="401"/>
      <c r="AF216" s="401"/>
      <c r="AG216" s="357"/>
      <c r="AH216" s="199">
        <f t="shared" si="98"/>
        <v>0</v>
      </c>
      <c r="AI216" s="148" t="str">
        <f>CONCATENATE(IF(D216&gt;D215," * Given Emergency Contraceptive Pill for Age "&amp;D20&amp;" "&amp;D21&amp;" is more than Eligible for Emergency Contraceptive Pill"&amp;CHAR(10),""),IF(E216&gt;E215," * Given Emergency Contraceptive Pill for Age "&amp;D20&amp;" "&amp;E21&amp;" is more than Eligible for Emergency Contraceptive Pill"&amp;CHAR(10),""),IF(F216&gt;F215," * Given Emergency Contraceptive Pill for Age "&amp;F20&amp;" "&amp;F21&amp;" is more than Eligible for Emergency Contraceptive Pill"&amp;CHAR(10),""),IF(G216&gt;G215," * Given Emergency Contraceptive Pill for Age "&amp;F20&amp;" "&amp;G21&amp;" is more than Eligible for Emergency Contraceptive Pill"&amp;CHAR(10),""),IF(H216&gt;H215," * Given Emergency Contraceptive Pill for Age "&amp;H20&amp;" "&amp;H21&amp;" is more than Eligible for Emergency Contraceptive Pill"&amp;CHAR(10),""),IF(I216&gt;I215," * Given Emergency Contraceptive Pill for Age "&amp;H20&amp;" "&amp;I21&amp;" is more than Eligible for Emergency Contraceptive Pill"&amp;CHAR(10),""),IF(J216&gt;J215," * Given Emergency Contraceptive Pill for Age "&amp;J20&amp;" "&amp;J21&amp;" is more than Eligible for Emergency Contraceptive Pill"&amp;CHAR(10),""),IF(K216&gt;K215," * Given Emergency Contraceptive Pill for Age "&amp;J20&amp;" "&amp;K21&amp;" is more than Eligible for Emergency Contraceptive Pill"&amp;CHAR(10),""),IF(L216&gt;L215," * Given Emergency Contraceptive Pill for Age "&amp;L20&amp;" "&amp;L21&amp;" is more than Eligible for Emergency Contraceptive Pill"&amp;CHAR(10),""),IF(M216&gt;M215," * Given Emergency Contraceptive Pill for Age "&amp;L20&amp;" "&amp;M21&amp;" is more than Eligible for Emergency Contraceptive Pill"&amp;CHAR(10),""),IF(N216&gt;N215," * Given Emergency Contraceptive Pill for Age "&amp;N20&amp;" "&amp;N21&amp;" is more than Eligible for Emergency Contraceptive Pill"&amp;CHAR(10),""),IF(O216&gt;O215," * Given Emergency Contraceptive Pill for Age "&amp;N20&amp;" "&amp;O21&amp;" is more than Eligible for Emergency Contraceptive Pill"&amp;CHAR(10),""),IF(P216&gt;P215," * Given Emergency Contraceptive Pill for Age "&amp;P20&amp;" "&amp;P21&amp;" is more than Eligible for Emergency Contraceptive Pill"&amp;CHAR(10),""),IF(Q216&gt;Q215," * Given Emergency Contraceptive Pill for Age "&amp;P20&amp;" "&amp;Q21&amp;" is more than Eligible for Emergency Contraceptive Pill"&amp;CHAR(10),""),IF(R216&gt;R215," * Given Emergency Contraceptive Pill for Age "&amp;R20&amp;" "&amp;R21&amp;" is more than Eligible for Emergency Contraceptive Pill"&amp;CHAR(10),""),IF(S216&gt;S215," * Given Emergency Contraceptive Pill for Age "&amp;R20&amp;" "&amp;S21&amp;" is more than Eligible for Emergency Contraceptive Pill"&amp;CHAR(10),""),IF(T216&gt;T215," * Given Emergency Contraceptive Pill for Age "&amp;T20&amp;" "&amp;T21&amp;" is more than Eligible for Emergency Contraceptive Pill"&amp;CHAR(10),""),IF(U216&gt;U215," * Given Emergency Contraceptive Pill for Age "&amp;T20&amp;" "&amp;U21&amp;" is more than Eligible for Emergency Contraceptive Pill"&amp;CHAR(10),""),IF(V216&gt;V215," * Given Emergency Contraceptive Pill for Age "&amp;V20&amp;" "&amp;V21&amp;" is more than Eligible for Emergency Contraceptive Pill"&amp;CHAR(10),""),IF(W216&gt;W215," * Given Emergency Contraceptive Pill for Age "&amp;V20&amp;" "&amp;W21&amp;" is more than Eligible for Emergency Contraceptive Pill"&amp;CHAR(10),""),IF(X216&gt;X215," * Given Emergency Contraceptive Pill for Age "&amp;X20&amp;" "&amp;X21&amp;" is more than Eligible for Emergency Contraceptive Pill"&amp;CHAR(10),""),IF(Y216&gt;Y215," * Given Emergency Contraceptive Pill for Age "&amp;X20&amp;" "&amp;Y21&amp;" is more than Eligible for Emergency Contraceptive Pill"&amp;CHAR(10),""),IF(Z216&gt;Z215," * Given Emergency Contraceptive Pill for Age "&amp;Z20&amp;" "&amp;Z21&amp;" is more than Eligible for Emergency Contraceptive Pill"&amp;CHAR(10),""),IF(AA216&gt;AA215," * Given Emergency Contraceptive Pill for Age "&amp;Z20&amp;" "&amp;AA21&amp;" is more than Eligible for Emergency Contraceptive Pill"&amp;CHAR(10),""))</f>
        <v/>
      </c>
      <c r="AJ216" s="683"/>
      <c r="AK216" s="33"/>
      <c r="AL216" s="864"/>
      <c r="AM216" s="14">
        <v>186</v>
      </c>
      <c r="AN216" s="82"/>
      <c r="AO216" s="171"/>
    </row>
    <row r="217" spans="1:41" s="15" customFormat="1" ht="25.5" x14ac:dyDescent="0.75">
      <c r="A217" s="664"/>
      <c r="B217" s="225" t="s">
        <v>685</v>
      </c>
      <c r="C217" s="85" t="s">
        <v>261</v>
      </c>
      <c r="D217" s="226"/>
      <c r="E217" s="227"/>
      <c r="F217" s="227"/>
      <c r="G217" s="227"/>
      <c r="H217" s="227"/>
      <c r="I217" s="227"/>
      <c r="J217" s="227"/>
      <c r="K217" s="227"/>
      <c r="L217" s="227"/>
      <c r="M217" s="227"/>
      <c r="N217" s="227"/>
      <c r="O217" s="227"/>
      <c r="P217" s="227"/>
      <c r="Q217" s="227"/>
      <c r="R217" s="227"/>
      <c r="S217" s="227"/>
      <c r="T217" s="227"/>
      <c r="U217" s="227"/>
      <c r="V217" s="227"/>
      <c r="W217" s="227"/>
      <c r="X217" s="227"/>
      <c r="Y217" s="227"/>
      <c r="Z217" s="227"/>
      <c r="AA217" s="394"/>
      <c r="AB217" s="434"/>
      <c r="AC217" s="401"/>
      <c r="AD217" s="401"/>
      <c r="AE217" s="401"/>
      <c r="AF217" s="401"/>
      <c r="AG217" s="357"/>
      <c r="AH217" s="199">
        <f t="shared" si="98"/>
        <v>0</v>
      </c>
      <c r="AI217" s="757" t="str">
        <f>CONCATENATE(IF(D218&gt;D217," * F05-11 for Age "&amp;D20&amp;" "&amp;D21&amp;" is more than F05-10"&amp;CHAR(10),""),IF(E218&gt;E217," * F05-11 for Age "&amp;D20&amp;" "&amp;E21&amp;" is more than F05-10"&amp;CHAR(10),""),IF(F218&gt;F217," * F05-11 for Age "&amp;F20&amp;" "&amp;F21&amp;" is more than F05-10"&amp;CHAR(10),""),IF(G218&gt;G217," * F05-11 for Age "&amp;F20&amp;" "&amp;G21&amp;" is more than F05-10"&amp;CHAR(10),""),IF(H218&gt;H217," * F05-11 for Age "&amp;H20&amp;" "&amp;H21&amp;" is more than F05-10"&amp;CHAR(10),""),IF(I218&gt;I217," * F05-11 for Age "&amp;H20&amp;" "&amp;I21&amp;" is more than F05-10"&amp;CHAR(10),""),IF(J218&gt;J217," * F05-11 for Age "&amp;J20&amp;" "&amp;J21&amp;" is more than F05-10"&amp;CHAR(10),""),IF(K218&gt;K217," * F05-11 for Age "&amp;J20&amp;" "&amp;K21&amp;" is more than F05-10"&amp;CHAR(10),""),IF(L218&gt;L217," * F05-11 for Age "&amp;L20&amp;" "&amp;L21&amp;" is more than F05-10"&amp;CHAR(10),""),IF(M218&gt;M217," * F05-11 for Age "&amp;L20&amp;" "&amp;M21&amp;" is more than F05-10"&amp;CHAR(10),""),IF(N218&gt;N217," * F05-11 for Age "&amp;N20&amp;" "&amp;N21&amp;" is more than F05-10"&amp;CHAR(10),""),IF(O218&gt;O217," * F05-11 for Age "&amp;N20&amp;" "&amp;O21&amp;" is more than F05-10"&amp;CHAR(10),""),IF(P218&gt;P217," * F05-11 for Age "&amp;P20&amp;" "&amp;P21&amp;" is more than F05-10"&amp;CHAR(10),""),IF(Q218&gt;Q217," * F05-11 for Age "&amp;P20&amp;" "&amp;Q21&amp;" is more than F05-10"&amp;CHAR(10),""),IF(R218&gt;R217," * F05-11 for Age "&amp;R20&amp;" "&amp;R21&amp;" is more than F05-10"&amp;CHAR(10),""),IF(S218&gt;S217," * F05-11 for Age "&amp;R20&amp;" "&amp;S21&amp;" is more than F05-10"&amp;CHAR(10),""),IF(T218&gt;T217," * F05-11 for Age "&amp;T20&amp;" "&amp;T21&amp;" is more than F05-10"&amp;CHAR(10),""),IF(U218&gt;U217," * F05-11 for Age "&amp;T20&amp;" "&amp;U21&amp;" is more than F05-10"&amp;CHAR(10),""),IF(V218&gt;V217," * F05-11 for Age "&amp;V20&amp;" "&amp;V21&amp;" is more than F05-10"&amp;CHAR(10),""),IF(W218&gt;W217," * F05-11 for Age "&amp;V20&amp;" "&amp;W21&amp;" is more than F05-10"&amp;CHAR(10),""),IF(X218&gt;X217," * F05-11 for Age "&amp;X20&amp;" "&amp;X21&amp;" is more than F05-10"&amp;CHAR(10),""),IF(Y218&gt;Y217," * F05-11 for Age "&amp;X20&amp;" "&amp;Y21&amp;" is more than F05-10"&amp;CHAR(10),""),IF(Z218&gt;Z217," * F05-11 for Age "&amp;Z20&amp;" "&amp;Z21&amp;" is more than F05-10"&amp;CHAR(10),""),IF(AA218&gt;AA217," * F05-11 for Age "&amp;Z20&amp;" "&amp;AA21&amp;" is more than F05-10"&amp;CHAR(10),""),IF(AH218&gt;AH217," * Total F05-11 is more than Total F05-10"&amp;CHAR(10),""))</f>
        <v/>
      </c>
      <c r="AJ217" s="683"/>
      <c r="AK217" s="33"/>
      <c r="AL217" s="864"/>
      <c r="AM217" s="14">
        <v>187</v>
      </c>
      <c r="AN217" s="82"/>
      <c r="AO217" s="171"/>
    </row>
    <row r="218" spans="1:41" s="15" customFormat="1" ht="29.25" thickBot="1" x14ac:dyDescent="0.8">
      <c r="A218" s="751"/>
      <c r="B218" s="229" t="s">
        <v>1019</v>
      </c>
      <c r="C218" s="97" t="s">
        <v>262</v>
      </c>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c r="Z218" s="174"/>
      <c r="AA218" s="396"/>
      <c r="AB218" s="434"/>
      <c r="AC218" s="401"/>
      <c r="AD218" s="401"/>
      <c r="AE218" s="401"/>
      <c r="AF218" s="401"/>
      <c r="AG218" s="357"/>
      <c r="AH218" s="218">
        <f t="shared" si="98"/>
        <v>0</v>
      </c>
      <c r="AI218" s="757"/>
      <c r="AJ218" s="683"/>
      <c r="AK218" s="33"/>
      <c r="AL218" s="864"/>
      <c r="AM218" s="14">
        <v>188</v>
      </c>
      <c r="AN218" s="82"/>
      <c r="AO218" s="171"/>
    </row>
    <row r="219" spans="1:41" s="15" customFormat="1" ht="25.5" x14ac:dyDescent="0.75">
      <c r="A219" s="663" t="s">
        <v>111</v>
      </c>
      <c r="B219" s="157" t="s">
        <v>686</v>
      </c>
      <c r="C219" s="77" t="s">
        <v>263</v>
      </c>
      <c r="D219" s="163"/>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c r="AA219" s="379"/>
      <c r="AB219" s="434"/>
      <c r="AC219" s="401"/>
      <c r="AD219" s="401"/>
      <c r="AE219" s="401"/>
      <c r="AF219" s="401"/>
      <c r="AG219" s="357"/>
      <c r="AH219" s="214">
        <f t="shared" si="98"/>
        <v>0</v>
      </c>
      <c r="AI219" s="757" t="str">
        <f>CONCATENATE(IF(D220&gt;D219," * F05-13 for Age "&amp;D20&amp;" "&amp;D21&amp;" is more than F05-12"&amp;CHAR(10),""),IF(E220&gt;E219," * F05-13 for Age "&amp;D20&amp;" "&amp;E21&amp;" is more than F05-12"&amp;CHAR(10),""),IF(F220&gt;F219," * F05-13 for Age "&amp;F20&amp;" "&amp;F21&amp;" is more than F05-12"&amp;CHAR(10),""),IF(G220&gt;G219," * F05-13 for Age "&amp;F20&amp;" "&amp;G21&amp;" is more than F05-12"&amp;CHAR(10),""),IF(H220&gt;H219," * F05-13 for Age "&amp;H20&amp;" "&amp;H21&amp;" is more than F05-12"&amp;CHAR(10),""),IF(I220&gt;I219," * F05-13 for Age "&amp;H20&amp;" "&amp;I21&amp;" is more than F05-12"&amp;CHAR(10),""),IF(J220&gt;J219," * F05-13 for Age "&amp;J20&amp;" "&amp;J21&amp;" is more than F05-12"&amp;CHAR(10),""),IF(K220&gt;K219," * F05-13 for Age "&amp;J20&amp;" "&amp;K21&amp;" is more than F05-12"&amp;CHAR(10),""),IF(L220&gt;L219," * F05-13 for Age "&amp;L20&amp;" "&amp;L21&amp;" is more than F05-12"&amp;CHAR(10),""),IF(M220&gt;M219," * F05-13 for Age "&amp;L20&amp;" "&amp;M21&amp;" is more than F05-12"&amp;CHAR(10),""),IF(N220&gt;N219," * F05-13 for Age "&amp;N20&amp;" "&amp;N21&amp;" is more than F05-12"&amp;CHAR(10),""),IF(O220&gt;O219," * F05-13 for Age "&amp;N20&amp;" "&amp;O21&amp;" is more than F05-12"&amp;CHAR(10),""),IF(P220&gt;P219," * F05-13 for Age "&amp;P20&amp;" "&amp;P21&amp;" is more than F05-12"&amp;CHAR(10),""),IF(Q220&gt;Q219," * F05-13 for Age "&amp;P20&amp;" "&amp;Q21&amp;" is more than F05-12"&amp;CHAR(10),""),IF(R220&gt;R219," * F05-13 for Age "&amp;R20&amp;" "&amp;R21&amp;" is more than F05-12"&amp;CHAR(10),""),IF(S220&gt;S219," * F05-13 for Age "&amp;R20&amp;" "&amp;S21&amp;" is more than F05-12"&amp;CHAR(10),""),IF(T220&gt;T219," * F05-13 for Age "&amp;T20&amp;" "&amp;T21&amp;" is more than F05-12"&amp;CHAR(10),""),IF(U220&gt;U219," * F05-13 for Age "&amp;T20&amp;" "&amp;U21&amp;" is more than F05-12"&amp;CHAR(10),""),IF(V220&gt;V219," * F05-13 for Age "&amp;V20&amp;" "&amp;V21&amp;" is more than F05-12"&amp;CHAR(10),""),IF(W220&gt;W219," * F05-13 for Age "&amp;V20&amp;" "&amp;W21&amp;" is more than F05-12"&amp;CHAR(10),""),IF(X220&gt;X219," * F05-13 for Age "&amp;X20&amp;" "&amp;X21&amp;" is more than F05-12"&amp;CHAR(10),""),IF(Y220&gt;Y219," * F05-13 for Age "&amp;X20&amp;" "&amp;Y21&amp;" is more than F05-12"&amp;CHAR(10),""),IF(Z220&gt;Z219," * F05-13 for Age "&amp;Z20&amp;" "&amp;Z21&amp;" is more than F05-12"&amp;CHAR(10),""),IF(AA220&gt;AA219," * F05-13 for Age "&amp;Z20&amp;" "&amp;AA21&amp;" is more than F05-12"&amp;CHAR(10),""),IF(AH220&gt;AH219," * Total F05-13 is more than Total F05-12"&amp;CHAR(10),""))</f>
        <v/>
      </c>
      <c r="AJ219" s="683"/>
      <c r="AK219" s="33"/>
      <c r="AL219" s="864"/>
      <c r="AM219" s="14">
        <v>189</v>
      </c>
      <c r="AN219" s="82"/>
      <c r="AO219" s="171"/>
    </row>
    <row r="220" spans="1:41" s="15" customFormat="1" ht="25.5" x14ac:dyDescent="0.75">
      <c r="A220" s="664"/>
      <c r="B220" s="225" t="s">
        <v>687</v>
      </c>
      <c r="C220" s="85" t="s">
        <v>264</v>
      </c>
      <c r="D220" s="226"/>
      <c r="E220" s="227"/>
      <c r="F220" s="227"/>
      <c r="G220" s="227"/>
      <c r="H220" s="227"/>
      <c r="I220" s="227"/>
      <c r="J220" s="227"/>
      <c r="K220" s="227"/>
      <c r="L220" s="227"/>
      <c r="M220" s="227"/>
      <c r="N220" s="227"/>
      <c r="O220" s="227"/>
      <c r="P220" s="227"/>
      <c r="Q220" s="227"/>
      <c r="R220" s="227"/>
      <c r="S220" s="227"/>
      <c r="T220" s="227"/>
      <c r="U220" s="227"/>
      <c r="V220" s="227"/>
      <c r="W220" s="227"/>
      <c r="X220" s="227"/>
      <c r="Y220" s="227"/>
      <c r="Z220" s="227"/>
      <c r="AA220" s="394"/>
      <c r="AB220" s="434"/>
      <c r="AC220" s="401"/>
      <c r="AD220" s="401"/>
      <c r="AE220" s="401"/>
      <c r="AF220" s="401"/>
      <c r="AG220" s="357"/>
      <c r="AH220" s="199">
        <f t="shared" si="98"/>
        <v>0</v>
      </c>
      <c r="AI220" s="757"/>
      <c r="AJ220" s="683"/>
      <c r="AK220" s="33"/>
      <c r="AL220" s="864"/>
      <c r="AM220" s="14">
        <v>190</v>
      </c>
      <c r="AN220" s="82"/>
      <c r="AO220" s="171"/>
    </row>
    <row r="221" spans="1:41" s="15" customFormat="1" ht="25.5" x14ac:dyDescent="0.75">
      <c r="A221" s="664"/>
      <c r="B221" s="225" t="s">
        <v>688</v>
      </c>
      <c r="C221" s="85" t="s">
        <v>321</v>
      </c>
      <c r="D221" s="228"/>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375"/>
      <c r="AB221" s="434"/>
      <c r="AC221" s="401"/>
      <c r="AD221" s="401"/>
      <c r="AE221" s="401"/>
      <c r="AF221" s="401"/>
      <c r="AG221" s="357"/>
      <c r="AH221" s="199">
        <f t="shared" si="98"/>
        <v>0</v>
      </c>
      <c r="AI221" s="130" t="str">
        <f>CONCATENATE(IF(D221&gt;D219," * F05-14 for Age "&amp;D20&amp;" "&amp;D21&amp;" is more than F05-12"&amp;CHAR(10),""),IF(E221&gt;E219," * F05-14 for Age "&amp;D20&amp;" "&amp;E21&amp;" is more than F05-12"&amp;CHAR(10),""),IF(F221&gt;F219," * F05-14 for Age "&amp;F20&amp;" "&amp;F21&amp;" is more than F05-12"&amp;CHAR(10),""),IF(G221&gt;G219," * F05-14 for Age "&amp;F20&amp;" "&amp;G21&amp;" is more than F05-12"&amp;CHAR(10),""),IF(H221&gt;H219," * F05-14 for Age "&amp;H20&amp;" "&amp;H21&amp;" is more than F05-12"&amp;CHAR(10),""),IF(I221&gt;I219," * F05-14 for Age "&amp;H20&amp;" "&amp;I21&amp;" is more than F05-12"&amp;CHAR(10),""),IF(J221&gt;J219," * F05-14 for Age "&amp;J20&amp;" "&amp;J21&amp;" is more than F05-12"&amp;CHAR(10),""),IF(K221&gt;K219," * F05-14 for Age "&amp;J20&amp;" "&amp;K21&amp;" is more than F05-12"&amp;CHAR(10),""),IF(L221&gt;L219," * F05-14 for Age "&amp;L20&amp;" "&amp;L21&amp;" is more than F05-12"&amp;CHAR(10),""),IF(M221&gt;M219," * F05-14 for Age "&amp;L20&amp;" "&amp;M21&amp;" is more than F05-12"&amp;CHAR(10),""),IF(N221&gt;N219," * F05-14 for Age "&amp;N20&amp;" "&amp;N21&amp;" is more than F05-12"&amp;CHAR(10),""),IF(O221&gt;O219," * F05-14 for Age "&amp;N20&amp;" "&amp;O21&amp;" is more than F05-12"&amp;CHAR(10),""),IF(P221&gt;P219," * F05-14 for Age "&amp;P20&amp;" "&amp;P21&amp;" is more than F05-12"&amp;CHAR(10),""),IF(Q221&gt;Q219," * F05-14 for Age "&amp;P20&amp;" "&amp;Q21&amp;" is more than F05-12"&amp;CHAR(10),""),IF(R221&gt;R219," * F05-14 for Age "&amp;R20&amp;" "&amp;R21&amp;" is more than F05-12"&amp;CHAR(10),""),IF(S221&gt;S219," * F05-14 for Age "&amp;R20&amp;" "&amp;S21&amp;" is more than F05-12"&amp;CHAR(10),""),IF(T221&gt;T219," * F05-14 for Age "&amp;T20&amp;" "&amp;T21&amp;" is more than F05-12"&amp;CHAR(10),""),IF(U221&gt;U219," * F05-14 for Age "&amp;T20&amp;" "&amp;U21&amp;" is more than F05-12"&amp;CHAR(10),""),IF(V221&gt;V219," * F05-14 for Age "&amp;V20&amp;" "&amp;V21&amp;" is more than F05-12"&amp;CHAR(10),""),IF(W221&gt;W219," * F05-14 for Age "&amp;V20&amp;" "&amp;W21&amp;" is more than F05-12"&amp;CHAR(10),""),IF(X221&gt;X219," * F05-14 for Age "&amp;X20&amp;" "&amp;X21&amp;" is more than F05-12"&amp;CHAR(10),""),IF(Y221&gt;Y219," * F05-14 for Age "&amp;X20&amp;" "&amp;Y21&amp;" is more than F05-12"&amp;CHAR(10),""),IF(Z221&gt;Z219," * F05-14 for Age "&amp;Z20&amp;" "&amp;Z21&amp;" is more than F05-12"&amp;CHAR(10),""),IF(AA221&gt;AA219," * F05-14 for Age "&amp;Z20&amp;" "&amp;AA21&amp;" is more than F05-12"&amp;CHAR(10),""),IF(AH221&gt;AH219," * Total F05-14 is more than Total F05-12"&amp;CHAR(10),""))</f>
        <v/>
      </c>
      <c r="AJ221" s="683"/>
      <c r="AK221" s="33"/>
      <c r="AL221" s="864"/>
      <c r="AM221" s="14">
        <v>191</v>
      </c>
      <c r="AN221" s="82"/>
      <c r="AO221" s="171"/>
    </row>
    <row r="222" spans="1:41" s="15" customFormat="1" ht="25.9" thickBot="1" x14ac:dyDescent="0.8">
      <c r="A222" s="665"/>
      <c r="B222" s="158" t="s">
        <v>689</v>
      </c>
      <c r="C222" s="97" t="s">
        <v>322</v>
      </c>
      <c r="D222" s="152"/>
      <c r="E222" s="134"/>
      <c r="F222" s="134"/>
      <c r="G222" s="134"/>
      <c r="H222" s="134"/>
      <c r="I222" s="134"/>
      <c r="J222" s="134"/>
      <c r="K222" s="147"/>
      <c r="L222" s="134"/>
      <c r="M222" s="147"/>
      <c r="N222" s="134"/>
      <c r="O222" s="147"/>
      <c r="P222" s="134"/>
      <c r="Q222" s="147"/>
      <c r="R222" s="134"/>
      <c r="S222" s="147"/>
      <c r="T222" s="134"/>
      <c r="U222" s="147"/>
      <c r="V222" s="134"/>
      <c r="W222" s="147"/>
      <c r="X222" s="134"/>
      <c r="Y222" s="147"/>
      <c r="Z222" s="134"/>
      <c r="AA222" s="375"/>
      <c r="AB222" s="435"/>
      <c r="AC222" s="436"/>
      <c r="AD222" s="436"/>
      <c r="AE222" s="436"/>
      <c r="AF222" s="436"/>
      <c r="AG222" s="358"/>
      <c r="AH222" s="439">
        <f t="shared" si="98"/>
        <v>0</v>
      </c>
      <c r="AI222" s="136" t="str">
        <f>CONCATENATE(IF(D222&gt;D219," * F05-15 for Age "&amp;D20&amp;" "&amp;D21&amp;" is more than F05-12"&amp;CHAR(10),""),IF(E222&gt;E219," * F05-15 for Age "&amp;D20&amp;" "&amp;E21&amp;" is more than F05-12"&amp;CHAR(10),""),IF(F222&gt;F219," * F05-15 for Age "&amp;F20&amp;" "&amp;F21&amp;" is more than F05-12"&amp;CHAR(10),""),IF(G222&gt;G219," * F05-15 for Age "&amp;F20&amp;" "&amp;G21&amp;" is more than F05-12"&amp;CHAR(10),""),IF(H222&gt;H219," * F05-15 for Age "&amp;H20&amp;" "&amp;H21&amp;" is more than F05-12"&amp;CHAR(10),""),IF(I222&gt;I219," * F05-15 for Age "&amp;H20&amp;" "&amp;I21&amp;" is more than F05-12"&amp;CHAR(10),""),IF(J222&gt;J219," * F05-15 for Age "&amp;J20&amp;" "&amp;J21&amp;" is more than F05-12"&amp;CHAR(10),""),IF(K222&gt;K219," * F05-15 for Age "&amp;J20&amp;" "&amp;K21&amp;" is more than F05-12"&amp;CHAR(10),""),IF(L222&gt;L219," * F05-15 for Age "&amp;L20&amp;" "&amp;L21&amp;" is more than F05-12"&amp;CHAR(10),""),IF(M222&gt;M219," * F05-15 for Age "&amp;L20&amp;" "&amp;M21&amp;" is more than F05-12"&amp;CHAR(10),""),IF(N222&gt;N219," * F05-15 for Age "&amp;N20&amp;" "&amp;N21&amp;" is more than F05-12"&amp;CHAR(10),""),IF(O222&gt;O219," * F05-15 for Age "&amp;N20&amp;" "&amp;O21&amp;" is more than F05-12"&amp;CHAR(10),""),IF(P222&gt;P219," * F05-15 for Age "&amp;P20&amp;" "&amp;P21&amp;" is more than F05-12"&amp;CHAR(10),""),IF(Q222&gt;Q219," * F05-15 for Age "&amp;P20&amp;" "&amp;Q21&amp;" is more than F05-12"&amp;CHAR(10),""),IF(R222&gt;R219," * F05-15 for Age "&amp;R20&amp;" "&amp;R21&amp;" is more than F05-12"&amp;CHAR(10),""),IF(S222&gt;S219," * F05-15 for Age "&amp;R20&amp;" "&amp;S21&amp;" is more than F05-12"&amp;CHAR(10),""),IF(T222&gt;T219," * F05-15 for Age "&amp;T20&amp;" "&amp;T21&amp;" is more than F05-12"&amp;CHAR(10),""),IF(U222&gt;U219," * F05-15 for Age "&amp;T20&amp;" "&amp;U21&amp;" is more than F05-12"&amp;CHAR(10),""),IF(V222&gt;V219," * F05-15 for Age "&amp;V20&amp;" "&amp;V21&amp;" is more than F05-12"&amp;CHAR(10),""),IF(W222&gt;W219," * F05-15 for Age "&amp;V20&amp;" "&amp;W21&amp;" is more than F05-12"&amp;CHAR(10),""),IF(X222&gt;X219," * F05-15 for Age "&amp;X20&amp;" "&amp;X21&amp;" is more than F05-12"&amp;CHAR(10),""),IF(Y222&gt;Y219," * F05-15 for Age "&amp;X20&amp;" "&amp;Y21&amp;" is more than F05-12"&amp;CHAR(10),""),IF(Z222&gt;Z219," * F05-15 for Age "&amp;Z20&amp;" "&amp;Z21&amp;" is more than F05-12"&amp;CHAR(10),""),IF(AA222&gt;AA219," * F05-15 for Age "&amp;Z20&amp;" "&amp;AA21&amp;" is more than F05-12"&amp;CHAR(10),""),IF(AH222&gt;AH219," * Total F05-12 is more than Total F05-12"&amp;CHAR(10),""))</f>
        <v/>
      </c>
      <c r="AJ222" s="684"/>
      <c r="AK222" s="137"/>
      <c r="AL222" s="865"/>
      <c r="AM222" s="14">
        <v>192</v>
      </c>
      <c r="AN222" s="82"/>
      <c r="AO222" s="171"/>
    </row>
    <row r="223" spans="1:41" ht="25.9" thickBot="1" x14ac:dyDescent="0.8">
      <c r="A223" s="691" t="s">
        <v>129</v>
      </c>
      <c r="B223" s="692"/>
      <c r="C223" s="692"/>
      <c r="D223" s="692"/>
      <c r="E223" s="692"/>
      <c r="F223" s="692"/>
      <c r="G223" s="692"/>
      <c r="H223" s="692"/>
      <c r="I223" s="692"/>
      <c r="J223" s="692"/>
      <c r="K223" s="692"/>
      <c r="L223" s="692"/>
      <c r="M223" s="692"/>
      <c r="N223" s="692"/>
      <c r="O223" s="692"/>
      <c r="P223" s="692"/>
      <c r="Q223" s="692"/>
      <c r="R223" s="692"/>
      <c r="S223" s="692"/>
      <c r="T223" s="692"/>
      <c r="U223" s="692"/>
      <c r="V223" s="692"/>
      <c r="W223" s="692"/>
      <c r="X223" s="692"/>
      <c r="Y223" s="692"/>
      <c r="Z223" s="692"/>
      <c r="AA223" s="692"/>
      <c r="AB223" s="693"/>
      <c r="AC223" s="693"/>
      <c r="AD223" s="693"/>
      <c r="AE223" s="693"/>
      <c r="AF223" s="693"/>
      <c r="AG223" s="693"/>
      <c r="AH223" s="692"/>
      <c r="AI223" s="692"/>
      <c r="AJ223" s="692"/>
      <c r="AK223" s="692"/>
      <c r="AL223" s="694"/>
      <c r="AM223" s="14">
        <v>193</v>
      </c>
      <c r="AN223" s="82"/>
      <c r="AO223" s="83"/>
    </row>
    <row r="224" spans="1:41" ht="26.25" customHeight="1" x14ac:dyDescent="0.75">
      <c r="A224" s="749" t="s">
        <v>37</v>
      </c>
      <c r="B224" s="752" t="s">
        <v>346</v>
      </c>
      <c r="C224" s="754" t="s">
        <v>327</v>
      </c>
      <c r="D224" s="824" t="s">
        <v>0</v>
      </c>
      <c r="E224" s="669"/>
      <c r="F224" s="669" t="s">
        <v>1</v>
      </c>
      <c r="G224" s="669"/>
      <c r="H224" s="669" t="s">
        <v>2</v>
      </c>
      <c r="I224" s="669"/>
      <c r="J224" s="669" t="s">
        <v>3</v>
      </c>
      <c r="K224" s="669"/>
      <c r="L224" s="669" t="s">
        <v>4</v>
      </c>
      <c r="M224" s="669"/>
      <c r="N224" s="669" t="s">
        <v>5</v>
      </c>
      <c r="O224" s="669"/>
      <c r="P224" s="669" t="s">
        <v>6</v>
      </c>
      <c r="Q224" s="669"/>
      <c r="R224" s="669" t="s">
        <v>7</v>
      </c>
      <c r="S224" s="669"/>
      <c r="T224" s="669" t="s">
        <v>8</v>
      </c>
      <c r="U224" s="669"/>
      <c r="V224" s="669" t="s">
        <v>23</v>
      </c>
      <c r="W224" s="669"/>
      <c r="X224" s="669" t="s">
        <v>24</v>
      </c>
      <c r="Y224" s="669"/>
      <c r="Z224" s="669" t="s">
        <v>9</v>
      </c>
      <c r="AA224" s="669"/>
      <c r="AB224" s="858"/>
      <c r="AC224" s="859"/>
      <c r="AD224" s="859"/>
      <c r="AE224" s="859"/>
      <c r="AF224" s="859"/>
      <c r="AG224" s="860"/>
      <c r="AH224" s="804" t="s">
        <v>19</v>
      </c>
      <c r="AI224" s="786" t="s">
        <v>380</v>
      </c>
      <c r="AJ224" s="801" t="s">
        <v>386</v>
      </c>
      <c r="AK224" s="784" t="s">
        <v>387</v>
      </c>
      <c r="AL224" s="814" t="s">
        <v>387</v>
      </c>
      <c r="AM224" s="14">
        <v>194</v>
      </c>
      <c r="AN224" s="82"/>
      <c r="AO224" s="83"/>
    </row>
    <row r="225" spans="1:41" ht="27" customHeight="1" thickBot="1" x14ac:dyDescent="0.8">
      <c r="A225" s="750"/>
      <c r="B225" s="753"/>
      <c r="C225" s="755"/>
      <c r="D225" s="337" t="s">
        <v>10</v>
      </c>
      <c r="E225" s="75" t="s">
        <v>11</v>
      </c>
      <c r="F225" s="75" t="s">
        <v>10</v>
      </c>
      <c r="G225" s="75" t="s">
        <v>11</v>
      </c>
      <c r="H225" s="75" t="s">
        <v>10</v>
      </c>
      <c r="I225" s="75" t="s">
        <v>11</v>
      </c>
      <c r="J225" s="75" t="s">
        <v>10</v>
      </c>
      <c r="K225" s="75" t="s">
        <v>11</v>
      </c>
      <c r="L225" s="75" t="s">
        <v>10</v>
      </c>
      <c r="M225" s="75" t="s">
        <v>11</v>
      </c>
      <c r="N225" s="75" t="s">
        <v>10</v>
      </c>
      <c r="O225" s="75" t="s">
        <v>11</v>
      </c>
      <c r="P225" s="75" t="s">
        <v>10</v>
      </c>
      <c r="Q225" s="75" t="s">
        <v>11</v>
      </c>
      <c r="R225" s="75" t="s">
        <v>10</v>
      </c>
      <c r="S225" s="75" t="s">
        <v>11</v>
      </c>
      <c r="T225" s="75" t="s">
        <v>10</v>
      </c>
      <c r="U225" s="75" t="s">
        <v>11</v>
      </c>
      <c r="V225" s="75" t="s">
        <v>10</v>
      </c>
      <c r="W225" s="75" t="s">
        <v>11</v>
      </c>
      <c r="X225" s="75" t="s">
        <v>10</v>
      </c>
      <c r="Y225" s="75" t="s">
        <v>11</v>
      </c>
      <c r="Z225" s="75" t="s">
        <v>10</v>
      </c>
      <c r="AA225" s="75" t="s">
        <v>11</v>
      </c>
      <c r="AB225" s="430"/>
      <c r="AC225" s="417"/>
      <c r="AD225" s="417"/>
      <c r="AE225" s="417"/>
      <c r="AF225" s="417"/>
      <c r="AG225" s="431"/>
      <c r="AH225" s="805"/>
      <c r="AI225" s="787"/>
      <c r="AJ225" s="773"/>
      <c r="AK225" s="784"/>
      <c r="AL225" s="815"/>
      <c r="AM225" s="14">
        <v>195</v>
      </c>
      <c r="AN225" s="82"/>
      <c r="AO225" s="83"/>
    </row>
    <row r="226" spans="1:41" ht="31.15" customHeight="1" x14ac:dyDescent="0.75">
      <c r="A226" s="910" t="s">
        <v>115</v>
      </c>
      <c r="B226" s="230" t="s">
        <v>690</v>
      </c>
      <c r="C226" s="153" t="s">
        <v>368</v>
      </c>
      <c r="D226" s="78"/>
      <c r="E226" s="79"/>
      <c r="F226" s="79"/>
      <c r="G226" s="79"/>
      <c r="H226" s="79"/>
      <c r="I226" s="79"/>
      <c r="J226" s="79"/>
      <c r="K226" s="145"/>
      <c r="L226" s="79"/>
      <c r="M226" s="145"/>
      <c r="N226" s="79"/>
      <c r="O226" s="145"/>
      <c r="P226" s="79"/>
      <c r="Q226" s="145"/>
      <c r="R226" s="79"/>
      <c r="S226" s="145"/>
      <c r="T226" s="79"/>
      <c r="U226" s="145"/>
      <c r="V226" s="79"/>
      <c r="W226" s="145"/>
      <c r="X226" s="79"/>
      <c r="Y226" s="145"/>
      <c r="Z226" s="79"/>
      <c r="AA226" s="397"/>
      <c r="AB226" s="432"/>
      <c r="AC226" s="433"/>
      <c r="AD226" s="433"/>
      <c r="AE226" s="433"/>
      <c r="AF226" s="433"/>
      <c r="AG226" s="360"/>
      <c r="AH226" s="445">
        <f>SUM(D226:AA226)</f>
        <v>0</v>
      </c>
      <c r="AI226" s="160" t="str">
        <f>CONCATENATE(IF(D226&lt;SUM(D227,D228)," * Sum of (KP at ANC1 and initial test at ANC1) for Age "&amp;D20&amp;" "&amp;D21&amp;" is more than New 1st ANC Clients"&amp;CHAR(10),""),IF(E226&lt;SUM(E227,E228,E168)," * Sum of (KP at ANC1 and initial test at ANC1) for Age "&amp;D20&amp;" "&amp;E21&amp;" is more than New 1st ANC Clients"&amp;CHAR(10),""),IF(F226&lt;SUM(F227,F228)," * Sum of (KP at ANC1 and initial test at ANC1) for Age "&amp;F20&amp;" "&amp;F21&amp;" is more than New 1st ANC Clients"&amp;CHAR(10),""),IF(G226&lt;SUM(G227,G228,G168)," * Sum of (KP at ANC1 and initial test at ANC1) for Age "&amp;F20&amp;" "&amp;G21&amp;" is more than New 1st ANC Clients"&amp;CHAR(10),""),IF(H226&lt;SUM(H227,H228)," * Sum of (KP at ANC1 and initial test at ANC1) for Age "&amp;H20&amp;" "&amp;H21&amp;" is more than New 1st ANC Clients"&amp;CHAR(10),""),IF(I226&lt;SUM(I227,I228,I168)," * Sum of (KP at ANC1 and initial test at ANC1) for Age "&amp;H20&amp;" "&amp;I21&amp;" is more than New 1st ANC Clients"&amp;CHAR(10),""),IF(J226&lt;SUM(J227,J228)," * Sum of (KP at ANC1 and initial test at ANC1) for Age "&amp;J20&amp;" "&amp;J21&amp;" is more than New 1st ANC Clients"&amp;CHAR(10),""),IF(K226&lt;SUM(K227,K228,K168)," * Sum of (KP at ANC1 and initial test at ANC1) for Age "&amp;J20&amp;" "&amp;K21&amp;" is more than New 1st ANC Clients"&amp;CHAR(10),""),IF(L226&lt;SUM(L227,L228)," * Sum of (KP at ANC1 and initial test at ANC1) for Age "&amp;L20&amp;" "&amp;L21&amp;" is more than New 1st ANC Clients"&amp;CHAR(10),""),IF(M226&lt;SUM(M227,M228,M168)," * Sum of (KP at ANC1 and initial test at ANC1) for Age "&amp;L20&amp;" "&amp;M21&amp;" is more than New 1st ANC Clients"&amp;CHAR(10),""),IF(N226&lt;SUM(N227,N228)," * Sum of (KP at ANC1 and initial test at ANC1) for Age "&amp;N20&amp;" "&amp;N21&amp;" is more than New 1st ANC Clients"&amp;CHAR(10),""),IF(O226&lt;SUM(O227,O228,O168)," * Sum of (KP at ANC1 and initial test at ANC1) for Age "&amp;N20&amp;" "&amp;O21&amp;" is more than New 1st ANC Clients"&amp;CHAR(10),""),IF(P226&lt;SUM(P227,P228)," * Sum of (KP at ANC1 and initial test at ANC1) for Age "&amp;P20&amp;" "&amp;P21&amp;" is more than New 1st ANC Clients"&amp;CHAR(10),""),IF(Q226&lt;SUM(Q227,Q228,Q168)," * Sum of (KP at ANC1 and initial test at ANC1) for Age "&amp;P20&amp;" "&amp;Q21&amp;" is more than New 1st ANC Clients"&amp;CHAR(10),""),IF(R226&lt;SUM(R227,R228)," * Sum of (KP at ANC1 and initial test at ANC1) for Age "&amp;R20&amp;" "&amp;R21&amp;" is more than New 1st ANC Clients"&amp;CHAR(10),""),IF(S226&lt;SUM(S227,S228,S168)," * Sum of (KP at ANC1 and initial test at ANC1) for Age "&amp;R20&amp;" "&amp;S21&amp;" is more than New 1st ANC Clients"&amp;CHAR(10),""),IF(T226&lt;SUM(T227,T228)," * Sum of (KP at ANC1 and initial test at ANC1) for Age "&amp;T20&amp;" "&amp;T21&amp;" is more than New 1st ANC Clients"&amp;CHAR(10),""),IF(U226&lt;SUM(U227,U228,U168)," * Sum of (KP at ANC1 and initial test at ANC1) for Age "&amp;T20&amp;" "&amp;U21&amp;" is more than New 1st ANC Clients"&amp;CHAR(10),""),IF(V226&lt;SUM(V227,V228)," * Sum of (KP at ANC1 and initial test at ANC1) for Age "&amp;V20&amp;" "&amp;V21&amp;" is more than New 1st ANC Clients"&amp;CHAR(10),""),IF(W226&lt;SUM(W227,W228,W168)," * Sum of (KP at ANC1 and initial test at ANC1) for Age "&amp;V20&amp;" "&amp;W21&amp;" is more than New 1st ANC Clients"&amp;CHAR(10),""),IF(X226&lt;SUM(X227,X228)," * Sum of (KP at ANC1 and initial test at ANC1) for Age "&amp;X20&amp;" "&amp;X21&amp;" is more than New 1st ANC Clients"&amp;CHAR(10),""),IF(Y226&lt;SUM(Y227,Y228,Y168)," * Sum of (KP at ANC1 and initial test at ANC1) for Age "&amp;X20&amp;" "&amp;Y21&amp;" is more than New 1st ANC Clients"&amp;CHAR(10),""),IF(Z226&lt;SUM(Z227,Z228)," * Sum of (KP at ANC1 and initial test at ANC1) for Age "&amp;Z20&amp;" "&amp;Z21&amp;" is more than New 1st ANC Clients"&amp;CHAR(10),""),IF(AA226&lt;SUM(AA227,AA228,AA168)," * Sum of (KP at ANC1 and initial test at ANC1) for Age "&amp;Z20&amp;" "&amp;AA21&amp;" is more than New 1st ANC Clients"&amp;CHAR(10),""),IF(AH226&lt;SUM(AH227,AH228)," * Total Sum of (KP at ANC1 and initial test at ANC1) is more than New 1st ANC Clients"&amp;CHAR(10),""))</f>
        <v/>
      </c>
      <c r="AJ226" s="680" t="str">
        <f>CONCATENATE(AI226,AI227,AI228,AI229,AI232,AI236,AI240,AI246,AI239,AI238,AI230,AI231,AI235,AI242,AI243,AI244,AI245)</f>
        <v/>
      </c>
      <c r="AK226" s="231"/>
      <c r="AL226" s="658" t="str">
        <f>CONCATENATE(AK226,AK227,AK228,AK229,AK232,AK233,AK236,AK237,AK240,AK241,AK246,AK247,AK230,AK231,AK234,AK235,AK238,AK239,AK242,AK243,AK244,AK245)</f>
        <v/>
      </c>
      <c r="AM226" s="14">
        <v>196</v>
      </c>
      <c r="AN226" s="82"/>
      <c r="AO226" s="83"/>
    </row>
    <row r="227" spans="1:41" ht="31.15" customHeight="1" x14ac:dyDescent="0.75">
      <c r="A227" s="672"/>
      <c r="B227" s="232" t="s">
        <v>691</v>
      </c>
      <c r="C227" s="85" t="s">
        <v>275</v>
      </c>
      <c r="D227" s="86"/>
      <c r="E227" s="87"/>
      <c r="F227" s="87"/>
      <c r="G227" s="87"/>
      <c r="H227" s="87"/>
      <c r="I227" s="87"/>
      <c r="J227" s="87"/>
      <c r="K227" s="233"/>
      <c r="L227" s="234"/>
      <c r="M227" s="233"/>
      <c r="N227" s="234"/>
      <c r="O227" s="233"/>
      <c r="P227" s="234"/>
      <c r="Q227" s="233"/>
      <c r="R227" s="234"/>
      <c r="S227" s="233"/>
      <c r="T227" s="234"/>
      <c r="U227" s="233"/>
      <c r="V227" s="234"/>
      <c r="W227" s="233"/>
      <c r="X227" s="234"/>
      <c r="Y227" s="233"/>
      <c r="Z227" s="87"/>
      <c r="AA227" s="398"/>
      <c r="AB227" s="434"/>
      <c r="AC227" s="401"/>
      <c r="AD227" s="401"/>
      <c r="AE227" s="401"/>
      <c r="AF227" s="401"/>
      <c r="AG227" s="357"/>
      <c r="AH227" s="446">
        <f t="shared" ref="AH227:AH255" si="99">SUM(D227:AA227)</f>
        <v>0</v>
      </c>
      <c r="AI227" s="130" t="str">
        <f>CONCATENATE(IF(D260&gt;D227," * ON HAART at 1st ANC for Age "&amp;D20&amp;" "&amp;D21&amp;" is more than KP at 1st ANC "&amp;CHAR(10),""),IF(E260&gt;E227," * ON HAART at 1st ANC for Age "&amp;D20&amp;" "&amp;E21&amp;" is more than KP at 1st ANC "&amp;CHAR(10),""),IF(F260&gt;F227," * ON HAART at 1st ANC for Age "&amp;F20&amp;" "&amp;F21&amp;" is more than KP at 1st ANC "&amp;CHAR(10),""),IF(G260&gt;G227," * ON HAART at 1st ANC for Age "&amp;F20&amp;" "&amp;G21&amp;" is more than KP at 1st ANC "&amp;CHAR(10),""),IF(H260&gt;H227," * ON HAART at 1st ANC for Age "&amp;H20&amp;" "&amp;H21&amp;" is more than KP at 1st ANC "&amp;CHAR(10),""),IF(I260&gt;I227," * ON HAART at 1st ANC for Age "&amp;H20&amp;" "&amp;I21&amp;" is more than KP at 1st ANC "&amp;CHAR(10),""),IF(J260&gt;J227," * ON HAART at 1st ANC for Age "&amp;J20&amp;" "&amp;J21&amp;" is more than KP at 1st ANC "&amp;CHAR(10),""),IF(K260&gt;K227," * ON HAART at 1st ANC for Age "&amp;J20&amp;" "&amp;K21&amp;" is more than KP at 1st ANC "&amp;CHAR(10),""),IF(L260&gt;L227," * ON HAART at 1st ANC for Age "&amp;L20&amp;" "&amp;L21&amp;" is more than KP at 1st ANC "&amp;CHAR(10),""),IF(M260&gt;M227," * ON HAART at 1st ANC for Age "&amp;L20&amp;" "&amp;M21&amp;" is more than KP at 1st ANC "&amp;CHAR(10),""),IF(N260&gt;N227," * ON HAART at 1st ANC for Age "&amp;N20&amp;" "&amp;N21&amp;" is more than KP at 1st ANC "&amp;CHAR(10),""),IF(O260&gt;O227," * ON HAART at 1st ANC for Age "&amp;N20&amp;" "&amp;O21&amp;" is more than KP at 1st ANC "&amp;CHAR(10),""),IF(P260&gt;P227," * ON HAART at 1st ANC for Age "&amp;P20&amp;" "&amp;P21&amp;" is more than KP at 1st ANC "&amp;CHAR(10),""),IF(Q260&gt;Q227," * ON HAART at 1st ANC for Age "&amp;P20&amp;" "&amp;Q21&amp;" is more than KP at 1st ANC "&amp;CHAR(10),""),IF(R260&gt;R227," * ON HAART at 1st ANC for Age "&amp;R20&amp;" "&amp;R21&amp;" is more than KP at 1st ANC "&amp;CHAR(10),""),IF(S260&gt;S227," * ON HAART at 1st ANC for Age "&amp;R20&amp;" "&amp;S21&amp;" is more than KP at 1st ANC "&amp;CHAR(10),""),IF(T260&gt;T227," * ON HAART at 1st ANC for Age "&amp;T20&amp;" "&amp;T21&amp;" is more than KP at 1st ANC "&amp;CHAR(10),""),IF(U260&gt;U227," * ON HAART at 1st ANC for Age "&amp;T20&amp;" "&amp;U21&amp;" is more than KP at 1st ANC "&amp;CHAR(10),""),IF(V260&gt;V227," * ON HAART at 1st ANC for Age "&amp;V20&amp;" "&amp;V21&amp;" is more than KP at 1st ANC "&amp;CHAR(10),""),IF(W260&gt;W227," * ON HAART at 1st ANC for Age "&amp;V20&amp;" "&amp;W21&amp;" is more than KP at 1st ANC "&amp;CHAR(10),""),IF(X260&gt;X227," * ON HAART at 1st ANC for Age "&amp;X20&amp;" "&amp;X21&amp;" is more than KP at 1st ANC "&amp;CHAR(10),""),IF(Y260&gt;Y227," * ON HAART at 1st ANC for Age "&amp;X20&amp;" "&amp;Y21&amp;" is more than KP at 1st ANC "&amp;CHAR(10),""),IF(Z260&gt;Z227," * ON HAART at 1st ANC for Age "&amp;Z20&amp;" "&amp;Z21&amp;" is more than KP at 1st ANC "&amp;CHAR(10),""),IF(AA260&gt;AA227," * ON HAART at 1st ANC for Age "&amp;Z20&amp;" "&amp;AA21&amp;" is more than KP at 1st ANC "&amp;CHAR(10),""))</f>
        <v/>
      </c>
      <c r="AJ227" s="656"/>
      <c r="AK227" s="235" t="str">
        <f>CONCATENATE(IF(D226&gt;SUM(D227,D228)," * Sum of (KP at ANC1 and initial test at ANC1) for Age "&amp;D20&amp;" "&amp;D21&amp;" is less than New 1st ANC Clients"&amp;CHAR(10),""),IF(E226&gt;SUM(E227,E228,E168)," * Sum of (KP at ANC1 and initial test at ANC1) for Age "&amp;D20&amp;" "&amp;E21&amp;" is less than New 1st ANC Clients"&amp;CHAR(10),""),IF(F226&gt;SUM(F227,F228)," * Sum of (KP at ANC1 and initial test at ANC1) for Age "&amp;F20&amp;" "&amp;F21&amp;" is less than New 1st ANC Clients"&amp;CHAR(10),""),IF(G226&gt;SUM(G227,G228,G168)," * Sum of (KP at ANC1 and initial test at ANC1) for Age "&amp;F20&amp;" "&amp;G21&amp;" is less than New 1st ANC Clients"&amp;CHAR(10),""),IF(H226&gt;SUM(H227,H228)," * Sum of (KP at ANC1 and initial test at ANC1) for Age "&amp;H20&amp;" "&amp;H21&amp;" is less than New 1st ANC Clients"&amp;CHAR(10),""),IF(I226&gt;SUM(I227,I228,I168)," * Sum of (KP at ANC1 and initial test at ANC1) for Age "&amp;H20&amp;" "&amp;I21&amp;" is less than New 1st ANC Clients"&amp;CHAR(10),""),IF(J226&gt;SUM(J227,J228)," * Sum of (KP at ANC1 and initial test at ANC1) for Age "&amp;J20&amp;" "&amp;J21&amp;" is less than New 1st ANC Clients"&amp;CHAR(10),""),IF(K226&gt;SUM(K227,K228,K168)," * Sum of (KP at ANC1 and initial test at ANC1) for Age "&amp;J20&amp;" "&amp;K21&amp;" is less than New 1st ANC Clients"&amp;CHAR(10),""),IF(L226&gt;SUM(L227,L228)," * Sum of (KP at ANC1 and initial test at ANC1) for Age "&amp;L20&amp;" "&amp;L21&amp;" is less than New 1st ANC Clients"&amp;CHAR(10),""),IF(M226&gt;SUM(M227,M228,M168)," * Sum of (KP at ANC1 and initial test at ANC1) for Age "&amp;L20&amp;" "&amp;M21&amp;" is less than New 1st ANC Clients"&amp;CHAR(10),""),IF(N226&gt;SUM(N227,N228)," * Sum of (KP at ANC1 and initial test at ANC1) for Age "&amp;N20&amp;" "&amp;N21&amp;" is less than New 1st ANC Clients"&amp;CHAR(10),""),IF(O226&gt;SUM(O227,O228,O168)," * Sum of (KP at ANC1 and initial test at ANC1) for Age "&amp;N20&amp;" "&amp;O21&amp;" is less than New 1st ANC Clients"&amp;CHAR(10),""),IF(P226&gt;SUM(P227,P228)," * Sum of (KP at ANC1 and initial test at ANC1) for Age "&amp;P20&amp;" "&amp;P21&amp;" is less than New 1st ANC Clients"&amp;CHAR(10),""),IF(Q226&gt;SUM(Q227,Q228,Q168)," * Sum of (KP at ANC1 and initial test at ANC1) for Age "&amp;P20&amp;" "&amp;Q21&amp;" is less than New 1st ANC Clients"&amp;CHAR(10),""),IF(R226&gt;SUM(R227,R228)," * Sum of (KP at ANC1 and initial test at ANC1) for Age "&amp;R20&amp;" "&amp;R21&amp;" is less than New 1st ANC Clients"&amp;CHAR(10),""),IF(S226&gt;SUM(S227,S228,S168)," * Sum of (KP at ANC1 and initial test at ANC1) for Age "&amp;R20&amp;" "&amp;S21&amp;" is less than New 1st ANC Clients"&amp;CHAR(10),""),IF(T226&gt;SUM(T227,T228)," * Sum of (KP at ANC1 and initial test at ANC1) for Age "&amp;T20&amp;" "&amp;T21&amp;" is less than New 1st ANC Clients"&amp;CHAR(10),""),IF(U226&gt;SUM(U227,U228,U168)," * Sum of (KP at ANC1 and initial test at ANC1) for Age "&amp;T20&amp;" "&amp;U21&amp;" is less than New 1st ANC Clients"&amp;CHAR(10),""),IF(V226&gt;SUM(V227,V228)," * Sum of (KP at ANC1 and initial test at ANC1) for Age "&amp;V20&amp;" "&amp;V21&amp;" is less than New 1st ANC Clients"&amp;CHAR(10),""),IF(W226&gt;SUM(W227,W228,W168)," * Sum of (KP at ANC1 and initial test at ANC1) for Age "&amp;V20&amp;" "&amp;W21&amp;" is less than New 1st ANC Clients"&amp;CHAR(10),""),IF(X226&gt;SUM(X227,X228)," * Sum of (KP at ANC1 and initial test at ANC1) for Age "&amp;X20&amp;" "&amp;X21&amp;" is less than New 1st ANC Clients"&amp;CHAR(10),""),IF(Y226&gt;SUM(Y227,Y228,Y168)," * Sum of (KP at ANC1 and initial test at ANC1) for Age "&amp;X20&amp;" "&amp;Y21&amp;" is less than New 1st ANC Clients"&amp;CHAR(10),""),IF(Z226&gt;SUM(Z227,Z228)," * Sum of (KP at ANC1 and initial test at ANC1) for Age "&amp;Z20&amp;" "&amp;Z21&amp;" is less than New 1st ANC Clients"&amp;CHAR(10),""),IF(AA226&gt;SUM(AA227,AA228,AA168)," * Sum of (KP at ANC1 and initial test at ANC1) for Age "&amp;Z20&amp;" "&amp;AA21&amp;" is less than New 1st ANC Clients"&amp;CHAR(10),""))</f>
        <v/>
      </c>
      <c r="AL227" s="659"/>
      <c r="AM227" s="14">
        <v>197</v>
      </c>
      <c r="AN227" s="82"/>
      <c r="AO227" s="83"/>
    </row>
    <row r="228" spans="1:41" ht="25.5" x14ac:dyDescent="0.75">
      <c r="A228" s="672"/>
      <c r="B228" s="84" t="s">
        <v>692</v>
      </c>
      <c r="C228" s="85" t="s">
        <v>276</v>
      </c>
      <c r="D228" s="86"/>
      <c r="E228" s="87"/>
      <c r="F228" s="87"/>
      <c r="G228" s="87"/>
      <c r="H228" s="87"/>
      <c r="I228" s="87"/>
      <c r="J228" s="87"/>
      <c r="K228" s="88"/>
      <c r="L228" s="87"/>
      <c r="M228" s="88"/>
      <c r="N228" s="87"/>
      <c r="O228" s="88"/>
      <c r="P228" s="87"/>
      <c r="Q228" s="88"/>
      <c r="R228" s="87"/>
      <c r="S228" s="88"/>
      <c r="T228" s="87"/>
      <c r="U228" s="88"/>
      <c r="V228" s="87"/>
      <c r="W228" s="88"/>
      <c r="X228" s="87"/>
      <c r="Y228" s="88"/>
      <c r="Z228" s="87"/>
      <c r="AA228" s="398"/>
      <c r="AB228" s="434"/>
      <c r="AC228" s="401"/>
      <c r="AD228" s="401"/>
      <c r="AE228" s="401"/>
      <c r="AF228" s="401"/>
      <c r="AG228" s="357"/>
      <c r="AH228" s="446">
        <f t="shared" si="99"/>
        <v>0</v>
      </c>
      <c r="AI228" s="130" t="str">
        <f>CONCATENATE(IF(D228&gt;D226," * F06-03 for Age "&amp;D20&amp;" "&amp;D21&amp;" is more than F06-01"&amp;CHAR(10),""),IF(E228&gt;E226," * F06-03 for Age "&amp;D20&amp;" "&amp;E21&amp;" is more than F06-01"&amp;CHAR(10),""),IF(F228&gt;F226," * F06-03 for Age "&amp;F20&amp;" "&amp;F21&amp;" is more than F06-01"&amp;CHAR(10),""),IF(G228&gt;G226," * F06-03 for Age "&amp;F20&amp;" "&amp;G21&amp;" is more than F06-01"&amp;CHAR(10),""),IF(H228&gt;H226," * F06-03 for Age "&amp;H20&amp;" "&amp;H21&amp;" is more than F06-01"&amp;CHAR(10),""),IF(I228&gt;I226," * F06-03 for Age "&amp;H20&amp;" "&amp;I21&amp;" is more than F06-01"&amp;CHAR(10),""),IF(J228&gt;J226," * F06-03 for Age "&amp;J20&amp;" "&amp;J21&amp;" is more than F06-01"&amp;CHAR(10),""),IF(K228&gt;K226," * F06-03 for Age "&amp;J20&amp;" "&amp;K21&amp;" is more than F06-01"&amp;CHAR(10),""),IF(L228&gt;L226," * F06-03 for Age "&amp;L20&amp;" "&amp;L21&amp;" is more than F06-01"&amp;CHAR(10),""),IF(M228&gt;M226," * F06-03 for Age "&amp;L20&amp;" "&amp;M21&amp;" is more than F06-01"&amp;CHAR(10),""),IF(N228&gt;N226," * F06-03 for Age "&amp;N20&amp;" "&amp;N21&amp;" is more than F06-01"&amp;CHAR(10),""),IF(O228&gt;O226," * F06-03 for Age "&amp;N20&amp;" "&amp;O21&amp;" is more than F06-01"&amp;CHAR(10),""),IF(P228&gt;P226," * F06-03 for Age "&amp;P20&amp;" "&amp;P21&amp;" is more than F06-01"&amp;CHAR(10),""),IF(Q228&gt;Q226," * F06-03 for Age "&amp;P20&amp;" "&amp;Q21&amp;" is more than F06-01"&amp;CHAR(10),""),IF(R228&gt;R226," * F06-03 for Age "&amp;R20&amp;" "&amp;R21&amp;" is more than F06-01"&amp;CHAR(10),""),IF(S228&gt;S226," * F06-03 for Age "&amp;R20&amp;" "&amp;S21&amp;" is more than F06-01"&amp;CHAR(10),""),IF(T228&gt;T226," * F06-03 for Age "&amp;T20&amp;" "&amp;T21&amp;" is more than F06-01"&amp;CHAR(10),""),IF(U228&gt;U226," * F06-03 for Age "&amp;T20&amp;" "&amp;U21&amp;" is more than F06-01"&amp;CHAR(10),""),IF(V228&gt;V226," * F06-03 for Age "&amp;V20&amp;" "&amp;V21&amp;" is more than F06-01"&amp;CHAR(10),""),IF(W228&gt;W226," * F06-03 for Age "&amp;V20&amp;" "&amp;W21&amp;" is more than F06-01"&amp;CHAR(10),""),IF(X228&gt;X226," * F06-03 for Age "&amp;X20&amp;" "&amp;X21&amp;" is more than F06-01"&amp;CHAR(10),""),IF(Y228&gt;Y226," * F06-03 for Age "&amp;X20&amp;" "&amp;Y21&amp;" is more than F06-01"&amp;CHAR(10),""),IF(Z228&gt;Z226," * F06-03 for Age "&amp;Z20&amp;" "&amp;Z21&amp;" is more than F06-01"&amp;CHAR(10),""),IF(AA228&gt;AA226," * F06-03 for Age "&amp;Z20&amp;" "&amp;AA21&amp;" is more than F06-01"&amp;CHAR(10),""),IF(AH228&gt;AH226," * Total F06-03 is more than Total F06-01"&amp;CHAR(10),""))</f>
        <v/>
      </c>
      <c r="AJ228" s="656"/>
      <c r="AK228" s="33"/>
      <c r="AL228" s="659"/>
      <c r="AM228" s="14">
        <v>198</v>
      </c>
      <c r="AN228" s="82"/>
      <c r="AO228" s="83"/>
    </row>
    <row r="229" spans="1:41" ht="25.5" x14ac:dyDescent="0.75">
      <c r="A229" s="672"/>
      <c r="B229" s="188" t="s">
        <v>693</v>
      </c>
      <c r="C229" s="85" t="s">
        <v>369</v>
      </c>
      <c r="D229" s="86"/>
      <c r="E229" s="87"/>
      <c r="F229" s="87"/>
      <c r="G229" s="87"/>
      <c r="H229" s="87"/>
      <c r="I229" s="87"/>
      <c r="J229" s="87"/>
      <c r="K229" s="233"/>
      <c r="L229" s="87"/>
      <c r="M229" s="233"/>
      <c r="N229" s="87"/>
      <c r="O229" s="233"/>
      <c r="P229" s="87"/>
      <c r="Q229" s="233"/>
      <c r="R229" s="87"/>
      <c r="S229" s="233"/>
      <c r="T229" s="87"/>
      <c r="U229" s="233"/>
      <c r="V229" s="87"/>
      <c r="W229" s="233"/>
      <c r="X229" s="87"/>
      <c r="Y229" s="233"/>
      <c r="Z229" s="87"/>
      <c r="AA229" s="398"/>
      <c r="AB229" s="434"/>
      <c r="AC229" s="401"/>
      <c r="AD229" s="401"/>
      <c r="AE229" s="401"/>
      <c r="AF229" s="401"/>
      <c r="AG229" s="357"/>
      <c r="AH229" s="446">
        <f t="shared" si="99"/>
        <v>0</v>
      </c>
      <c r="AI229" s="130" t="str">
        <f>CONCATENATE(IF(D229&gt;D228," * New positive at ANC1 for Age "&amp;D20&amp;" "&amp;D21&amp;" is more than initial test at ANC1"&amp;CHAR(10),""),IF(E229&gt;E228," * New positive at ANC1 for Age "&amp;D20&amp;" "&amp;E21&amp;" is more than initial test at ANC1"&amp;CHAR(10),""),IF(F229&gt;F228," * New positive at ANC1 for Age "&amp;F20&amp;" "&amp;F21&amp;" is more than initial test at ANC1"&amp;CHAR(10),""),IF(G229&gt;G228," * New positive at ANC1 for Age "&amp;F20&amp;" "&amp;G21&amp;" is more than initial test at ANC1"&amp;CHAR(10),""),IF(H229&gt;H228," * New positive at ANC1 for Age "&amp;H20&amp;" "&amp;H21&amp;" is more than initial test at ANC1"&amp;CHAR(10),""),IF(I229&gt;I228," * New positive at ANC1 for Age "&amp;H20&amp;" "&amp;I21&amp;" is more than initial test at ANC1"&amp;CHAR(10),""),IF(J229&gt;J228," * New positive at ANC1 for Age "&amp;J20&amp;" "&amp;J21&amp;" is more than initial test at ANC1"&amp;CHAR(10),""),IF(K229&gt;K228," * New positive at ANC1 for Age "&amp;J20&amp;" "&amp;K21&amp;" is more than initial test at ANC1"&amp;CHAR(10),""),IF(L229&gt;L228," * New positive at ANC1 for Age "&amp;L20&amp;" "&amp;L21&amp;" is more than initial test at ANC1"&amp;CHAR(10),""),IF(M229&gt;M228," * New positive at ANC1 for Age "&amp;L20&amp;" "&amp;M21&amp;" is more than initial test at ANC1"&amp;CHAR(10),""),IF(N229&gt;N228," * New positive at ANC1 for Age "&amp;N20&amp;" "&amp;N21&amp;" is more than initial test at ANC1"&amp;CHAR(10),""),IF(O229&gt;O228," * New positive at ANC1 for Age "&amp;N20&amp;" "&amp;O21&amp;" is more than initial test at ANC1"&amp;CHAR(10),""),IF(P229&gt;P228," * New positive at ANC1 for Age "&amp;P20&amp;" "&amp;P21&amp;" is more than initial test at ANC1"&amp;CHAR(10),""),IF(Q229&gt;Q228," * New positive at ANC1 for Age "&amp;P20&amp;" "&amp;Q21&amp;" is more than initial test at ANC1"&amp;CHAR(10),""),IF(R229&gt;R228," * New positive at ANC1 for Age "&amp;R20&amp;" "&amp;R21&amp;" is more than initial test at ANC1"&amp;CHAR(10),""),IF(S229&gt;S228," * New positive at ANC1 for Age "&amp;R20&amp;" "&amp;S21&amp;" is more than initial test at ANC1"&amp;CHAR(10),""),IF(T229&gt;T228," * New positive at ANC1 for Age "&amp;T20&amp;" "&amp;T21&amp;" is more than initial test at ANC1"&amp;CHAR(10),""),IF(U229&gt;U228," * New positive at ANC1 for Age "&amp;T20&amp;" "&amp;U21&amp;" is more than initial test at ANC1"&amp;CHAR(10),""),IF(V229&gt;V228," * New positive at ANC1 for Age "&amp;V20&amp;" "&amp;V21&amp;" is more than initial test at ANC1"&amp;CHAR(10),""),IF(W229&gt;W228," * New positive at ANC1 for Age "&amp;V20&amp;" "&amp;W21&amp;" is more than initial test at ANC1"&amp;CHAR(10),""),IF(X229&gt;X228," * New positive at ANC1 for Age "&amp;X20&amp;" "&amp;X21&amp;" is more than initial test at ANC1"&amp;CHAR(10),""),IF(Y229&gt;Y228," * New positive at ANC1 for Age "&amp;X20&amp;" "&amp;Y21&amp;" is more than initial test at ANC1"&amp;CHAR(10),""),IF(Z229&gt;Z228," * New positive at ANC1 for Age "&amp;Z20&amp;" "&amp;Z21&amp;" is more than initial test at ANC1"&amp;CHAR(10),""),IF(AA229&gt;AA228," * New positive at ANC1 for Age "&amp;Z20&amp;" "&amp;AA21&amp;" is more than initial test at ANC1"&amp;CHAR(10),""),IF(AH229&gt;AH228," * Total New positive at ANC1 is more than Total initial test at ANC1"&amp;CHAR(10),""))</f>
        <v/>
      </c>
      <c r="AJ229" s="656"/>
      <c r="AK229" s="33"/>
      <c r="AL229" s="659"/>
      <c r="AM229" s="14">
        <v>199</v>
      </c>
      <c r="AN229" s="82"/>
      <c r="AO229" s="83"/>
    </row>
    <row r="230" spans="1:41" ht="25.5" x14ac:dyDescent="0.75">
      <c r="A230" s="672"/>
      <c r="B230" s="236" t="s">
        <v>476</v>
      </c>
      <c r="C230" s="85" t="s">
        <v>480</v>
      </c>
      <c r="D230" s="86"/>
      <c r="E230" s="87"/>
      <c r="F230" s="87"/>
      <c r="G230" s="87"/>
      <c r="H230" s="87"/>
      <c r="I230" s="87"/>
      <c r="J230" s="87"/>
      <c r="K230" s="237">
        <f>K228+K227</f>
        <v>0</v>
      </c>
      <c r="L230" s="87"/>
      <c r="M230" s="237">
        <f>M228+M227</f>
        <v>0</v>
      </c>
      <c r="N230" s="87"/>
      <c r="O230" s="237">
        <f>O228+O227</f>
        <v>0</v>
      </c>
      <c r="P230" s="87"/>
      <c r="Q230" s="237">
        <f>Q228+Q227</f>
        <v>0</v>
      </c>
      <c r="R230" s="87"/>
      <c r="S230" s="237">
        <f>S228+S227</f>
        <v>0</v>
      </c>
      <c r="T230" s="87"/>
      <c r="U230" s="237">
        <f>U228+U227</f>
        <v>0</v>
      </c>
      <c r="V230" s="87"/>
      <c r="W230" s="237">
        <f>W228+W227</f>
        <v>0</v>
      </c>
      <c r="X230" s="87"/>
      <c r="Y230" s="237">
        <f>Y228+Y227</f>
        <v>0</v>
      </c>
      <c r="Z230" s="87"/>
      <c r="AA230" s="398"/>
      <c r="AB230" s="434"/>
      <c r="AC230" s="401"/>
      <c r="AD230" s="401"/>
      <c r="AE230" s="401"/>
      <c r="AF230" s="401"/>
      <c r="AG230" s="357"/>
      <c r="AH230" s="446">
        <f t="shared" si="99"/>
        <v>0</v>
      </c>
      <c r="AI230" s="130"/>
      <c r="AJ230" s="656"/>
      <c r="AK230" s="33"/>
      <c r="AL230" s="659"/>
      <c r="AM230" s="14">
        <v>200</v>
      </c>
      <c r="AN230" s="82"/>
      <c r="AO230" s="83"/>
    </row>
    <row r="231" spans="1:41" ht="25.9" thickBot="1" x14ac:dyDescent="0.8">
      <c r="A231" s="673"/>
      <c r="B231" s="238" t="s">
        <v>481</v>
      </c>
      <c r="C231" s="97" t="s">
        <v>497</v>
      </c>
      <c r="D231" s="114"/>
      <c r="E231" s="113"/>
      <c r="F231" s="113"/>
      <c r="G231" s="113"/>
      <c r="H231" s="113"/>
      <c r="I231" s="113"/>
      <c r="J231" s="113"/>
      <c r="K231" s="239">
        <f>K229+K227</f>
        <v>0</v>
      </c>
      <c r="L231" s="113"/>
      <c r="M231" s="239">
        <f>M229+M227</f>
        <v>0</v>
      </c>
      <c r="N231" s="113"/>
      <c r="O231" s="239">
        <f>O229+O227</f>
        <v>0</v>
      </c>
      <c r="P231" s="113"/>
      <c r="Q231" s="239">
        <f>Q229+Q227</f>
        <v>0</v>
      </c>
      <c r="R231" s="113"/>
      <c r="S231" s="239">
        <f>S229+S227</f>
        <v>0</v>
      </c>
      <c r="T231" s="113"/>
      <c r="U231" s="239">
        <f>U229+U227</f>
        <v>0</v>
      </c>
      <c r="V231" s="113"/>
      <c r="W231" s="239">
        <f>W229+W227</f>
        <v>0</v>
      </c>
      <c r="X231" s="113"/>
      <c r="Y231" s="239">
        <f>Y229+Y227</f>
        <v>0</v>
      </c>
      <c r="Z231" s="113"/>
      <c r="AA231" s="368"/>
      <c r="AB231" s="434"/>
      <c r="AC231" s="401"/>
      <c r="AD231" s="401"/>
      <c r="AE231" s="401"/>
      <c r="AF231" s="401"/>
      <c r="AG231" s="357"/>
      <c r="AH231" s="447">
        <f t="shared" si="99"/>
        <v>0</v>
      </c>
      <c r="AI231" s="130"/>
      <c r="AJ231" s="656"/>
      <c r="AK231" s="33"/>
      <c r="AL231" s="659"/>
      <c r="AM231" s="14">
        <v>201</v>
      </c>
      <c r="AN231" s="82"/>
      <c r="AO231" s="83"/>
    </row>
    <row r="232" spans="1:41" ht="25.5" x14ac:dyDescent="0.75">
      <c r="A232" s="636" t="s">
        <v>1020</v>
      </c>
      <c r="B232" s="240" t="s">
        <v>694</v>
      </c>
      <c r="C232" s="77" t="s">
        <v>281</v>
      </c>
      <c r="D232" s="109"/>
      <c r="E232" s="110"/>
      <c r="F232" s="110"/>
      <c r="G232" s="110"/>
      <c r="H232" s="110"/>
      <c r="I232" s="110"/>
      <c r="J232" s="110"/>
      <c r="K232" s="105"/>
      <c r="L232" s="110"/>
      <c r="M232" s="105"/>
      <c r="N232" s="110"/>
      <c r="O232" s="105"/>
      <c r="P232" s="110"/>
      <c r="Q232" s="105"/>
      <c r="R232" s="110"/>
      <c r="S232" s="105"/>
      <c r="T232" s="110"/>
      <c r="U232" s="105"/>
      <c r="V232" s="110"/>
      <c r="W232" s="105"/>
      <c r="X232" s="110"/>
      <c r="Y232" s="105"/>
      <c r="Z232" s="110"/>
      <c r="AA232" s="367"/>
      <c r="AB232" s="434"/>
      <c r="AC232" s="401"/>
      <c r="AD232" s="401"/>
      <c r="AE232" s="401"/>
      <c r="AF232" s="401"/>
      <c r="AG232" s="357"/>
      <c r="AH232" s="448">
        <f t="shared" si="99"/>
        <v>0</v>
      </c>
      <c r="AI232" s="757" t="str">
        <f>CONCATENATE(IF(D233&gt;D232," * Initial positive results at ANC 2 and above for Age "&amp;D20&amp;" "&amp;D21&amp;" is more than Initial test at ANC 2 and above"&amp;CHAR(10),""),IF(E233&gt;E232," * Initial positive results at ANC 2 and above for Age "&amp;D20&amp;" "&amp;E21&amp;" is more than Initial test at ANC 2 and above"&amp;CHAR(10),""),IF(F233&gt;F232," * Initial positive results at ANC 2 and above for Age "&amp;F20&amp;" "&amp;F21&amp;" is more than Initial test at ANC 2 and above"&amp;CHAR(10),""),IF(G233&gt;G232," * Initial positive results at ANC 2 and above for Age "&amp;F20&amp;" "&amp;G21&amp;" is more than Initial test at ANC 2 and above"&amp;CHAR(10),""),IF(H233&gt;H232," * Initial positive results at ANC 2 and above for Age "&amp;H20&amp;" "&amp;H21&amp;" is more than Initial test at ANC 2 and above"&amp;CHAR(10),""),IF(I233&gt;I232," * Initial positive results at ANC 2 and above for Age "&amp;H20&amp;" "&amp;I21&amp;" is more than Initial test at ANC 2 and above"&amp;CHAR(10),""),IF(J233&gt;J232," * Initial positive results at ANC 2 and above for Age "&amp;J20&amp;" "&amp;J21&amp;" is more than Initial test at ANC 2 and above"&amp;CHAR(10),""),IF(K233&gt;K232," * Initial positive results at ANC 2 and above for Age "&amp;J20&amp;" "&amp;K21&amp;" is more than Initial test at ANC 2 and above"&amp;CHAR(10),""),IF(L233&gt;L232," * Initial positive results at ANC 2 and above for Age "&amp;L20&amp;" "&amp;L21&amp;" is more than Initial test at ANC 2 and above"&amp;CHAR(10),""),IF(M233&gt;M232," * Initial positive results at ANC 2 and above for Age "&amp;L20&amp;" "&amp;M21&amp;" is more than Initial test at ANC 2 and above"&amp;CHAR(10),""),IF(N233&gt;N232," * Initial positive results at ANC 2 and above for Age "&amp;N20&amp;" "&amp;N21&amp;" is more than Initial test at ANC 2 and above"&amp;CHAR(10),""),IF(O233&gt;O232," * Initial positive results at ANC 2 and above for Age "&amp;N20&amp;" "&amp;O21&amp;" is more than Initial test at ANC 2 and above"&amp;CHAR(10),""),IF(P233&gt;P232," * Initial positive results at ANC 2 and above for Age "&amp;P20&amp;" "&amp;P21&amp;" is more than Initial test at ANC 2 and above"&amp;CHAR(10),""),IF(Q233&gt;Q232," * Initial positive results at ANC 2 and above for Age "&amp;P20&amp;" "&amp;Q21&amp;" is more than Initial test at ANC 2 and above"&amp;CHAR(10),""),IF(R233&gt;R232," * Initial positive results at ANC 2 and above for Age "&amp;R20&amp;" "&amp;R21&amp;" is more than Initial test at ANC 2 and above"&amp;CHAR(10),""),IF(S233&gt;S232," * Initial positive results at ANC 2 and above for Age "&amp;R20&amp;" "&amp;S21&amp;" is more than Initial test at ANC 2 and above"&amp;CHAR(10),""),IF(T233&gt;T232," * Initial positive results at ANC 2 and above for Age "&amp;T20&amp;" "&amp;T21&amp;" is more than Initial test at ANC 2 and above"&amp;CHAR(10),""),IF(U233&gt;U232," * Initial positive results at ANC 2 and above for Age "&amp;T20&amp;" "&amp;U21&amp;" is more than Initial test at ANC 2 and above"&amp;CHAR(10),""),IF(V233&gt;V232," * Initial positive results at ANC 2 and above for Age "&amp;V20&amp;" "&amp;V21&amp;" is more than Initial test at ANC 2 and above"&amp;CHAR(10),""),IF(W233&gt;W232," * Initial positive results at ANC 2 and above for Age "&amp;V20&amp;" "&amp;W21&amp;" is more than Initial test at ANC 2 and above"&amp;CHAR(10),""),IF(X233&gt;X232," * Initial positive results at ANC 2 and above for Age "&amp;X20&amp;" "&amp;X21&amp;" is more than Initial test at ANC 2 and above"&amp;CHAR(10),""),IF(Y233&gt;Y232," * Initial positive results at ANC 2 and above for Age "&amp;X20&amp;" "&amp;Y21&amp;" is more than Initial test at ANC 2 and above"&amp;CHAR(10),""),IF(Z233&gt;Z232," * Initial positive results at ANC 2 and above for Age "&amp;Z20&amp;" "&amp;Z21&amp;" is more than Initial test at ANC 2 and above"&amp;CHAR(10),""),IF(AA233&gt;AA232," * Initial positive results at ANC 2 and above for Age "&amp;Z20&amp;" "&amp;AA21&amp;" is more than Initial test at ANC 2 and above"&amp;CHAR(10),""))</f>
        <v/>
      </c>
      <c r="AJ232" s="656"/>
      <c r="AK232" s="33"/>
      <c r="AL232" s="659"/>
      <c r="AM232" s="14">
        <v>202</v>
      </c>
      <c r="AN232" s="82"/>
      <c r="AO232" s="83"/>
    </row>
    <row r="233" spans="1:41" ht="25.5" x14ac:dyDescent="0.75">
      <c r="A233" s="670"/>
      <c r="B233" s="241" t="s">
        <v>478</v>
      </c>
      <c r="C233" s="85" t="s">
        <v>282</v>
      </c>
      <c r="D233" s="86"/>
      <c r="E233" s="87"/>
      <c r="F233" s="87"/>
      <c r="G233" s="87"/>
      <c r="H233" s="87"/>
      <c r="I233" s="87"/>
      <c r="J233" s="87"/>
      <c r="K233" s="233"/>
      <c r="L233" s="234"/>
      <c r="M233" s="233"/>
      <c r="N233" s="234"/>
      <c r="O233" s="233"/>
      <c r="P233" s="234"/>
      <c r="Q233" s="233"/>
      <c r="R233" s="234"/>
      <c r="S233" s="233"/>
      <c r="T233" s="234"/>
      <c r="U233" s="233"/>
      <c r="V233" s="234"/>
      <c r="W233" s="233"/>
      <c r="X233" s="234"/>
      <c r="Y233" s="233"/>
      <c r="Z233" s="87"/>
      <c r="AA233" s="398"/>
      <c r="AB233" s="434"/>
      <c r="AC233" s="401"/>
      <c r="AD233" s="401"/>
      <c r="AE233" s="401"/>
      <c r="AF233" s="401"/>
      <c r="AG233" s="357"/>
      <c r="AH233" s="446">
        <f t="shared" si="99"/>
        <v>0</v>
      </c>
      <c r="AI233" s="757"/>
      <c r="AJ233" s="656"/>
      <c r="AK233" s="33"/>
      <c r="AL233" s="659"/>
      <c r="AM233" s="14">
        <v>203</v>
      </c>
      <c r="AN233" s="82"/>
      <c r="AO233" s="83"/>
    </row>
    <row r="234" spans="1:41" ht="31.15" customHeight="1" x14ac:dyDescent="0.75">
      <c r="A234" s="670"/>
      <c r="B234" s="84" t="s">
        <v>483</v>
      </c>
      <c r="C234" s="85" t="s">
        <v>485</v>
      </c>
      <c r="D234" s="86"/>
      <c r="E234" s="87"/>
      <c r="F234" s="87"/>
      <c r="G234" s="87"/>
      <c r="H234" s="87"/>
      <c r="I234" s="87"/>
      <c r="J234" s="87"/>
      <c r="K234" s="88"/>
      <c r="L234" s="87"/>
      <c r="M234" s="88"/>
      <c r="N234" s="87"/>
      <c r="O234" s="88"/>
      <c r="P234" s="87"/>
      <c r="Q234" s="88"/>
      <c r="R234" s="87"/>
      <c r="S234" s="88"/>
      <c r="T234" s="87"/>
      <c r="U234" s="88"/>
      <c r="V234" s="87"/>
      <c r="W234" s="88"/>
      <c r="X234" s="87"/>
      <c r="Y234" s="88"/>
      <c r="Z234" s="87"/>
      <c r="AA234" s="398"/>
      <c r="AB234" s="434"/>
      <c r="AC234" s="401"/>
      <c r="AD234" s="401"/>
      <c r="AE234" s="401"/>
      <c r="AF234" s="401"/>
      <c r="AG234" s="357"/>
      <c r="AH234" s="446">
        <f t="shared" si="99"/>
        <v>0</v>
      </c>
      <c r="AI234" s="32" t="str">
        <f>CONCATENATE(IF(D235&gt;D234," * Retesting at ANC 2 and above For age "&amp;$D$20&amp;" "&amp;$D$21&amp;" is less than  than Retesting positive result at ANC 2 and above"&amp;CHAR(10),""),IF(E235&gt;E234," * Retesting at ANC 2 and above For age "&amp;$D$20&amp;" "&amp;$E$21&amp;" is less than  than Retesting positive result at ANC 2 and above"&amp;CHAR(10),""),IF(F235&gt;F234," * Retesting at ANC 2 and above For age "&amp;$F$20&amp;" "&amp;$F$21&amp;" is less than  than Retesting positive result at ANC 2 and above"&amp;CHAR(10),""),IF(G235&gt;G234," * Retesting at ANC 2 and above For age "&amp;$F$20&amp;" "&amp;$G$21&amp;" is less than  than Retesting positive result at ANC 2 and above"&amp;CHAR(10),""),IF(H235&gt;H234," * Retesting at ANC 2 and above For age "&amp;$H$20&amp;" "&amp;$H$21&amp;" is less than  than Retesting positive result at ANC 2 and above"&amp;CHAR(10),""),IF(I235&gt;I234," * Retesting at ANC 2 and above For age "&amp;$H$20&amp;" "&amp;$I$21&amp;" is less than  than Retesting positive result at ANC 2 and above"&amp;CHAR(10),""),IF(J235&gt;J234," * Retesting at ANC 2 and above For age "&amp;$J$20&amp;" "&amp;$J$21&amp;" is less than  than Retesting positive result at ANC 2 and above"&amp;CHAR(10),""),IF(K235&gt;K234," * Retesting at ANC 2 and above For age "&amp;$J$20&amp;" "&amp;$K$21&amp;" is less than  than Retesting positive result at ANC 2 and above"&amp;CHAR(10),""),IF(L235&gt;L234," * Retesting at ANC 2 and above For age "&amp;$L$20&amp;" "&amp;$L$21&amp;" is less than  than Retesting positive result at ANC 2 and above"&amp;CHAR(10),""),IF(M235&gt;M234," * Retesting at ANC 2 and above For age "&amp;$L$20&amp;" "&amp;$M$21&amp;" is less than  than Retesting positive result at ANC 2 and above"&amp;CHAR(10),""),IF(N235&gt;N234," * Retesting at ANC 2 and above For age "&amp;$N$20&amp;" "&amp;$N$21&amp;" is less than  than Retesting positive result at ANC 2 and above"&amp;CHAR(10),""),IF(O235&gt;O234," * Retesting at ANC 2 and above For age "&amp;$N$20&amp;" "&amp;$O$21&amp;" is less than  than Retesting positive result at ANC 2 and above"&amp;CHAR(10),""),IF(P235&gt;P234," * Retesting at ANC 2 and above For age "&amp;$P$20&amp;" "&amp;$P$21&amp;" is less than  than Retesting positive result at ANC 2 and above"&amp;CHAR(10),""),IF(Q235&gt;Q234," * Retesting at ANC 2 and above For age "&amp;$P$20&amp;" "&amp;$Q$21&amp;" is less than  than Retesting positive result at ANC 2 and above"&amp;CHAR(10),""),IF(R235&gt;R234," * Retesting at ANC 2 and above For age "&amp;$R$20&amp;" "&amp;$R$21&amp;" is less than  than Retesting positive result at ANC 2 and above"&amp;CHAR(10),""),IF(S235&gt;S234," * Retesting at ANC 2 and above For age "&amp;$R$20&amp;" "&amp;$S$21&amp;" is less than  than Retesting positive result at ANC 2 and above"&amp;CHAR(10),""),IF(T235&gt;T234," * Retesting at ANC 2 and above For age "&amp;$T$20&amp;" "&amp;$T$21&amp;" is less than  than Retesting positive result at ANC 2 and above"&amp;CHAR(10),""),IF(U235&gt;U234," * Retesting at ANC 2 and above For age "&amp;$T$20&amp;" "&amp;$U$21&amp;" is less than  than Retesting positive result at ANC 2 and above"&amp;CHAR(10),""),IF(V235&gt;V234," * Retesting at ANC 2 and above For age "&amp;$V$20&amp;" "&amp;$V$21&amp;" is less than  than Retesting positive result at ANC 2 and above"&amp;CHAR(10),""),IF(W235&gt;W234," * Retesting at ANC 2 and above For age "&amp;$V$20&amp;" "&amp;$W$21&amp;" is less than  than Retesting positive result at ANC 2 and above"&amp;CHAR(10),""),IF(X235&gt;X234," * Retesting at ANC 2 and above For age "&amp;$X$20&amp;" "&amp;$X$21&amp;" is less than  than Retesting positive result at ANC 2 and above"&amp;CHAR(10),""),IF(Y235&gt;Y234," * Retesting at ANC 2 and above For age "&amp;$X$20&amp;" "&amp;$Y$21&amp;" is less than  than Retesting positive result at ANC 2 and above"&amp;CHAR(10),""),IF(Z235&gt;Z234," * Retesting at ANC 2 and above For age "&amp;$Z$20&amp;" "&amp;$Z$21&amp;" is less than  than Retesting positive result at ANC 2 and above"&amp;CHAR(10),""),IF(AA235&gt;AA234," * Retesting at ANC 2 and above For age "&amp;$Z$20&amp;" "&amp;$AA$21&amp;" is less than  than Retesting positive result at ANC 2 and above"&amp;CHAR(10),""))</f>
        <v/>
      </c>
      <c r="AJ234" s="656"/>
      <c r="AK234" s="33"/>
      <c r="AL234" s="659"/>
      <c r="AM234" s="14">
        <v>204</v>
      </c>
      <c r="AN234" s="82"/>
      <c r="AO234" s="83"/>
    </row>
    <row r="235" spans="1:41" ht="25.9" thickBot="1" x14ac:dyDescent="0.8">
      <c r="A235" s="637"/>
      <c r="B235" s="106" t="s">
        <v>484</v>
      </c>
      <c r="C235" s="97" t="s">
        <v>486</v>
      </c>
      <c r="D235" s="114"/>
      <c r="E235" s="113"/>
      <c r="F235" s="113"/>
      <c r="G235" s="113"/>
      <c r="H235" s="113"/>
      <c r="I235" s="113"/>
      <c r="J235" s="242"/>
      <c r="K235" s="108"/>
      <c r="L235" s="242"/>
      <c r="M235" s="108"/>
      <c r="N235" s="242"/>
      <c r="O235" s="108"/>
      <c r="P235" s="242"/>
      <c r="Q235" s="108"/>
      <c r="R235" s="242"/>
      <c r="S235" s="108"/>
      <c r="T235" s="242"/>
      <c r="U235" s="108"/>
      <c r="V235" s="242"/>
      <c r="W235" s="108"/>
      <c r="X235" s="242"/>
      <c r="Y235" s="108"/>
      <c r="Z235" s="113"/>
      <c r="AA235" s="368"/>
      <c r="AB235" s="434"/>
      <c r="AC235" s="401"/>
      <c r="AD235" s="401"/>
      <c r="AE235" s="401"/>
      <c r="AF235" s="401"/>
      <c r="AG235" s="357"/>
      <c r="AH235" s="447">
        <f t="shared" si="99"/>
        <v>0</v>
      </c>
      <c r="AI235" s="148"/>
      <c r="AJ235" s="656"/>
      <c r="AK235" s="33"/>
      <c r="AL235" s="659"/>
      <c r="AM235" s="14">
        <v>205</v>
      </c>
      <c r="AN235" s="82"/>
      <c r="AO235" s="83"/>
    </row>
    <row r="236" spans="1:41" ht="25.5" x14ac:dyDescent="0.75">
      <c r="A236" s="666" t="s">
        <v>487</v>
      </c>
      <c r="B236" s="102" t="s">
        <v>695</v>
      </c>
      <c r="C236" s="77" t="s">
        <v>370</v>
      </c>
      <c r="D236" s="109"/>
      <c r="E236" s="110"/>
      <c r="F236" s="110"/>
      <c r="G236" s="110"/>
      <c r="H236" s="110"/>
      <c r="I236" s="110"/>
      <c r="J236" s="110"/>
      <c r="K236" s="105"/>
      <c r="L236" s="110"/>
      <c r="M236" s="105"/>
      <c r="N236" s="110"/>
      <c r="O236" s="105"/>
      <c r="P236" s="110"/>
      <c r="Q236" s="105"/>
      <c r="R236" s="110"/>
      <c r="S236" s="105"/>
      <c r="T236" s="110"/>
      <c r="U236" s="105"/>
      <c r="V236" s="110"/>
      <c r="W236" s="105"/>
      <c r="X236" s="110"/>
      <c r="Y236" s="105"/>
      <c r="Z236" s="110"/>
      <c r="AA236" s="367"/>
      <c r="AB236" s="434"/>
      <c r="AC236" s="401"/>
      <c r="AD236" s="401"/>
      <c r="AE236" s="401"/>
      <c r="AF236" s="401"/>
      <c r="AG236" s="357"/>
      <c r="AH236" s="448">
        <f t="shared" si="99"/>
        <v>0</v>
      </c>
      <c r="AI236" s="757" t="str">
        <f>CONCATENATE(IF(D237&gt;D236," * F06-08 for Age "&amp;D20&amp;" "&amp;D21&amp;" is more than F06-07"&amp;CHAR(10),""),IF(E237&gt;E236," * F06-08 for Age "&amp;D20&amp;" "&amp;E21&amp;" is more than F06-07"&amp;CHAR(10),""),IF(F237&gt;F236," * F06-08 for Age "&amp;F20&amp;" "&amp;F21&amp;" is more than F06-07"&amp;CHAR(10),""),IF(G237&gt;G236," * F06-08 for Age "&amp;F20&amp;" "&amp;G21&amp;" is more than F06-07"&amp;CHAR(10),""),IF(H237&gt;H236," * F06-08 for Age "&amp;H20&amp;" "&amp;H21&amp;" is more than F06-07"&amp;CHAR(10),""),IF(I237&gt;I236," * F06-08 for Age "&amp;H20&amp;" "&amp;I21&amp;" is more than F06-07"&amp;CHAR(10),""),IF(J237&gt;J236," * F06-08 for Age "&amp;J20&amp;" "&amp;J21&amp;" is more than F06-07"&amp;CHAR(10),""),IF(K237&gt;K236," * F06-08 for Age "&amp;J20&amp;" "&amp;K21&amp;" is more than F06-07"&amp;CHAR(10),""),IF(L237&gt;L236," * F06-08 for Age "&amp;L20&amp;" "&amp;L21&amp;" is more than F06-07"&amp;CHAR(10),""),IF(M237&gt;M236," * F06-08 for Age "&amp;L20&amp;" "&amp;M21&amp;" is more than F06-07"&amp;CHAR(10),""),IF(N237&gt;N236," * F06-08 for Age "&amp;N20&amp;" "&amp;N21&amp;" is more than F06-07"&amp;CHAR(10),""),IF(O237&gt;O236," * F06-08 for Age "&amp;N20&amp;" "&amp;O21&amp;" is more than F06-07"&amp;CHAR(10),""),IF(P237&gt;P236," * F06-08 for Age "&amp;P20&amp;" "&amp;P21&amp;" is more than F06-07"&amp;CHAR(10),""),IF(Q237&gt;Q236," * F06-08 for Age "&amp;P20&amp;" "&amp;Q21&amp;" is more than F06-07"&amp;CHAR(10),""),IF(R237&gt;R236," * F06-08 for Age "&amp;R20&amp;" "&amp;R21&amp;" is more than F06-07"&amp;CHAR(10),""),IF(S237&gt;S236," * F06-08 for Age "&amp;R20&amp;" "&amp;S21&amp;" is more than F06-07"&amp;CHAR(10),""),IF(T237&gt;T236," * F06-08 for Age "&amp;T20&amp;" "&amp;T21&amp;" is more than F06-07"&amp;CHAR(10),""),IF(U237&gt;U236," * F06-08 for Age "&amp;T20&amp;" "&amp;U21&amp;" is more than F06-07"&amp;CHAR(10),""),IF(V237&gt;V236," * F06-08 for Age "&amp;V20&amp;" "&amp;V21&amp;" is more than F06-07"&amp;CHAR(10),""),IF(W237&gt;W236," * F06-08 for Age "&amp;V20&amp;" "&amp;W21&amp;" is more than F06-07"&amp;CHAR(10),""),IF(X237&gt;X236," * F06-08 for Age "&amp;X20&amp;" "&amp;X21&amp;" is more than F06-07"&amp;CHAR(10),""),IF(Y237&gt;Y236," * F06-08 for Age "&amp;X20&amp;" "&amp;Y21&amp;" is more than F06-07"&amp;CHAR(10),""),IF(Z237&gt;Z236," * F06-08 for Age "&amp;Z20&amp;" "&amp;Z21&amp;" is more than F06-07"&amp;CHAR(10),""),IF(AA237&gt;AA236," * F06-08 for Age "&amp;Z20&amp;" "&amp;AA21&amp;" is more than F06-07"&amp;CHAR(10),""),IF(AH237&gt;AH236," * Total F06-08 is more than Total F06-07"&amp;CHAR(10),""))</f>
        <v/>
      </c>
      <c r="AJ236" s="656"/>
      <c r="AK236" s="33"/>
      <c r="AL236" s="659"/>
      <c r="AM236" s="14">
        <v>206</v>
      </c>
      <c r="AN236" s="82"/>
      <c r="AO236" s="83"/>
    </row>
    <row r="237" spans="1:41" ht="25.5" x14ac:dyDescent="0.75">
      <c r="A237" s="667"/>
      <c r="B237" s="241" t="s">
        <v>696</v>
      </c>
      <c r="C237" s="85" t="s">
        <v>371</v>
      </c>
      <c r="D237" s="86"/>
      <c r="E237" s="87"/>
      <c r="F237" s="87"/>
      <c r="G237" s="87"/>
      <c r="H237" s="87"/>
      <c r="I237" s="87"/>
      <c r="J237" s="87"/>
      <c r="K237" s="233"/>
      <c r="L237" s="234"/>
      <c r="M237" s="233"/>
      <c r="N237" s="234"/>
      <c r="O237" s="233"/>
      <c r="P237" s="234"/>
      <c r="Q237" s="233"/>
      <c r="R237" s="234"/>
      <c r="S237" s="233"/>
      <c r="T237" s="234"/>
      <c r="U237" s="233"/>
      <c r="V237" s="234"/>
      <c r="W237" s="233"/>
      <c r="X237" s="234"/>
      <c r="Y237" s="233"/>
      <c r="Z237" s="234"/>
      <c r="AA237" s="398"/>
      <c r="AB237" s="434"/>
      <c r="AC237" s="401"/>
      <c r="AD237" s="401"/>
      <c r="AE237" s="401"/>
      <c r="AF237" s="401"/>
      <c r="AG237" s="357"/>
      <c r="AH237" s="446">
        <f t="shared" si="99"/>
        <v>0</v>
      </c>
      <c r="AI237" s="757"/>
      <c r="AJ237" s="656"/>
      <c r="AK237" s="33"/>
      <c r="AL237" s="659"/>
      <c r="AM237" s="14">
        <v>207</v>
      </c>
      <c r="AN237" s="82"/>
      <c r="AO237" s="83"/>
    </row>
    <row r="238" spans="1:41" ht="25.5" x14ac:dyDescent="0.75">
      <c r="A238" s="667"/>
      <c r="B238" s="84" t="s">
        <v>697</v>
      </c>
      <c r="C238" s="85" t="s">
        <v>646</v>
      </c>
      <c r="D238" s="86"/>
      <c r="E238" s="87"/>
      <c r="F238" s="87"/>
      <c r="G238" s="87"/>
      <c r="H238" s="87"/>
      <c r="I238" s="87"/>
      <c r="J238" s="87"/>
      <c r="K238" s="88"/>
      <c r="L238" s="87"/>
      <c r="M238" s="88"/>
      <c r="N238" s="87"/>
      <c r="O238" s="88"/>
      <c r="P238" s="87"/>
      <c r="Q238" s="88"/>
      <c r="R238" s="87"/>
      <c r="S238" s="88"/>
      <c r="T238" s="87"/>
      <c r="U238" s="88"/>
      <c r="V238" s="87"/>
      <c r="W238" s="88"/>
      <c r="X238" s="87"/>
      <c r="Y238" s="88"/>
      <c r="Z238" s="87"/>
      <c r="AA238" s="398"/>
      <c r="AB238" s="434"/>
      <c r="AC238" s="401"/>
      <c r="AD238" s="401"/>
      <c r="AE238" s="401"/>
      <c r="AF238" s="401"/>
      <c r="AG238" s="357"/>
      <c r="AH238" s="446">
        <f t="shared" si="99"/>
        <v>0</v>
      </c>
      <c r="AI238" s="32" t="str">
        <f>CONCATENATE(IF(D239&gt;D238," * Retesting at L&amp;D For age "&amp;$D$20&amp;" "&amp;$D$21&amp;" is less than  than Retesting positive result at L&amp;D"&amp;CHAR(10),""),IF(E239&gt;E238," * Retesting at L&amp;D For age "&amp;$D$20&amp;" "&amp;$E$21&amp;" is less than  than Retesting positive result at L&amp;D"&amp;CHAR(10),""),IF(F239&gt;F238," * Retesting at L&amp;D For age "&amp;$F$20&amp;" "&amp;$F$21&amp;" is less than  than Retesting positive result at L&amp;D"&amp;CHAR(10),""),IF(G239&gt;G238," * Retesting at L&amp;D For age "&amp;$F$20&amp;" "&amp;$G$21&amp;" is less than  than Retesting positive result at L&amp;D"&amp;CHAR(10),""),IF(H239&gt;H238," * Retesting at L&amp;D For age "&amp;$H$20&amp;" "&amp;$H$21&amp;" is less than  than Retesting positive result at L&amp;D"&amp;CHAR(10),""),IF(I239&gt;I238," * Retesting at L&amp;D For age "&amp;$H$20&amp;" "&amp;$I$21&amp;" is less than  than Retesting positive result at L&amp;D"&amp;CHAR(10),""),IF(J239&gt;J238," * Retesting at L&amp;D For age "&amp;$J$20&amp;" "&amp;$J$21&amp;" is less than  than Retesting positive result at L&amp;D"&amp;CHAR(10),""),IF(K239&gt;K238," * Retesting at L&amp;D For age "&amp;$J$20&amp;" "&amp;$K$21&amp;" is less than  than Retesting positive result at L&amp;D"&amp;CHAR(10),""),IF(L239&gt;L238," * Retesting at L&amp;D For age "&amp;$L$20&amp;" "&amp;$L$21&amp;" is less than  than Retesting positive result at L&amp;D"&amp;CHAR(10),""),IF(M239&gt;M238," * Retesting at L&amp;D For age "&amp;$L$20&amp;" "&amp;$M$21&amp;" is less than  than Retesting positive result at L&amp;D"&amp;CHAR(10),""),IF(N239&gt;N238," * Retesting at L&amp;D For age "&amp;$N$20&amp;" "&amp;$N$21&amp;" is less than  than Retesting positive result at L&amp;D"&amp;CHAR(10),""),IF(O239&gt;O238," * Retesting at L&amp;D For age "&amp;$N$20&amp;" "&amp;$O$21&amp;" is less than  than Retesting positive result at L&amp;D"&amp;CHAR(10),""),IF(P239&gt;P238," * Retesting at L&amp;D For age "&amp;$P$20&amp;" "&amp;$P$21&amp;" is less than  than Retesting positive result at L&amp;D"&amp;CHAR(10),""),IF(Q239&gt;Q238," * Retesting at L&amp;D For age "&amp;$P$20&amp;" "&amp;$Q$21&amp;" is less than  than Retesting positive result at L&amp;D"&amp;CHAR(10),""),IF(R239&gt;R238," * Retesting at L&amp;D For age "&amp;$R$20&amp;" "&amp;$R$21&amp;" is less than  than Retesting positive result at L&amp;D"&amp;CHAR(10),""),IF(S239&gt;S238," * Retesting at L&amp;D For age "&amp;$R$20&amp;" "&amp;$S$21&amp;" is less than  than Retesting positive result at L&amp;D"&amp;CHAR(10),""),IF(T239&gt;T238," * Retesting at L&amp;D For age "&amp;$T$20&amp;" "&amp;$T$21&amp;" is less than  than Retesting positive result at L&amp;D"&amp;CHAR(10),""),IF(U239&gt;U238," * Retesting at L&amp;D For age "&amp;$T$20&amp;" "&amp;$U$21&amp;" is less than  than Retesting positive result at L&amp;D"&amp;CHAR(10),""),IF(V239&gt;V238," * Retesting at L&amp;D For age "&amp;$V$20&amp;" "&amp;$V$21&amp;" is less than  than Retesting positive result at L&amp;D"&amp;CHAR(10),""),IF(W239&gt;W238," * Retesting at L&amp;D For age "&amp;$V$20&amp;" "&amp;$W$21&amp;" is less than  than Retesting positive result at L&amp;D"&amp;CHAR(10),""),IF(X239&gt;X238," * Retesting at L&amp;D For age "&amp;$X$20&amp;" "&amp;$X$21&amp;" is less than  than Retesting positive result at L&amp;D"&amp;CHAR(10),""),IF(Y239&gt;Y238," * Retesting at L&amp;D For age "&amp;$X$20&amp;" "&amp;$Y$21&amp;" is less than  than Retesting positive result at L&amp;D"&amp;CHAR(10),""),IF(Z239&gt;Z238," * Retesting at L&amp;D For age "&amp;$Z$20&amp;" "&amp;$Z$21&amp;" is less than  than Retesting positive result at L&amp;D"&amp;CHAR(10),""),IF(AA239&gt;AA238," * Retesting at L&amp;D For age "&amp;$Z$20&amp;" "&amp;$AA$21&amp;" is less than  than Retesting positive result at L&amp;D"&amp;CHAR(10),""))</f>
        <v/>
      </c>
      <c r="AJ238" s="656"/>
      <c r="AK238" s="33"/>
      <c r="AL238" s="659"/>
      <c r="AM238" s="14">
        <v>208</v>
      </c>
      <c r="AN238" s="82"/>
      <c r="AO238" s="83"/>
    </row>
    <row r="239" spans="1:41" ht="25.9" thickBot="1" x14ac:dyDescent="0.8">
      <c r="A239" s="668"/>
      <c r="B239" s="106" t="s">
        <v>698</v>
      </c>
      <c r="C239" s="97" t="s">
        <v>647</v>
      </c>
      <c r="D239" s="114"/>
      <c r="E239" s="113"/>
      <c r="F239" s="113"/>
      <c r="G239" s="113"/>
      <c r="H239" s="113"/>
      <c r="I239" s="113"/>
      <c r="J239" s="113"/>
      <c r="K239" s="108"/>
      <c r="L239" s="242"/>
      <c r="M239" s="108"/>
      <c r="N239" s="242"/>
      <c r="O239" s="108"/>
      <c r="P239" s="242"/>
      <c r="Q239" s="108"/>
      <c r="R239" s="242"/>
      <c r="S239" s="108"/>
      <c r="T239" s="242"/>
      <c r="U239" s="108"/>
      <c r="V239" s="242"/>
      <c r="W239" s="108"/>
      <c r="X239" s="242"/>
      <c r="Y239" s="108"/>
      <c r="Z239" s="242"/>
      <c r="AA239" s="368"/>
      <c r="AB239" s="434"/>
      <c r="AC239" s="401"/>
      <c r="AD239" s="401"/>
      <c r="AE239" s="401"/>
      <c r="AF239" s="401"/>
      <c r="AG239" s="357"/>
      <c r="AH239" s="446">
        <f t="shared" si="99"/>
        <v>0</v>
      </c>
      <c r="AI239" s="130"/>
      <c r="AJ239" s="656"/>
      <c r="AK239" s="33"/>
      <c r="AL239" s="659"/>
      <c r="AM239" s="14">
        <v>209</v>
      </c>
      <c r="AN239" s="82"/>
      <c r="AO239" s="83"/>
    </row>
    <row r="240" spans="1:41" ht="25.5" x14ac:dyDescent="0.75">
      <c r="A240" s="666" t="s">
        <v>492</v>
      </c>
      <c r="B240" s="102" t="s">
        <v>699</v>
      </c>
      <c r="C240" s="77" t="s">
        <v>283</v>
      </c>
      <c r="D240" s="109"/>
      <c r="E240" s="110"/>
      <c r="F240" s="110"/>
      <c r="G240" s="110"/>
      <c r="H240" s="110"/>
      <c r="I240" s="110"/>
      <c r="J240" s="110"/>
      <c r="K240" s="105"/>
      <c r="L240" s="110"/>
      <c r="M240" s="105"/>
      <c r="N240" s="110"/>
      <c r="O240" s="105"/>
      <c r="P240" s="110"/>
      <c r="Q240" s="105"/>
      <c r="R240" s="110"/>
      <c r="S240" s="105"/>
      <c r="T240" s="110"/>
      <c r="U240" s="105"/>
      <c r="V240" s="110"/>
      <c r="W240" s="105"/>
      <c r="X240" s="110"/>
      <c r="Y240" s="105"/>
      <c r="Z240" s="110"/>
      <c r="AA240" s="367"/>
      <c r="AB240" s="434"/>
      <c r="AC240" s="401"/>
      <c r="AD240" s="401"/>
      <c r="AE240" s="401"/>
      <c r="AF240" s="401"/>
      <c r="AG240" s="357"/>
      <c r="AH240" s="448">
        <f t="shared" si="99"/>
        <v>0</v>
      </c>
      <c r="AI240" s="757" t="str">
        <f>CONCATENATE(IF(D241&gt;D240," * Positive at PNC &lt;=6wks for Age "&amp;D20&amp;" "&amp;D21&amp;" is more than Initial test at PNC &lt;= 6wks"&amp;CHAR(10),""),IF(E241&gt;E240," * Positive at PNC &lt;=6wks for Age "&amp;D20&amp;" "&amp;E21&amp;" is more than Initial test at PNC &lt;= 6wks"&amp;CHAR(10),""),IF(F241&gt;F240," * Positive at PNC &lt;=6wks for Age "&amp;F20&amp;" "&amp;F21&amp;" is more than Initial test at PNC &lt;= 6wks"&amp;CHAR(10),""),IF(G241&gt;G240," * Positive at PNC &lt;=6wks for Age "&amp;F20&amp;" "&amp;G21&amp;" is more than Initial test at PNC &lt;= 6wks"&amp;CHAR(10),""),IF(H241&gt;H240," * Positive at PNC &lt;=6wks for Age "&amp;H20&amp;" "&amp;H21&amp;" is more than Initial test at PNC &lt;= 6wks"&amp;CHAR(10),""),IF(I241&gt;I240," * Positive at PNC &lt;=6wks for Age "&amp;H20&amp;" "&amp;I21&amp;" is more than Initial test at PNC &lt;= 6wks"&amp;CHAR(10),""),IF(J241&gt;J240," * Positive at PNC &lt;=6wks for Age "&amp;J20&amp;" "&amp;J21&amp;" is more than Initial test at PNC &lt;= 6wks"&amp;CHAR(10),""),IF(K241&gt;K240," * Positive at PNC &lt;=6wks for Age "&amp;J20&amp;" "&amp;K21&amp;" is more than Initial test at PNC &lt;= 6wks"&amp;CHAR(10),""),IF(L241&gt;L240," * Positive at PNC &lt;=6wks for Age "&amp;L20&amp;" "&amp;L21&amp;" is more than Initial test at PNC &lt;= 6wks"&amp;CHAR(10),""),IF(M241&gt;M240," * Positive at PNC &lt;=6wks for Age "&amp;L20&amp;" "&amp;M21&amp;" is more than Initial test at PNC &lt;= 6wks"&amp;CHAR(10),""),IF(N241&gt;N240," * Positive at PNC &lt;=6wks for Age "&amp;N20&amp;" "&amp;N21&amp;" is more than Initial test at PNC &lt;= 6wks"&amp;CHAR(10),""),IF(O241&gt;O240," * Positive at PNC &lt;=6wks for Age "&amp;N20&amp;" "&amp;O21&amp;" is more than Initial test at PNC &lt;= 6wks"&amp;CHAR(10),""),IF(P241&gt;P240," * Positive at PNC &lt;=6wks for Age "&amp;P20&amp;" "&amp;P21&amp;" is more than Initial test at PNC &lt;= 6wks"&amp;CHAR(10),""),IF(Q241&gt;Q240," * Positive at PNC &lt;=6wks for Age "&amp;P20&amp;" "&amp;Q21&amp;" is more than Initial test at PNC &lt;= 6wks"&amp;CHAR(10),""),IF(R241&gt;R240," * Positive at PNC &lt;=6wks for Age "&amp;R20&amp;" "&amp;R21&amp;" is more than Initial test at PNC &lt;= 6wks"&amp;CHAR(10),""),IF(S241&gt;S240," * Positive at PNC &lt;=6wks for Age "&amp;R20&amp;" "&amp;S21&amp;" is more than Initial test at PNC &lt;= 6wks"&amp;CHAR(10),""),IF(T241&gt;T240," * Positive at PNC &lt;=6wks for Age "&amp;T20&amp;" "&amp;T21&amp;" is more than Initial test at PNC &lt;= 6wks"&amp;CHAR(10),""),IF(U241&gt;U240," * Positive at PNC &lt;=6wks for Age "&amp;T20&amp;" "&amp;U21&amp;" is more than Initial test at PNC &lt;= 6wks"&amp;CHAR(10),""),IF(V241&gt;V240," * Positive at PNC &lt;=6wks for Age "&amp;V20&amp;" "&amp;V21&amp;" is more than Initial test at PNC &lt;= 6wks"&amp;CHAR(10),""),IF(W241&gt;W240," * Positive at PNC &lt;=6wks for Age "&amp;V20&amp;" "&amp;W21&amp;" is more than Initial test at PNC &lt;= 6wks"&amp;CHAR(10),""),IF(X241&gt;X240," * Positive at PNC &lt;=6wks for Age "&amp;X20&amp;" "&amp;X21&amp;" is more than Initial test at PNC &lt;= 6wks"&amp;CHAR(10),""),IF(Y241&gt;Y240," * Positive at PNC &lt;=6wks for Age "&amp;X20&amp;" "&amp;Y21&amp;" is more than Initial test at PNC &lt;= 6wks"&amp;CHAR(10),""),IF(Z241&gt;Z240," * Positive at PNC &lt;=6wks for Age "&amp;Z20&amp;" "&amp;Z21&amp;" is more than Initial test at PNC &lt;= 6wks"&amp;CHAR(10),""),IF(AA241&gt;AA240," * Positive at PNC &lt;=6wks for Age "&amp;Z20&amp;" "&amp;AA21&amp;" is more than Initial test at PNC &lt;= 6wks"&amp;CHAR(10),""))</f>
        <v/>
      </c>
      <c r="AJ240" s="656"/>
      <c r="AK240" s="33"/>
      <c r="AL240" s="659"/>
      <c r="AM240" s="14">
        <v>210</v>
      </c>
      <c r="AN240" s="82"/>
      <c r="AO240" s="83"/>
    </row>
    <row r="241" spans="1:41" ht="25.5" x14ac:dyDescent="0.75">
      <c r="A241" s="667"/>
      <c r="B241" s="241" t="s">
        <v>700</v>
      </c>
      <c r="C241" s="85" t="s">
        <v>285</v>
      </c>
      <c r="D241" s="243"/>
      <c r="E241" s="244"/>
      <c r="F241" s="244"/>
      <c r="G241" s="244"/>
      <c r="H241" s="244"/>
      <c r="I241" s="244"/>
      <c r="J241" s="234"/>
      <c r="K241" s="233"/>
      <c r="L241" s="234"/>
      <c r="M241" s="233"/>
      <c r="N241" s="234"/>
      <c r="O241" s="233"/>
      <c r="P241" s="234"/>
      <c r="Q241" s="233"/>
      <c r="R241" s="234"/>
      <c r="S241" s="233"/>
      <c r="T241" s="234"/>
      <c r="U241" s="233"/>
      <c r="V241" s="234"/>
      <c r="W241" s="233"/>
      <c r="X241" s="234"/>
      <c r="Y241" s="233"/>
      <c r="Z241" s="234"/>
      <c r="AA241" s="398"/>
      <c r="AB241" s="434"/>
      <c r="AC241" s="401"/>
      <c r="AD241" s="401"/>
      <c r="AE241" s="401"/>
      <c r="AF241" s="401"/>
      <c r="AG241" s="357"/>
      <c r="AH241" s="446">
        <f t="shared" si="99"/>
        <v>0</v>
      </c>
      <c r="AI241" s="757"/>
      <c r="AJ241" s="656"/>
      <c r="AK241" s="33"/>
      <c r="AL241" s="659"/>
      <c r="AM241" s="14">
        <v>211</v>
      </c>
      <c r="AN241" s="82"/>
      <c r="AO241" s="83"/>
    </row>
    <row r="242" spans="1:41" s="67" customFormat="1" ht="25.5" x14ac:dyDescent="0.75">
      <c r="A242" s="667"/>
      <c r="B242" s="84" t="s">
        <v>488</v>
      </c>
      <c r="C242" s="85" t="s">
        <v>493</v>
      </c>
      <c r="D242" s="86"/>
      <c r="E242" s="87"/>
      <c r="F242" s="87"/>
      <c r="G242" s="87"/>
      <c r="H242" s="87"/>
      <c r="I242" s="87"/>
      <c r="J242" s="87"/>
      <c r="K242" s="88"/>
      <c r="L242" s="87"/>
      <c r="M242" s="88"/>
      <c r="N242" s="87"/>
      <c r="O242" s="88"/>
      <c r="P242" s="87"/>
      <c r="Q242" s="88"/>
      <c r="R242" s="87"/>
      <c r="S242" s="88"/>
      <c r="T242" s="87"/>
      <c r="U242" s="88"/>
      <c r="V242" s="87"/>
      <c r="W242" s="88"/>
      <c r="X242" s="87"/>
      <c r="Y242" s="88"/>
      <c r="Z242" s="87"/>
      <c r="AA242" s="398"/>
      <c r="AB242" s="434"/>
      <c r="AC242" s="401"/>
      <c r="AD242" s="401"/>
      <c r="AE242" s="401"/>
      <c r="AF242" s="401"/>
      <c r="AG242" s="357"/>
      <c r="AH242" s="446">
        <f t="shared" si="99"/>
        <v>0</v>
      </c>
      <c r="AI242" s="32" t="str">
        <f>CONCATENATE(IF(D243&gt;D242," * Retesting at PNC &lt; = 6 weeks For age "&amp;$D$20&amp;" "&amp;$D$21&amp;" is less than  than Retesting positive result at PNC &lt; = 6 weeks"&amp;CHAR(10),""),IF(E243&gt;E242," * Retesting at PNC &lt; = 6 weeks For age "&amp;$D$20&amp;" "&amp;$E$21&amp;" is less than  than Retesting positive result at PNC &lt; = 6 weeks"&amp;CHAR(10),""),IF(F243&gt;F242," * Retesting at PNC &lt; = 6 weeks For age "&amp;$F$20&amp;" "&amp;$F$21&amp;" is less than  than Retesting positive result at PNC &lt; = 6 weeks"&amp;CHAR(10),""),IF(G243&gt;G242," * Retesting at PNC &lt; = 6 weeks For age "&amp;$F$20&amp;" "&amp;$G$21&amp;" is less than  than Retesting positive result at PNC &lt; = 6 weeks"&amp;CHAR(10),""),IF(H243&gt;H242," * Retesting at PNC &lt; = 6 weeks For age "&amp;$H$20&amp;" "&amp;$H$21&amp;" is less than  than Retesting positive result at PNC &lt; = 6 weeks"&amp;CHAR(10),""),IF(I243&gt;I242," * Retesting at PNC &lt; = 6 weeks For age "&amp;$H$20&amp;" "&amp;$I$21&amp;" is less than  than Retesting positive result at PNC &lt; = 6 weeks"&amp;CHAR(10),""),IF(J243&gt;J242," * Retesting at PNC &lt; = 6 weeks For age "&amp;$J$20&amp;" "&amp;$J$21&amp;" is less than  than Retesting positive result at PNC &lt; = 6 weeks"&amp;CHAR(10),""),IF(K243&gt;K242," * Retesting at PNC &lt; = 6 weeks For age "&amp;$J$20&amp;" "&amp;$K$21&amp;" is less than  than Retesting positive result at PNC &lt; = 6 weeks"&amp;CHAR(10),""),IF(L243&gt;L242," * Retesting at PNC &lt; = 6 weeks For age "&amp;$L$20&amp;" "&amp;$L$21&amp;" is less than  than Retesting positive result at PNC &lt; = 6 weeks"&amp;CHAR(10),""),IF(M243&gt;M242," * Retesting at PNC &lt; = 6 weeks For age "&amp;$L$20&amp;" "&amp;$M$21&amp;" is less than  than Retesting positive result at PNC &lt; = 6 weeks"&amp;CHAR(10),""),IF(N243&gt;N242," * Retesting at PNC &lt; = 6 weeks For age "&amp;$N$20&amp;" "&amp;$N$21&amp;" is less than  than Retesting positive result at PNC &lt; = 6 weeks"&amp;CHAR(10),""),IF(O243&gt;O242," * Retesting at PNC &lt; = 6 weeks For age "&amp;$N$20&amp;" "&amp;$O$21&amp;" is less than  than Retesting positive result at PNC &lt; = 6 weeks"&amp;CHAR(10),""),IF(P243&gt;P242," * Retesting at PNC &lt; = 6 weeks For age "&amp;$P$20&amp;" "&amp;$P$21&amp;" is less than  than Retesting positive result at PNC &lt; = 6 weeks"&amp;CHAR(10),""),IF(Q243&gt;Q242," * Retesting at PNC &lt; = 6 weeks For age "&amp;$P$20&amp;" "&amp;$Q$21&amp;" is less than  than Retesting positive result at PNC &lt; = 6 weeks"&amp;CHAR(10),""),IF(R243&gt;R242," * Retesting at PNC &lt; = 6 weeks For age "&amp;$R$20&amp;" "&amp;$R$21&amp;" is less than  than Retesting positive result at PNC &lt; = 6 weeks"&amp;CHAR(10),""),IF(S243&gt;S242," * Retesting at PNC &lt; = 6 weeks For age "&amp;$R$20&amp;" "&amp;$S$21&amp;" is less than  than Retesting positive result at PNC &lt; = 6 weeks"&amp;CHAR(10),""),IF(T243&gt;T242," * Retesting at PNC &lt; = 6 weeks For age "&amp;$T$20&amp;" "&amp;$T$21&amp;" is less than  than Retesting positive result at PNC &lt; = 6 weeks"&amp;CHAR(10),""),IF(U243&gt;U242," * Retesting at PNC &lt; = 6 weeks For age "&amp;$T$20&amp;" "&amp;$U$21&amp;" is less than  than Retesting positive result at PNC &lt; = 6 weeks"&amp;CHAR(10),""),IF(V243&gt;V242," * Retesting at PNC &lt; = 6 weeks For age "&amp;$V$20&amp;" "&amp;$V$21&amp;" is less than  than Retesting positive result at PNC &lt; = 6 weeks"&amp;CHAR(10),""),IF(W243&gt;W242," * Retesting at PNC &lt; = 6 weeks For age "&amp;$V$20&amp;" "&amp;$W$21&amp;" is less than  than Retesting positive result at PNC &lt; = 6 weeks"&amp;CHAR(10),""),IF(X243&gt;X242," * Retesting at PNC &lt; = 6 weeks For age "&amp;$X$20&amp;" "&amp;$X$21&amp;" is less than  than Retesting positive result at PNC &lt; = 6 weeks"&amp;CHAR(10),""),IF(Y243&gt;Y242," * Retesting at PNC &lt; = 6 weeks For age "&amp;$X$20&amp;" "&amp;$Y$21&amp;" is less than  than Retesting positive result at PNC &lt; = 6 weeks"&amp;CHAR(10),""),IF(Z243&gt;Z242," * Retesting at PNC &lt; = 6 weeks For age "&amp;$Z$20&amp;" "&amp;$Z$21&amp;" is less than  than Retesting positive result at PNC &lt; = 6 weeks"&amp;CHAR(10),""),IF(AA243&gt;AA242," * Retesting at PNC &lt; = 6 weeks For age "&amp;$Z$20&amp;" "&amp;$AA$21&amp;" is less than  than Retesting positive result at PNC &lt; = 6 weeks"&amp;CHAR(10),""))</f>
        <v/>
      </c>
      <c r="AJ242" s="656"/>
      <c r="AK242" s="66"/>
      <c r="AL242" s="659"/>
      <c r="AM242" s="14">
        <v>212</v>
      </c>
      <c r="AN242" s="89"/>
      <c r="AO242" s="83"/>
    </row>
    <row r="243" spans="1:41" ht="25.5" x14ac:dyDescent="0.75">
      <c r="A243" s="667"/>
      <c r="B243" s="241" t="s">
        <v>489</v>
      </c>
      <c r="C243" s="85" t="s">
        <v>494</v>
      </c>
      <c r="D243" s="86"/>
      <c r="E243" s="87"/>
      <c r="F243" s="87"/>
      <c r="G243" s="87"/>
      <c r="H243" s="234"/>
      <c r="I243" s="234"/>
      <c r="J243" s="234"/>
      <c r="K243" s="233"/>
      <c r="L243" s="234"/>
      <c r="M243" s="233"/>
      <c r="N243" s="234"/>
      <c r="O243" s="233"/>
      <c r="P243" s="234"/>
      <c r="Q243" s="233"/>
      <c r="R243" s="234"/>
      <c r="S243" s="233"/>
      <c r="T243" s="234"/>
      <c r="U243" s="233"/>
      <c r="V243" s="234"/>
      <c r="W243" s="233"/>
      <c r="X243" s="234"/>
      <c r="Y243" s="233"/>
      <c r="Z243" s="234"/>
      <c r="AA243" s="398"/>
      <c r="AB243" s="434"/>
      <c r="AC243" s="401"/>
      <c r="AD243" s="401"/>
      <c r="AE243" s="401"/>
      <c r="AF243" s="401"/>
      <c r="AG243" s="357"/>
      <c r="AH243" s="446">
        <f t="shared" si="99"/>
        <v>0</v>
      </c>
      <c r="AI243" s="130"/>
      <c r="AJ243" s="656"/>
      <c r="AK243" s="33"/>
      <c r="AL243" s="659"/>
      <c r="AM243" s="14">
        <v>213</v>
      </c>
      <c r="AN243" s="82"/>
      <c r="AO243" s="83"/>
    </row>
    <row r="244" spans="1:41" ht="25.5" x14ac:dyDescent="0.75">
      <c r="A244" s="667"/>
      <c r="B244" s="84" t="s">
        <v>490</v>
      </c>
      <c r="C244" s="85" t="s">
        <v>495</v>
      </c>
      <c r="D244" s="86"/>
      <c r="E244" s="87"/>
      <c r="F244" s="87"/>
      <c r="G244" s="87"/>
      <c r="H244" s="87"/>
      <c r="I244" s="87"/>
      <c r="J244" s="87"/>
      <c r="K244" s="88"/>
      <c r="L244" s="87"/>
      <c r="M244" s="88"/>
      <c r="N244" s="87"/>
      <c r="O244" s="88"/>
      <c r="P244" s="87"/>
      <c r="Q244" s="88"/>
      <c r="R244" s="87"/>
      <c r="S244" s="88"/>
      <c r="T244" s="87"/>
      <c r="U244" s="88"/>
      <c r="V244" s="87"/>
      <c r="W244" s="88"/>
      <c r="X244" s="87"/>
      <c r="Y244" s="88"/>
      <c r="Z244" s="87"/>
      <c r="AA244" s="398"/>
      <c r="AB244" s="434"/>
      <c r="AC244" s="401"/>
      <c r="AD244" s="401"/>
      <c r="AE244" s="401"/>
      <c r="AF244" s="401"/>
      <c r="AG244" s="357"/>
      <c r="AH244" s="446">
        <f t="shared" si="99"/>
        <v>0</v>
      </c>
      <c r="AI244" s="32" t="str">
        <f>CONCATENATE(IF(D245&gt;D244," * Testing at PNC &gt; 6 weeks For age "&amp;$D$20&amp;" "&amp;$D$21&amp;" is less than Positive result at PNC &gt; 6 weeks"&amp;CHAR(10),""),IF(E245&gt;E244," * Testing at PNC &gt; 6 weeks For age "&amp;$D$20&amp;" "&amp;$E$21&amp;" is less than Positive result at PNC &gt; 6 weeks"&amp;CHAR(10),""),IF(F245&gt;F244," * Testing at PNC &gt; 6 weeks For age "&amp;$F$20&amp;" "&amp;$F$21&amp;" is less than Positive result at PNC &gt; 6 weeks"&amp;CHAR(10),""),IF(G245&gt;G244," * Testing at PNC &gt; 6 weeks For age "&amp;$F$20&amp;" "&amp;$G$21&amp;" is less than Positive result at PNC &gt; 6 weeks"&amp;CHAR(10),""),IF(H245&gt;H244," * Testing at PNC &gt; 6 weeks For age "&amp;$H$20&amp;" "&amp;$H$21&amp;" is less than Positive result at PNC &gt; 6 weeks"&amp;CHAR(10),""),IF(I245&gt;I244," * Testing at PNC &gt; 6 weeks For age "&amp;$H$20&amp;" "&amp;$I$21&amp;" is less than Positive result at PNC &gt; 6 weeks"&amp;CHAR(10),""),IF(J245&gt;J244," * Testing at PNC &gt; 6 weeks For age "&amp;$J$20&amp;" "&amp;$J$21&amp;" is less than Positive result at PNC &gt; 6 weeks"&amp;CHAR(10),""),IF(K245&gt;K244," * Testing at PNC &gt; 6 weeks For age "&amp;$J$20&amp;" "&amp;$K$21&amp;" is less than Positive result at PNC &gt; 6 weeks"&amp;CHAR(10),""),IF(L245&gt;L244," * Testing at PNC &gt; 6 weeks For age "&amp;$L$20&amp;" "&amp;$L$21&amp;" is less than Positive result at PNC &gt; 6 weeks"&amp;CHAR(10),""),IF(M245&gt;M244," * Testing at PNC &gt; 6 weeks For age "&amp;$L$20&amp;" "&amp;$M$21&amp;" is less than Positive result at PNC &gt; 6 weeks"&amp;CHAR(10),""),IF(N245&gt;N244," * Testing at PNC &gt; 6 weeks For age "&amp;$N$20&amp;" "&amp;$N$21&amp;" is less than Positive result at PNC &gt; 6 weeks"&amp;CHAR(10),""),IF(O245&gt;O244," * Testing at PNC &gt; 6 weeks For age "&amp;$N$20&amp;" "&amp;$O$21&amp;" is less than Positive result at PNC &gt; 6 weeks"&amp;CHAR(10),""),IF(P245&gt;P244," * Testing at PNC &gt; 6 weeks For age "&amp;$P$20&amp;" "&amp;$P$21&amp;" is less than Positive result at PNC &gt; 6 weeks"&amp;CHAR(10),""),IF(Q245&gt;Q244," * Testing at PNC &gt; 6 weeks For age "&amp;$P$20&amp;" "&amp;$Q$21&amp;" is less than Positive result at PNC &gt; 6 weeks"&amp;CHAR(10),""),IF(R245&gt;R244," * Testing at PNC &gt; 6 weeks For age "&amp;$R$20&amp;" "&amp;$R$21&amp;" is less than Positive result at PNC &gt; 6 weeks"&amp;CHAR(10),""),IF(S245&gt;S244," * Testing at PNC &gt; 6 weeks For age "&amp;$R$20&amp;" "&amp;$S$21&amp;" is less than Positive result at PNC &gt; 6 weeks"&amp;CHAR(10),""),IF(T245&gt;T244," * Testing at PNC &gt; 6 weeks For age "&amp;$T$20&amp;" "&amp;$T$21&amp;" is less than Positive result at PNC &gt; 6 weeks"&amp;CHAR(10),""),IF(U245&gt;U244," * Testing at PNC &gt; 6 weeks For age "&amp;$T$20&amp;" "&amp;$U$21&amp;" is less than Positive result at PNC &gt; 6 weeks"&amp;CHAR(10),""),IF(V245&gt;V244," * Testing at PNC &gt; 6 weeks For age "&amp;$V$20&amp;" "&amp;$V$21&amp;" is less than Positive result at PNC &gt; 6 weeks"&amp;CHAR(10),""),IF(W245&gt;W244," * Testing at PNC &gt; 6 weeks For age "&amp;$V$20&amp;" "&amp;$W$21&amp;" is less than Positive result at PNC &gt; 6 weeks"&amp;CHAR(10),""),IF(X245&gt;X244," * Testing at PNC &gt; 6 weeks For age "&amp;$X$20&amp;" "&amp;$X$21&amp;" is less than Positive result at PNC &gt; 6 weeks"&amp;CHAR(10),""),IF(Y245&gt;Y244," * Testing at PNC &gt; 6 weeks For age "&amp;$X$20&amp;" "&amp;$Y$21&amp;" is less than Positive result at PNC &gt; 6 weeks"&amp;CHAR(10),""),IF(Z245&gt;Z244," * Testing at PNC &gt; 6 weeks For age "&amp;$Z$20&amp;" "&amp;$Z$21&amp;" is less than Positive result at PNC &gt; 6 weeks"&amp;CHAR(10),""),IF(AA245&gt;AA244," * Testing at PNC &gt; 6 weeks For age "&amp;$Z$20&amp;" "&amp;$AA$21&amp;" is less than Positive result at PNC &gt; 6 weeks"&amp;CHAR(10),""))</f>
        <v/>
      </c>
      <c r="AJ244" s="656"/>
      <c r="AK244" s="33"/>
      <c r="AL244" s="659"/>
      <c r="AM244" s="14">
        <v>214</v>
      </c>
      <c r="AN244" s="82"/>
      <c r="AO244" s="83"/>
    </row>
    <row r="245" spans="1:41" ht="25.9" thickBot="1" x14ac:dyDescent="0.8">
      <c r="A245" s="668"/>
      <c r="B245" s="96" t="s">
        <v>491</v>
      </c>
      <c r="C245" s="97" t="s">
        <v>496</v>
      </c>
      <c r="D245" s="114"/>
      <c r="E245" s="113"/>
      <c r="F245" s="113"/>
      <c r="G245" s="113"/>
      <c r="H245" s="242"/>
      <c r="I245" s="242"/>
      <c r="J245" s="242"/>
      <c r="K245" s="108"/>
      <c r="L245" s="242"/>
      <c r="M245" s="108"/>
      <c r="N245" s="242"/>
      <c r="O245" s="108"/>
      <c r="P245" s="242"/>
      <c r="Q245" s="108"/>
      <c r="R245" s="242"/>
      <c r="S245" s="108"/>
      <c r="T245" s="242"/>
      <c r="U245" s="108"/>
      <c r="V245" s="242"/>
      <c r="W245" s="108"/>
      <c r="X245" s="242"/>
      <c r="Y245" s="108"/>
      <c r="Z245" s="242"/>
      <c r="AA245" s="399"/>
      <c r="AB245" s="451"/>
      <c r="AC245" s="450"/>
      <c r="AD245" s="450"/>
      <c r="AE245" s="450"/>
      <c r="AF245" s="450"/>
      <c r="AG245" s="452"/>
      <c r="AH245" s="447">
        <f t="shared" si="99"/>
        <v>0</v>
      </c>
      <c r="AI245" s="130"/>
      <c r="AJ245" s="656"/>
      <c r="AK245" s="33"/>
      <c r="AL245" s="659"/>
      <c r="AM245" s="14">
        <v>215</v>
      </c>
      <c r="AN245" s="82"/>
      <c r="AO245" s="83"/>
    </row>
    <row r="246" spans="1:41" ht="25.5" x14ac:dyDescent="0.75">
      <c r="A246" s="671" t="s">
        <v>123</v>
      </c>
      <c r="B246" s="102" t="s">
        <v>701</v>
      </c>
      <c r="C246" s="77" t="s">
        <v>286</v>
      </c>
      <c r="D246" s="109"/>
      <c r="E246" s="110"/>
      <c r="F246" s="110"/>
      <c r="G246" s="110"/>
      <c r="H246" s="110"/>
      <c r="I246" s="110"/>
      <c r="J246" s="105"/>
      <c r="K246" s="110"/>
      <c r="L246" s="105"/>
      <c r="M246" s="110"/>
      <c r="N246" s="105"/>
      <c r="O246" s="110"/>
      <c r="P246" s="105"/>
      <c r="Q246" s="110"/>
      <c r="R246" s="105"/>
      <c r="S246" s="110"/>
      <c r="T246" s="105"/>
      <c r="U246" s="110"/>
      <c r="V246" s="105"/>
      <c r="W246" s="110"/>
      <c r="X246" s="105"/>
      <c r="Y246" s="110"/>
      <c r="Z246" s="105"/>
      <c r="AA246" s="367"/>
      <c r="AB246" s="434"/>
      <c r="AC246" s="401"/>
      <c r="AD246" s="401"/>
      <c r="AE246" s="401"/>
      <c r="AF246" s="401"/>
      <c r="AG246" s="357"/>
      <c r="AH246" s="448">
        <f t="shared" si="99"/>
        <v>0</v>
      </c>
      <c r="AI246" s="757" t="str">
        <f>CONCATENATE(IF(D247&gt;D246," * Male Partners Tested Positive for Age "&amp;D20&amp;" "&amp;D21&amp;" is more than Male Partners Tested"&amp;CHAR(10),""),IF(E247&gt;E246," * Male Partners Tested Positive for Age "&amp;D20&amp;" "&amp;E21&amp;" is more than Male Partners Tested"&amp;CHAR(10),""),IF(F247&gt;F246," * Male Partners Tested Positive for Age "&amp;F20&amp;" "&amp;F21&amp;" is more than Male Partners Tested"&amp;CHAR(10),""),IF(G247&gt;G246," * Male Partners Tested Positive for Age "&amp;F20&amp;" "&amp;G21&amp;" is more than Male Partners Tested"&amp;CHAR(10),""),IF(H247&gt;H246," * Male Partners Tested Positive for Age "&amp;H20&amp;" "&amp;H21&amp;" is more than Male Partners Tested"&amp;CHAR(10),""),IF(I247&gt;I246," * Male Partners Tested Positive for Age "&amp;H20&amp;" "&amp;I21&amp;" is more than Male Partners Tested"&amp;CHAR(10),""),IF(J247&gt;J246," * Male Partners Tested Positive for Age "&amp;J20&amp;" "&amp;J21&amp;" is more than Male Partners Tested"&amp;CHAR(10),""),IF(K247&gt;K246," * Male Partners Tested Positive for Age "&amp;J20&amp;" "&amp;K21&amp;" is more than Male Partners Tested"&amp;CHAR(10),""),IF(L247&gt;L246," * Male Partners Tested Positive for Age "&amp;L20&amp;" "&amp;L21&amp;" is more than Male Partners Tested"&amp;CHAR(10),""),IF(M247&gt;M246," * Male Partners Tested Positive for Age "&amp;L20&amp;" "&amp;M21&amp;" is more than Male Partners Tested"&amp;CHAR(10),""),IF(N247&gt;N246," * Male Partners Tested Positive for Age "&amp;N20&amp;" "&amp;N21&amp;" is more than Male Partners Tested"&amp;CHAR(10),""),IF(O247&gt;O246," * Male Partners Tested Positive for Age "&amp;N20&amp;" "&amp;O21&amp;" is more than Male Partners Tested"&amp;CHAR(10),""),IF(P247&gt;P246," * Male Partners Tested Positive for Age "&amp;P20&amp;" "&amp;P21&amp;" is more than Male Partners Tested"&amp;CHAR(10),""),IF(Q247&gt;Q246," * Male Partners Tested Positive for Age "&amp;P20&amp;" "&amp;Q21&amp;" is more than Male Partners Tested"&amp;CHAR(10),""),IF(R247&gt;R246," * Male Partners Tested Positive for Age "&amp;R20&amp;" "&amp;R21&amp;" is more than Male Partners Tested"&amp;CHAR(10),""),IF(S247&gt;S246," * Male Partners Tested Positive for Age "&amp;R20&amp;" "&amp;S21&amp;" is more than Male Partners Tested"&amp;CHAR(10),""),IF(T247&gt;T246," * Male Partners Tested Positive for Age "&amp;T20&amp;" "&amp;T21&amp;" is more than Male Partners Tested"&amp;CHAR(10),""),IF(U247&gt;U246," * Male Partners Tested Positive for Age "&amp;T20&amp;" "&amp;U21&amp;" is more than Male Partners Tested"&amp;CHAR(10),""),IF(V247&gt;V246," * Male Partners Tested Positive for Age "&amp;V20&amp;" "&amp;V21&amp;" is more than Male Partners Tested"&amp;CHAR(10),""),IF(W247&gt;W246," * Male Partners Tested Positive for Age "&amp;V20&amp;" "&amp;W21&amp;" is more than Male Partners Tested"&amp;CHAR(10),""),IF(X247&gt;X246," * Male Partners Tested Positive for Age "&amp;X20&amp;" "&amp;X21&amp;" is more than Male Partners Tested"&amp;CHAR(10),""),IF(Y247&gt;Y246," * Male Partners Tested Positive for Age "&amp;X20&amp;" "&amp;Y21&amp;" is more than Male Partners Tested"&amp;CHAR(10),""),IF(Z247&gt;Z246," * Male Partners Tested Positive for Age "&amp;Z20&amp;" "&amp;Z21&amp;" is more than Male Partners Tested"&amp;CHAR(10),""),IF(AA247&gt;AA246," * Male Partners Tested Positive for Age "&amp;Z20&amp;" "&amp;AA21&amp;" is more than Male Partners Tested"&amp;CHAR(10),""))</f>
        <v/>
      </c>
      <c r="AJ246" s="656"/>
      <c r="AK246" s="33"/>
      <c r="AL246" s="659"/>
      <c r="AM246" s="14">
        <v>216</v>
      </c>
      <c r="AN246" s="82"/>
      <c r="AO246" s="83"/>
    </row>
    <row r="247" spans="1:41" ht="25.9" thickBot="1" x14ac:dyDescent="0.8">
      <c r="A247" s="673"/>
      <c r="B247" s="96" t="s">
        <v>702</v>
      </c>
      <c r="C247" s="97" t="s">
        <v>287</v>
      </c>
      <c r="D247" s="114"/>
      <c r="E247" s="113"/>
      <c r="F247" s="113"/>
      <c r="G247" s="113"/>
      <c r="H247" s="113"/>
      <c r="I247" s="113"/>
      <c r="J247" s="175"/>
      <c r="K247" s="113"/>
      <c r="L247" s="175"/>
      <c r="M247" s="113"/>
      <c r="N247" s="175"/>
      <c r="O247" s="113"/>
      <c r="P247" s="175"/>
      <c r="Q247" s="113"/>
      <c r="R247" s="175"/>
      <c r="S247" s="113"/>
      <c r="T247" s="175"/>
      <c r="U247" s="113"/>
      <c r="V247" s="175"/>
      <c r="W247" s="113"/>
      <c r="X247" s="175"/>
      <c r="Y247" s="113"/>
      <c r="Z247" s="175"/>
      <c r="AA247" s="368"/>
      <c r="AB247" s="434"/>
      <c r="AC247" s="401"/>
      <c r="AD247" s="401"/>
      <c r="AE247" s="401"/>
      <c r="AF247" s="401"/>
      <c r="AG247" s="357"/>
      <c r="AH247" s="447">
        <f t="shared" si="99"/>
        <v>0</v>
      </c>
      <c r="AI247" s="757"/>
      <c r="AJ247" s="681"/>
      <c r="AK247" s="33"/>
      <c r="AL247" s="660"/>
      <c r="AM247" s="14">
        <v>217</v>
      </c>
      <c r="AN247" s="82"/>
      <c r="AO247" s="83"/>
    </row>
    <row r="248" spans="1:41" ht="25.5" x14ac:dyDescent="0.75">
      <c r="A248" s="671" t="s">
        <v>512</v>
      </c>
      <c r="B248" s="102" t="s">
        <v>704</v>
      </c>
      <c r="C248" s="77" t="s">
        <v>529</v>
      </c>
      <c r="D248" s="169"/>
      <c r="E248" s="17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367"/>
      <c r="AB248" s="434"/>
      <c r="AC248" s="401"/>
      <c r="AD248" s="401"/>
      <c r="AE248" s="401"/>
      <c r="AF248" s="401"/>
      <c r="AG248" s="357"/>
      <c r="AH248" s="448">
        <f t="shared" si="99"/>
        <v>0</v>
      </c>
      <c r="AI248" s="130" t="str">
        <f>CONCATENATE(IF(D251&gt;D248," * EID Tested Positive 0-2 Months for Age "&amp;$D$20&amp;" "&amp;$D$21&amp;" is more than EID Tested 0-2 Months"&amp;CHAR(10),""),IF(E251&gt;E248," * EID Tested Positive 0-2 Months for Age "&amp;$D$20&amp;" "&amp;$E$21&amp;" is more than EID Tested 0-2 Months"&amp;CHAR(10),""))</f>
        <v/>
      </c>
      <c r="AJ248" s="655" t="str">
        <f>CONCATENATE(AI250,AI251,AI252,AI253,AI254,AI255,AI256,AI234,AI248,AI249)</f>
        <v/>
      </c>
      <c r="AK248" s="33"/>
      <c r="AL248" s="661" t="str">
        <f>CONCATENATE(AK248,AK249,AK250,AK251,AK252,AK253,AK254,AK255,AK256)</f>
        <v/>
      </c>
      <c r="AM248" s="14">
        <v>218</v>
      </c>
      <c r="AN248" s="82"/>
      <c r="AO248" s="83"/>
    </row>
    <row r="249" spans="1:41" s="67" customFormat="1" ht="25.5" x14ac:dyDescent="0.75">
      <c r="A249" s="672"/>
      <c r="B249" s="84" t="s">
        <v>703</v>
      </c>
      <c r="C249" s="85" t="s">
        <v>530</v>
      </c>
      <c r="D249" s="228"/>
      <c r="E249" s="147"/>
      <c r="F249" s="87"/>
      <c r="G249" s="87"/>
      <c r="H249" s="87"/>
      <c r="I249" s="87"/>
      <c r="J249" s="87"/>
      <c r="K249" s="87"/>
      <c r="L249" s="87"/>
      <c r="M249" s="87"/>
      <c r="N249" s="87"/>
      <c r="O249" s="87"/>
      <c r="P249" s="87"/>
      <c r="Q249" s="87"/>
      <c r="R249" s="87"/>
      <c r="S249" s="87"/>
      <c r="T249" s="87"/>
      <c r="U249" s="87"/>
      <c r="V249" s="87"/>
      <c r="W249" s="87"/>
      <c r="X249" s="87"/>
      <c r="Y249" s="87"/>
      <c r="Z249" s="87"/>
      <c r="AA249" s="398"/>
      <c r="AB249" s="434"/>
      <c r="AC249" s="401"/>
      <c r="AD249" s="401"/>
      <c r="AE249" s="401"/>
      <c r="AF249" s="401"/>
      <c r="AG249" s="357"/>
      <c r="AH249" s="446">
        <f t="shared" si="99"/>
        <v>0</v>
      </c>
      <c r="AI249" s="130" t="str">
        <f>CONCATENATE(IF(D252&gt;D249," * EID Tested Positive 2-12 Months for Age "&amp;$D$20&amp;" "&amp;$D$21&amp;" is more than EID Tested 2-12 Months"&amp;CHAR(10),""),IF(E252&gt;E249," * EID Tested Positive 2-12 Months for Age "&amp;$D$20&amp;" "&amp;$E$21&amp;" is more than EID Tested 2-12 Months"&amp;CHAR(10),""))</f>
        <v/>
      </c>
      <c r="AJ249" s="656"/>
      <c r="AK249" s="66"/>
      <c r="AL249" s="659"/>
      <c r="AM249" s="14">
        <v>219</v>
      </c>
      <c r="AN249" s="89"/>
      <c r="AO249" s="83"/>
    </row>
    <row r="250" spans="1:41" ht="25.9" thickBot="1" x14ac:dyDescent="0.8">
      <c r="A250" s="673"/>
      <c r="B250" s="245" t="s">
        <v>515</v>
      </c>
      <c r="C250" s="97" t="s">
        <v>531</v>
      </c>
      <c r="D250" s="246">
        <f>D248+D249</f>
        <v>0</v>
      </c>
      <c r="E250" s="239">
        <f>E248+E249</f>
        <v>0</v>
      </c>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368"/>
      <c r="AB250" s="434"/>
      <c r="AC250" s="401"/>
      <c r="AD250" s="401"/>
      <c r="AE250" s="401"/>
      <c r="AF250" s="401"/>
      <c r="AG250" s="357"/>
      <c r="AH250" s="447">
        <f t="shared" si="99"/>
        <v>0</v>
      </c>
      <c r="AI250" s="130"/>
      <c r="AJ250" s="656"/>
      <c r="AK250" s="33" t="str">
        <f>IF(AH250&gt;SUM(AH243,AH241,AH239,AH237,AH235,AH233,AH229,AH227)," EID Testing cannot be more than PMTCT HIV Positive Mothers (ANC 1 Other ANC, L&amp;D and PNC","")</f>
        <v/>
      </c>
      <c r="AL250" s="659"/>
      <c r="AM250" s="14">
        <v>220</v>
      </c>
      <c r="AN250" s="82"/>
      <c r="AO250" s="83"/>
    </row>
    <row r="251" spans="1:41" ht="25.5" x14ac:dyDescent="0.75">
      <c r="A251" s="671" t="s">
        <v>516</v>
      </c>
      <c r="B251" s="102" t="s">
        <v>520</v>
      </c>
      <c r="C251" s="77" t="s">
        <v>532</v>
      </c>
      <c r="D251" s="247"/>
      <c r="E251" s="248"/>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367"/>
      <c r="AB251" s="434"/>
      <c r="AC251" s="401"/>
      <c r="AD251" s="401"/>
      <c r="AE251" s="401"/>
      <c r="AF251" s="401"/>
      <c r="AG251" s="357"/>
      <c r="AH251" s="448">
        <f t="shared" si="99"/>
        <v>0</v>
      </c>
      <c r="AI251" s="130" t="str">
        <f>CONCATENATE(IF(D254&gt;D251," * EID initiated on ART 0-2 Months for Age "&amp;$D$20&amp;" "&amp;$D$21&amp;" is more than EID Positive 0-2 Months"&amp;CHAR(10),""),IF(E254&gt;E251," * EID initiated on ART 0-2 Months for Age "&amp;$D$20&amp;" "&amp;$E$21&amp;" is more than EID Positive 0-2 Months"&amp;CHAR(10),""))</f>
        <v/>
      </c>
      <c r="AJ251" s="656"/>
      <c r="AK251" s="130" t="str">
        <f>CONCATENATE(IF(D254&lt;D251," * EID initiated on ART 0-2 Months for Age "&amp;$D$20&amp;" "&amp;$D$21&amp;" is less than EID Positive 0-2 Months"&amp;CHAR(10),""),IF(E254&lt;E251," * EID initiated on ART 0-2 Months for Age "&amp;$D$20&amp;" "&amp;$E$21&amp;" is less than EID Positive 0-2 Months"&amp;CHAR(10),""))</f>
        <v/>
      </c>
      <c r="AL251" s="659"/>
      <c r="AM251" s="14">
        <v>221</v>
      </c>
      <c r="AN251" s="82"/>
      <c r="AO251" s="83"/>
    </row>
    <row r="252" spans="1:41" s="67" customFormat="1" ht="25.5" x14ac:dyDescent="0.75">
      <c r="A252" s="672"/>
      <c r="B252" s="84" t="s">
        <v>517</v>
      </c>
      <c r="C252" s="85" t="s">
        <v>533</v>
      </c>
      <c r="D252" s="249"/>
      <c r="E252" s="250"/>
      <c r="F252" s="87"/>
      <c r="G252" s="87"/>
      <c r="H252" s="87"/>
      <c r="I252" s="87"/>
      <c r="J252" s="87"/>
      <c r="K252" s="87"/>
      <c r="L252" s="87"/>
      <c r="M252" s="87"/>
      <c r="N252" s="87"/>
      <c r="O252" s="87"/>
      <c r="P252" s="87"/>
      <c r="Q252" s="87"/>
      <c r="R252" s="87"/>
      <c r="S252" s="87"/>
      <c r="T252" s="87"/>
      <c r="U252" s="87"/>
      <c r="V252" s="87"/>
      <c r="W252" s="87"/>
      <c r="X252" s="87"/>
      <c r="Y252" s="87"/>
      <c r="Z252" s="87"/>
      <c r="AA252" s="398"/>
      <c r="AB252" s="434"/>
      <c r="AC252" s="401"/>
      <c r="AD252" s="401"/>
      <c r="AE252" s="401"/>
      <c r="AF252" s="401"/>
      <c r="AG252" s="357"/>
      <c r="AH252" s="446">
        <f t="shared" si="99"/>
        <v>0</v>
      </c>
      <c r="AI252" s="130" t="str">
        <f>CONCATENATE(IF(D255&gt;D252," * EID initiated on ART 2-12 Months for Age "&amp;$D$20&amp;" "&amp;$D$21&amp;" is more than EID Positive 2-12 Months"&amp;CHAR(10),""),IF(E255&gt;E252," * EID initiated on ART 2-12 Months for Age "&amp;$D$20&amp;" "&amp;$E$21&amp;" is more than EID Positive 2-12 Months"&amp;CHAR(10),""))</f>
        <v/>
      </c>
      <c r="AJ252" s="656"/>
      <c r="AK252" s="130" t="str">
        <f>CONCATENATE(IF(D255&lt;D252," * EID initiated on ART 2-12 Months for Age "&amp;$D$20&amp;" "&amp;$D$21&amp;" is less than EID Positive 2-12 Months"&amp;CHAR(10),""),IF(E255&lt;E252," * EID initiated on ART 2-12 Months for Age "&amp;$D$20&amp;" "&amp;$E$21&amp;" is less than EID Positive 2-12 Months"&amp;CHAR(10),""))</f>
        <v/>
      </c>
      <c r="AL252" s="659"/>
      <c r="AM252" s="14">
        <v>222</v>
      </c>
      <c r="AN252" s="89"/>
      <c r="AO252" s="83"/>
    </row>
    <row r="253" spans="1:41" ht="25.9" thickBot="1" x14ac:dyDescent="0.8">
      <c r="A253" s="673"/>
      <c r="B253" s="245" t="s">
        <v>518</v>
      </c>
      <c r="C253" s="97" t="s">
        <v>534</v>
      </c>
      <c r="D253" s="246">
        <f>D251+D252</f>
        <v>0</v>
      </c>
      <c r="E253" s="239">
        <f>E251+E252</f>
        <v>0</v>
      </c>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368"/>
      <c r="AB253" s="434"/>
      <c r="AC253" s="401"/>
      <c r="AD253" s="401"/>
      <c r="AE253" s="401"/>
      <c r="AF253" s="401"/>
      <c r="AG253" s="357"/>
      <c r="AH253" s="447">
        <f t="shared" si="99"/>
        <v>0</v>
      </c>
      <c r="AI253" s="130" t="str">
        <f>CONCATENATE(IF(D256&gt;D253," * EID initiated on ART 0-12 Months for Age "&amp;$D$20&amp;" "&amp;$D$21&amp;" is more than EID Positive 0-12 Months"&amp;CHAR(10),""),IF(E256&gt;E253," * EID initiated on ART 0-12 Months for Age "&amp;$D$20&amp;" "&amp;$E$21&amp;" is more than EID Positive 0-12 Months"&amp;CHAR(10),""))</f>
        <v/>
      </c>
      <c r="AJ253" s="656"/>
      <c r="AK253" s="130" t="str">
        <f>CONCATENATE(IF(D256&lt;D253," * EID initiated on ART 0-12 Months for Age "&amp;$D$20&amp;" "&amp;$D$21&amp;" is less than EID Positive 0-12 Months"&amp;CHAR(10),""),IF(E256&lt;E253," * EID initiated on ART 0-12 Months for Age "&amp;$D$20&amp;" "&amp;$E$21&amp;" is less than EID Positive 0-12 Months"&amp;CHAR(10),""))</f>
        <v/>
      </c>
      <c r="AL253" s="659"/>
      <c r="AM253" s="14">
        <v>223</v>
      </c>
      <c r="AN253" s="82"/>
      <c r="AO253" s="83"/>
    </row>
    <row r="254" spans="1:41" ht="25.5" x14ac:dyDescent="0.75">
      <c r="A254" s="671" t="s">
        <v>513</v>
      </c>
      <c r="B254" s="102" t="s">
        <v>927</v>
      </c>
      <c r="C254" s="77" t="s">
        <v>535</v>
      </c>
      <c r="D254" s="169"/>
      <c r="E254" s="17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367"/>
      <c r="AB254" s="434"/>
      <c r="AC254" s="401"/>
      <c r="AD254" s="401"/>
      <c r="AE254" s="401"/>
      <c r="AF254" s="401"/>
      <c r="AG254" s="357"/>
      <c r="AH254" s="448">
        <f t="shared" si="99"/>
        <v>0</v>
      </c>
      <c r="AI254" s="130"/>
      <c r="AJ254" s="656"/>
      <c r="AK254" s="33"/>
      <c r="AL254" s="659"/>
      <c r="AM254" s="14">
        <v>224</v>
      </c>
      <c r="AN254" s="82"/>
      <c r="AO254" s="83"/>
    </row>
    <row r="255" spans="1:41" ht="25.5" x14ac:dyDescent="0.75">
      <c r="A255" s="672"/>
      <c r="B255" s="84" t="s">
        <v>928</v>
      </c>
      <c r="C255" s="85" t="s">
        <v>536</v>
      </c>
      <c r="D255" s="228"/>
      <c r="E255" s="147"/>
      <c r="F255" s="87"/>
      <c r="G255" s="87"/>
      <c r="H255" s="87"/>
      <c r="I255" s="87"/>
      <c r="J255" s="87"/>
      <c r="K255" s="87"/>
      <c r="L255" s="87"/>
      <c r="M255" s="87"/>
      <c r="N255" s="87"/>
      <c r="O255" s="87"/>
      <c r="P255" s="87"/>
      <c r="Q255" s="87"/>
      <c r="R255" s="87"/>
      <c r="S255" s="87"/>
      <c r="T255" s="87"/>
      <c r="U255" s="87"/>
      <c r="V255" s="87"/>
      <c r="W255" s="87"/>
      <c r="X255" s="87"/>
      <c r="Y255" s="87"/>
      <c r="Z255" s="87"/>
      <c r="AA255" s="398"/>
      <c r="AB255" s="434"/>
      <c r="AC255" s="401"/>
      <c r="AD255" s="401"/>
      <c r="AE255" s="401"/>
      <c r="AF255" s="401"/>
      <c r="AG255" s="357"/>
      <c r="AH255" s="446">
        <f t="shared" si="99"/>
        <v>0</v>
      </c>
      <c r="AI255" s="130"/>
      <c r="AJ255" s="656"/>
      <c r="AK255" s="33"/>
      <c r="AL255" s="659"/>
      <c r="AM255" s="14">
        <v>225</v>
      </c>
      <c r="AN255" s="82"/>
      <c r="AO255" s="83"/>
    </row>
    <row r="256" spans="1:41" ht="25.9" thickBot="1" x14ac:dyDescent="0.8">
      <c r="A256" s="820"/>
      <c r="B256" s="251" t="s">
        <v>949</v>
      </c>
      <c r="C256" s="97" t="s">
        <v>537</v>
      </c>
      <c r="D256" s="252">
        <f>D254+D255</f>
        <v>0</v>
      </c>
      <c r="E256" s="252">
        <f>E254+E255</f>
        <v>0</v>
      </c>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378"/>
      <c r="AB256" s="435"/>
      <c r="AC256" s="436"/>
      <c r="AD256" s="436"/>
      <c r="AE256" s="436"/>
      <c r="AF256" s="436"/>
      <c r="AG256" s="358"/>
      <c r="AH256" s="449">
        <f t="shared" ref="AH256" si="100">SUM(D256:AA256)</f>
        <v>0</v>
      </c>
      <c r="AI256" s="136" t="str">
        <f>CONCATENATE(IF(D256&lt;&gt;D277,"*Starting ART &lt; 1 M  Must be equals to Infants 0-12 Months HIV +ve started on ART"&amp;CHAR(10),""),IF(E256&lt;&gt;E277,"*Starting ART &lt; 1 F  Must be equals to Infants 0-12 Months +ve started on ART"&amp;CHAR(10),""))</f>
        <v/>
      </c>
      <c r="AJ256" s="657"/>
      <c r="AK256" s="137"/>
      <c r="AL256" s="662"/>
      <c r="AM256" s="14">
        <v>226</v>
      </c>
      <c r="AN256" s="82"/>
      <c r="AO256" s="83"/>
    </row>
    <row r="257" spans="1:41" ht="25.9" thickBot="1" x14ac:dyDescent="0.8">
      <c r="A257" s="691" t="s">
        <v>128</v>
      </c>
      <c r="B257" s="692"/>
      <c r="C257" s="692"/>
      <c r="D257" s="692"/>
      <c r="E257" s="692"/>
      <c r="F257" s="692"/>
      <c r="G257" s="692"/>
      <c r="H257" s="692"/>
      <c r="I257" s="692"/>
      <c r="J257" s="692"/>
      <c r="K257" s="692"/>
      <c r="L257" s="692"/>
      <c r="M257" s="692"/>
      <c r="N257" s="692"/>
      <c r="O257" s="692"/>
      <c r="P257" s="692"/>
      <c r="Q257" s="692"/>
      <c r="R257" s="692"/>
      <c r="S257" s="692"/>
      <c r="T257" s="692"/>
      <c r="U257" s="692"/>
      <c r="V257" s="692"/>
      <c r="W257" s="692"/>
      <c r="X257" s="692"/>
      <c r="Y257" s="692"/>
      <c r="Z257" s="692"/>
      <c r="AA257" s="692"/>
      <c r="AB257" s="696"/>
      <c r="AC257" s="696"/>
      <c r="AD257" s="696"/>
      <c r="AE257" s="696"/>
      <c r="AF257" s="696"/>
      <c r="AG257" s="696"/>
      <c r="AH257" s="692"/>
      <c r="AI257" s="692"/>
      <c r="AJ257" s="692"/>
      <c r="AK257" s="692"/>
      <c r="AL257" s="694"/>
      <c r="AM257" s="14">
        <v>227</v>
      </c>
      <c r="AN257" s="82"/>
      <c r="AO257" s="83"/>
    </row>
    <row r="258" spans="1:41" ht="25.5" x14ac:dyDescent="0.75">
      <c r="A258" s="749" t="s">
        <v>37</v>
      </c>
      <c r="B258" s="768" t="s">
        <v>346</v>
      </c>
      <c r="C258" s="754" t="s">
        <v>327</v>
      </c>
      <c r="D258" s="824" t="s">
        <v>0</v>
      </c>
      <c r="E258" s="669"/>
      <c r="F258" s="669" t="s">
        <v>1</v>
      </c>
      <c r="G258" s="669"/>
      <c r="H258" s="669" t="s">
        <v>2</v>
      </c>
      <c r="I258" s="669"/>
      <c r="J258" s="669" t="s">
        <v>3</v>
      </c>
      <c r="K258" s="669"/>
      <c r="L258" s="669" t="s">
        <v>4</v>
      </c>
      <c r="M258" s="669"/>
      <c r="N258" s="669" t="s">
        <v>5</v>
      </c>
      <c r="O258" s="669"/>
      <c r="P258" s="669" t="s">
        <v>6</v>
      </c>
      <c r="Q258" s="669"/>
      <c r="R258" s="669" t="s">
        <v>7</v>
      </c>
      <c r="S258" s="669"/>
      <c r="T258" s="669" t="s">
        <v>8</v>
      </c>
      <c r="U258" s="669"/>
      <c r="V258" s="669" t="s">
        <v>23</v>
      </c>
      <c r="W258" s="669"/>
      <c r="X258" s="669" t="s">
        <v>24</v>
      </c>
      <c r="Y258" s="669"/>
      <c r="Z258" s="669" t="s">
        <v>9</v>
      </c>
      <c r="AA258" s="758"/>
      <c r="AB258" s="858"/>
      <c r="AC258" s="859"/>
      <c r="AD258" s="859"/>
      <c r="AE258" s="859"/>
      <c r="AF258" s="859"/>
      <c r="AG258" s="860"/>
      <c r="AH258" s="811" t="s">
        <v>19</v>
      </c>
      <c r="AI258" s="786" t="s">
        <v>380</v>
      </c>
      <c r="AJ258" s="801" t="s">
        <v>386</v>
      </c>
      <c r="AK258" s="784" t="s">
        <v>387</v>
      </c>
      <c r="AL258" s="814" t="s">
        <v>387</v>
      </c>
      <c r="AM258" s="14">
        <v>228</v>
      </c>
      <c r="AN258" s="82"/>
      <c r="AO258" s="83"/>
    </row>
    <row r="259" spans="1:41" ht="25.9" thickBot="1" x14ac:dyDescent="0.8">
      <c r="A259" s="750"/>
      <c r="B259" s="796"/>
      <c r="C259" s="755"/>
      <c r="D259" s="337" t="s">
        <v>10</v>
      </c>
      <c r="E259" s="75" t="s">
        <v>11</v>
      </c>
      <c r="F259" s="75" t="s">
        <v>10</v>
      </c>
      <c r="G259" s="75" t="s">
        <v>11</v>
      </c>
      <c r="H259" s="75" t="s">
        <v>10</v>
      </c>
      <c r="I259" s="75" t="s">
        <v>11</v>
      </c>
      <c r="J259" s="75" t="s">
        <v>10</v>
      </c>
      <c r="K259" s="75" t="s">
        <v>11</v>
      </c>
      <c r="L259" s="75" t="s">
        <v>10</v>
      </c>
      <c r="M259" s="75" t="s">
        <v>11</v>
      </c>
      <c r="N259" s="75" t="s">
        <v>10</v>
      </c>
      <c r="O259" s="75" t="s">
        <v>11</v>
      </c>
      <c r="P259" s="75" t="s">
        <v>10</v>
      </c>
      <c r="Q259" s="75" t="s">
        <v>11</v>
      </c>
      <c r="R259" s="75" t="s">
        <v>10</v>
      </c>
      <c r="S259" s="75" t="s">
        <v>11</v>
      </c>
      <c r="T259" s="75" t="s">
        <v>10</v>
      </c>
      <c r="U259" s="75" t="s">
        <v>11</v>
      </c>
      <c r="V259" s="75" t="s">
        <v>10</v>
      </c>
      <c r="W259" s="75" t="s">
        <v>11</v>
      </c>
      <c r="X259" s="75" t="s">
        <v>10</v>
      </c>
      <c r="Y259" s="75" t="s">
        <v>11</v>
      </c>
      <c r="Z259" s="75" t="s">
        <v>10</v>
      </c>
      <c r="AA259" s="416" t="s">
        <v>11</v>
      </c>
      <c r="AB259" s="430"/>
      <c r="AC259" s="417"/>
      <c r="AD259" s="417"/>
      <c r="AE259" s="417"/>
      <c r="AF259" s="417"/>
      <c r="AG259" s="431"/>
      <c r="AH259" s="812"/>
      <c r="AI259" s="787"/>
      <c r="AJ259" s="773"/>
      <c r="AK259" s="784"/>
      <c r="AL259" s="815"/>
      <c r="AM259" s="14">
        <v>229</v>
      </c>
      <c r="AN259" s="82"/>
      <c r="AO259" s="83"/>
    </row>
    <row r="260" spans="1:41" ht="25.5" x14ac:dyDescent="0.75">
      <c r="A260" s="756" t="s">
        <v>482</v>
      </c>
      <c r="B260" s="76" t="s">
        <v>498</v>
      </c>
      <c r="C260" s="77" t="s">
        <v>372</v>
      </c>
      <c r="D260" s="78"/>
      <c r="E260" s="79"/>
      <c r="F260" s="79"/>
      <c r="G260" s="79"/>
      <c r="H260" s="79"/>
      <c r="I260" s="79"/>
      <c r="J260" s="79"/>
      <c r="K260" s="80"/>
      <c r="L260" s="79"/>
      <c r="M260" s="80"/>
      <c r="N260" s="79"/>
      <c r="O260" s="80"/>
      <c r="P260" s="79"/>
      <c r="Q260" s="80"/>
      <c r="R260" s="79"/>
      <c r="S260" s="80"/>
      <c r="T260" s="79"/>
      <c r="U260" s="80"/>
      <c r="V260" s="79"/>
      <c r="W260" s="80"/>
      <c r="X260" s="79"/>
      <c r="Y260" s="80"/>
      <c r="Z260" s="79"/>
      <c r="AA260" s="397"/>
      <c r="AB260" s="432"/>
      <c r="AC260" s="433"/>
      <c r="AD260" s="433"/>
      <c r="AE260" s="433"/>
      <c r="AF260" s="433"/>
      <c r="AG260" s="360"/>
      <c r="AH260" s="55">
        <f>SUM(D260:AA260)</f>
        <v>0</v>
      </c>
      <c r="AI260" s="160" t="str">
        <f>CONCATENATE(IF(D261&gt;SUM(D277)," * Start HAART at ANC 1 for Age "&amp;D20&amp;" "&amp;D21&amp;" is more than Starting ART"&amp;CHAR(10),""),IF(E261&gt;SUM(E277)," * Start HAART at ANC 1  for Age "&amp;D20&amp;" "&amp;E21&amp;" is more than Starting ART"&amp;CHAR(10),""),IF(F261&gt;SUM(F277)," * Start HAART at ANC 1  for Age "&amp;F20&amp;" "&amp;F21&amp;" is more than Starting ART"&amp;CHAR(10),""),IF(G261&gt;SUM(G277)," * Start HAART at ANC 1  for Age "&amp;F20&amp;" "&amp;G21&amp;" is more than Starting ART"&amp;CHAR(10),""),IF(H261&gt;SUM(H277)," * Start HAART at ANC 1  for Age "&amp;H20&amp;" "&amp;H21&amp;" is more than Starting ART"&amp;CHAR(10),""),IF(I261&gt;SUM(I277)," * Start HAART at ANC 1  for Age "&amp;H20&amp;" "&amp;I21&amp;" is more than Starting ART"&amp;CHAR(10),""),IF(J261&gt;SUM(J277)," * Start HAART at ANC 1  for Age "&amp;J20&amp;" "&amp;J21&amp;" is more than Starting ART"&amp;CHAR(10),""),IF(K261&gt;SUM(K277)," * Start HAART at ANC 1  for Age "&amp;J20&amp;" "&amp;K21&amp;" is more than Starting ART"&amp;CHAR(10),""),IF(L261&gt;SUM(L277)," * Start HAART at ANC 1  for Age "&amp;L20&amp;" "&amp;L21&amp;" is more than Starting ART"&amp;CHAR(10),""),IF(M261&gt;SUM(M277)," * Start HAART at ANC 1  for Age "&amp;L20&amp;" "&amp;M21&amp;" is more than Starting ART"&amp;CHAR(10),""),IF(N261&gt;SUM(N277)," * Start HAART at ANC 1  for Age "&amp;N20&amp;" "&amp;N21&amp;" is more than Starting ART"&amp;CHAR(10),""),IF(O261&gt;SUM(O277)," * Start HAART at ANC 1  for Age "&amp;N20&amp;" "&amp;O21&amp;" is more than Starting ART"&amp;CHAR(10),""),IF(P261&gt;SUM(P277)," * Start HAART at ANC 1  for Age "&amp;P20&amp;" "&amp;P21&amp;" is more than Starting ART"&amp;CHAR(10),""),IF(Q261&gt;SUM(Q277)," * Start HAART at ANC 1  for Age "&amp;P20&amp;" "&amp;Q21&amp;" is more than Starting ART"&amp;CHAR(10),""),IF(R261&gt;SUM(R277)," * Start HAART at ANC 1  for Age "&amp;R20&amp;" "&amp;R21&amp;" is more than Starting ART"&amp;CHAR(10),""),IF(S261&gt;SUM(S277)," * Start HAART at ANC 1  for Age "&amp;R20&amp;" "&amp;S21&amp;" is more than Starting ART"&amp;CHAR(10),""),IF(T261&gt;SUM(T277)," * Start HAART at ANC 1  for Age "&amp;T20&amp;" "&amp;T21&amp;" is more than Starting ART"&amp;CHAR(10),""),IF(U261&gt;SUM(U277)," * Start HAART at ANC 1  for Age "&amp;T20&amp;" "&amp;U21&amp;" is more than Starting ART"&amp;CHAR(10),""),IF(V261&gt;SUM(V277)," * Start HAART at ANC 1  for Age "&amp;V20&amp;" "&amp;V21&amp;" is more than Starting ART"&amp;CHAR(10),""),IF(W261&gt;SUM(W277)," * Start HAART at ANC 1  for Age "&amp;V20&amp;" "&amp;W21&amp;" is more than Starting ART"&amp;CHAR(10),""),IF(X261&gt;SUM(X277)," * Start HAART at ANC 1  for Age "&amp;X20&amp;" "&amp;X21&amp;" is more than Starting ART"&amp;CHAR(10),""),IF(Y261&gt;SUM(Y277)," * Start HAART at ANC 1  for Age "&amp;X20&amp;" "&amp;Y21&amp;" is more than Starting ART"&amp;CHAR(10),""),IF(Z261&gt;SUM(Z277)," * Start HAART at ANC 1  for Age "&amp;Z20&amp;" "&amp;Z21&amp;" is more than Starting ART"&amp;CHAR(10),""),IF(AA261&gt;SUM(AA277)," * Start HAART at ANC 1  for Age "&amp;Z20&amp;" "&amp;AA21&amp;" is more than Starting ART"&amp;CHAR(10),""))</f>
        <v/>
      </c>
      <c r="AJ260" s="798" t="str">
        <f>CONCATENATE(AI260,AI261,AI265,AI267,AI270,AI271,AI272,AI273,AI266,AI268,AI269,AI263,AI262,AI264)</f>
        <v/>
      </c>
      <c r="AK260" s="81" t="str">
        <f>CONCATENATE(IF(D260&lt;D227," * ON HAART at 1st ANC for Age "&amp;D20&amp;" "&amp;D21&amp;" is less than KP at 1st ANC "&amp;CHAR(10),""),IF(E260&lt;E227," * ON HAART at 1st ANC for Age "&amp;D20&amp;" "&amp;E21&amp;" is less than KP at 1st ANC "&amp;CHAR(10),""),IF(F260&lt;F227," * ON HAART at 1st ANC for Age "&amp;F20&amp;" "&amp;F21&amp;" is less than KP at 1st ANC "&amp;CHAR(10),""),IF(G260&lt;G227," * ON HAART at 1st ANC for Age "&amp;F20&amp;" "&amp;G21&amp;" is less than KP at 1st ANC "&amp;CHAR(10),""),IF(H260&lt;H227," * ON HAART at 1st ANC for Age "&amp;H20&amp;" "&amp;H21&amp;" is less than KP at 1st ANC "&amp;CHAR(10),""),IF(I260&lt;I227," * ON HAART at 1st ANC for Age "&amp;H20&amp;" "&amp;I21&amp;" is less than KP at 1st ANC "&amp;CHAR(10),""),IF(J260&lt;J227," * ON HAART at 1st ANC for Age "&amp;J20&amp;" "&amp;J21&amp;" is less than KP at 1st ANC "&amp;CHAR(10),""),IF(K260&lt;K227," * ON HAART at 1st ANC for Age "&amp;J20&amp;" "&amp;K21&amp;" is less than KP at 1st ANC "&amp;CHAR(10),""),IF(L260&lt;L227," * ON HAART at 1st ANC for Age "&amp;L20&amp;" "&amp;L21&amp;" is less than KP at 1st ANC "&amp;CHAR(10),""),IF(M260&lt;M227," * ON HAART at 1st ANC for Age "&amp;L20&amp;" "&amp;M21&amp;" is less than KP at 1st ANC "&amp;CHAR(10),""),IF(N260&lt;N227," * ON HAART at 1st ANC for Age "&amp;N20&amp;" "&amp;N21&amp;" is less than KP at 1st ANC "&amp;CHAR(10),""),IF(O260&lt;O227," * ON HAART at 1st ANC for Age "&amp;N20&amp;" "&amp;O21&amp;" is less than KP at 1st ANC "&amp;CHAR(10),""),IF(P260&lt;P227," * ON HAART at 1st ANC for Age "&amp;P20&amp;" "&amp;P21&amp;" is less than KP at 1st ANC "&amp;CHAR(10),""),IF(Q260&lt;Q227," * ON HAART at 1st ANC for Age "&amp;P20&amp;" "&amp;Q21&amp;" is less than KP at 1st ANC "&amp;CHAR(10),""),IF(R260&lt;R227," * ON HAART at 1st ANC for Age "&amp;R20&amp;" "&amp;R21&amp;" is less than KP at 1st ANC "&amp;CHAR(10),""),IF(S260&lt;S227," * ON HAART at 1st ANC for Age "&amp;R20&amp;" "&amp;S21&amp;" is less than KP at 1st ANC "&amp;CHAR(10),""),IF(T260&lt;T227," * ON HAART at 1st ANC for Age "&amp;T20&amp;" "&amp;T21&amp;" is less than KP at 1st ANC "&amp;CHAR(10),""),IF(U260&lt;U227," * ON HAART at 1st ANC for Age "&amp;T20&amp;" "&amp;U21&amp;" is less than KP at 1st ANC "&amp;CHAR(10),""),IF(V260&lt;V227," * ON HAART at 1st ANC for Age "&amp;V20&amp;" "&amp;V21&amp;" is less than KP at 1st ANC "&amp;CHAR(10),""),IF(W260&lt;W227," * ON HAART at 1st ANC for Age "&amp;V20&amp;" "&amp;W21&amp;" is less than KP at 1st ANC "&amp;CHAR(10),""),IF(X260&lt;X227," * ON HAART at 1st ANC for Age "&amp;X20&amp;" "&amp;X21&amp;" is less than KP at 1st ANC "&amp;CHAR(10),""),IF(Y260&lt;Y227," * ON HAART at 1st ANC for Age "&amp;X20&amp;" "&amp;Y21&amp;" is less than KP at 1st ANC "&amp;CHAR(10),""),IF(Z260&lt;Z227," * ON HAART at 1st ANC for Age "&amp;Z20&amp;" "&amp;Z21&amp;" is less than KP at 1st ANC "&amp;CHAR(10),""),IF(AA260&lt;AA227," * ON HAART at 1st ANC for Age "&amp;Z20&amp;" "&amp;AA21&amp;" is less than KP at 1st ANC "&amp;CHAR(10),""))</f>
        <v/>
      </c>
      <c r="AL260" s="816" t="str">
        <f>CONCATENATE(AK260,AK261,AK265,AK267,AK270,AK271,AK272,AK273,AK262,AK263,AK264,AK268,AK269)</f>
        <v/>
      </c>
      <c r="AM260" s="14">
        <v>230</v>
      </c>
      <c r="AN260" s="82"/>
      <c r="AO260" s="83"/>
    </row>
    <row r="261" spans="1:41" ht="25.5" x14ac:dyDescent="0.75">
      <c r="A261" s="667"/>
      <c r="B261" s="84" t="s">
        <v>499</v>
      </c>
      <c r="C261" s="85" t="s">
        <v>373</v>
      </c>
      <c r="D261" s="86"/>
      <c r="E261" s="87"/>
      <c r="F261" s="87"/>
      <c r="G261" s="87"/>
      <c r="H261" s="87"/>
      <c r="I261" s="87"/>
      <c r="J261" s="87"/>
      <c r="K261" s="88"/>
      <c r="L261" s="87"/>
      <c r="M261" s="88"/>
      <c r="N261" s="87"/>
      <c r="O261" s="88"/>
      <c r="P261" s="87"/>
      <c r="Q261" s="88"/>
      <c r="R261" s="87"/>
      <c r="S261" s="88"/>
      <c r="T261" s="87"/>
      <c r="U261" s="88"/>
      <c r="V261" s="87"/>
      <c r="W261" s="88"/>
      <c r="X261" s="87"/>
      <c r="Y261" s="88"/>
      <c r="Z261" s="87"/>
      <c r="AA261" s="398"/>
      <c r="AB261" s="434"/>
      <c r="AC261" s="401"/>
      <c r="AD261" s="401"/>
      <c r="AE261" s="401"/>
      <c r="AF261" s="401"/>
      <c r="AG261" s="357"/>
      <c r="AH261" s="199">
        <f t="shared" ref="AH261:AH273" si="101">SUM(D261:AA261)</f>
        <v>0</v>
      </c>
      <c r="AI261" s="130" t="str">
        <f>CONCATENATE(IF(D261&gt;SUM(D229)," * Start HAART at ANC 1 for Age "&amp;D20&amp;" "&amp;D21&amp;" is more than Positive Test at ANC 1"&amp;CHAR(10),""),IF(E261&gt;SUM(E229)," * Start HAART at ANC 1  for Age "&amp;D20&amp;" "&amp;E21&amp;" is more than Positive Test at ANC 1"&amp;CHAR(10),""),IF(F261&gt;SUM(F229)," * Start HAART at ANC 1  for Age "&amp;F20&amp;" "&amp;F21&amp;" is more than Positive Test at ANC 1"&amp;CHAR(10),""),IF(G261&gt;SUM(G229)," * Start HAART at ANC 1  for Age "&amp;F20&amp;" "&amp;G21&amp;" is more than Positive Test at ANC 1"&amp;CHAR(10),""),IF(H261&gt;SUM(H229)," * Start HAART at ANC 1  for Age "&amp;H20&amp;" "&amp;H21&amp;" is more than Positive Test at ANC 1"&amp;CHAR(10),""),IF(I261&gt;SUM(I229)," * Start HAART at ANC 1  for Age "&amp;H20&amp;" "&amp;I21&amp;" is more than Positive Test at ANC 1"&amp;CHAR(10),""),IF(J261&gt;SUM(J229)," * Start HAART at ANC 1  for Age "&amp;J20&amp;" "&amp;J21&amp;" is more than Positive Test at ANC 1"&amp;CHAR(10),""),IF(K261&gt;SUM(K229)," * Start HAART at ANC 1  for Age "&amp;J20&amp;" "&amp;K21&amp;" is more than Positive Test at ANC 1"&amp;CHAR(10),""),IF(L261&gt;SUM(L229)," * Start HAART at ANC 1  for Age "&amp;L20&amp;" "&amp;L21&amp;" is more than Positive Test at ANC 1"&amp;CHAR(10),""),IF(M261&gt;SUM(M229)," * Start HAART at ANC 1  for Age "&amp;L20&amp;" "&amp;M21&amp;" is more than Positive Test at ANC 1"&amp;CHAR(10),""),IF(N261&gt;SUM(N229)," * Start HAART at ANC 1  for Age "&amp;N20&amp;" "&amp;N21&amp;" is more than Positive Test at ANC 1"&amp;CHAR(10),""),IF(O261&gt;SUM(O229)," * Start HAART at ANC 1  for Age "&amp;N20&amp;" "&amp;O21&amp;" is more than Positive Test at ANC 1"&amp;CHAR(10),""),IF(P261&gt;SUM(P229)," * Start HAART at ANC 1  for Age "&amp;P20&amp;" "&amp;P21&amp;" is more than Positive Test at ANC 1"&amp;CHAR(10),""),IF(Q261&gt;SUM(Q229)," * Start HAART at ANC 1  for Age "&amp;P20&amp;" "&amp;Q21&amp;" is more than Positive Test at ANC 1"&amp;CHAR(10),""),IF(R261&gt;SUM(R229)," * Start HAART at ANC 1  for Age "&amp;R20&amp;" "&amp;R21&amp;" is more than Positive Test at ANC 1"&amp;CHAR(10),""),IF(S261&gt;SUM(S229)," * Start HAART at ANC 1  for Age "&amp;R20&amp;" "&amp;S21&amp;" is more than Positive Test at ANC 1"&amp;CHAR(10),""),IF(T261&gt;SUM(T229)," * Start HAART at ANC 1  for Age "&amp;T20&amp;" "&amp;T21&amp;" is more than Positive Test at ANC 1"&amp;CHAR(10),""),IF(U261&gt;SUM(U229)," * Start HAART at ANC 1  for Age "&amp;T20&amp;" "&amp;U21&amp;" is more than Positive Test at ANC 1"&amp;CHAR(10),""),IF(V261&gt;SUM(V229)," * Start HAART at ANC 1  for Age "&amp;V20&amp;" "&amp;V21&amp;" is more than Positive Test at ANC 1"&amp;CHAR(10),""),IF(W261&gt;SUM(W229)," * Start HAART at ANC 1  for Age "&amp;V20&amp;" "&amp;W21&amp;" is more than Positive Test at ANC 1"&amp;CHAR(10),""),IF(X261&gt;SUM(X229)," * Start HAART at ANC 1  for Age "&amp;X20&amp;" "&amp;X21&amp;" is more than Positive Test at ANC 1"&amp;CHAR(10),""),IF(Y261&gt;SUM(Y229)," * Start HAART at ANC 1  for Age "&amp;X20&amp;" "&amp;Y21&amp;" is more than Positive Test at ANC 1"&amp;CHAR(10),""),IF(Z261&gt;SUM(Z229)," * Start HAART at ANC 1  for Age "&amp;Z20&amp;" "&amp;Z21&amp;" is more than Positive Test at ANC 1"&amp;CHAR(10),""),IF(AA261&gt;SUM(AA229)," * Start HAART at ANC 1  for Age "&amp;Z20&amp;" "&amp;AA21&amp;" is more than Positive Test at ANC 1"&amp;CHAR(10),""),IF(AH261&gt;SUM(AH229)," * Total Start HAART at ANC 1  is more than Positive Test at ANC 1"&amp;CHAR(10),""))</f>
        <v/>
      </c>
      <c r="AJ261" s="799"/>
      <c r="AK261" s="33" t="str">
        <f>CONCATENATE(IF(D261&lt;SUM(D229)," * New positive at ANC1 for Age "&amp;D20&amp;" "&amp;D21&amp;" is greater than Start HAART ANC1"&amp;CHAR(10),""),IF(E261&lt;SUM(E229)," * New positive at ANC1 for Age "&amp;D20&amp;" "&amp;E21&amp;" is greater than Start HAART ANC1"&amp;CHAR(10),""),IF(F261&lt;SUM(F229)," * New positive at ANC1 for Age "&amp;F20&amp;" "&amp;F21&amp;" is greater than Start HAART ANC1"&amp;CHAR(10),""),IF(G261&lt;SUM(G229)," * New positive at ANC1 for Age "&amp;F20&amp;" "&amp;G21&amp;" is greater than Start HAART ANC1"&amp;CHAR(10),""),IF(H261&lt;SUM(H229)," * New positive at ANC1 for Age "&amp;H20&amp;" "&amp;H21&amp;" is greater than Start HAART ANC1"&amp;CHAR(10),""),IF(I261&lt;SUM(I229)," * New positive at ANC1 for Age "&amp;H20&amp;" "&amp;I21&amp;" is greater than Start HAART ANC1"&amp;CHAR(10),""),IF(J261&lt;SUM(J229)," * New positive at ANC1 for Age "&amp;J20&amp;" "&amp;J21&amp;" is greater than Start HAART ANC1"&amp;CHAR(10),""),IF(K261&lt;SUM(K229)," * New positive at ANC1 for Age "&amp;J20&amp;" "&amp;K21&amp;" is greater than Start HAART ANC1"&amp;CHAR(10),""),IF(L261&lt;SUM(L229)," * New positive at ANC1 for Age "&amp;L20&amp;" "&amp;L21&amp;" is greater than Start HAART ANC1"&amp;CHAR(10),""),IF(M261&lt;SUM(M229)," * New positive at ANC1 for Age "&amp;L20&amp;" "&amp;M21&amp;" is greater than Start HAART ANC1"&amp;CHAR(10),""),IF(N261&lt;SUM(N229)," * New positive at ANC1 for Age "&amp;N20&amp;" "&amp;N21&amp;" is greater than Start HAART ANC1"&amp;CHAR(10),""),IF(O261&lt;SUM(O229)," * New positive at ANC1 for Age "&amp;N20&amp;" "&amp;O21&amp;" is greater than Start HAART ANC1"&amp;CHAR(10),""),IF(P261&lt;SUM(P229)," * New positive at ANC1 for Age "&amp;P20&amp;" "&amp;P21&amp;" is greater than Start HAART ANC1"&amp;CHAR(10),""),IF(Q261&lt;SUM(Q229)," * New positive at ANC1 for Age "&amp;P20&amp;" "&amp;Q21&amp;" is greater than Start HAART ANC1"&amp;CHAR(10),""),IF(R261&lt;SUM(R229)," * New positive at ANC1 for Age "&amp;R20&amp;" "&amp;R21&amp;" is greater than Start HAART ANC1"&amp;CHAR(10),""),IF(S261&lt;SUM(S229)," * New positive at ANC1 for Age "&amp;R20&amp;" "&amp;S21&amp;" is greater than Start HAART ANC1"&amp;CHAR(10),""),IF(T261&lt;SUM(T229)," * New positive at ANC1 for Age "&amp;T20&amp;" "&amp;T21&amp;" is greater than Start HAART ANC1"&amp;CHAR(10),""),IF(U261&lt;SUM(U229)," * New positive at ANC1 for Age "&amp;T20&amp;" "&amp;U21&amp;" is greater than Start HAART ANC1"&amp;CHAR(10),""),IF(V261&lt;SUM(V229)," * New positive at ANC1 for Age "&amp;V20&amp;" "&amp;V21&amp;" is greater than Start HAART ANC1"&amp;CHAR(10),""),IF(W261&lt;SUM(W229)," * New positive at ANC1 for Age "&amp;V20&amp;" "&amp;W21&amp;" is greater than Start HAART ANC1"&amp;CHAR(10),""),IF(X261&lt;SUM(X229)," * New positive at ANC1 for Age "&amp;X20&amp;" "&amp;X21&amp;" is greater than Start HAART ANC1"&amp;CHAR(10),""),IF(Y261&lt;SUM(Y229)," * New positive at ANC1 for Age "&amp;X20&amp;" "&amp;Y21&amp;" is greater than Start HAART ANC1"&amp;CHAR(10),""),IF(Z261&lt;SUM(Z229)," * New positive at ANC1 for Age "&amp;Z20&amp;" "&amp;Z21&amp;" is greater than Start HAART ANC1"&amp;CHAR(10),""),IF(AA261&lt;SUM(AA229)," * New positive at ANC1 for Age "&amp;Z20&amp;" "&amp;AA21&amp;" is greater than Start HAART ANC1"&amp;CHAR(10),""))</f>
        <v/>
      </c>
      <c r="AL261" s="817"/>
      <c r="AM261" s="14">
        <v>231</v>
      </c>
      <c r="AN261" s="82"/>
      <c r="AO261" s="83"/>
    </row>
    <row r="262" spans="1:41" ht="25.9" thickBot="1" x14ac:dyDescent="0.8">
      <c r="A262" s="668"/>
      <c r="B262" s="251" t="s">
        <v>500</v>
      </c>
      <c r="C262" s="156" t="s">
        <v>507</v>
      </c>
      <c r="D262" s="152"/>
      <c r="E262" s="134"/>
      <c r="F262" s="134"/>
      <c r="G262" s="134"/>
      <c r="H262" s="134"/>
      <c r="I262" s="134"/>
      <c r="J262" s="134"/>
      <c r="K262" s="253">
        <f>SUM(K260:K261)</f>
        <v>0</v>
      </c>
      <c r="L262" s="134"/>
      <c r="M262" s="253">
        <f>SUM(M260:M261)</f>
        <v>0</v>
      </c>
      <c r="N262" s="134"/>
      <c r="O262" s="253">
        <f>SUM(O260:O261)</f>
        <v>0</v>
      </c>
      <c r="P262" s="134"/>
      <c r="Q262" s="253">
        <f>SUM(Q260:Q261)</f>
        <v>0</v>
      </c>
      <c r="R262" s="134"/>
      <c r="S262" s="253">
        <f>SUM(S260:S261)</f>
        <v>0</v>
      </c>
      <c r="T262" s="134"/>
      <c r="U262" s="253">
        <f>SUM(U260:U261)</f>
        <v>0</v>
      </c>
      <c r="V262" s="134"/>
      <c r="W262" s="253">
        <f>SUM(W260:W261)</f>
        <v>0</v>
      </c>
      <c r="X262" s="134"/>
      <c r="Y262" s="253">
        <f>SUM(Y260:Y261)</f>
        <v>0</v>
      </c>
      <c r="Z262" s="134"/>
      <c r="AA262" s="378"/>
      <c r="AB262" s="434"/>
      <c r="AC262" s="401"/>
      <c r="AD262" s="401"/>
      <c r="AE262" s="401"/>
      <c r="AF262" s="401"/>
      <c r="AG262" s="357"/>
      <c r="AH262" s="439">
        <f t="shared" si="101"/>
        <v>0</v>
      </c>
      <c r="AI262" s="130"/>
      <c r="AJ262" s="799"/>
      <c r="AK262" s="33"/>
      <c r="AL262" s="817"/>
      <c r="AM262" s="14">
        <v>232</v>
      </c>
      <c r="AN262" s="82"/>
      <c r="AO262" s="83"/>
    </row>
    <row r="263" spans="1:41" ht="25.5" x14ac:dyDescent="0.75">
      <c r="A263" s="636" t="s">
        <v>1021</v>
      </c>
      <c r="B263" s="1" t="s">
        <v>705</v>
      </c>
      <c r="C263" s="77" t="s">
        <v>508</v>
      </c>
      <c r="D263" s="109"/>
      <c r="E263" s="110"/>
      <c r="F263" s="110"/>
      <c r="G263" s="110"/>
      <c r="H263" s="110"/>
      <c r="I263" s="110"/>
      <c r="J263" s="110"/>
      <c r="K263" s="105"/>
      <c r="L263" s="110"/>
      <c r="M263" s="105"/>
      <c r="N263" s="110"/>
      <c r="O263" s="105"/>
      <c r="P263" s="110"/>
      <c r="Q263" s="105"/>
      <c r="R263" s="110"/>
      <c r="S263" s="105"/>
      <c r="T263" s="110"/>
      <c r="U263" s="105"/>
      <c r="V263" s="110"/>
      <c r="W263" s="105"/>
      <c r="X263" s="110"/>
      <c r="Y263" s="105"/>
      <c r="Z263" s="110"/>
      <c r="AA263" s="367"/>
      <c r="AB263" s="434"/>
      <c r="AC263" s="401"/>
      <c r="AD263" s="401"/>
      <c r="AE263" s="401"/>
      <c r="AF263" s="401"/>
      <c r="AG263" s="357"/>
      <c r="AH263" s="214">
        <f t="shared" si="101"/>
        <v>0</v>
      </c>
      <c r="AI263" s="130"/>
      <c r="AJ263" s="799"/>
      <c r="AK263" s="66" t="str">
        <f>CONCATENATE(IF(D264&lt;&gt;SUM(D235)," * Retest Positive Result at ANC 2 and above for Age "&amp;D20&amp;" "&amp;D21&amp;" is not equal to Initial start HAART at ANC2 and above"&amp;CHAR(10),""),IF(E264&lt;&gt;SUM(E235)," * Retest Positive Result at ANC 2 and above for Age "&amp;D20&amp;" "&amp;E21&amp;" is not equal to Initial start HAART at ANC2 and above"&amp;CHAR(10),""),IF(F264&lt;&gt;SUM(F235)," * Retest Positive Result at ANC 2 and above for Age "&amp;F20&amp;" "&amp;F21&amp;" is not equal to Initial start HAART at ANC2 and above"&amp;CHAR(10),""),IF(G264&lt;&gt;SUM(G235)," * Retest Positive Result at ANC 2 and above for Age "&amp;F20&amp;" "&amp;G21&amp;" is not equal to Initial start HAART at ANC2 and above"&amp;CHAR(10),""),IF(H264&lt;&gt;SUM(H235)," * Retest Positive Result at ANC 2 and above for Age "&amp;H20&amp;" "&amp;H21&amp;" is not equal to Initial start HAART at ANC2 and above"&amp;CHAR(10),""),IF(I264&lt;&gt;SUM(I235)," * Retest Positive Result at ANC 2 and above for Age "&amp;H20&amp;" "&amp;I21&amp;" is not equal to Initial start HAART at ANC2 and above"&amp;CHAR(10),""),IF(J264&lt;&gt;SUM(J235)," * Retest Positive Result at ANC 2 and above for Age "&amp;J20&amp;" "&amp;J21&amp;" is not equal to Initial start HAART at ANC2 and above"&amp;CHAR(10),""),IF(K264&lt;&gt;K235," * Retest Positive Result at ANC 2 and above for Age "&amp;J20&amp;" "&amp;K21&amp;" is not equal to Initial start HAART at ANC2 and above"&amp;CHAR(10),""),IF(L264&lt;&gt;SUM(L235)," * Retest Positive Result at ANC 2 and above for Age "&amp;L20&amp;" "&amp;L21&amp;" is not equal to Initial start HAART at ANC2 and above"&amp;CHAR(10),""),IF(M264&lt;&gt;SUM(M235)," * Retest Positive Result at ANC 2 and above for Age "&amp;L20&amp;" "&amp;M21&amp;" is not equal to Initial start HAART at ANC2 and above"&amp;CHAR(10),""),IF(N264&lt;&gt;SUM(N235)," * Retest Positive Result at ANC 2 and above for Age "&amp;N20&amp;" "&amp;N21&amp;" is not equal to Initial start HAART at ANC2 and above"&amp;CHAR(10),""),IF(O264&lt;&gt;SUM(O235)," * Retest Positive Result at ANC 2 and above for Age "&amp;N20&amp;" "&amp;O21&amp;" is not equal to Initial start HAART at ANC2 and above"&amp;CHAR(10),""),IF(P264&lt;&gt;SUM(P235)," * Retest Positive Result at ANC 2 and above for Age "&amp;P20&amp;" "&amp;P21&amp;" is not equal to Initial start HAART at ANC2 and above"&amp;CHAR(10),""),IF(Q264&lt;&gt;SUM(Q235)," * Retest Positive Result at ANC 2 and above for Age "&amp;P20&amp;" "&amp;Q21&amp;" is not equal to Initial start HAART at ANC2 and above"&amp;CHAR(10),""),IF(R264&lt;&gt;SUM(R235)," * Retest Positive Result at ANC 2 and above for Age "&amp;R20&amp;" "&amp;R21&amp;" is not equal to Initial start HAART at ANC2 and above"&amp;CHAR(10),""),IF(S264&lt;&gt;SUM(S235)," * Retest Positive Result at ANC 2 and above for Age "&amp;R20&amp;" "&amp;S21&amp;" is not equal to Initial start HAART at ANC2 and above"&amp;CHAR(10),""),IF(T264&lt;&gt;SUM(T235)," * Retest Positive Result at ANC 2 and above for Age "&amp;T20&amp;" "&amp;T21&amp;" is not equal to Initial start HAART at ANC2 and above"&amp;CHAR(10),""),IF(U264&lt;&gt;SUM(U235)," * Retest Positive Result at ANC 2 and above for Age "&amp;T20&amp;" "&amp;U21&amp;" is not equal to Initial start HAART at ANC2 and above"&amp;CHAR(10),""),IF(V264&lt;&gt;SUM(V235)," * Retest Positive Result at ANC 2 and above for Age "&amp;V20&amp;" "&amp;V21&amp;" is not equal to Initial start HAART at ANC2 and above"&amp;CHAR(10),""),IF(W264&lt;&gt;SUM(W235)," * Retest Positive Result at ANC 2 and above for Age "&amp;V20&amp;" "&amp;W21&amp;" is not equal to Initial start HAART at ANC2 and above"&amp;CHAR(10),""),IF(X264&lt;&gt;SUM(X235)," * Retest Positive Result at ANC 2 and above for Age "&amp;X20&amp;" "&amp;X21&amp;" is not equal to Initial start HAART at ANC2 and above"&amp;CHAR(10),""),IF(Y264&lt;&gt;SUM(Y235)," * Retest Positive Result at ANC 2 and above for Age "&amp;X20&amp;" "&amp;Y21&amp;" is not equal to Initial start HAART at ANC2 and above"&amp;CHAR(10),""),IF(Z264&lt;&gt;SUM(Z235)," * Retest Positive Result at ANC 2 and above for Age "&amp;Z20&amp;" "&amp;Z21&amp;" is not equal to Initial start HAART at ANC2 and above"&amp;CHAR(10),""),IF(AA264&lt;&gt;SUM(AA235)," * Retest Positive Result at ANC 2 and above for Age "&amp;Z20&amp;" "&amp;AA21&amp;" is not equal to Initial start HAART at ANC2 and above"&amp;CHAR(10),""))</f>
        <v/>
      </c>
      <c r="AL263" s="817"/>
      <c r="AM263" s="14">
        <v>233</v>
      </c>
      <c r="AN263" s="82"/>
      <c r="AO263" s="83"/>
    </row>
    <row r="264" spans="1:41" ht="25.9" thickBot="1" x14ac:dyDescent="0.8">
      <c r="A264" s="637"/>
      <c r="B264" s="3" t="s">
        <v>502</v>
      </c>
      <c r="C264" s="97" t="s">
        <v>509</v>
      </c>
      <c r="D264" s="114"/>
      <c r="E264" s="113"/>
      <c r="F264" s="113"/>
      <c r="G264" s="113"/>
      <c r="H264" s="113"/>
      <c r="I264" s="113"/>
      <c r="J264" s="113"/>
      <c r="K264" s="100"/>
      <c r="L264" s="113"/>
      <c r="M264" s="100"/>
      <c r="N264" s="113"/>
      <c r="O264" s="100"/>
      <c r="P264" s="113"/>
      <c r="Q264" s="100"/>
      <c r="R264" s="113"/>
      <c r="S264" s="100"/>
      <c r="T264" s="113"/>
      <c r="U264" s="100"/>
      <c r="V264" s="113"/>
      <c r="W264" s="100"/>
      <c r="X264" s="113"/>
      <c r="Y264" s="100"/>
      <c r="Z264" s="113"/>
      <c r="AA264" s="368"/>
      <c r="AB264" s="434"/>
      <c r="AC264" s="401"/>
      <c r="AD264" s="401"/>
      <c r="AE264" s="401"/>
      <c r="AF264" s="401"/>
      <c r="AG264" s="357"/>
      <c r="AH264" s="218">
        <f t="shared" si="101"/>
        <v>0</v>
      </c>
      <c r="AI264" s="130"/>
      <c r="AJ264" s="799"/>
      <c r="AK264" s="66" t="str">
        <f>CONCATENATE(IF(D264&lt;&gt;SUM(D235)," * Retest Positive Result at ANC 2 and above for Age "&amp;D20&amp;" "&amp;D21&amp;" is not equal to Retest start HAART at ANC2 and above"&amp;CHAR(10),""),IF(E264&lt;&gt;SUM(E235)," * Retest Positive Result at ANC 2 and above for Age "&amp;D20&amp;" "&amp;E21&amp;" is not equal to Retest start HAART at ANC2 and above"&amp;CHAR(10),""),IF(F264&lt;&gt;SUM(F235)," * Retest Positive Result at ANC 2 and above for Age "&amp;F20&amp;" "&amp;F21&amp;" is not equal to Retest start HAART at ANC2 and above"&amp;CHAR(10),""),IF(G264&lt;&gt;SUM(G235)," * Retest Positive Result at ANC 2 and above for Age "&amp;F20&amp;" "&amp;G21&amp;" is not equal to Retest start HAART at ANC2 and above"&amp;CHAR(10),""),IF(H264&lt;&gt;SUM(H235)," * Retest Positive Result at ANC 2 and above for Age "&amp;H20&amp;" "&amp;H21&amp;" is not equal to Retest start HAART at ANC2 and above"&amp;CHAR(10),""),IF(I264&lt;&gt;SUM(I235)," * Retest Positive Result at ANC 2 and above for Age "&amp;H20&amp;" "&amp;I21&amp;" is not equal to Retest start HAART at ANC2 and above"&amp;CHAR(10),""),IF(J264&lt;&gt;SUM(J235)," * Retest Positive Result at ANC 2 and above for Age "&amp;J20&amp;" "&amp;J21&amp;" is not equal to Retest start HAART at ANC2 and above"&amp;CHAR(10),""),IF(K264&lt;&gt;K235," * Retest Positive Result at ANC 2 and above for Age "&amp;J20&amp;" "&amp;K21&amp;" is not equal to Retest start HAART at ANC2 and above"&amp;CHAR(10),""),IF(L264&lt;&gt;SUM(L235)," * Retest Positive Result at ANC 2 and above for Age "&amp;L20&amp;" "&amp;L21&amp;" is not equal to Retest start HAART at ANC2 and above"&amp;CHAR(10),""),IF(M264&lt;&gt;SUM(M235)," * Retest Positive Result at ANC 2 and above for Age "&amp;L20&amp;" "&amp;M21&amp;" is not equal to Retest start HAART at ANC2 and above"&amp;CHAR(10),""),IF(N264&lt;&gt;SUM(N235)," * Retest Positive Result at ANC 2 and above for Age "&amp;N20&amp;" "&amp;N21&amp;" is not equal to Retest start HAART at ANC2 and above"&amp;CHAR(10),""),IF(O264&lt;&gt;SUM(O235)," * Retest Positive Result at ANC 2 and above for Age "&amp;N20&amp;" "&amp;O21&amp;" is not equal to Retest start HAART at ANC2 and above"&amp;CHAR(10),""),IF(P264&lt;&gt;SUM(P235)," * Retest Positive Result at ANC 2 and above for Age "&amp;P20&amp;" "&amp;P21&amp;" is not equal to Retest start HAART at ANC2 and above"&amp;CHAR(10),""),IF(Q264&lt;&gt;SUM(Q235)," * Retest Positive Result at ANC 2 and above for Age "&amp;P20&amp;" "&amp;Q21&amp;" is not equal to Retest start HAART at ANC2 and above"&amp;CHAR(10),""),IF(R264&lt;&gt;SUM(R235)," * Retest Positive Result at ANC 2 and above for Age "&amp;R20&amp;" "&amp;R21&amp;" is not equal to Retest start HAART at ANC2 and above"&amp;CHAR(10),""),IF(S264&lt;&gt;SUM(S235)," * Retest Positive Result at ANC 2 and above for Age "&amp;R20&amp;" "&amp;S21&amp;" is not equal to Retest start HAART at ANC2 and above"&amp;CHAR(10),""),IF(T264&lt;&gt;SUM(T235)," * Retest Positive Result at ANC 2 and above for Age "&amp;T20&amp;" "&amp;T21&amp;" is not equal to Retest start HAART at ANC2 and above"&amp;CHAR(10),""),IF(U264&lt;&gt;SUM(U235)," * Retest Positive Result at ANC 2 and above for Age "&amp;T20&amp;" "&amp;U21&amp;" is not equal to Retest start HAART at ANC2 and above"&amp;CHAR(10),""),IF(V264&lt;&gt;SUM(V235)," * Retest Positive Result at ANC 2 and above for Age "&amp;V20&amp;" "&amp;V21&amp;" is not equal to Retest start HAART at ANC2 and above"&amp;CHAR(10),""),IF(W264&lt;&gt;SUM(W235)," * Retest Positive Result at ANC 2 and above for Age "&amp;V20&amp;" "&amp;W21&amp;" is not equal to Retest start HAART at ANC2 and above"&amp;CHAR(10),""),IF(X264&lt;&gt;SUM(X235)," * Retest Positive Result at ANC 2 and above for Age "&amp;X20&amp;" "&amp;X21&amp;" is not equal to Retest start HAART at ANC2 and above"&amp;CHAR(10),""),IF(Y264&lt;&gt;SUM(Y235)," * Retest Positive Result at ANC 2 and above for Age "&amp;X20&amp;" "&amp;Y21&amp;" is not equal to Retest start HAART at ANC2 and above"&amp;CHAR(10),""),IF(Z264&lt;&gt;SUM(Z235)," * Retest Positive Result at ANC 2 and above for Age "&amp;Z20&amp;" "&amp;Z21&amp;" is not equal to Retest start HAART at ANC2 and above"&amp;CHAR(10),""),IF(AA264&lt;&gt;SUM(AA235)," * Retest Positive Result at ANC 2 and above for Age "&amp;Z20&amp;" "&amp;AA21&amp;" is not equal to Retest start HAART at ANC2 and above"&amp;CHAR(10),""))</f>
        <v/>
      </c>
      <c r="AL264" s="817"/>
      <c r="AM264" s="14">
        <v>234</v>
      </c>
      <c r="AN264" s="82"/>
      <c r="AO264" s="83"/>
    </row>
    <row r="265" spans="1:41" s="67" customFormat="1" ht="25.5" x14ac:dyDescent="0.75">
      <c r="A265" s="666" t="s">
        <v>487</v>
      </c>
      <c r="B265" s="76" t="s">
        <v>503</v>
      </c>
      <c r="C265" s="153" t="s">
        <v>374</v>
      </c>
      <c r="D265" s="78"/>
      <c r="E265" s="79"/>
      <c r="F265" s="79"/>
      <c r="G265" s="79"/>
      <c r="H265" s="79"/>
      <c r="I265" s="79"/>
      <c r="J265" s="79"/>
      <c r="K265" s="80"/>
      <c r="L265" s="79"/>
      <c r="M265" s="80"/>
      <c r="N265" s="79"/>
      <c r="O265" s="80"/>
      <c r="P265" s="79"/>
      <c r="Q265" s="80"/>
      <c r="R265" s="79"/>
      <c r="S265" s="80"/>
      <c r="T265" s="79"/>
      <c r="U265" s="80"/>
      <c r="V265" s="79"/>
      <c r="W265" s="80"/>
      <c r="X265" s="79"/>
      <c r="Y265" s="80"/>
      <c r="Z265" s="79"/>
      <c r="AA265" s="397"/>
      <c r="AB265" s="434"/>
      <c r="AC265" s="401"/>
      <c r="AD265" s="401"/>
      <c r="AE265" s="401"/>
      <c r="AF265" s="401"/>
      <c r="AG265" s="357"/>
      <c r="AH265" s="55">
        <f t="shared" si="101"/>
        <v>0</v>
      </c>
      <c r="AI265" s="254" t="str">
        <f>CONCATENATE(IF(D265&gt;D237," * start HAART L&amp;D  for Age "&amp;D20&amp;" "&amp;D21&amp;" is more than Positive Result L&amp;D "&amp;CHAR(10),""),IF(E265&gt;E237," * start HAART L&amp;D  for Age "&amp;D20&amp;" "&amp;E21&amp;" is more than Positive Result L&amp;D "&amp;CHAR(10),""),IF(F265&gt;F237," * start HAART L&amp;D  for Age "&amp;F20&amp;" "&amp;F21&amp;" is more than Positive Result L&amp;D "&amp;CHAR(10),""),IF(G265&gt;G237," * start HAART L&amp;D  for Age "&amp;F20&amp;" "&amp;G21&amp;" is more than Positive Result L&amp;D "&amp;CHAR(10),""),IF(H265&gt;H237," * start HAART L&amp;D  for Age "&amp;H20&amp;" "&amp;H21&amp;" is more than Positive Result L&amp;D "&amp;CHAR(10),""),IF(I265&gt;I237," * start HAART L&amp;D  for Age "&amp;H20&amp;" "&amp;I21&amp;" is more than Positive Result L&amp;D "&amp;CHAR(10),""),IF(J265&gt;J237," * start HAART L&amp;D  for Age "&amp;J20&amp;" "&amp;J21&amp;" is more than Positive Result L&amp;D "&amp;CHAR(10),""),IF(K265&gt;K237," * start HAART L&amp;D  for Age "&amp;J20&amp;" "&amp;K21&amp;" is more than Positive Result L&amp;D "&amp;CHAR(10),""),IF(L265&gt;L237," * start HAART L&amp;D  for Age "&amp;L20&amp;" "&amp;L21&amp;" is more than Positive Result L&amp;D "&amp;CHAR(10),""),IF(M265&gt;M237," * start HAART L&amp;D  for Age "&amp;L20&amp;" "&amp;M21&amp;" is more than Positive Result L&amp;D "&amp;CHAR(10),""),IF(N265&gt;N237," * start HAART L&amp;D  for Age "&amp;N20&amp;" "&amp;N21&amp;" is more than Positive Result L&amp;D "&amp;CHAR(10),""),IF(O265&gt;O237," * start HAART L&amp;D  for Age "&amp;N20&amp;" "&amp;O21&amp;" is more than Positive Result L&amp;D "&amp;CHAR(10),""),IF(P265&gt;P237," * start HAART L&amp;D  for Age "&amp;P20&amp;" "&amp;P21&amp;" is more than Positive Result L&amp;D "&amp;CHAR(10),""),IF(Q265&gt;Q237," * start HAART L&amp;D  for Age "&amp;P20&amp;" "&amp;Q21&amp;" is more than Positive Result L&amp;D "&amp;CHAR(10),""),IF(R265&gt;R237," * start HAART L&amp;D  for Age "&amp;R20&amp;" "&amp;R21&amp;" is more than Positive Result L&amp;D "&amp;CHAR(10),""),IF(S265&gt;S237," * start HAART L&amp;D  for Age "&amp;R20&amp;" "&amp;S21&amp;" is more than Positive Result L&amp;D "&amp;CHAR(10),""),IF(T265&gt;T237," * start HAART L&amp;D  for Age "&amp;T20&amp;" "&amp;T21&amp;" is more than Positive Result L&amp;D "&amp;CHAR(10),""),IF(U265&gt;U237," * start HAART L&amp;D  for Age "&amp;T20&amp;" "&amp;U21&amp;" is more than Positive Result L&amp;D "&amp;CHAR(10),""),IF(V265&gt;V237," * start HAART L&amp;D  for Age "&amp;V20&amp;" "&amp;V21&amp;" is more than Positive Result L&amp;D "&amp;CHAR(10),""),IF(W265&gt;W237," * start HAART L&amp;D  for Age "&amp;V20&amp;" "&amp;W21&amp;" is more than Positive Result L&amp;D "&amp;CHAR(10),""),IF(X265&gt;X237," * start HAART L&amp;D  for Age "&amp;X20&amp;" "&amp;X21&amp;" is more than Positive Result L&amp;D "&amp;CHAR(10),""),IF(Y265&gt;Y237," * start HAART L&amp;D  for Age "&amp;X20&amp;" "&amp;Y21&amp;" is more than Positive Result L&amp;D "&amp;CHAR(10),""),IF(Z265&gt;Z237," * start HAART L&amp;D  for Age "&amp;Z20&amp;" "&amp;Z21&amp;" is more than Positive Result L&amp;D "&amp;CHAR(10),""),IF(AA265&gt;AA237," * start HAART L&amp;D  for Age "&amp;Z20&amp;" "&amp;AA21&amp;" is more than Positive Result L&amp;D "&amp;CHAR(10),"")
)</f>
        <v/>
      </c>
      <c r="AJ265" s="799"/>
      <c r="AK265" s="66" t="str">
        <f>CONCATENATE(IF(D265&lt;D237," * start HAART L&amp;D  for Age "&amp;D20&amp;" "&amp;D21&amp;" is less than Positive Result L&amp;D "&amp;CHAR(10),""),IF(E265&lt;E237," * start HAART L&amp;D  for Age "&amp;D20&amp;" "&amp;E21&amp;" is less than Positive Result L&amp;D "&amp;CHAR(10),""),IF(F265&lt;F237," * start HAART L&amp;D  for Age "&amp;F20&amp;" "&amp;F21&amp;" is less than Positive Result L&amp;D "&amp;CHAR(10),""),IF(G265&lt;G237," * start HAART L&amp;D  for Age "&amp;F20&amp;" "&amp;G21&amp;" is less than Positive Result L&amp;D "&amp;CHAR(10),""),IF(H265&lt;H237," * start HAART L&amp;D  for Age "&amp;H20&amp;" "&amp;H21&amp;" is less than Positive Result L&amp;D "&amp;CHAR(10),""),IF(I265&lt;I237," * start HAART L&amp;D  for Age "&amp;H20&amp;" "&amp;I21&amp;" is less than Positive Result L&amp;D "&amp;CHAR(10),""),IF(J265&lt;J237," * start HAART L&amp;D  for Age "&amp;J20&amp;" "&amp;J21&amp;" is less than Positive Result L&amp;D "&amp;CHAR(10),""),IF(K265&lt;K237," * start HAART L&amp;D  for Age "&amp;J20&amp;" "&amp;K21&amp;" is less than Positive Result L&amp;D "&amp;CHAR(10),""),IF(L265&lt;L237," * start HAART L&amp;D  for Age "&amp;L20&amp;" "&amp;L21&amp;" is less than Positive Result L&amp;D "&amp;CHAR(10),""),IF(M265&lt;M237," * start HAART L&amp;D  for Age "&amp;L20&amp;" "&amp;M21&amp;" is less than Positive Result L&amp;D "&amp;CHAR(10),""),IF(N265&lt;N237," * start HAART L&amp;D  for Age "&amp;N20&amp;" "&amp;N21&amp;" is less than Positive Result L&amp;D "&amp;CHAR(10),""),IF(O265&lt;O237," * start HAART L&amp;D  for Age "&amp;N20&amp;" "&amp;O21&amp;" is less than Positive Result L&amp;D "&amp;CHAR(10),""),IF(P265&lt;P237," * start HAART L&amp;D  for Age "&amp;P20&amp;" "&amp;P21&amp;" is less than Positive Result L&amp;D "&amp;CHAR(10),""),IF(Q265&lt;Q237," * start HAART L&amp;D  for Age "&amp;P20&amp;" "&amp;Q21&amp;" is less than Positive Result L&amp;D "&amp;CHAR(10),""),IF(R265&lt;R237," * start HAART L&amp;D  for Age "&amp;R20&amp;" "&amp;R21&amp;" is less than Positive Result L&amp;D "&amp;CHAR(10),""),IF(S265&lt;S237," * start HAART L&amp;D  for Age "&amp;R20&amp;" "&amp;S21&amp;" is less than Positive Result L&amp;D "&amp;CHAR(10),""),IF(T265&lt;T237," * start HAART L&amp;D  for Age "&amp;T20&amp;" "&amp;T21&amp;" is less than Positive Result L&amp;D "&amp;CHAR(10),""),IF(U265&lt;U237," * start HAART L&amp;D  for Age "&amp;T20&amp;" "&amp;U21&amp;" is less than Positive Result L&amp;D "&amp;CHAR(10),""),IF(V265&lt;V237," * start HAART L&amp;D  for Age "&amp;V20&amp;" "&amp;V21&amp;" is less than Positive Result L&amp;D "&amp;CHAR(10),""),IF(W265&lt;W237," * start HAART L&amp;D  for Age "&amp;V20&amp;" "&amp;W21&amp;" is less than Positive Result L&amp;D "&amp;CHAR(10),""),IF(X265&lt;X237," * start HAART L&amp;D  for Age "&amp;X20&amp;" "&amp;X21&amp;" is less than Positive Result L&amp;D "&amp;CHAR(10),""),IF(Y265&lt;Y237," * start HAART L&amp;D  for Age "&amp;X20&amp;" "&amp;Y21&amp;" is less than Positive Result L&amp;D "&amp;CHAR(10),""),IF(Z265&lt;Z237," * start HAART L&amp;D  for Age "&amp;Z20&amp;" "&amp;Z21&amp;" is less than Positive Result L&amp;D "&amp;CHAR(10),""),IF(AA265&lt;AA237," * start HAART L&amp;D  for Age "&amp;Z20&amp;" "&amp;AA21&amp;" is less than Positive Result L&amp;D "&amp;CHAR(10),""))</f>
        <v/>
      </c>
      <c r="AL265" s="817"/>
      <c r="AM265" s="14">
        <v>235</v>
      </c>
      <c r="AN265" s="89"/>
      <c r="AO265" s="83"/>
    </row>
    <row r="266" spans="1:41" s="67" customFormat="1" ht="25.9" thickBot="1" x14ac:dyDescent="0.8">
      <c r="A266" s="668"/>
      <c r="B266" s="96" t="s">
        <v>643</v>
      </c>
      <c r="C266" s="97" t="s">
        <v>644</v>
      </c>
      <c r="D266" s="114"/>
      <c r="E266" s="113"/>
      <c r="F266" s="113"/>
      <c r="G266" s="113"/>
      <c r="H266" s="113"/>
      <c r="I266" s="113"/>
      <c r="J266" s="113"/>
      <c r="K266" s="100"/>
      <c r="L266" s="113"/>
      <c r="M266" s="100"/>
      <c r="N266" s="113"/>
      <c r="O266" s="100"/>
      <c r="P266" s="113"/>
      <c r="Q266" s="100"/>
      <c r="R266" s="113"/>
      <c r="S266" s="100"/>
      <c r="T266" s="113"/>
      <c r="U266" s="100"/>
      <c r="V266" s="113"/>
      <c r="W266" s="100"/>
      <c r="X266" s="113"/>
      <c r="Y266" s="100"/>
      <c r="Z266" s="113"/>
      <c r="AA266" s="368"/>
      <c r="AB266" s="434"/>
      <c r="AC266" s="401"/>
      <c r="AD266" s="401"/>
      <c r="AE266" s="401"/>
      <c r="AF266" s="401"/>
      <c r="AG266" s="357"/>
      <c r="AH266" s="199">
        <f t="shared" si="101"/>
        <v>0</v>
      </c>
      <c r="AI266" s="254" t="str">
        <f>CONCATENATE(IF(D266&gt;D239," * Retested start HAART L&amp;D  for Age "&amp;D20&amp;" "&amp;D21&amp;" is more than Retested Positive Result L&amp;D "&amp;CHAR(10),""),IF(E266&gt;E239," * Retested start HAART L&amp;D  for Age "&amp;D20&amp;" "&amp;E21&amp;" is more than Retested Positive Result L&amp;D "&amp;CHAR(10),""),IF(F266&gt;F239," * Retested start HAART L&amp;D  for Age "&amp;F20&amp;" "&amp;F21&amp;" is more than Retested Positive Result L&amp;D "&amp;CHAR(10),""),IF(G266&gt;G239," * Retested start HAART L&amp;D  for Age "&amp;F20&amp;" "&amp;G21&amp;" is more than Retested Positive Result L&amp;D "&amp;CHAR(10),""),IF(H266&gt;H239," * Retested start HAART L&amp;D  for Age "&amp;H20&amp;" "&amp;H21&amp;" is more than Retested Positive Result L&amp;D "&amp;CHAR(10),""),IF(I266&gt;I239," * Retested start HAART L&amp;D  for Age "&amp;H20&amp;" "&amp;I21&amp;" is more than Retested Positive Result L&amp;D "&amp;CHAR(10),""),IF(J266&gt;J239," * Retested start HAART L&amp;D  for Age "&amp;J20&amp;" "&amp;J21&amp;" is more than Retested Positive Result L&amp;D "&amp;CHAR(10),""),IF(K266&gt;K239," * Retested start HAART L&amp;D  for Age "&amp;J20&amp;" "&amp;K21&amp;" is more than Retested Positive Result L&amp;D "&amp;CHAR(10),""),IF(L266&gt;L239," * Retested start HAART L&amp;D  for Age "&amp;L20&amp;" "&amp;L21&amp;" is more than Retested Positive Result L&amp;D "&amp;CHAR(10),""),IF(M266&gt;M239," * Retested start HAART L&amp;D  for Age "&amp;L20&amp;" "&amp;M21&amp;" is more than Retested Positive Result L&amp;D "&amp;CHAR(10),""),IF(N266&gt;N239," * Retested start HAART L&amp;D  for Age "&amp;N20&amp;" "&amp;N21&amp;" is more than Retested Positive Result L&amp;D "&amp;CHAR(10),""),IF(O266&gt;O239," * Retested start HAART L&amp;D  for Age "&amp;N20&amp;" "&amp;O21&amp;" is more than Retested Positive Result L&amp;D "&amp;CHAR(10),""),IF(P266&gt;P239," * Retested start HAART L&amp;D  for Age "&amp;P20&amp;" "&amp;P21&amp;" is more than Retested Positive Result L&amp;D "&amp;CHAR(10),""),IF(Q266&gt;Q239," * Retested start HAART L&amp;D  for Age "&amp;P20&amp;" "&amp;Q21&amp;" is more than Retested Positive Result L&amp;D "&amp;CHAR(10),""),IF(R266&gt;R239," * Retested start HAART L&amp;D  for Age "&amp;R20&amp;" "&amp;R21&amp;" is more than Retested Positive Result L&amp;D "&amp;CHAR(10),""),IF(S266&gt;S239," * Retested start HAART L&amp;D  for Age "&amp;R20&amp;" "&amp;S21&amp;" is more than Retested Positive Result L&amp;D "&amp;CHAR(10),""),IF(T266&gt;T239," * Retested start HAART L&amp;D  for Age "&amp;T20&amp;" "&amp;T21&amp;" is more than Retested Positive Result L&amp;D "&amp;CHAR(10),""),IF(U266&gt;U239," * Retested start HAART L&amp;D  for Age "&amp;T20&amp;" "&amp;U21&amp;" is more than Retested Positive Result L&amp;D "&amp;CHAR(10),""),IF(V266&gt;V239," * Retested start HAART L&amp;D  for Age "&amp;V20&amp;" "&amp;V21&amp;" is more than Retested Positive Result L&amp;D "&amp;CHAR(10),""),IF(W266&gt;W239," * Retested start HAART L&amp;D  for Age "&amp;V20&amp;" "&amp;W21&amp;" is more than Retested Positive Result L&amp;D "&amp;CHAR(10),""),IF(X266&gt;X239," * Retested start HAART L&amp;D  for Age "&amp;X20&amp;" "&amp;X21&amp;" is more than Retested Positive Result L&amp;D "&amp;CHAR(10),""),IF(Y266&gt;Y239," * Retested start HAART L&amp;D  for Age "&amp;X20&amp;" "&amp;Y21&amp;" is more than Retested Positive Result L&amp;D "&amp;CHAR(10),""),IF(Z266&gt;Z239," * Retested start HAART L&amp;D  for Age "&amp;Z20&amp;" "&amp;Z21&amp;" is more than Retested Positive Result L&amp;D "&amp;CHAR(10),""),IF(AA266&gt;AA239," * Retested start HAART L&amp;D  for Age "&amp;Z20&amp;" "&amp;AA21&amp;" is more than Retested Positive Result L&amp;D "&amp;CHAR(10),"")
)</f>
        <v/>
      </c>
      <c r="AJ266" s="799"/>
      <c r="AK266" s="66"/>
      <c r="AL266" s="817"/>
      <c r="AM266" s="14">
        <v>236</v>
      </c>
      <c r="AN266" s="89"/>
      <c r="AO266" s="83"/>
    </row>
    <row r="267" spans="1:41" ht="25.5" x14ac:dyDescent="0.75">
      <c r="A267" s="666" t="s">
        <v>492</v>
      </c>
      <c r="B267" s="102" t="s">
        <v>505</v>
      </c>
      <c r="C267" s="77" t="s">
        <v>375</v>
      </c>
      <c r="D267" s="109"/>
      <c r="E267" s="110"/>
      <c r="F267" s="110"/>
      <c r="G267" s="110"/>
      <c r="H267" s="110"/>
      <c r="I267" s="110"/>
      <c r="J267" s="110"/>
      <c r="K267" s="105"/>
      <c r="L267" s="110"/>
      <c r="M267" s="105"/>
      <c r="N267" s="110"/>
      <c r="O267" s="105"/>
      <c r="P267" s="110"/>
      <c r="Q267" s="105"/>
      <c r="R267" s="110"/>
      <c r="S267" s="105"/>
      <c r="T267" s="110"/>
      <c r="U267" s="105"/>
      <c r="V267" s="110"/>
      <c r="W267" s="105"/>
      <c r="X267" s="110"/>
      <c r="Y267" s="105"/>
      <c r="Z267" s="110"/>
      <c r="AA267" s="367"/>
      <c r="AB267" s="434"/>
      <c r="AC267" s="401"/>
      <c r="AD267" s="401"/>
      <c r="AE267" s="401"/>
      <c r="AF267" s="401"/>
      <c r="AG267" s="357"/>
      <c r="AH267" s="214">
        <f t="shared" si="101"/>
        <v>0</v>
      </c>
      <c r="AI267" s="130" t="str">
        <f>CONCATENATE(IF(D267&gt;D241," * F06-16 for Age "&amp;D20&amp;" "&amp;D21&amp;" is more than F06-10"&amp;CHAR(10),""),IF(E267&gt;E241," * F06-16 for Age "&amp;D20&amp;" "&amp;E21&amp;" is more than F06-10"&amp;CHAR(10),""),IF(F267&gt;F241," * F06-16 for Age "&amp;F20&amp;" "&amp;F21&amp;" is more than F06-10"&amp;CHAR(10),""),IF(G267&gt;G241," * F06-16 for Age "&amp;F20&amp;" "&amp;G21&amp;" is more than F06-10"&amp;CHAR(10),""),IF(H267&gt;H241," * F06-16 for Age "&amp;H20&amp;" "&amp;H21&amp;" is more than F06-10"&amp;CHAR(10),""),IF(I267&gt;I241," * F06-16 for Age "&amp;H20&amp;" "&amp;I21&amp;" is more than F06-10"&amp;CHAR(10),""),IF(J267&gt;J241," * F06-16 for Age "&amp;J20&amp;" "&amp;J21&amp;" is more than F06-10"&amp;CHAR(10),""),IF(K267&gt;K241," * F06-16 for Age "&amp;J20&amp;" "&amp;K21&amp;" is more than F06-10"&amp;CHAR(10),""),IF(L267&gt;L241," * F06-16 for Age "&amp;L20&amp;" "&amp;L21&amp;" is more than F06-10"&amp;CHAR(10),""),IF(M267&gt;M241," * F06-16 for Age "&amp;L20&amp;" "&amp;M21&amp;" is more than F06-10"&amp;CHAR(10),""),IF(N267&gt;N241," * F06-16 for Age "&amp;N20&amp;" "&amp;N21&amp;" is more than F06-10"&amp;CHAR(10),""),IF(O267&gt;O241," * F06-16 for Age "&amp;N20&amp;" "&amp;O21&amp;" is more than F06-10"&amp;CHAR(10),""),IF(P267&gt;P241," * F06-16 for Age "&amp;P20&amp;" "&amp;P21&amp;" is more than F06-10"&amp;CHAR(10),""),IF(Q267&gt;Q241," * F06-16 for Age "&amp;P20&amp;" "&amp;Q21&amp;" is more than F06-10"&amp;CHAR(10),""),IF(R267&gt;R241," * F06-16 for Age "&amp;R20&amp;" "&amp;R21&amp;" is more than F06-10"&amp;CHAR(10),""),IF(S267&gt;S241," * F06-16 for Age "&amp;R20&amp;" "&amp;S21&amp;" is more than F06-10"&amp;CHAR(10),""),IF(T267&gt;T241," * F06-16 for Age "&amp;T20&amp;" "&amp;T21&amp;" is more than F06-10"&amp;CHAR(10),""),IF(U267&gt;U241," * F06-16 for Age "&amp;T20&amp;" "&amp;U21&amp;" is more than F06-10"&amp;CHAR(10),""),IF(V267&gt;V241," * F06-16 for Age "&amp;V20&amp;" "&amp;V21&amp;" is more than F06-10"&amp;CHAR(10),""),IF(W267&gt;W241," * F06-16 for Age "&amp;V20&amp;" "&amp;W21&amp;" is more than F06-10"&amp;CHAR(10),""),IF(X267&gt;X241," * F06-16 for Age "&amp;X20&amp;" "&amp;X21&amp;" is more than F06-10"&amp;CHAR(10),""),IF(Y267&gt;Y241," * F06-16 for Age "&amp;X20&amp;" "&amp;Y21&amp;" is more than F06-10"&amp;CHAR(10),""),IF(Z267&gt;Z241," * F06-16 for Age "&amp;Z20&amp;" "&amp;Z21&amp;" is more than F06-10"&amp;CHAR(10),""),IF(AA267&gt;AA241," * F06-16 for Age "&amp;Z20&amp;" "&amp;AA21&amp;" is more than F06-10"&amp;CHAR(10),""),IF(AH267&gt;AH241," * Total F06-16 is more than Total F06-10"&amp;CHAR(10),""))</f>
        <v/>
      </c>
      <c r="AJ267" s="799"/>
      <c r="AK267" s="33" t="str">
        <f>CONCATENATE(IF(D267&lt;D241," * F06-16 for Age "&amp;D20&amp;" "&amp;D21&amp;" is less than F06-10"&amp;CHAR(10),""),IF(E267&lt;E241," * F06-16 for Age "&amp;D20&amp;" "&amp;E21&amp;" is less than F06-10"&amp;CHAR(10),""),IF(F267&lt;F241," * F06-16 for Age "&amp;F20&amp;" "&amp;F21&amp;" is less than F06-10"&amp;CHAR(10),""),IF(G267&lt;G241," * F06-16 for Age "&amp;F20&amp;" "&amp;G21&amp;" is less than F06-10"&amp;CHAR(10),""),IF(H267&lt;H241," * F06-16 for Age "&amp;H20&amp;" "&amp;H21&amp;" is less than F06-10"&amp;CHAR(10),""),IF(I267&lt;I241," * F06-16 for Age "&amp;H20&amp;" "&amp;I21&amp;" is less than F06-10"&amp;CHAR(10),""),IF(J267&lt;J241," * F06-16 for Age "&amp;J20&amp;" "&amp;J21&amp;" is less than F06-10"&amp;CHAR(10),""),IF(K267&lt;K241," * F06-16 for Age "&amp;J20&amp;" "&amp;K21&amp;" is less than F06-10"&amp;CHAR(10),""),IF(L267&lt;L241," * F06-16 for Age "&amp;L20&amp;" "&amp;L21&amp;" is less than F06-10"&amp;CHAR(10),""),IF(M267&lt;M241," * F06-16 for Age "&amp;L20&amp;" "&amp;M21&amp;" is less than F06-10"&amp;CHAR(10),""),IF(N267&lt;N241," * F06-16 for Age "&amp;N20&amp;" "&amp;N21&amp;" is less than F06-10"&amp;CHAR(10),""),IF(O267&lt;O241," * F06-16 for Age "&amp;N20&amp;" "&amp;O21&amp;" is less than F06-10"&amp;CHAR(10),""),IF(P267&lt;P241," * F06-16 for Age "&amp;P20&amp;" "&amp;P21&amp;" is less than F06-10"&amp;CHAR(10),""),IF(Q267&lt;Q241," * F06-16 for Age "&amp;P20&amp;" "&amp;Q21&amp;" is less than F06-10"&amp;CHAR(10),""),IF(R267&lt;R241," * F06-16 for Age "&amp;R20&amp;" "&amp;R21&amp;" is less than F06-10"&amp;CHAR(10),""),IF(S267&lt;S241," * F06-16 for Age "&amp;R20&amp;" "&amp;S21&amp;" is less than F06-10"&amp;CHAR(10),""),IF(T267&lt;T241," * F06-16 for Age "&amp;T20&amp;" "&amp;T21&amp;" is less than F06-10"&amp;CHAR(10),""),IF(U267&lt;U241," * F06-16 for Age "&amp;T20&amp;" "&amp;U21&amp;" is less than F06-10"&amp;CHAR(10),""),IF(V267&lt;V241," * F06-16 for Age "&amp;V20&amp;" "&amp;V21&amp;" is less than F06-10"&amp;CHAR(10),""),IF(W267&lt;W241," * F06-16 for Age "&amp;V20&amp;" "&amp;W21&amp;" is less than F06-10"&amp;CHAR(10),""),IF(X267&lt;X241," * F06-16 for Age "&amp;X20&amp;" "&amp;X21&amp;" is less than F06-10"&amp;CHAR(10),""),IF(Y267&lt;Y241," * F06-16 for Age "&amp;X20&amp;" "&amp;Y21&amp;" is less than F06-10"&amp;CHAR(10),""),IF(Z267&lt;Z241," * F06-16 for Age "&amp;Z20&amp;" "&amp;Z21&amp;" is less than F06-10"&amp;CHAR(10),""),IF(AA267&lt;AA241," * F06-16 for Age "&amp;Z20&amp;" "&amp;AA21&amp;" is less than F06-10"&amp;CHAR(10),""),IF(AH267&lt;AH241," * Total F06-16 is less than Total F06-10"&amp;CHAR(10),""))</f>
        <v/>
      </c>
      <c r="AL267" s="817"/>
      <c r="AM267" s="14">
        <v>237</v>
      </c>
      <c r="AN267" s="82"/>
      <c r="AO267" s="83"/>
    </row>
    <row r="268" spans="1:41" ht="25.5" x14ac:dyDescent="0.75">
      <c r="A268" s="667"/>
      <c r="B268" s="84" t="s">
        <v>506</v>
      </c>
      <c r="C268" s="85" t="s">
        <v>510</v>
      </c>
      <c r="D268" s="86"/>
      <c r="E268" s="87"/>
      <c r="F268" s="87"/>
      <c r="G268" s="87"/>
      <c r="H268" s="87"/>
      <c r="I268" s="87"/>
      <c r="J268" s="87"/>
      <c r="K268" s="88"/>
      <c r="L268" s="87"/>
      <c r="M268" s="88"/>
      <c r="N268" s="87"/>
      <c r="O268" s="88"/>
      <c r="P268" s="87"/>
      <c r="Q268" s="88"/>
      <c r="R268" s="87"/>
      <c r="S268" s="88"/>
      <c r="T268" s="87"/>
      <c r="U268" s="88"/>
      <c r="V268" s="87"/>
      <c r="W268" s="88"/>
      <c r="X268" s="87"/>
      <c r="Y268" s="88"/>
      <c r="Z268" s="87"/>
      <c r="AA268" s="398"/>
      <c r="AB268" s="434"/>
      <c r="AC268" s="401"/>
      <c r="AD268" s="401"/>
      <c r="AE268" s="401"/>
      <c r="AF268" s="401"/>
      <c r="AG268" s="357"/>
      <c r="AH268" s="199">
        <f t="shared" si="101"/>
        <v>0</v>
      </c>
      <c r="AI268" s="130" t="str">
        <f>CONCATENATE(IF(D268&gt;D243," * Retest Start HAART at PNC &lt; = 6 weeks for Age "&amp;D20&amp;" "&amp;D21&amp;" is more than Retesting positive result at PNC &lt; = 6 weeks"&amp;CHAR(10),""),IF(E268&gt;E243," * Retest Start HAART at PNC &lt; = 6 weeks for Age "&amp;D20&amp;" "&amp;E21&amp;" is more than Retesting positive result at PNC &lt; = 6 weeks"&amp;CHAR(10),""),IF(F268&gt;F243," * Retest Start HAART at PNC &lt; = 6 weeks for Age "&amp;F20&amp;" "&amp;F21&amp;" is more than Retesting positive result at PNC &lt; = 6 weeks"&amp;CHAR(10),""),IF(G268&gt;G243," * Retest Start HAART at PNC &lt; = 6 weeks for Age "&amp;F20&amp;" "&amp;G21&amp;" is more than Retesting positive result at PNC &lt; = 6 weeks"&amp;CHAR(10),""),IF(H268&gt;H243," * Retest Start HAART at PNC &lt; = 6 weeks for Age "&amp;H20&amp;" "&amp;H21&amp;" is more than Retesting positive result at PNC &lt; = 6 weeks"&amp;CHAR(10),""),IF(I268&gt;I243," * Retest Start HAART at PNC &lt; = 6 weeks for Age "&amp;H20&amp;" "&amp;I21&amp;" is more than Retesting positive result at PNC &lt; = 6 weeks"&amp;CHAR(10),""),IF(J268&gt;J243," * Retest Start HAART at PNC &lt; = 6 weeks for Age "&amp;J20&amp;" "&amp;J21&amp;" is more than Retesting positive result at PNC &lt; = 6 weeks"&amp;CHAR(10),""),IF(K268&gt;K243," * Retest Start HAART at PNC &lt; = 6 weeks for Age "&amp;J20&amp;" "&amp;K21&amp;" is more than Retesting positive result at PNC &lt; = 6 weeks"&amp;CHAR(10),""),IF(L268&gt;L243," * Retest Start HAART at PNC &lt; = 6 weeks for Age "&amp;L20&amp;" "&amp;L21&amp;" is more than Retesting positive result at PNC &lt; = 6 weeks"&amp;CHAR(10),""),IF(M268&gt;M243," * Retest Start HAART at PNC &lt; = 6 weeks for Age "&amp;L20&amp;" "&amp;M21&amp;" is more than Retesting positive result at PNC &lt; = 6 weeks"&amp;CHAR(10),""),IF(N268&gt;N243," * Retest Start HAART at PNC &lt; = 6 weeks for Age "&amp;N20&amp;" "&amp;N21&amp;" is more than Retesting positive result at PNC &lt; = 6 weeks"&amp;CHAR(10),""),IF(O268&gt;O243," * Retest Start HAART at PNC &lt; = 6 weeks for Age "&amp;N20&amp;" "&amp;O21&amp;" is more than Retesting positive result at PNC &lt; = 6 weeks"&amp;CHAR(10),""),IF(P268&gt;P243," * Retest Start HAART at PNC &lt; = 6 weeks for Age "&amp;P20&amp;" "&amp;P21&amp;" is more than Retesting positive result at PNC &lt; = 6 weeks"&amp;CHAR(10),""),IF(Q268&gt;Q243," * Retest Start HAART at PNC &lt; = 6 weeks for Age "&amp;P20&amp;" "&amp;Q21&amp;" is more than Retesting positive result at PNC &lt; = 6 weeks"&amp;CHAR(10),""),IF(R268&gt;R243," * Retest Start HAART at PNC &lt; = 6 weeks for Age "&amp;R20&amp;" "&amp;R21&amp;" is more than Retesting positive result at PNC &lt; = 6 weeks"&amp;CHAR(10),""),IF(S268&gt;S243," * Retest Start HAART at PNC &lt; = 6 weeks for Age "&amp;R20&amp;" "&amp;S21&amp;" is more than Retesting positive result at PNC &lt; = 6 weeks"&amp;CHAR(10),""),IF(T268&gt;T243," * Retest Start HAART at PNC &lt; = 6 weeks for Age "&amp;T20&amp;" "&amp;T21&amp;" is more than Retesting positive result at PNC &lt; = 6 weeks"&amp;CHAR(10),""),IF(U268&gt;U243," * Retest Start HAART at PNC &lt; = 6 weeks for Age "&amp;T20&amp;" "&amp;U21&amp;" is more than Retesting positive result at PNC &lt; = 6 weeks"&amp;CHAR(10),""),IF(V268&gt;V243," * Retest Start HAART at PNC &lt; = 6 weeks for Age "&amp;V20&amp;" "&amp;V21&amp;" is more than Retesting positive result at PNC &lt; = 6 weeks"&amp;CHAR(10),""),IF(W268&gt;W243," * Retest Start HAART at PNC &lt; = 6 weeks for Age "&amp;V20&amp;" "&amp;W21&amp;" is more than Retesting positive result at PNC &lt; = 6 weeks"&amp;CHAR(10),""),IF(X268&gt;X243," * Retest Start HAART at PNC &lt; = 6 weeks for Age "&amp;X20&amp;" "&amp;X21&amp;" is more than Retesting positive result at PNC &lt; = 6 weeks"&amp;CHAR(10),""),IF(Y268&gt;Y243," * Retest Start HAART at PNC &lt; = 6 weeks for Age "&amp;X20&amp;" "&amp;Y21&amp;" is more than Retesting positive result at PNC &lt; = 6 weeks"&amp;CHAR(10),""),IF(Z268&gt;Z243," * Retest Start HAART at PNC &lt; = 6 weeks for Age "&amp;Z20&amp;" "&amp;Z21&amp;" is more than Retesting positive result at PNC &lt; = 6 weeks"&amp;CHAR(10),""),IF(AA268&gt;AA243," * Retest Start HAART at PNC &lt; = 6 weeks for Age "&amp;Z20&amp;" "&amp;AA21&amp;" is more than Retesting positive result at PNC &lt; = 6 weeks"&amp;CHAR(10),""))</f>
        <v/>
      </c>
      <c r="AJ268" s="799"/>
      <c r="AK268" s="33"/>
      <c r="AL268" s="817"/>
      <c r="AM268" s="14">
        <v>238</v>
      </c>
      <c r="AN268" s="82"/>
      <c r="AO268" s="83"/>
    </row>
    <row r="269" spans="1:41" s="67" customFormat="1" ht="25.9" thickBot="1" x14ac:dyDescent="0.8">
      <c r="A269" s="668"/>
      <c r="B269" s="96" t="s">
        <v>504</v>
      </c>
      <c r="C269" s="97" t="s">
        <v>511</v>
      </c>
      <c r="D269" s="114"/>
      <c r="E269" s="113"/>
      <c r="F269" s="113"/>
      <c r="G269" s="113"/>
      <c r="H269" s="113"/>
      <c r="I269" s="113"/>
      <c r="J269" s="113"/>
      <c r="K269" s="100"/>
      <c r="L269" s="113"/>
      <c r="M269" s="100"/>
      <c r="N269" s="113"/>
      <c r="O269" s="100"/>
      <c r="P269" s="113"/>
      <c r="Q269" s="100"/>
      <c r="R269" s="113"/>
      <c r="S269" s="100"/>
      <c r="T269" s="113"/>
      <c r="U269" s="100"/>
      <c r="V269" s="113"/>
      <c r="W269" s="100"/>
      <c r="X269" s="113"/>
      <c r="Y269" s="100"/>
      <c r="Z269" s="113"/>
      <c r="AA269" s="368"/>
      <c r="AB269" s="434"/>
      <c r="AC269" s="401"/>
      <c r="AD269" s="401"/>
      <c r="AE269" s="401"/>
      <c r="AF269" s="401"/>
      <c r="AG269" s="357"/>
      <c r="AH269" s="199">
        <f t="shared" si="101"/>
        <v>0</v>
      </c>
      <c r="AI269" s="130" t="str">
        <f>CONCATENATE(IF(D269&gt;D245," * Start HAART at PNC  &gt; 6 weeks for Age "&amp;D20&amp;" "&amp;D21&amp;" is more than  positive result at PNC  &gt; 6 weeks"&amp;CHAR(10),""),IF(E269&gt;E245," * Start HAART at PNC  &gt; 6 weeks for Age "&amp;D20&amp;" "&amp;E21&amp;" is more than  positive result at PNC  &gt; 6 weeks"&amp;CHAR(10),""),IF(F269&gt;F245," * Start HAART at PNC  &gt; 6 weeks for Age "&amp;F20&amp;" "&amp;F21&amp;" is more than  positive result at PNC  &gt; 6 weeks"&amp;CHAR(10),""),IF(G269&gt;G245," * Start HAART at PNC  &gt; 6 weeks for Age "&amp;F20&amp;" "&amp;G21&amp;" is more than  positive result at PNC  &gt; 6 weeks"&amp;CHAR(10),""),IF(H269&gt;H245," * Start HAART at PNC  &gt; 6 weeks for Age "&amp;H20&amp;" "&amp;H21&amp;" is more than  positive result at PNC  &gt; 6 weeks"&amp;CHAR(10),""),IF(I269&gt;I245," * Start HAART at PNC  &gt; 6 weeks for Age "&amp;H20&amp;" "&amp;I21&amp;" is more than  positive result at PNC  &gt; 6 weeks"&amp;CHAR(10),""),IF(J269&gt;J245," * Start HAART at PNC  &gt; 6 weeks for Age "&amp;J20&amp;" "&amp;J21&amp;" is more than  positive result at PNC  &gt; 6 weeks"&amp;CHAR(10),""),IF(K269&gt;K245," * Start HAART at PNC  &gt; 6 weeks for Age "&amp;J20&amp;" "&amp;K21&amp;" is more than  positive result at PNC  &gt; 6 weeks"&amp;CHAR(10),""),IF(L269&gt;L245," * Start HAART at PNC  &gt; 6 weeks for Age "&amp;L20&amp;" "&amp;L21&amp;" is more than  positive result at PNC  &gt; 6 weeks"&amp;CHAR(10),""),IF(M269&gt;M245," * Start HAART at PNC  &gt; 6 weeks for Age "&amp;L20&amp;" "&amp;M21&amp;" is more than  positive result at PNC  &gt; 6 weeks"&amp;CHAR(10),""),IF(N269&gt;N245," * Start HAART at PNC  &gt; 6 weeks for Age "&amp;N20&amp;" "&amp;N21&amp;" is more than  positive result at PNC  &gt; 6 weeks"&amp;CHAR(10),""),IF(O269&gt;O245," * Start HAART at PNC  &gt; 6 weeks for Age "&amp;N20&amp;" "&amp;O21&amp;" is more than  positive result at PNC  &gt; 6 weeks"&amp;CHAR(10),""),IF(P269&gt;P245," * Start HAART at PNC  &gt; 6 weeks for Age "&amp;P20&amp;" "&amp;P21&amp;" is more than  positive result at PNC  &gt; 6 weeks"&amp;CHAR(10),""),IF(Q269&gt;Q245," * Start HAART at PNC  &gt; 6 weeks for Age "&amp;P20&amp;" "&amp;Q21&amp;" is more than  positive result at PNC  &gt; 6 weeks"&amp;CHAR(10),""),IF(R269&gt;R245," * Start HAART at PNC  &gt; 6 weeks for Age "&amp;R20&amp;" "&amp;R21&amp;" is more than  positive result at PNC  &gt; 6 weeks"&amp;CHAR(10),""),IF(S269&gt;S245," * Start HAART at PNC  &gt; 6 weeks for Age "&amp;R20&amp;" "&amp;S21&amp;" is more than  positive result at PNC  &gt; 6 weeks"&amp;CHAR(10),""),IF(T269&gt;T245," * Start HAART at PNC  &gt; 6 weeks for Age "&amp;T20&amp;" "&amp;T21&amp;" is more than  positive result at PNC  &gt; 6 weeks"&amp;CHAR(10),""),IF(U269&gt;U245," * Start HAART at PNC  &gt; 6 weeks for Age "&amp;T20&amp;" "&amp;U21&amp;" is more than  positive result at PNC  &gt; 6 weeks"&amp;CHAR(10),""),IF(V269&gt;V245," * Start HAART at PNC  &gt; 6 weeks for Age "&amp;V20&amp;" "&amp;V21&amp;" is more than  positive result at PNC  &gt; 6 weeks"&amp;CHAR(10),""),IF(W269&gt;W245," * Start HAART at PNC  &gt; 6 weeks for Age "&amp;V20&amp;" "&amp;W21&amp;" is more than  positive result at PNC  &gt; 6 weeks"&amp;CHAR(10),""),IF(X269&gt;X245," * Start HAART at PNC  &gt; 6 weeks for Age "&amp;X20&amp;" "&amp;X21&amp;" is more than  positive result at PNC  &gt; 6 weeks"&amp;CHAR(10),""),IF(Y269&gt;Y245," * Start HAART at PNC  &gt; 6 weeks for Age "&amp;X20&amp;" "&amp;Y21&amp;" is more than  positive result at PNC  &gt; 6 weeks"&amp;CHAR(10),""),IF(Z269&gt;Z245," * Start HAART at PNC  &gt; 6 weeks for Age "&amp;Z20&amp;" "&amp;Z21&amp;" is more than  positive result at PNC  &gt; 6 weeks"&amp;CHAR(10),""),IF(AA269&gt;AA245," * Start HAART at PNC  &gt; 6 weeks for Age "&amp;Z20&amp;" "&amp;AA21&amp;" is more than  positive result at PNC  &gt; 6 weeks"&amp;CHAR(10),""))</f>
        <v/>
      </c>
      <c r="AJ269" s="799"/>
      <c r="AK269" s="66"/>
      <c r="AL269" s="817"/>
      <c r="AM269" s="14">
        <v>239</v>
      </c>
      <c r="AN269" s="89"/>
      <c r="AO269" s="83"/>
    </row>
    <row r="270" spans="1:41" ht="51.4" thickBot="1" x14ac:dyDescent="0.8">
      <c r="A270" s="255" t="s">
        <v>289</v>
      </c>
      <c r="B270" s="256" t="s">
        <v>289</v>
      </c>
      <c r="C270" s="74" t="s">
        <v>376</v>
      </c>
      <c r="D270" s="257"/>
      <c r="E270" s="258"/>
      <c r="F270" s="258"/>
      <c r="G270" s="258"/>
      <c r="H270" s="258"/>
      <c r="I270" s="258"/>
      <c r="J270" s="258"/>
      <c r="K270" s="259"/>
      <c r="L270" s="258"/>
      <c r="M270" s="259"/>
      <c r="N270" s="258"/>
      <c r="O270" s="259"/>
      <c r="P270" s="258"/>
      <c r="Q270" s="259"/>
      <c r="R270" s="258"/>
      <c r="S270" s="259"/>
      <c r="T270" s="258"/>
      <c r="U270" s="259"/>
      <c r="V270" s="258"/>
      <c r="W270" s="259"/>
      <c r="X270" s="258"/>
      <c r="Y270" s="259"/>
      <c r="Z270" s="258"/>
      <c r="AA270" s="400"/>
      <c r="AB270" s="434"/>
      <c r="AC270" s="401"/>
      <c r="AD270" s="401"/>
      <c r="AE270" s="401"/>
      <c r="AF270" s="401"/>
      <c r="AG270" s="357"/>
      <c r="AH270" s="351">
        <f t="shared" si="101"/>
        <v>0</v>
      </c>
      <c r="AI270" s="130"/>
      <c r="AJ270" s="799"/>
      <c r="AK270" s="33"/>
      <c r="AL270" s="817"/>
      <c r="AM270" s="14">
        <v>240</v>
      </c>
      <c r="AN270" s="82"/>
      <c r="AO270" s="83"/>
    </row>
    <row r="271" spans="1:41" s="67" customFormat="1" ht="25.5" x14ac:dyDescent="0.75">
      <c r="A271" s="666" t="s">
        <v>1022</v>
      </c>
      <c r="B271" s="102" t="s">
        <v>706</v>
      </c>
      <c r="C271" s="77" t="s">
        <v>377</v>
      </c>
      <c r="D271" s="109"/>
      <c r="E271" s="110"/>
      <c r="F271" s="110"/>
      <c r="G271" s="110"/>
      <c r="H271" s="110"/>
      <c r="I271" s="110"/>
      <c r="J271" s="110"/>
      <c r="K271" s="105"/>
      <c r="L271" s="110"/>
      <c r="M271" s="105"/>
      <c r="N271" s="110"/>
      <c r="O271" s="105"/>
      <c r="P271" s="110"/>
      <c r="Q271" s="105"/>
      <c r="R271" s="110"/>
      <c r="S271" s="105"/>
      <c r="T271" s="110"/>
      <c r="U271" s="105"/>
      <c r="V271" s="110"/>
      <c r="W271" s="105"/>
      <c r="X271" s="110"/>
      <c r="Y271" s="105"/>
      <c r="Z271" s="110"/>
      <c r="AA271" s="367"/>
      <c r="AB271" s="434"/>
      <c r="AC271" s="401"/>
      <c r="AD271" s="401"/>
      <c r="AE271" s="401"/>
      <c r="AF271" s="401"/>
      <c r="AG271" s="357"/>
      <c r="AH271" s="214">
        <f t="shared" si="101"/>
        <v>0</v>
      </c>
      <c r="AI271" s="130" t="str">
        <f>CONCATENATE(IF(D271&gt;SUM(D229,D233,D227,D235)," * Infant Prophylaxis ANC for Age "&amp;D20&amp;" "&amp;D21&amp;" is more than Positive at ANC (F06-02+F06-04+F06-06+F06-062)"&amp;CHAR(10),""),IF(E271&gt;SUM(E229,E233,E227,E235)," * Infant Prophylaxis ANC  for Age "&amp;D20&amp;" "&amp;E21&amp;" is more than Positive at ANC (F06-02+F06-04+F06-06+F06-062)"&amp;CHAR(10),""),IF(F271&gt;SUM(F229,F233,F227,F235)," * Infant Prophylaxis ANC  for Age "&amp;F20&amp;" "&amp;F21&amp;" is more than Positive at ANC (F06-02+F06-04+F06-06+F06-062)"&amp;CHAR(10),""),IF(G271&gt;SUM(G229,G233,G227,F235)," * Infant Prophylaxis ANC  for Age "&amp;F20&amp;" "&amp;G21&amp;" is more than Positive at ANC (F06-02+F06-04+F06-06+F06-062)"&amp;CHAR(10),""),IF(H271&gt;SUM(H229,H233,H227)," * Infant Prophylaxis ANC  for Age "&amp;H20&amp;" "&amp;H21&amp;" is more than Positive at ANC (F06-02+F06-04+F06-06+F06-062)"&amp;CHAR(10),""),IF(I271&gt;SUM(I229,I233,I227)," * Infant Prophylaxis ANC  for Age "&amp;H20&amp;" "&amp;I21&amp;" is more than Positive at ANC (F06-02+F06-04+F06-06+F06-062)"&amp;CHAR(10),""),IF(J271&gt;SUM(J229,J233,J227)," * Infant Prophylaxis ANC  for Age "&amp;J20&amp;" "&amp;J21&amp;" is more than Positive at ANC (F06-02+F06-04+F06-06+F06-062)"&amp;CHAR(10),""),IF(K271&gt;SUM(K229,K233,K227,K235)," * Infant Prophylaxis ANC  for Age "&amp;J20&amp;" "&amp;K21&amp;" is more than Positive at ANC (F06-02+F06-04+F06-06+F06-062)"&amp;CHAR(10),""),IF(L271&gt;SUM(L229,L233,L227,L235)," * Infant Prophylaxis ANC  for Age "&amp;L20&amp;" "&amp;L21&amp;" is more than Positive at ANC (F06-02+F06-04+F06-06+F06-062)"&amp;CHAR(10),""),IF(M271&gt;SUM(M229,M233,M227,M235)," * Infant Prophylaxis ANC  for Age "&amp;L20&amp;" "&amp;M21&amp;" is more than Positive at ANC (F06-02+F06-04+F06-06+F06-062)"&amp;CHAR(10),""),IF(N271&gt;SUM(N229,N233,N227,N235)," * Infant Prophylaxis ANC  for Age "&amp;N20&amp;" "&amp;N21&amp;" is more than Positive at ANC (F06-02+F06-04+F06-06+F06-062)"&amp;CHAR(10),""),IF(O271&gt;SUM(O229,O233,O227,O235)," * Infant Prophylaxis ANC  for Age "&amp;N20&amp;" "&amp;O21&amp;" is more than Positive at ANC (F06-02+F06-04+F06-06+F06-062)"&amp;CHAR(10),""),IF(P271&gt;SUM(P229,P233,P227,P235)," * Infant Prophylaxis ANC  for Age "&amp;P20&amp;" "&amp;P21&amp;" is more than Positive at ANC (F06-02+F06-04+F06-06+F06-062)"&amp;CHAR(10),""),IF(Q271&gt;SUM(Q229,Q233,Q227,Q235)," * Infant Prophylaxis ANC  for Age "&amp;P20&amp;" "&amp;Q21&amp;" is more than Positive at ANC (F06-02+F06-04+F06-06+F06-062)"&amp;CHAR(10),""),IF(R271&gt;SUM(R229,R233,R227,R235)," * Infant Prophylaxis ANC  for Age "&amp;R20&amp;" "&amp;R21&amp;" is more than Positive at ANC (F06-02+F06-04+F06-06+F06-062)"&amp;CHAR(10),""),IF(S271&gt;SUM(S229,S233,S227,S235)," * Infant Prophylaxis ANC  for Age "&amp;R20&amp;" "&amp;S21&amp;" is more than Positive at ANC (F06-02+F06-04+F06-06+F06-062)"&amp;CHAR(10),""),IF(T271&gt;SUM(T229,T233,T227,T235)," * Infant Prophylaxis ANC  for Age "&amp;T20&amp;" "&amp;T21&amp;" is more than Positive at ANC (F06-02+F06-04+F06-06+F06-062)"&amp;CHAR(10),""),IF(U271&gt;SUM(U229,U233,U227,U235)," * Infant Prophylaxis ANC  for Age "&amp;T20&amp;" "&amp;U21&amp;" is more than Positive at ANC (F06-02+F06-04+F06-06+F06-062)"&amp;CHAR(10),""),IF(V271&gt;SUM(V229,V233,V227,V235)," * Infant Prophylaxis ANC  for Age "&amp;V20&amp;" "&amp;V21&amp;" is more than Positive at ANC (F06-02+F06-04+F06-06+F06-062)"&amp;CHAR(10),""),IF(W271&gt;SUM(W229,W233,W227,W235)," * Infant Prophylaxis ANC  for Age "&amp;V20&amp;" "&amp;W21&amp;" is more than Positive at ANC (F06-02+F06-04+F06-06+F06-062)"&amp;CHAR(10),""),IF(X271&gt;SUM(X229,X233,X227,X235)," * Infant Prophylaxis ANC  for Age "&amp;X20&amp;" "&amp;X21&amp;" is more than Positive at ANC (F06-02+F06-04+F06-06+F06-062)"&amp;CHAR(10),""),IF(Y271&gt;SUM(Y229,Y233,Y227,Y235)," * Infant Prophylaxis ANC  for Age "&amp;X20&amp;" "&amp;Y21&amp;" is more than Positive at ANC (F06-02+F06-04+F06-06+F06-062)"&amp;CHAR(10),""),IF(Z271&gt;SUM(Z229,Z233,Z227,Z235)," * Infant Prophylaxis ANC  for Age "&amp;Z20&amp;" "&amp;Z21&amp;" is more than Positive at ANC (F06-02+F06-04+F06-06+F06-062)"&amp;CHAR(10),""),IF(AA271&gt;SUM(AA229,AA233,AA227,AA235)," * Infant Prophylaxis ANC  for Age "&amp;Z20&amp;" "&amp;AA21&amp;" is more than Positive at ANC (F06-02+F06-04+F06-06+F06-062)"&amp;CHAR(10),""))</f>
        <v/>
      </c>
      <c r="AJ271" s="799"/>
      <c r="AK271" s="66" t="str">
        <f>CONCATENATE(IF(D271&lt;SUM(D229,D227,D233,D235)," * Sum of (KP at 1st ANC +New positive at ANC1 + New positive at ANC2 or More+Retesting positive Result at ANC2 or More) for Age "&amp;D20&amp;" "&amp;D21&amp;" is greater than Infant Prophylaxis ANC"&amp;CHAR(10),""),IF(E271&lt;SUM(E229,E227,E233,E235)," * Sum of (KP at 1st ANC +New positive at ANC1 + New positive at ANC2 or More+Retesting positive Result at ANC2 or More) for Age "&amp;D20&amp;" "&amp;E21&amp;" is greater than Infant Prophylaxis ANC"&amp;CHAR(10),""),IF(F271&lt;SUM(F229,F227,F233,F235)," * Sum of (KP at 1st ANC +New positive at ANC1 + New positive at ANC2 or More+Retesting positive Result at ANC2 or More) for Age "&amp;F20&amp;" "&amp;F21&amp;" is greater than Infant Prophylaxis ANC"&amp;CHAR(10),""),IF(G271&lt;SUM(G229,G227,G233,G235)," * Sum of (KP at 1st ANC +New positive at ANC1 + New positive at ANC2 or More+Retesting positive Result at ANC2 or More) for Age "&amp;F20&amp;" "&amp;G21&amp;" is greater than Infant Prophylaxis ANC"&amp;CHAR(10),""),IF(H271&lt;SUM(H229,H227,H233,H235)," * Sum of (KP at 1st ANC +New positive at ANC1 + New positive at ANC2 or More+Retesting positive Result at ANC2 or More) for Age "&amp;H20&amp;" "&amp;H21&amp;" is greater than Infant Prophylaxis ANC"&amp;CHAR(10),""),IF(I271&lt;SUM(I229,I227,I233,I235)," * Sum of (KP at 1st ANC +New positive at ANC1 + New positive at ANC2 or More+Retesting positive Result at ANC2 or More) for Age "&amp;H20&amp;" "&amp;I21&amp;" is greater than Infant Prophylaxis ANC"&amp;CHAR(10),""),IF(J271&lt;SUM(J229,J227,J233,J235)," * Sum of (KP at 1st ANC +New positive at ANC1 + New positive at ANC2 or More+Retesting positive Result at ANC2 or More) for Age "&amp;J20&amp;" "&amp;J21&amp;" is greater than Infant Prophylaxis ANC"&amp;CHAR(10),""),IF(K271&lt;SUM(K229,K227,K233,K235)," * Sum of (KP at 1st ANC +New positive at ANC1 + New positive at ANC2 or More+Retesting positive Result at ANC2 or More) for Age "&amp;J20&amp;" "&amp;K21&amp;" is greater than Infant Prophylaxis ANC"&amp;CHAR(10),""),IF(L271&lt;SUM(L229,L227,L233,L235)," * Sum of (KP at 1st ANC +New positive at ANC1 + New positive at ANC2 or More+Retesting positive Result at ANC2 or More) for Age "&amp;L20&amp;" "&amp;L21&amp;" is greater than Infant Prophylaxis ANC"&amp;CHAR(10),""),IF(M271&lt;SUM(M229,M227,M233,M235)," * Sum of (KP at 1st ANC +New positive at ANC1 + New positive at ANC2 or More+Retesting positive Result at ANC2 or More) for Age "&amp;L20&amp;" "&amp;M21&amp;" is greater than Infant Prophylaxis ANC"&amp;CHAR(10),""),IF(N271&lt;SUM(N229,N227,N233,N235)," * Sum of (KP at 1st ANC +New positive at ANC1 + New positive at ANC2 or More+Retesting positive Result at ANC2 or More) for Age "&amp;N20&amp;" "&amp;N21&amp;" is greater than Infant Prophylaxis ANC"&amp;CHAR(10),""),IF(O271&lt;SUM(O229,O227,O233,O235)," * Sum of (KP at 1st ANC +New positive at ANC1 + New positive at ANC2 or More+Retesting positive Result at ANC2 or More) for Age "&amp;N20&amp;" "&amp;O21&amp;" is greater than Infant Prophylaxis ANC"&amp;CHAR(10),""),IF(P271&lt;SUM(P229,P227,P233,P235)," * Sum of (KP at 1st ANC +New positive at ANC1 + New positive at ANC2 or More+Retesting positive Result at ANC2 or More) for Age "&amp;P20&amp;" "&amp;P21&amp;" is greater than Infant Prophylaxis ANC"&amp;CHAR(10),""),IF(Q271&lt;SUM(Q229,Q227,Q233,Q235)," * Sum of (KP at 1st ANC +New positive at ANC1 + New positive at ANC2 or More+Retesting positive Result at ANC2 or More) for Age "&amp;P20&amp;" "&amp;Q21&amp;" is greater than Infant Prophylaxis ANC"&amp;CHAR(10),""),IF(R271&lt;SUM(R229,R227,R233,R235)," * Sum of (KP at 1st ANC +New positive at ANC1 + New positive at ANC2 or More+Retesting positive Result at ANC2 or More) for Age "&amp;R20&amp;" "&amp;R21&amp;" is greater than Infant Prophylaxis ANC"&amp;CHAR(10),""),IF(S271&lt;SUM(S229,S227,S233,S235)," * Sum of (KP at 1st ANC +New positive at ANC1 + New positive at ANC2 or More+Retesting positive Result at ANC2 or More) for Age "&amp;R20&amp;" "&amp;S21&amp;" is greater than Infant Prophylaxis ANC"&amp;CHAR(10),""),IF(T271&lt;SUM(T229,T227,T233&lt;T235)," * Sum of (KP at 1st ANC +New positive at ANC1 + New positive at ANC2 or More+Retesting positive Result at ANC2 or More) for Age "&amp;T20&amp;" "&amp;T21&amp;" is greater than Infant Prophylaxis ANC"&amp;CHAR(10),""),IF(U271&lt;SUM(U229,U227,U233,U235)," * Sum of (KP at 1st ANC +New positive at ANC1 + New positive at ANC2 or More+Retesting positive Result at ANC2 or More) for Age "&amp;T20&amp;" "&amp;U21&amp;" is greater than Infant Prophylaxis ANC"&amp;CHAR(10),""),IF(V271&lt;SUM(V229,V227,V233,V235)," * Sum of (KP at 1st ANC +New positive at ANC1 + New positive at ANC2 or More+Retesting positive Result at ANC2 or More) for Age "&amp;V20&amp;" "&amp;V21&amp;" is greater than Infant Prophylaxis ANC"&amp;CHAR(10),""),IF(W271&lt;SUM(W229,W227,W233,W235)," * Sum of (KP at 1st ANC +New positive at ANC1 + New positive at ANC2 or More+Retesting positive Result at ANC2 or More) for Age "&amp;V20&amp;" "&amp;W21&amp;" is greater than Infant Prophylaxis ANC"&amp;CHAR(10),""),IF(X271&lt;SUM(X229,X227,X233,X235)," * Sum of (KP at 1st ANC +New positive at ANC1 + New positive at ANC2 or More+Retesting positive Result at ANC2 or More) for Age "&amp;X20&amp;" "&amp;X21&amp;" is greater than Infant Prophylaxis ANC"&amp;CHAR(10),""),IF(Y271&lt;SUM(Y229,Y227,Y233,Y235)," * Sum of (KP at 1st ANC +New positive at ANC1 + New positive at ANC2 or More+Retesting positive Result at ANC2 or More) for Age "&amp;X20&amp;" "&amp;Y21&amp;" is greater than Infant Prophylaxis ANC"&amp;CHAR(10),""),IF(Z271&lt;SUM(Z229,Z227,Z233,Z235)," * Sum of (KP at 1st ANC +New positive at ANC1 + New positive at ANC2 or More+Retesting positive Result at ANC2 or More) for Age "&amp;Z20&amp;" "&amp;Z21&amp;" is greater than Infant Prophylaxis ANC"&amp;CHAR(10),""),IF(AA271&lt;SUM(AA229,AA227,AA233,AA235)," * Sum of (KP at 1st ANC +New positive at ANC1 + New positive at ANC2 or More+Retesting positive Result at ANC2 or More) for Age "&amp;Z20&amp;" "&amp;AA21&amp;" is greater than Infant Prophylaxis ANC"&amp;CHAR(10),""))</f>
        <v/>
      </c>
      <c r="AL271" s="817"/>
      <c r="AM271" s="14">
        <v>241</v>
      </c>
      <c r="AN271" s="89"/>
      <c r="AO271" s="83"/>
    </row>
    <row r="272" spans="1:41" ht="25.5" x14ac:dyDescent="0.75">
      <c r="A272" s="667"/>
      <c r="B272" s="84" t="s">
        <v>707</v>
      </c>
      <c r="C272" s="85" t="s">
        <v>378</v>
      </c>
      <c r="D272" s="86"/>
      <c r="E272" s="87"/>
      <c r="F272" s="87"/>
      <c r="G272" s="87"/>
      <c r="H272" s="87"/>
      <c r="I272" s="87"/>
      <c r="J272" s="87"/>
      <c r="K272" s="88"/>
      <c r="L272" s="87"/>
      <c r="M272" s="88"/>
      <c r="N272" s="87"/>
      <c r="O272" s="88"/>
      <c r="P272" s="87"/>
      <c r="Q272" s="88"/>
      <c r="R272" s="87"/>
      <c r="S272" s="88"/>
      <c r="T272" s="87"/>
      <c r="U272" s="88"/>
      <c r="V272" s="87"/>
      <c r="W272" s="88"/>
      <c r="X272" s="87"/>
      <c r="Y272" s="88"/>
      <c r="Z272" s="87"/>
      <c r="AA272" s="398"/>
      <c r="AB272" s="434"/>
      <c r="AC272" s="401"/>
      <c r="AD272" s="401"/>
      <c r="AE272" s="401"/>
      <c r="AF272" s="401"/>
      <c r="AG272" s="357"/>
      <c r="AH272" s="199">
        <f t="shared" si="101"/>
        <v>0</v>
      </c>
      <c r="AI272" s="130" t="str">
        <f>CONCATENATE(IF(D272&gt;(D237+D239)," * Infant Prophylaxis LD for Age "&amp;D20&amp;" "&amp;D21&amp;" is more than Initial LD Positive + Retest LD positive"&amp;CHAR(10),""),IF(E272&gt;(E237+E239)," * Infant Prophylaxis LD for Age "&amp;D20&amp;" "&amp;E21&amp;" is more than Initial LD Positive + Retest LD positive"&amp;CHAR(10),""),IF(F272&gt;(F237+F239)," * Infant Prophylaxis LD for Age "&amp;F20&amp;" "&amp;F21&amp;" is more than Initial LD Positive + Retest LD positive"&amp;CHAR(10),""),IF(G272&gt;(G237+G239)," * Infant Prophylaxis LD for Age "&amp;F20&amp;" "&amp;G21&amp;" is more than Initial LD Positive + Retest LD positive"&amp;CHAR(10),""),IF(H272&gt;(H237+H239)," * Infant Prophylaxis LD for Age "&amp;H20&amp;" "&amp;H21&amp;" is more than Initial LD Positive + Retest LD positive"&amp;CHAR(10),""),IF(I272&gt;(I237+I239)," * Infant Prophylaxis LD for Age "&amp;H20&amp;" "&amp;I21&amp;" is more than Initial LD Positive + Retest LD positive"&amp;CHAR(10),""),IF(J272&gt;(J237+J239)," * Infant Prophylaxis LD for Age "&amp;J20&amp;" "&amp;J21&amp;" is more than Initial LD Positive + Retest LD positive"&amp;CHAR(10),""),IF(K272&gt;(K237+K239)," * Infant Prophylaxis LD for Age "&amp;J20&amp;" "&amp;K21&amp;" is more than Initial LD Positive + Retest LD positive"&amp;CHAR(10),""),IF(L272&gt;(L237+L239)," * Infant Prophylaxis LD for Age "&amp;L20&amp;" "&amp;L21&amp;" is more than Initial LD Positive + Retest LD positive"&amp;CHAR(10),""),IF(M272&gt;(M237+M239)," * Infant Prophylaxis LD for Age "&amp;L20&amp;" "&amp;M21&amp;" is more than Initial LD Positive + Retest LD positive"&amp;CHAR(10),""),IF(N272&gt;(N237+N239)," * Infant Prophylaxis LD for Age "&amp;N20&amp;" "&amp;N21&amp;" is more than Initial LD Positive + Retest LD positive"&amp;CHAR(10),""),IF(O272&gt;(O237+O239)," * Infant Prophylaxis LD for Age "&amp;N20&amp;" "&amp;O21&amp;" is more than Initial LD Positive + Retest LD positive"&amp;CHAR(10),""),IF(P272&gt;(P237+P239)," * Infant Prophylaxis LD for Age "&amp;P20&amp;" "&amp;P21&amp;" is more than Initial LD Positive + Retest LD positive"&amp;CHAR(10),""),IF(Q272&gt;(Q237+Q239)," * Infant Prophylaxis LD for Age "&amp;P20&amp;" "&amp;Q21&amp;" is more than Initial LD Positive + Retest LD positive"&amp;CHAR(10),""),IF(R272&gt;(R237+R239)," * Infant Prophylaxis LD for Age "&amp;R20&amp;" "&amp;R21&amp;" is more than Initial LD Positive + Retest LD positive"&amp;CHAR(10),""),IF(S272&gt;(S237+S239)," * Infant Prophylaxis LD for Age "&amp;R20&amp;" "&amp;S21&amp;" is more than Initial LD Positive + Retest LD positive"&amp;CHAR(10),""),IF(T272&gt;(T237+T239)," * Infant Prophylaxis LD for Age "&amp;T20&amp;" "&amp;T21&amp;" is more than Initial LD Positive + Retest LD positive"&amp;CHAR(10),""),IF(U272&gt;(U237+U239)," * Infant Prophylaxis LD for Age "&amp;T20&amp;" "&amp;U21&amp;" is more than Initial LD Positive + Retest LD positive"&amp;CHAR(10),""),IF(V272&gt;(V237+V239)," * Infant Prophylaxis LD for Age "&amp;V20&amp;" "&amp;V21&amp;" is more than Initial LD Positive + Retest LD positive"&amp;CHAR(10),""),IF(W272&gt;(W237+W239)," * Infant Prophylaxis LD for Age "&amp;V20&amp;" "&amp;W21&amp;" is more than Initial LD Positive + Retest LD positive"&amp;CHAR(10),""),IF(X272&gt;X237," * Infant Prophylaxis LD for Age "&amp;X20&amp;" "&amp;X21&amp;" is more than Initial LD Positive + Retest LD positive"&amp;CHAR(10),""),IF(Y272&gt;(Y237+Y239)," * Infant Prophylaxis LD for Age "&amp;X20&amp;" "&amp;Y21&amp;" is more than Initial LD Positive + Retest LD positive"&amp;CHAR(10),""),IF(Z272&gt;(Z237+Z239)," * Infant Prophylaxis LD for Age "&amp;Z20&amp;" "&amp;Z21&amp;" is more than Initial LD Positive + Retest LD positive"&amp;CHAR(10),""),IF(AA272&gt;(AA237+AA239)," * Infant Prophylaxis LD for Age "&amp;Z20&amp;" "&amp;AA21&amp;" is more than Initial LD Positive + Retest LD positive"&amp;CHAR(10),""),IF(AH272&gt;(AH237+AH239)," * Total Infant Prophylaxis LD is more than Total Initial LD Positive + Retest LD positive"&amp;CHAR(10),""))</f>
        <v/>
      </c>
      <c r="AJ272" s="799"/>
      <c r="AK272" s="33" t="str">
        <f>CONCATENATE(IF(D272&lt;(D237+D239)," * Infant Prophylaxis LD for Age "&amp;D20&amp;" "&amp;D21&amp;" is less than Initial LD Positive + Retest LD positive"&amp;CHAR(10),""),IF(E272&lt;(E237+E239)," * Infant Prophylaxis LD for Age "&amp;D20&amp;" "&amp;E21&amp;" is less than Initial LD Positive + Retest LD positive"&amp;CHAR(10),""),IF(F272&lt;(F237+F239)," * Infant Prophylaxis LD for Age "&amp;F20&amp;" "&amp;F21&amp;" is less than Initial LD Positive + Retest LD positive"&amp;CHAR(10),""),IF(G272&lt;(G237+G239)," * Infant Prophylaxis LD for Age "&amp;F20&amp;" "&amp;G21&amp;" is less than Initial LD Positive + Retest LD positive"&amp;CHAR(10),""),IF(H272&lt;(H237+H239)," * Infant Prophylaxis LD for Age "&amp;H20&amp;" "&amp;H21&amp;" is less than Initial LD Positive + Retest LD positive"&amp;CHAR(10),""),IF(I272&lt;(I237+I239)," * Infant Prophylaxis LD for Age "&amp;H20&amp;" "&amp;I21&amp;" is less than Initial LD Positive + Retest LD positive"&amp;CHAR(10),""),IF(J272&lt;(J237+J239)," * Infant Prophylaxis LD for Age "&amp;J20&amp;" "&amp;J21&amp;" is less than Initial LD Positive + Retest LD positive"&amp;CHAR(10),""),IF(K272&lt;(K237+K239)," * Infant Prophylaxis LD for Age "&amp;J20&amp;" "&amp;K21&amp;" is less than Initial LD Positive + Retest LD positive"&amp;CHAR(10),""),IF(L272&lt;(L237+L239)," * Infant Prophylaxis LD for Age "&amp;L20&amp;" "&amp;L21&amp;" is less than Initial LD Positive + Retest LD positive"&amp;CHAR(10),""),IF(M272&lt;(M237+M239)," * Infant Prophylaxis LD for Age "&amp;L20&amp;" "&amp;M21&amp;" is less than Initial LD Positive + Retest LD positive"&amp;CHAR(10),""),IF(N272&lt;(N237+N239)," * Infant Prophylaxis LD for Age "&amp;N20&amp;" "&amp;N21&amp;" is less than Initial LD Positive + Retest LD positive"&amp;CHAR(10),""),IF(O272&lt;(O237+O239)," * Infant Prophylaxis LD for Age "&amp;N20&amp;" "&amp;O21&amp;" is less than Initial LD Positive + Retest LD positive"&amp;CHAR(10),""),IF(P272&lt;(P237+P239)," * Infant Prophylaxis LD for Age "&amp;P20&amp;" "&amp;P21&amp;" is less than Initial LD Positive + Retest LD positive"&amp;CHAR(10),""),IF(Q272&lt;(Q237+Q239)," * Infant Prophylaxis LD for Age "&amp;P20&amp;" "&amp;Q21&amp;" is less than Initial LD Positive + Retest LD positive"&amp;CHAR(10),""),IF(R272&lt;(R237+R239)," * Infant Prophylaxis LD for Age "&amp;R20&amp;" "&amp;R21&amp;" is less than Initial LD Positive + Retest LD positive"&amp;CHAR(10),""),IF(S272&lt;(S237+S239)," * Infant Prophylaxis LD for Age "&amp;R20&amp;" "&amp;S21&amp;" is less than Initial LD Positive + Retest LD positive"&amp;CHAR(10),""),IF(T272&lt;(T237+T239)," * Infant Prophylaxis LD for Age "&amp;T20&amp;" "&amp;T21&amp;" is less than Initial LD Positive + Retest LD positive"&amp;CHAR(10),""),IF(U272&lt;(U237+U239)," * Infant Prophylaxis LD for Age "&amp;T20&amp;" "&amp;U21&amp;" is less than Initial LD Positive + Retest LD positive"&amp;CHAR(10),""),IF(V272&lt;(V237+V239)," * Infant Prophylaxis LD for Age "&amp;V20&amp;" "&amp;V21&amp;" is less than Initial LD Positive + Retest LD positive"&amp;CHAR(10),""),IF(W272&lt;(W237+W239)," * Infant Prophylaxis LD for Age "&amp;V20&amp;" "&amp;W21&amp;" is less than Initial LD Positive + Retest LD positive"&amp;CHAR(10),""),IF(X272&lt;X237," * Infant Prophylaxis LD for Age "&amp;X20&amp;" "&amp;X21&amp;" is less than Initial LD Positive + Retest LD positive"&amp;CHAR(10),""),IF(Y272&lt;(Y237+Y239)," * Infant Prophylaxis LD for Age "&amp;X20&amp;" "&amp;Y21&amp;" is less than Initial LD Positive + Retest LD positive"&amp;CHAR(10),""),IF(Z272&lt;(Z237+Z239)," * Infant Prophylaxis LD for Age "&amp;Z20&amp;" "&amp;Z21&amp;" is less than Initial LD Positive + Retest LD positive"&amp;CHAR(10),""),IF(AA272&lt;(AA237+AA239)," * Infant Prophylaxis LD for Age "&amp;Z20&amp;" "&amp;AA21&amp;" is less than Initial LD Positive + Retest LD positive"&amp;CHAR(10),""),IF(AH272&lt;(AH237+AH239)," * Total Infant Prophylaxis LD is less than Total Initial LD Positive + Retest LD positive"&amp;CHAR(10),""))</f>
        <v/>
      </c>
      <c r="AL272" s="817"/>
      <c r="AM272" s="14">
        <v>242</v>
      </c>
      <c r="AN272" s="82"/>
      <c r="AO272" s="83"/>
    </row>
    <row r="273" spans="1:41" ht="25.9" thickBot="1" x14ac:dyDescent="0.8">
      <c r="A273" s="819"/>
      <c r="B273" s="132" t="s">
        <v>708</v>
      </c>
      <c r="C273" s="97" t="s">
        <v>379</v>
      </c>
      <c r="D273" s="152"/>
      <c r="E273" s="134"/>
      <c r="F273" s="134"/>
      <c r="G273" s="134"/>
      <c r="H273" s="134"/>
      <c r="I273" s="134"/>
      <c r="J273" s="134"/>
      <c r="K273" s="135"/>
      <c r="L273" s="134"/>
      <c r="M273" s="135"/>
      <c r="N273" s="134"/>
      <c r="O273" s="135"/>
      <c r="P273" s="134"/>
      <c r="Q273" s="135"/>
      <c r="R273" s="134"/>
      <c r="S273" s="135"/>
      <c r="T273" s="134"/>
      <c r="U273" s="135"/>
      <c r="V273" s="134"/>
      <c r="W273" s="135"/>
      <c r="X273" s="134"/>
      <c r="Y273" s="135"/>
      <c r="Z273" s="134"/>
      <c r="AA273" s="378"/>
      <c r="AB273" s="435"/>
      <c r="AC273" s="436"/>
      <c r="AD273" s="436"/>
      <c r="AE273" s="436"/>
      <c r="AF273" s="436"/>
      <c r="AG273" s="358"/>
      <c r="AH273" s="439">
        <f t="shared" si="101"/>
        <v>0</v>
      </c>
      <c r="AI273" s="136" t="str">
        <f>CONCATENATE(IF(D273&gt;D241+D243," * Infant Prophylaxis PNC &lt; 6 Weeks for Age "&amp;D20&amp;" "&amp;D21&amp;" is more than Positive PNC &lt;= 6 weeks"&amp;CHAR(10),""),IF(E273&gt;E241+E243," * Infant Prophylaxis PNC &lt; 6 Weeks for Age "&amp;D20&amp;" "&amp;E21&amp;" is more than Positive PNC &lt;= 6 weeks"&amp;CHAR(10),""),IF(F273&gt;F241+F243," * Infant Prophylaxis PNC &lt; 6 Weeks for Age "&amp;F20&amp;" "&amp;F21&amp;" is more than Positive PNC &lt;= 6 weeks"&amp;CHAR(10),""),IF(G273&gt;G241+G243," * Infant Prophylaxis PNC &lt; 6 Weeks for Age "&amp;F20&amp;" "&amp;G21&amp;" is more than Positive PNC &lt;= 6 weeks"&amp;CHAR(10),""),IF(H273&gt;H241+H243," * Infant Prophylaxis PNC &lt; 6 Weeks for Age "&amp;H20&amp;" "&amp;H21&amp;" is more than Positive PNC &lt;= 6 weeks"&amp;CHAR(10),""),IF(I273&gt;I241+I243," * Infant Prophylaxis PNC &lt; 6 Weeks for Age "&amp;H20&amp;" "&amp;I21&amp;" is more than Positive PNC &lt;= 6 weeks"&amp;CHAR(10),""),IF(J273&gt;J241+J243," * Infant Prophylaxis PNC &lt; 6 Weeks for Age "&amp;J20&amp;" "&amp;J21&amp;" is more than Positive PNC &lt;= 6 weeks"&amp;CHAR(10),""),IF(K273&gt;K241+K243," * Infant Prophylaxis PNC &lt; 6 Weeks for Age "&amp;J20&amp;" "&amp;K21&amp;" is more than Positive PNC &lt;= 6 weeks"&amp;CHAR(10),""),IF(L273&gt;L241+L243," * Infant Prophylaxis PNC &lt; 6 Weeks for Age "&amp;L20&amp;" "&amp;L21&amp;" is more than Positive PNC &lt;= 6 weeks"&amp;CHAR(10),""),IF(M273&gt;M241+M243," * Infant Prophylaxis PNC &lt; 6 Weeks for Age "&amp;L20&amp;" "&amp;M21&amp;" is more than Positive PNC &lt;= 6 weeks"&amp;CHAR(10),""),IF(N273&gt;N241+N243," * Infant Prophylaxis PNC &lt; 6 Weeks for Age "&amp;N20&amp;" "&amp;N21&amp;" is more than Positive PNC &lt;= 6 weeks"&amp;CHAR(10),""),IF(O273&gt;O241+O243," * Infant Prophylaxis PNC &lt; 6 Weeks for Age "&amp;N20&amp;" "&amp;O21&amp;" is more than Positive PNC &lt;= 6 weeks"&amp;CHAR(10),""),IF(P273&gt;P241+P243," * Infant Prophylaxis PNC &lt; 6 Weeks for Age "&amp;P20&amp;" "&amp;P21&amp;" is more than Positive PNC &lt;= 6 weeks"&amp;CHAR(10),""),IF(Q273&gt;Q241+Q243," * Infant Prophylaxis PNC &lt; 6 Weeks for Age "&amp;P20&amp;" "&amp;Q21&amp;" is more than Positive PNC &lt;= 6 weeks"&amp;CHAR(10),""),IF(R273&gt;R241+R243," * Infant Prophylaxis PNC &lt; 6 Weeks for Age "&amp;R20&amp;" "&amp;R21&amp;" is more than Positive PNC &lt;= 6 weeks"&amp;CHAR(10),""),IF(S273&gt;S241+S243+S243," * Infant Prophylaxis PNC &lt; 6 Weeks for Age "&amp;R20&amp;" "&amp;S21&amp;" is more than Positive PNC &lt;= 6 weeks"&amp;CHAR(10),""),IF(T273&gt;T241+T243," * Infant Prophylaxis PNC &lt; 6 Weeks for Age "&amp;T20&amp;" "&amp;T21&amp;" is more than Positive PNC &lt;= 6 weeks"&amp;CHAR(10),""),IF(U273&gt;U241+U243," * Infant Prophylaxis PNC &lt; 6 Weeks for Age "&amp;T20&amp;" "&amp;U21&amp;" is more than Positive PNC &lt;= 6 weeks"&amp;CHAR(10),""),IF(V273&gt;V241+V243," * Infant Prophylaxis PNC &lt; 6 Weeks for Age "&amp;V20&amp;" "&amp;V21&amp;" is more than Positive PNC &lt;= 6 weeks"&amp;CHAR(10),""),IF(W273&gt;W241+W243," * Infant Prophylaxis PNC &lt; 6 Weeks for Age "&amp;V20&amp;" "&amp;W21&amp;" is more than Positive PNC &lt;= 6 weeks"&amp;CHAR(10),""),IF(X273&gt;X241+X243," * Infant Prophylaxis PNC &lt; 6 Weeks for Age "&amp;X20&amp;" "&amp;X21&amp;" is more than Positive PNC &lt;= 6 weeks"&amp;CHAR(10),""),IF(Y273&gt;Y241+Y243," * Infant Prophylaxis PNC &lt; 6 Weeks for Age "&amp;X20&amp;" "&amp;Y21&amp;" is more than Positive PNC &lt;= 6 weeks"&amp;CHAR(10),""),IF(Z273&gt;Z241+Z243," * Infant Prophylaxis PNC &lt; 6 Weeks for Age "&amp;Z20&amp;" "&amp;Z21&amp;" is more than Positive PNC &lt;= 6 weeks"&amp;CHAR(10),""),IF(AA273&gt;AA241+AA243," * Infant Prophylaxis PNC &lt; 6 Weeks for Age "&amp;Z20&amp;" "&amp;AA21&amp;" is more than Positive PNC &lt;= 6 weeks"&amp;CHAR(10),""))</f>
        <v/>
      </c>
      <c r="AJ273" s="800"/>
      <c r="AK273" s="137" t="str">
        <f>CONCATENATE(IF(D273&lt;D241," * F06-20 for Age "&amp;D20&amp;" "&amp;D21&amp;" is less than F06-10"&amp;CHAR(10),""),IF(E273&lt;E241," * F06-20 for Age "&amp;D20&amp;" "&amp;E21&amp;" is less than F06-10"&amp;CHAR(10),""),IF(F273&lt;F241," * F06-20 for Age "&amp;F20&amp;" "&amp;F21&amp;" is less than F06-10"&amp;CHAR(10),""),IF(G273&lt;G241," * F06-20 for Age "&amp;F20&amp;" "&amp;G21&amp;" is less than F06-10"&amp;CHAR(10),""),IF(H273&lt;H241," * F06-20 for Age "&amp;H20&amp;" "&amp;H21&amp;" is less than F06-10"&amp;CHAR(10),""),IF(I273&lt;I241," * F06-20 for Age "&amp;H20&amp;" "&amp;I21&amp;" is less than F06-10"&amp;CHAR(10),""),IF(J273&lt;J241," * F06-20 for Age "&amp;J20&amp;" "&amp;J21&amp;" is less than F06-10"&amp;CHAR(10),""),IF(K273&lt;K241," * F06-20 for Age "&amp;J20&amp;" "&amp;K21&amp;" is less than F06-10"&amp;CHAR(10),""),IF(L273&lt;L241," * F06-20 for Age "&amp;L20&amp;" "&amp;L21&amp;" is less than F06-10"&amp;CHAR(10),""),IF(M273&lt;M241," * F06-20 for Age "&amp;L20&amp;" "&amp;M21&amp;" is less than F06-10"&amp;CHAR(10),""),IF(N273&lt;N241," * F06-20 for Age "&amp;N20&amp;" "&amp;N21&amp;" is less than F06-10"&amp;CHAR(10),""),IF(O273&lt;O241," * F06-20 for Age "&amp;N20&amp;" "&amp;O21&amp;" is less than F06-10"&amp;CHAR(10),""),IF(P273&lt;P241," * F06-20 for Age "&amp;P20&amp;" "&amp;P21&amp;" is less than F06-10"&amp;CHAR(10),""),IF(Q273&lt;Q241," * F06-20 for Age "&amp;P20&amp;" "&amp;Q21&amp;" is less than F06-10"&amp;CHAR(10),""),IF(R273&lt;R241," * F06-20 for Age "&amp;R20&amp;" "&amp;R21&amp;" is less than F06-10"&amp;CHAR(10),""),IF(S273&lt;S241," * F06-20 for Age "&amp;R20&amp;" "&amp;S21&amp;" is less than F06-10"&amp;CHAR(10),""),IF(T273&lt;T241," * F06-20 for Age "&amp;T20&amp;" "&amp;T21&amp;" is less than F06-10"&amp;CHAR(10),""),IF(U273&lt;U241," * F06-20 for Age "&amp;T20&amp;" "&amp;U21&amp;" is less than F06-10"&amp;CHAR(10),""),IF(V273&lt;V241," * F06-20 for Age "&amp;V20&amp;" "&amp;V21&amp;" is less than F06-10"&amp;CHAR(10),""),IF(W273&lt;W241," * F06-20 for Age "&amp;V20&amp;" "&amp;W21&amp;" is less than F06-10"&amp;CHAR(10),""),IF(X273&lt;X241," * F06-20 for Age "&amp;X20&amp;" "&amp;X21&amp;" is less than F06-10"&amp;CHAR(10),""),IF(Y273&lt;Y241," * F06-20 for Age "&amp;X20&amp;" "&amp;Y21&amp;" is less than F06-10"&amp;CHAR(10),""),IF(Z273&lt;Z241," * F06-20 for Age "&amp;Z20&amp;" "&amp;Z21&amp;" is less than F06-10"&amp;CHAR(10),""),IF(AA273&lt;AA241," * F06-20 for Age "&amp;Z20&amp;" "&amp;AA21&amp;" is less than F06-10"&amp;CHAR(10),""),IF(AH273&lt;AH241," * Total F06-20 is less than Total F06-10"&amp;CHAR(10),""))</f>
        <v/>
      </c>
      <c r="AL273" s="818"/>
      <c r="AM273" s="14">
        <v>243</v>
      </c>
      <c r="AN273" s="82"/>
      <c r="AO273" s="83"/>
    </row>
    <row r="274" spans="1:41" ht="25.9" thickBot="1" x14ac:dyDescent="0.8">
      <c r="A274" s="691" t="s">
        <v>130</v>
      </c>
      <c r="B274" s="692"/>
      <c r="C274" s="692"/>
      <c r="D274" s="692"/>
      <c r="E274" s="692"/>
      <c r="F274" s="692"/>
      <c r="G274" s="692"/>
      <c r="H274" s="692"/>
      <c r="I274" s="692"/>
      <c r="J274" s="692"/>
      <c r="K274" s="692"/>
      <c r="L274" s="692"/>
      <c r="M274" s="692"/>
      <c r="N274" s="692"/>
      <c r="O274" s="692"/>
      <c r="P274" s="692"/>
      <c r="Q274" s="692"/>
      <c r="R274" s="692"/>
      <c r="S274" s="692"/>
      <c r="T274" s="692"/>
      <c r="U274" s="692"/>
      <c r="V274" s="692"/>
      <c r="W274" s="692"/>
      <c r="X274" s="692"/>
      <c r="Y274" s="692"/>
      <c r="Z274" s="692"/>
      <c r="AA274" s="692"/>
      <c r="AB274" s="693"/>
      <c r="AC274" s="693"/>
      <c r="AD274" s="693"/>
      <c r="AE274" s="693"/>
      <c r="AF274" s="693"/>
      <c r="AG274" s="693"/>
      <c r="AH274" s="692"/>
      <c r="AI274" s="692"/>
      <c r="AJ274" s="692"/>
      <c r="AK274" s="692"/>
      <c r="AL274" s="694"/>
      <c r="AM274" s="14">
        <v>244</v>
      </c>
      <c r="AN274" s="82"/>
      <c r="AO274" s="83"/>
    </row>
    <row r="275" spans="1:41" ht="26.25" customHeight="1" x14ac:dyDescent="0.75">
      <c r="A275" s="749" t="s">
        <v>37</v>
      </c>
      <c r="B275" s="768" t="s">
        <v>346</v>
      </c>
      <c r="C275" s="754" t="s">
        <v>327</v>
      </c>
      <c r="D275" s="785" t="s">
        <v>0</v>
      </c>
      <c r="E275" s="785"/>
      <c r="F275" s="785" t="s">
        <v>1</v>
      </c>
      <c r="G275" s="785"/>
      <c r="H275" s="785" t="s">
        <v>2</v>
      </c>
      <c r="I275" s="785"/>
      <c r="J275" s="785" t="s">
        <v>3</v>
      </c>
      <c r="K275" s="785"/>
      <c r="L275" s="785" t="s">
        <v>4</v>
      </c>
      <c r="M275" s="785"/>
      <c r="N275" s="785" t="s">
        <v>5</v>
      </c>
      <c r="O275" s="785"/>
      <c r="P275" s="785" t="s">
        <v>6</v>
      </c>
      <c r="Q275" s="785"/>
      <c r="R275" s="785" t="s">
        <v>7</v>
      </c>
      <c r="S275" s="785"/>
      <c r="T275" s="785" t="s">
        <v>8</v>
      </c>
      <c r="U275" s="785"/>
      <c r="V275" s="785" t="s">
        <v>23</v>
      </c>
      <c r="W275" s="785"/>
      <c r="X275" s="785" t="s">
        <v>24</v>
      </c>
      <c r="Y275" s="785"/>
      <c r="Z275" s="785" t="s">
        <v>9</v>
      </c>
      <c r="AA275" s="785"/>
      <c r="AB275" s="758" t="s">
        <v>1035</v>
      </c>
      <c r="AC275" s="824"/>
      <c r="AD275" s="758" t="s">
        <v>1036</v>
      </c>
      <c r="AE275" s="824"/>
      <c r="AF275" s="758" t="s">
        <v>1037</v>
      </c>
      <c r="AG275" s="824"/>
      <c r="AH275" s="872" t="s">
        <v>19</v>
      </c>
      <c r="AI275" s="896" t="s">
        <v>380</v>
      </c>
      <c r="AJ275" s="772" t="s">
        <v>386</v>
      </c>
      <c r="AK275" s="783" t="s">
        <v>387</v>
      </c>
      <c r="AL275" s="888" t="s">
        <v>387</v>
      </c>
      <c r="AM275" s="14">
        <v>245</v>
      </c>
      <c r="AN275" s="82"/>
      <c r="AO275" s="83"/>
    </row>
    <row r="276" spans="1:41" ht="27" customHeight="1" thickBot="1" x14ac:dyDescent="0.8">
      <c r="A276" s="750"/>
      <c r="B276" s="796"/>
      <c r="C276" s="755"/>
      <c r="D276" s="336" t="s">
        <v>10</v>
      </c>
      <c r="E276" s="336" t="s">
        <v>11</v>
      </c>
      <c r="F276" s="336" t="s">
        <v>10</v>
      </c>
      <c r="G276" s="336" t="s">
        <v>11</v>
      </c>
      <c r="H276" s="336" t="s">
        <v>10</v>
      </c>
      <c r="I276" s="336" t="s">
        <v>11</v>
      </c>
      <c r="J276" s="336" t="s">
        <v>10</v>
      </c>
      <c r="K276" s="336" t="s">
        <v>11</v>
      </c>
      <c r="L276" s="336" t="s">
        <v>10</v>
      </c>
      <c r="M276" s="336" t="s">
        <v>11</v>
      </c>
      <c r="N276" s="336" t="s">
        <v>10</v>
      </c>
      <c r="O276" s="336" t="s">
        <v>11</v>
      </c>
      <c r="P276" s="336" t="s">
        <v>10</v>
      </c>
      <c r="Q276" s="336" t="s">
        <v>11</v>
      </c>
      <c r="R276" s="336" t="s">
        <v>10</v>
      </c>
      <c r="S276" s="336" t="s">
        <v>11</v>
      </c>
      <c r="T276" s="336" t="s">
        <v>10</v>
      </c>
      <c r="U276" s="336" t="s">
        <v>11</v>
      </c>
      <c r="V276" s="336" t="s">
        <v>10</v>
      </c>
      <c r="W276" s="336" t="s">
        <v>11</v>
      </c>
      <c r="X276" s="336" t="s">
        <v>10</v>
      </c>
      <c r="Y276" s="336" t="s">
        <v>11</v>
      </c>
      <c r="Z276" s="336" t="s">
        <v>10</v>
      </c>
      <c r="AA276" s="336" t="s">
        <v>11</v>
      </c>
      <c r="AB276" s="336" t="s">
        <v>10</v>
      </c>
      <c r="AC276" s="336" t="s">
        <v>11</v>
      </c>
      <c r="AD276" s="336" t="s">
        <v>10</v>
      </c>
      <c r="AE276" s="336" t="s">
        <v>11</v>
      </c>
      <c r="AF276" s="336" t="s">
        <v>10</v>
      </c>
      <c r="AG276" s="336" t="s">
        <v>11</v>
      </c>
      <c r="AH276" s="873"/>
      <c r="AI276" s="897"/>
      <c r="AJ276" s="773"/>
      <c r="AK276" s="784"/>
      <c r="AL276" s="815"/>
      <c r="AM276" s="14">
        <v>246</v>
      </c>
      <c r="AN276" s="82"/>
      <c r="AO276" s="83"/>
    </row>
    <row r="277" spans="1:41" s="266" customFormat="1" ht="25.9" thickBot="1" x14ac:dyDescent="0.8">
      <c r="A277" s="260" t="s">
        <v>297</v>
      </c>
      <c r="B277" s="261" t="s">
        <v>852</v>
      </c>
      <c r="C277" s="74" t="s">
        <v>298</v>
      </c>
      <c r="D277" s="262">
        <f>SUM(D278:D283)</f>
        <v>0</v>
      </c>
      <c r="E277" s="263">
        <f>SUM(E278:E283)</f>
        <v>0</v>
      </c>
      <c r="F277" s="263">
        <f t="shared" ref="F277:AA277" si="102">SUM(F278:F283)</f>
        <v>0</v>
      </c>
      <c r="G277" s="263">
        <f t="shared" si="102"/>
        <v>0</v>
      </c>
      <c r="H277" s="263">
        <f t="shared" si="102"/>
        <v>0</v>
      </c>
      <c r="I277" s="263">
        <f t="shared" si="102"/>
        <v>0</v>
      </c>
      <c r="J277" s="263">
        <f t="shared" si="102"/>
        <v>0</v>
      </c>
      <c r="K277" s="263">
        <f t="shared" si="102"/>
        <v>0</v>
      </c>
      <c r="L277" s="263">
        <f t="shared" si="102"/>
        <v>0</v>
      </c>
      <c r="M277" s="263">
        <f t="shared" si="102"/>
        <v>0</v>
      </c>
      <c r="N277" s="263">
        <f t="shared" si="102"/>
        <v>0</v>
      </c>
      <c r="O277" s="263">
        <f t="shared" si="102"/>
        <v>0</v>
      </c>
      <c r="P277" s="263">
        <f t="shared" si="102"/>
        <v>0</v>
      </c>
      <c r="Q277" s="263">
        <f t="shared" si="102"/>
        <v>0</v>
      </c>
      <c r="R277" s="263">
        <f t="shared" si="102"/>
        <v>0</v>
      </c>
      <c r="S277" s="263">
        <f t="shared" si="102"/>
        <v>0</v>
      </c>
      <c r="T277" s="263">
        <f t="shared" si="102"/>
        <v>0</v>
      </c>
      <c r="U277" s="263">
        <f t="shared" si="102"/>
        <v>0</v>
      </c>
      <c r="V277" s="263">
        <f t="shared" si="102"/>
        <v>0</v>
      </c>
      <c r="W277" s="263">
        <f t="shared" si="102"/>
        <v>0</v>
      </c>
      <c r="X277" s="263">
        <f t="shared" si="102"/>
        <v>0</v>
      </c>
      <c r="Y277" s="263">
        <f t="shared" si="102"/>
        <v>0</v>
      </c>
      <c r="Z277" s="263">
        <f t="shared" si="102"/>
        <v>0</v>
      </c>
      <c r="AA277" s="263">
        <f t="shared" si="102"/>
        <v>0</v>
      </c>
      <c r="AB277" s="608"/>
      <c r="AC277" s="609"/>
      <c r="AD277" s="609"/>
      <c r="AE277" s="609"/>
      <c r="AF277" s="609"/>
      <c r="AG277" s="610"/>
      <c r="AH277" s="484">
        <f>SUM(D277:AA277)</f>
        <v>0</v>
      </c>
      <c r="AI277" s="130" t="str">
        <f>CONCATENATE(IF(D277&gt;D287," * Starting ART for Age "&amp;D20&amp;" "&amp;D21&amp;" is more than Current On ART"&amp;CHAR(10),""),IF(E277&gt;E287," * Starting ART for Age "&amp;D20&amp;" "&amp;E21&amp;" is more than Current On ART"&amp;CHAR(10),""),IF(F277&gt;F287," * Starting ART for Age "&amp;F20&amp;" "&amp;F21&amp;" is more than Current On ART"&amp;CHAR(10),""),IF(G277&gt;G287," * Starting ART for Age "&amp;F20&amp;" "&amp;G21&amp;" is more than Current On ART"&amp;CHAR(10),""),IF(H277&gt;H287," * Starting ART for Age "&amp;H20&amp;" "&amp;H21&amp;" is more than Current On ART"&amp;CHAR(10),""),IF(I277&gt;I287," * Starting ART for Age "&amp;H20&amp;" "&amp;I21&amp;" is more than Current On ART"&amp;CHAR(10),""),IF(J277&gt;J287," * Starting ART for Age "&amp;J20&amp;" "&amp;J21&amp;" is more than Current On ART"&amp;CHAR(10),""),IF(K277&gt;K287," * Starting ART for Age "&amp;J20&amp;" "&amp;K21&amp;" is more than Current On ART"&amp;CHAR(10),""),IF(L277&gt;L287," * Starting ART for Age "&amp;L20&amp;" "&amp;L21&amp;" is more than Current On ART"&amp;CHAR(10),""),IF(M277&gt;M287," * Starting ART for Age "&amp;L20&amp;" "&amp;M21&amp;" is more than Current On ART"&amp;CHAR(10),""),IF(N277&gt;N287," * Starting ART for Age "&amp;N20&amp;" "&amp;N21&amp;" is more than Current On ART"&amp;CHAR(10),""),IF(O277&gt;O287," * Starting ART for Age "&amp;N20&amp;" "&amp;O21&amp;" is more than Current On ART"&amp;CHAR(10),""),IF(P277&gt;P287," * Starting ART for Age "&amp;P20&amp;" "&amp;P21&amp;" is more than Current On ART"&amp;CHAR(10),""),IF(Q277&gt;Q287," * Starting ART for Age "&amp;P20&amp;" "&amp;Q21&amp;" is more than Current On ART"&amp;CHAR(10),""),IF(R277&gt;R287," * Starting ART for Age "&amp;R20&amp;" "&amp;R21&amp;" is more than Current On ART"&amp;CHAR(10),""),IF(S277&gt;S287," * Starting ART for Age "&amp;R20&amp;" "&amp;S21&amp;" is more than Current On ART"&amp;CHAR(10),""),IF(T277&gt;T287," * Starting ART for Age "&amp;T20&amp;" "&amp;T21&amp;" is more than Current On ART"&amp;CHAR(10),""),IF(U277&gt;U287," * Starting ART for Age "&amp;T20&amp;" "&amp;U21&amp;" is more than Current On ART"&amp;CHAR(10),""),IF(V277&gt;V287," * Starting ART for Age "&amp;V20&amp;" "&amp;V21&amp;" is more than Current On ART"&amp;CHAR(10),""),IF(W277&gt;W287," * Starting ART for Age "&amp;V20&amp;" "&amp;W21&amp;" is more than Current On ART"&amp;CHAR(10),""),IF(X277&gt;X287," * Starting ART for Age "&amp;X20&amp;" "&amp;X21&amp;" is more than Current On ART"&amp;CHAR(10),""),IF(Y277&gt;Y287," * Starting ART for Age "&amp;X20&amp;" "&amp;Y21&amp;" is more than Current On ART"&amp;CHAR(10),""),IF(Z277&gt;Z287," * Starting ART for Age "&amp;Z20&amp;" "&amp;Z21&amp;" is more than Current On ART"&amp;CHAR(10),""),IF(AA277&gt;AA287," * Starting ART for Age "&amp;Z20&amp;" "&amp;AA21&amp;" is more than Current On ART"&amp;CHAR(10),""))</f>
        <v/>
      </c>
      <c r="AJ277" s="745" t="str">
        <f>CONCATENATE(AI277,AI278,AI279,AI280,AI281,AI282,AI283,AI284,AI286,AI287,AI288,AI289,AI290,AI291,AI292,AI293,AI294,AI296,AI295,AI297,AI298,AI299,AI300,AI301)</f>
        <v/>
      </c>
      <c r="AK277" s="33"/>
      <c r="AL277" s="658" t="str">
        <f>CONCATENATE(AK277,AK278,AK279,AK280,AK281,AK282,AK283,AK284,AK286,AK287,AK288,AK289,AK290,AK291,AK292,AK293,AK294,AK295,AK296,AK297,AK298,AK299,AK300,AK301)</f>
        <v/>
      </c>
      <c r="AM277" s="14">
        <v>247</v>
      </c>
      <c r="AN277" s="264"/>
      <c r="AO277" s="265"/>
    </row>
    <row r="278" spans="1:41" ht="25.5" x14ac:dyDescent="0.75">
      <c r="A278" s="636" t="s">
        <v>577</v>
      </c>
      <c r="B278" s="1" t="s">
        <v>395</v>
      </c>
      <c r="C278" s="77" t="s">
        <v>571</v>
      </c>
      <c r="D278" s="267"/>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365"/>
      <c r="AB278" s="432"/>
      <c r="AC278" s="433"/>
      <c r="AD278" s="433"/>
      <c r="AE278" s="433"/>
      <c r="AF278" s="433"/>
      <c r="AG278" s="360"/>
      <c r="AH278" s="481">
        <f t="shared" ref="AH278:AH283" si="103">SUM(D278:AA278)</f>
        <v>0</v>
      </c>
      <c r="AI278" s="130"/>
      <c r="AJ278" s="746"/>
      <c r="AK278" s="33"/>
      <c r="AL278" s="659"/>
      <c r="AM278" s="14">
        <v>248</v>
      </c>
      <c r="AN278" s="82"/>
      <c r="AO278" s="83"/>
    </row>
    <row r="279" spans="1:41" ht="25.5" x14ac:dyDescent="0.75">
      <c r="A279" s="670"/>
      <c r="B279" s="2" t="s">
        <v>390</v>
      </c>
      <c r="C279" s="85" t="s">
        <v>572</v>
      </c>
      <c r="D279" s="268"/>
      <c r="E279" s="88"/>
      <c r="F279" s="88"/>
      <c r="G279" s="88"/>
      <c r="H279" s="88"/>
      <c r="I279" s="88"/>
      <c r="J279" s="88"/>
      <c r="K279" s="88"/>
      <c r="L279" s="88"/>
      <c r="M279" s="88"/>
      <c r="N279" s="88"/>
      <c r="O279" s="88"/>
      <c r="P279" s="88"/>
      <c r="Q279" s="88"/>
      <c r="R279" s="88"/>
      <c r="S279" s="88"/>
      <c r="T279" s="88"/>
      <c r="U279" s="88"/>
      <c r="V279" s="88"/>
      <c r="W279" s="88"/>
      <c r="X279" s="88"/>
      <c r="Y279" s="88"/>
      <c r="Z279" s="88"/>
      <c r="AA279" s="362"/>
      <c r="AB279" s="434"/>
      <c r="AC279" s="401"/>
      <c r="AD279" s="401"/>
      <c r="AE279" s="401"/>
      <c r="AF279" s="401"/>
      <c r="AG279" s="357"/>
      <c r="AH279" s="482">
        <f t="shared" si="103"/>
        <v>0</v>
      </c>
      <c r="AI279" s="130"/>
      <c r="AJ279" s="746"/>
      <c r="AK279" s="33"/>
      <c r="AL279" s="659"/>
      <c r="AM279" s="14">
        <v>249</v>
      </c>
      <c r="AN279" s="82"/>
      <c r="AO279" s="83"/>
    </row>
    <row r="280" spans="1:41" ht="25.5" x14ac:dyDescent="0.75">
      <c r="A280" s="670"/>
      <c r="B280" s="2" t="s">
        <v>391</v>
      </c>
      <c r="C280" s="85" t="s">
        <v>573</v>
      </c>
      <c r="D280" s="268"/>
      <c r="E280" s="88"/>
      <c r="F280" s="88"/>
      <c r="G280" s="88"/>
      <c r="H280" s="88"/>
      <c r="I280" s="88"/>
      <c r="J280" s="88"/>
      <c r="K280" s="88"/>
      <c r="L280" s="88"/>
      <c r="M280" s="88"/>
      <c r="N280" s="88"/>
      <c r="O280" s="88"/>
      <c r="P280" s="88"/>
      <c r="Q280" s="88"/>
      <c r="R280" s="88"/>
      <c r="S280" s="88"/>
      <c r="T280" s="88"/>
      <c r="U280" s="88"/>
      <c r="V280" s="88"/>
      <c r="W280" s="88"/>
      <c r="X280" s="88"/>
      <c r="Y280" s="88"/>
      <c r="Z280" s="88"/>
      <c r="AA280" s="362"/>
      <c r="AB280" s="434"/>
      <c r="AC280" s="401"/>
      <c r="AD280" s="401"/>
      <c r="AE280" s="401"/>
      <c r="AF280" s="401"/>
      <c r="AG280" s="357"/>
      <c r="AH280" s="482">
        <f t="shared" si="103"/>
        <v>0</v>
      </c>
      <c r="AI280" s="130"/>
      <c r="AJ280" s="746"/>
      <c r="AK280" s="33"/>
      <c r="AL280" s="659"/>
      <c r="AM280" s="14">
        <v>250</v>
      </c>
      <c r="AN280" s="82"/>
      <c r="AO280" s="83"/>
    </row>
    <row r="281" spans="1:41" ht="25.5" x14ac:dyDescent="0.75">
      <c r="A281" s="670"/>
      <c r="B281" s="2" t="s">
        <v>392</v>
      </c>
      <c r="C281" s="85" t="s">
        <v>574</v>
      </c>
      <c r="D281" s="268"/>
      <c r="E281" s="88"/>
      <c r="F281" s="88"/>
      <c r="G281" s="88"/>
      <c r="H281" s="88"/>
      <c r="I281" s="88"/>
      <c r="J281" s="88"/>
      <c r="K281" s="88"/>
      <c r="L281" s="88"/>
      <c r="M281" s="88"/>
      <c r="N281" s="88"/>
      <c r="O281" s="88"/>
      <c r="P281" s="88"/>
      <c r="Q281" s="88"/>
      <c r="R281" s="88"/>
      <c r="S281" s="88"/>
      <c r="T281" s="88"/>
      <c r="U281" s="88"/>
      <c r="V281" s="88"/>
      <c r="W281" s="88"/>
      <c r="X281" s="88"/>
      <c r="Y281" s="88"/>
      <c r="Z281" s="88"/>
      <c r="AA281" s="362"/>
      <c r="AB281" s="434"/>
      <c r="AC281" s="401"/>
      <c r="AD281" s="401"/>
      <c r="AE281" s="401"/>
      <c r="AF281" s="401"/>
      <c r="AG281" s="357"/>
      <c r="AH281" s="482">
        <f t="shared" si="103"/>
        <v>0</v>
      </c>
      <c r="AI281" s="130"/>
      <c r="AJ281" s="746"/>
      <c r="AK281" s="33"/>
      <c r="AL281" s="659"/>
      <c r="AM281" s="14">
        <v>251</v>
      </c>
      <c r="AN281" s="82"/>
      <c r="AO281" s="83"/>
    </row>
    <row r="282" spans="1:41" ht="25.5" x14ac:dyDescent="0.75">
      <c r="A282" s="670"/>
      <c r="B282" s="2" t="s">
        <v>393</v>
      </c>
      <c r="C282" s="85" t="s">
        <v>575</v>
      </c>
      <c r="D282" s="268"/>
      <c r="E282" s="88"/>
      <c r="F282" s="88"/>
      <c r="G282" s="88"/>
      <c r="H282" s="88"/>
      <c r="I282" s="88"/>
      <c r="J282" s="88"/>
      <c r="K282" s="88"/>
      <c r="L282" s="88"/>
      <c r="M282" s="88"/>
      <c r="N282" s="88"/>
      <c r="O282" s="88"/>
      <c r="P282" s="88"/>
      <c r="Q282" s="88"/>
      <c r="R282" s="88"/>
      <c r="S282" s="88"/>
      <c r="T282" s="88"/>
      <c r="U282" s="88"/>
      <c r="V282" s="88"/>
      <c r="W282" s="88"/>
      <c r="X282" s="88"/>
      <c r="Y282" s="88"/>
      <c r="Z282" s="88"/>
      <c r="AA282" s="362"/>
      <c r="AB282" s="434"/>
      <c r="AC282" s="401"/>
      <c r="AD282" s="401"/>
      <c r="AE282" s="401"/>
      <c r="AF282" s="401"/>
      <c r="AG282" s="357"/>
      <c r="AH282" s="482">
        <f t="shared" si="103"/>
        <v>0</v>
      </c>
      <c r="AI282" s="130"/>
      <c r="AJ282" s="746"/>
      <c r="AK282" s="33"/>
      <c r="AL282" s="659"/>
      <c r="AM282" s="14">
        <v>252</v>
      </c>
      <c r="AN282" s="82"/>
      <c r="AO282" s="83"/>
    </row>
    <row r="283" spans="1:41" ht="25.9" thickBot="1" x14ac:dyDescent="0.8">
      <c r="A283" s="637"/>
      <c r="B283" s="3" t="s">
        <v>394</v>
      </c>
      <c r="C283" s="97" t="s">
        <v>576</v>
      </c>
      <c r="D283" s="162"/>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c r="AA283" s="364"/>
      <c r="AB283" s="435"/>
      <c r="AC283" s="436"/>
      <c r="AD283" s="436"/>
      <c r="AE283" s="436"/>
      <c r="AF283" s="436"/>
      <c r="AG283" s="358"/>
      <c r="AH283" s="483">
        <f t="shared" si="103"/>
        <v>0</v>
      </c>
      <c r="AI283" s="130"/>
      <c r="AJ283" s="746"/>
      <c r="AK283" s="33"/>
      <c r="AL283" s="659"/>
      <c r="AM283" s="14">
        <v>253</v>
      </c>
      <c r="AN283" s="82"/>
      <c r="AO283" s="83"/>
    </row>
    <row r="284" spans="1:41" ht="51.4" thickBot="1" x14ac:dyDescent="0.8">
      <c r="A284" s="260" t="s">
        <v>578</v>
      </c>
      <c r="B284" s="269" t="s">
        <v>709</v>
      </c>
      <c r="C284" s="74" t="s">
        <v>299</v>
      </c>
      <c r="D284" s="270"/>
      <c r="E284" s="258"/>
      <c r="F284" s="258"/>
      <c r="G284" s="258"/>
      <c r="H284" s="258"/>
      <c r="I284" s="258"/>
      <c r="J284" s="258"/>
      <c r="K284" s="259"/>
      <c r="L284" s="258"/>
      <c r="M284" s="259"/>
      <c r="N284" s="258"/>
      <c r="O284" s="259"/>
      <c r="P284" s="258"/>
      <c r="Q284" s="259"/>
      <c r="R284" s="258"/>
      <c r="S284" s="259"/>
      <c r="T284" s="258"/>
      <c r="U284" s="259"/>
      <c r="V284" s="258"/>
      <c r="W284" s="259"/>
      <c r="X284" s="258"/>
      <c r="Y284" s="259"/>
      <c r="Z284" s="258"/>
      <c r="AA284" s="271"/>
      <c r="AB284" s="435"/>
      <c r="AC284" s="436"/>
      <c r="AD284" s="436"/>
      <c r="AE284" s="436"/>
      <c r="AF284" s="436"/>
      <c r="AG284" s="358"/>
      <c r="AH284" s="463">
        <f t="shared" ref="AH284:AH312" si="104">SUM(D284:AA284)</f>
        <v>0</v>
      </c>
      <c r="AI284" s="348" t="str">
        <f>CONCATENATE(IF(D284&gt;D277," * F07-02 for Age "&amp;D20&amp;" "&amp;D21&amp;" is more than F07-01"&amp;CHAR(10),""),IF(E284&gt;E277," * F07-02 for Age "&amp;D20&amp;" "&amp;E21&amp;" is more than F07-01"&amp;CHAR(10),""),IF(F284&gt;F277," * F07-02 for Age "&amp;F20&amp;" "&amp;F21&amp;" is more than F07-01"&amp;CHAR(10),""),IF(G284&gt;G277," * F07-02 for Age "&amp;F20&amp;" "&amp;G21&amp;" is more than F07-01"&amp;CHAR(10),""),IF(H284&gt;H277," * F07-02 for Age "&amp;H20&amp;" "&amp;H21&amp;" is more than F07-01"&amp;CHAR(10),""),IF(I284&gt;I277," * F07-02 for Age "&amp;H20&amp;" "&amp;I21&amp;" is more than F07-01"&amp;CHAR(10),""),IF(J284&gt;J277," * F07-02 for Age "&amp;J20&amp;" "&amp;J21&amp;" is more than F07-01"&amp;CHAR(10),""),IF(K284&gt;K277," * F07-02 for Age "&amp;J20&amp;" "&amp;K21&amp;" is more than F07-01"&amp;CHAR(10),""),IF(L284&gt;L277," * F07-02 for Age "&amp;L20&amp;" "&amp;L21&amp;" is more than F07-01"&amp;CHAR(10),""),IF(M284&gt;M277," * F07-02 for Age "&amp;L20&amp;" "&amp;M21&amp;" is more than F07-01"&amp;CHAR(10),""),IF(N284&gt;N277," * F07-02 for Age "&amp;N20&amp;" "&amp;N21&amp;" is more than F07-01"&amp;CHAR(10),""),IF(O284&gt;O277," * F07-02 for Age "&amp;N20&amp;" "&amp;O21&amp;" is more than F07-01"&amp;CHAR(10),""),IF(P284&gt;P277," * F07-02 for Age "&amp;P20&amp;" "&amp;P21&amp;" is more than F07-01"&amp;CHAR(10),""),IF(Q284&gt;Q277," * F07-02 for Age "&amp;P20&amp;" "&amp;Q21&amp;" is more than F07-01"&amp;CHAR(10),""),IF(R284&gt;R277," * F07-02 for Age "&amp;R20&amp;" "&amp;R21&amp;" is more than F07-01"&amp;CHAR(10),""),IF(S284&gt;S277," * F07-02 for Age "&amp;R20&amp;" "&amp;S21&amp;" is more than F07-01"&amp;CHAR(10),""),IF(T284&gt;T277," * F07-02 for Age "&amp;T20&amp;" "&amp;T21&amp;" is more than F07-01"&amp;CHAR(10),""),IF(U284&gt;U277," * F07-02 for Age "&amp;T20&amp;" "&amp;U21&amp;" is more than F07-01"&amp;CHAR(10),""),IF(V284&gt;V277," * F07-02 for Age "&amp;V20&amp;" "&amp;V21&amp;" is more than F07-01"&amp;CHAR(10),""),IF(W284&gt;W277," * F07-02 for Age "&amp;V20&amp;" "&amp;W21&amp;" is more than F07-01"&amp;CHAR(10),""),IF(X284&gt;X277," * F07-02 for Age "&amp;X20&amp;" "&amp;X21&amp;" is more than F07-01"&amp;CHAR(10),""),IF(Y284&gt;Y277," * F07-02 for Age "&amp;X20&amp;" "&amp;Y21&amp;" is more than F07-01"&amp;CHAR(10),""),IF(Z284&gt;Z277," * F07-02 for Age "&amp;Z20&amp;" "&amp;Z21&amp;" is more than F07-01"&amp;CHAR(10),""),IF(AA284&gt;AA277," * F07-02 for Age "&amp;Z20&amp;" "&amp;AA21&amp;" is more than F07-01"&amp;CHAR(10),""),IF(AH284&gt;AH277," * Total F07-02 is more than Total F07-01"&amp;CHAR(10),""))</f>
        <v/>
      </c>
      <c r="AJ284" s="746"/>
      <c r="AK284" s="66" t="str">
        <f>CONCATENATE(IF(AND(AH277&gt;0,OR(SUM(AH28,AH33,AH35,AH37,AH39,AH41,AH43,AH45,AH47,AH49,AH229,AH233,AH237,AH241)=0,SUM(AH27,AH32,AH34,AH36,AH38,AH40,AH42,AH44,AH46,AH48,AH228,AH232,AH236,AH240)=0))," * This site started patients on ART yet it has 0 positives or zero tested "&amp;CHAR(10),""),"")</f>
        <v/>
      </c>
      <c r="AL284" s="659"/>
      <c r="AM284" s="14">
        <v>254</v>
      </c>
      <c r="AN284" s="82"/>
      <c r="AO284" s="83"/>
    </row>
    <row r="285" spans="1:41" ht="25.9" thickBot="1" x14ac:dyDescent="0.8">
      <c r="A285" s="138" t="s">
        <v>983</v>
      </c>
      <c r="B285" s="606" t="s">
        <v>984</v>
      </c>
      <c r="C285" s="607" t="s">
        <v>985</v>
      </c>
      <c r="D285" s="464"/>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c r="AA285" s="259"/>
      <c r="AB285" s="87"/>
      <c r="AC285" s="87"/>
      <c r="AD285" s="87"/>
      <c r="AE285" s="87"/>
      <c r="AF285" s="87"/>
      <c r="AG285" s="87"/>
      <c r="AH285" s="351">
        <f t="shared" si="104"/>
        <v>0</v>
      </c>
      <c r="AI285" s="130"/>
      <c r="AJ285" s="746"/>
      <c r="AK285" s="66"/>
      <c r="AL285" s="659"/>
      <c r="AM285" s="14">
        <v>255</v>
      </c>
      <c r="AN285" s="82"/>
      <c r="AO285" s="83"/>
    </row>
    <row r="286" spans="1:41" ht="25.5" x14ac:dyDescent="0.75">
      <c r="A286" s="636" t="s">
        <v>579</v>
      </c>
      <c r="B286" s="102" t="s">
        <v>978</v>
      </c>
      <c r="C286" s="594" t="s">
        <v>560</v>
      </c>
      <c r="D286" s="267"/>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470">
        <f t="shared" ref="Z286" si="105">SUM(AB286,AD286,AF286)</f>
        <v>0</v>
      </c>
      <c r="AA286" s="471">
        <f t="shared" ref="AA286" si="106">SUM(AC286,AE286,AG286)</f>
        <v>0</v>
      </c>
      <c r="AB286" s="365"/>
      <c r="AC286" s="365"/>
      <c r="AD286" s="365"/>
      <c r="AE286" s="365"/>
      <c r="AF286" s="365"/>
      <c r="AG286" s="365"/>
      <c r="AH286" s="71">
        <f t="shared" ref="AH286" si="107">SUM(D286:AA286)</f>
        <v>0</v>
      </c>
      <c r="AI286" s="130" t="str">
        <f>CONCATENATE(IF(D286&gt;D287," * &lt; 28 Days Defaulters for Age "&amp;D20&amp;" "&amp;D21&amp;" is more than Current On ART"&amp;CHAR(10),""),IF(E286&gt;E287," * &lt; 28 Days Defaulters for Age "&amp;D20&amp;" "&amp;E21&amp;" is more than Current On ART"&amp;CHAR(10),""),IF(F286&gt;F287," * &lt; 28 Days Defaulters for Age "&amp;F20&amp;" "&amp;F21&amp;" is more than Current On ART"&amp;CHAR(10),""),IF(G286&gt;G287," * &lt; 28 Days Defaulters for Age "&amp;F20&amp;" "&amp;G21&amp;" is more than Current On ART"&amp;CHAR(10),""),IF(H286&gt;H287," * &lt; 28 Days Defaulters for Age "&amp;H20&amp;" "&amp;H21&amp;" is more than Current On ART"&amp;CHAR(10),""),IF(I286&gt;I287," * &lt; 28 Days Defaulters for Age "&amp;H20&amp;" "&amp;I21&amp;" is more than Current On ART"&amp;CHAR(10),""),IF(J286&gt;J287," * &lt; 28 Days Defaulters for Age "&amp;J20&amp;" "&amp;J21&amp;" is more than Current On ART"&amp;CHAR(10),""),IF(K286&gt;K287," * &lt; 28 Days Defaulters for Age "&amp;J20&amp;" "&amp;K21&amp;" is more than Current On ART"&amp;CHAR(10),""),IF(L286&gt;L287," * &lt; 28 Days Defaulters for Age "&amp;L20&amp;" "&amp;L21&amp;" is more than Current On ART"&amp;CHAR(10),""),IF(M286&gt;M287," * &lt; 28 Days Defaulters for Age "&amp;L20&amp;" "&amp;M21&amp;" is more than Current On ART"&amp;CHAR(10),""),IF(N286&gt;N287," * &lt; 28 Days Defaulters for Age "&amp;N20&amp;" "&amp;N21&amp;" is more than Current On ART"&amp;CHAR(10),""),IF(O286&gt;O287," * &lt; 28 Days Defaulters for Age "&amp;N20&amp;" "&amp;O21&amp;" is more than Current On ART"&amp;CHAR(10),""),IF(P286&gt;P287," * &lt; 28 Days Defaulters for Age "&amp;P20&amp;" "&amp;P21&amp;" is more than Current On ART"&amp;CHAR(10),""),IF(Q286&gt;Q287," * &lt; 28 Days Defaulters for Age "&amp;P20&amp;" "&amp;Q21&amp;" is more than Current On ART"&amp;CHAR(10),""),IF(R286&gt;R287," * &lt; 28 Days Defaulters for Age "&amp;R20&amp;" "&amp;R21&amp;" is more than Current On ART"&amp;CHAR(10),""),IF(S286&gt;S287," * &lt; 28 Days Defaulters for Age "&amp;R20&amp;" "&amp;S21&amp;" is more than Current On ART"&amp;CHAR(10),""),IF(T286&gt;T287," * &lt; 28 Days Defaulters for Age "&amp;T20&amp;" "&amp;T21&amp;" is more than Current On ART"&amp;CHAR(10),""),IF(U286&gt;U287," * &lt; 28 Days Defaulters for Age "&amp;T20&amp;" "&amp;U21&amp;" is more than Current On ART"&amp;CHAR(10),""),IF(V286&gt;V287," * &lt; 28 Days Defaulters for Age "&amp;V20&amp;" "&amp;V21&amp;" is more than Current On ART"&amp;CHAR(10),""),IF(W286&gt;W287," * &lt; 28 Days Defaulters for Age "&amp;V20&amp;" "&amp;W21&amp;" is more than Current On ART"&amp;CHAR(10),""),IF(X286&gt;X287," * &lt; 28 Days Defaulters for Age "&amp;X20&amp;" "&amp;X21&amp;" is more than Current On ART"&amp;CHAR(10),""),IF(Y286&gt;Y287," * &lt; 28 Days Defaulters for Age "&amp;X20&amp;" "&amp;Y21&amp;" is more than Current On ART"&amp;CHAR(10),""),IF(Z286&gt;Z287," * &lt; 28 Days Defaulters for Age "&amp;Z20&amp;" "&amp;Z21&amp;" is more than Current On ART"&amp;CHAR(10),""),IF(AA286&gt;AA287," * &lt; 28 Days Defaulters for Age "&amp;Z20&amp;" "&amp;AA21&amp;" is more than Current On ART"&amp;CHAR(10),""))</f>
        <v/>
      </c>
      <c r="AJ286" s="746"/>
      <c r="AK286" s="33"/>
      <c r="AL286" s="659"/>
      <c r="AM286" s="14">
        <v>256</v>
      </c>
      <c r="AN286" s="82"/>
      <c r="AO286" s="83"/>
    </row>
    <row r="287" spans="1:41" ht="25.9" thickBot="1" x14ac:dyDescent="0.8">
      <c r="A287" s="637"/>
      <c r="B287" s="274" t="s">
        <v>851</v>
      </c>
      <c r="C287" s="97" t="s">
        <v>301</v>
      </c>
      <c r="D287" s="275">
        <f>SUM(D288:D293)</f>
        <v>0</v>
      </c>
      <c r="E287" s="276">
        <f t="shared" ref="E287:AG287" si="108">SUM(E288:E293)</f>
        <v>0</v>
      </c>
      <c r="F287" s="276">
        <f t="shared" si="108"/>
        <v>0</v>
      </c>
      <c r="G287" s="276">
        <f t="shared" si="108"/>
        <v>0</v>
      </c>
      <c r="H287" s="276">
        <f t="shared" si="108"/>
        <v>0</v>
      </c>
      <c r="I287" s="276">
        <f t="shared" si="108"/>
        <v>0</v>
      </c>
      <c r="J287" s="276">
        <f t="shared" si="108"/>
        <v>0</v>
      </c>
      <c r="K287" s="276">
        <f t="shared" si="108"/>
        <v>0</v>
      </c>
      <c r="L287" s="276">
        <f t="shared" si="108"/>
        <v>0</v>
      </c>
      <c r="M287" s="276">
        <f t="shared" si="108"/>
        <v>0</v>
      </c>
      <c r="N287" s="276">
        <f t="shared" si="108"/>
        <v>0</v>
      </c>
      <c r="O287" s="276">
        <f t="shared" si="108"/>
        <v>0</v>
      </c>
      <c r="P287" s="276">
        <f t="shared" si="108"/>
        <v>0</v>
      </c>
      <c r="Q287" s="276">
        <f t="shared" si="108"/>
        <v>0</v>
      </c>
      <c r="R287" s="276">
        <f t="shared" si="108"/>
        <v>0</v>
      </c>
      <c r="S287" s="276">
        <f t="shared" si="108"/>
        <v>0</v>
      </c>
      <c r="T287" s="276">
        <f t="shared" si="108"/>
        <v>0</v>
      </c>
      <c r="U287" s="276">
        <f t="shared" si="108"/>
        <v>0</v>
      </c>
      <c r="V287" s="276">
        <f t="shared" si="108"/>
        <v>0</v>
      </c>
      <c r="W287" s="276">
        <f t="shared" si="108"/>
        <v>0</v>
      </c>
      <c r="X287" s="276">
        <f t="shared" si="108"/>
        <v>0</v>
      </c>
      <c r="Y287" s="402">
        <f t="shared" si="108"/>
        <v>0</v>
      </c>
      <c r="Z287" s="402">
        <f>SUM(AB287,AD287,AF287)</f>
        <v>0</v>
      </c>
      <c r="AA287" s="402">
        <f>SUM(AC287,AE287,AG287)</f>
        <v>0</v>
      </c>
      <c r="AB287" s="275">
        <f t="shared" si="108"/>
        <v>0</v>
      </c>
      <c r="AC287" s="276">
        <f t="shared" si="108"/>
        <v>0</v>
      </c>
      <c r="AD287" s="276">
        <f t="shared" si="108"/>
        <v>0</v>
      </c>
      <c r="AE287" s="276">
        <f t="shared" si="108"/>
        <v>0</v>
      </c>
      <c r="AF287" s="276">
        <f t="shared" si="108"/>
        <v>0</v>
      </c>
      <c r="AG287" s="276">
        <f t="shared" si="108"/>
        <v>0</v>
      </c>
      <c r="AH287" s="277">
        <f>SUM(AH288:AH293)</f>
        <v>0</v>
      </c>
      <c r="AI287" s="130" t="str">
        <f>CONCATENATE(IF(D287&lt;&gt;D300,""&amp;CHAR(10)&amp;"  * Current on ART by month of dispense F07-16 for age "&amp;D275&amp;" "&amp;D276&amp;" is not equal to Clients current On ART F07-03 age  "&amp;D275&amp;" "&amp;D276&amp;"",""),IF(E287&lt;&gt;E300,""&amp;CHAR(10)&amp;"  * Current on ART by month of dispense F07-16 for age "&amp;D275&amp;" "&amp;E276&amp;" is not equal to Clients current On ART F07-03 age  "&amp;D275&amp;" "&amp;E276&amp;"",""),IF(F287&lt;&gt;F300,""&amp;CHAR(10)&amp;"  * Current on ART by month of dispense F07-16 for age "&amp;F275&amp;" "&amp;F276&amp;" is not equal to Clients current On ART F07-03 age  "&amp;F275&amp;" "&amp;F276&amp;"",""),IF(G287&lt;&gt;G300,""&amp;CHAR(10)&amp;"  * Current on ART by month of dispense F07-16 for age "&amp;F275&amp;" "&amp;G276&amp;" is not equal to Clients current On ART F07-03 age  "&amp;F275&amp;" "&amp;G276&amp;"",""),IF(H287&lt;&gt;H300,""&amp;CHAR(10)&amp;"  * Current on ART by month of dispense F07-16 for age "&amp;H275&amp;" "&amp;H276&amp;" is not equal to Clients current On ART F07-03 age  "&amp;H275&amp;" "&amp;H276&amp;"",""),IF(I287&lt;&gt;I300,""&amp;CHAR(10)&amp;"  * Current on ART by month of dispense F07-16 for age "&amp;H275&amp;" "&amp;I276&amp;" is not equal to Clients current On ART F07-03 age  "&amp;H275&amp;" "&amp;I276&amp;"",""),IF(J287&lt;&gt;J300,""&amp;CHAR(10)&amp;"  * Current on ART by month of dispense F07-16 for age "&amp;J275&amp;" "&amp;J276&amp;" is not equal to Clients current On ART F07-03 age  "&amp;J275&amp;" "&amp;J276&amp;"",""),IF(K287&lt;&gt;K300,""&amp;CHAR(10)&amp;"  * Current on ART by month of dispense F07-16 for age "&amp;J275&amp;" "&amp;K276&amp;" is not equal to Clients current On ART F07-03 age  "&amp;J275&amp;" "&amp;K276&amp;"",""),IF(L287&lt;&gt;L300,""&amp;CHAR(10)&amp;"  * Current on ART by month of dispense F07-16 for age "&amp;L275&amp;" "&amp;L276&amp;" is not equal to Clients current On ART F07-03 age  "&amp;L275&amp;" "&amp;L276&amp;"",""),IF(M287&lt;&gt;M300,""&amp;CHAR(10)&amp;"  * Current on ART by month of dispense F07-16 for age "&amp;L275&amp;" "&amp;M276&amp;" is not equal to Clients current On ART F07-03 age  "&amp;L275&amp;" "&amp;M276&amp;"",""),IF(N287&lt;&gt;N300,""&amp;CHAR(10)&amp;"  * Current on ART by month of dispense F07-16 for age "&amp;N275&amp;" "&amp;N276&amp;" is not equal to Clients current On ART F07-03 age  "&amp;N275&amp;" "&amp;N276&amp;"",""),IF(O287&lt;&gt;O300,""&amp;CHAR(10)&amp;"  * Current on ART by month of dispense F07-16 for age "&amp;N275&amp;" "&amp;O276&amp;" is not equal to Clients current On ART F07-03 age  "&amp;N275&amp;" "&amp;O276&amp;"",""),IF(P287&lt;&gt;P300,""&amp;CHAR(10)&amp;"  * Current on ART by month of dispense F07-16 for age "&amp;P275&amp;" "&amp;P276&amp;" is not equal to Clients current On ART F07-03 age  "&amp;P275&amp;" "&amp;P276&amp;"",""),IF(Q287&lt;&gt;Q300,""&amp;CHAR(10)&amp;"  * Current on ART by month of dispense F07-16 for age "&amp;P275&amp;" "&amp;Q276&amp;" is not equal to Clients current On ART F07-03 age  "&amp;P275&amp;" "&amp;Q276&amp;"",""),IF(R287&lt;&gt;R300,""&amp;CHAR(10)&amp;"  * Current on ART by month of dispense F07-16 for age "&amp;R275&amp;" "&amp;R276&amp;" is not equal to Clients current On ART F07-03 age  "&amp;R275&amp;" "&amp;R276&amp;"",""),IF(S287&lt;&gt;S300,""&amp;CHAR(10)&amp;"  * Current on ART by month of dispense F07-16 for age "&amp;R275&amp;" "&amp;S276&amp;" is not equal to Clients current On ART F07-03 age  "&amp;R275&amp;" "&amp;S276&amp;"",""),IF(T287&lt;&gt;T300,""&amp;CHAR(10)&amp;"  * Current on ART by month of dispense F07-16 for age "&amp;T275&amp;" "&amp;T276&amp;" is not equal to Clients current On ART F07-03 age  "&amp;T275&amp;" "&amp;T276&amp;"",""),IF(U287&lt;&gt;U300,""&amp;CHAR(10)&amp;"  * Current on ART by month of dispense F07-16 for age "&amp;T275&amp;" "&amp;U276&amp;" is not equal to Clients current On ART F07-03 age  "&amp;T275&amp;" "&amp;U276&amp;"",""),IF(V287&lt;&gt;V300,""&amp;CHAR(10)&amp;"  * Current on ART by month of dispense F07-16 for age "&amp;V275&amp;" "&amp;V276&amp;" is not equal to Clients current On ART F07-03 age  "&amp;V275&amp;" "&amp;V276&amp;"",""),IF(W287&lt;&gt;W300,""&amp;CHAR(10)&amp;"  * Current on ART by month of dispense F07-16 for age "&amp;V275&amp;" "&amp;W276&amp;" is not equal to Clients current On ART F07-03 age  "&amp;V275&amp;" "&amp;W276&amp;"",""),IF(X287&lt;&gt;X300,""&amp;CHAR(10)&amp;"  * Current on ART by month of dispense F07-16 for age "&amp;X275&amp;" "&amp;X276&amp;" is not equal to Clients current On ART F07-03 age  "&amp;X275&amp;" "&amp;X276&amp;"",""),IF(Y287&lt;&gt;Y300,""&amp;CHAR(10)&amp;"  * Current on ART by month of dispense F07-16 for age "&amp;X275&amp;" "&amp;Y276&amp;" is not equal to Clients current On ART F07-03 age  "&amp;X275&amp;" "&amp;Y276&amp;"",""),IF(Z287&lt;&gt;Z300,""&amp;CHAR(10)&amp;"  * Current on ART by month of dispense F07-16 for age "&amp;Z275&amp;" "&amp;Z276&amp;" is not equal to Clients current On ART F07-03 age  "&amp;Z275&amp;" "&amp;Z276&amp;"",""),IF(AA287&lt;&gt;AA300,""&amp;CHAR(10)&amp;"  * Current on ART by month of dispense F07-16 for age "&amp;Z275&amp;" "&amp;AA276&amp;" is not equal to Clients current On ART F07-03 age  "&amp;Z275&amp;" "&amp;AA276&amp;"",""))</f>
        <v/>
      </c>
      <c r="AJ287" s="746"/>
      <c r="AK287" s="33"/>
      <c r="AL287" s="659"/>
      <c r="AM287" s="14">
        <v>257</v>
      </c>
      <c r="AN287" s="82"/>
      <c r="AO287" s="83"/>
    </row>
    <row r="288" spans="1:41" ht="25.5" x14ac:dyDescent="0.75">
      <c r="A288" s="884" t="s">
        <v>440</v>
      </c>
      <c r="B288" s="1" t="s">
        <v>395</v>
      </c>
      <c r="C288" s="77" t="s">
        <v>409</v>
      </c>
      <c r="D288" s="466"/>
      <c r="E288" s="105"/>
      <c r="F288" s="105"/>
      <c r="G288" s="105"/>
      <c r="H288" s="105"/>
      <c r="I288" s="105"/>
      <c r="J288" s="105"/>
      <c r="K288" s="105"/>
      <c r="L288" s="105"/>
      <c r="M288" s="105"/>
      <c r="N288" s="105"/>
      <c r="O288" s="105"/>
      <c r="P288" s="105"/>
      <c r="Q288" s="105"/>
      <c r="R288" s="105"/>
      <c r="S288" s="105"/>
      <c r="T288" s="105"/>
      <c r="U288" s="105"/>
      <c r="V288" s="105"/>
      <c r="W288" s="105"/>
      <c r="X288" s="105"/>
      <c r="Y288" s="365"/>
      <c r="Z288" s="470">
        <f t="shared" ref="Z288:Z301" si="109">SUM(AB288,AD288,AF288)</f>
        <v>0</v>
      </c>
      <c r="AA288" s="471">
        <f t="shared" ref="AA288:AA301" si="110">SUM(AC288,AE288,AG288)</f>
        <v>0</v>
      </c>
      <c r="AB288" s="406"/>
      <c r="AC288" s="365"/>
      <c r="AD288" s="365"/>
      <c r="AE288" s="365"/>
      <c r="AF288" s="365"/>
      <c r="AG288" s="365"/>
      <c r="AH288" s="71">
        <f t="shared" si="104"/>
        <v>0</v>
      </c>
      <c r="AI288" s="130"/>
      <c r="AJ288" s="746"/>
      <c r="AK288" s="33"/>
      <c r="AL288" s="659"/>
      <c r="AM288" s="14">
        <v>258</v>
      </c>
      <c r="AN288" s="82"/>
      <c r="AO288" s="83"/>
    </row>
    <row r="289" spans="1:41" ht="25.5" x14ac:dyDescent="0.75">
      <c r="A289" s="885"/>
      <c r="B289" s="2" t="s">
        <v>390</v>
      </c>
      <c r="C289" s="85" t="s">
        <v>410</v>
      </c>
      <c r="D289" s="467"/>
      <c r="E289" s="88"/>
      <c r="F289" s="88"/>
      <c r="G289" s="88"/>
      <c r="H289" s="88"/>
      <c r="I289" s="88"/>
      <c r="J289" s="88"/>
      <c r="K289" s="88"/>
      <c r="L289" s="88"/>
      <c r="M289" s="88"/>
      <c r="N289" s="88"/>
      <c r="O289" s="88"/>
      <c r="P289" s="88"/>
      <c r="Q289" s="88"/>
      <c r="R289" s="88"/>
      <c r="S289" s="88"/>
      <c r="T289" s="88"/>
      <c r="U289" s="88"/>
      <c r="V289" s="88"/>
      <c r="W289" s="88"/>
      <c r="X289" s="88"/>
      <c r="Y289" s="362"/>
      <c r="Z289" s="472">
        <f t="shared" si="109"/>
        <v>0</v>
      </c>
      <c r="AA289" s="473">
        <f t="shared" si="110"/>
        <v>0</v>
      </c>
      <c r="AB289" s="407"/>
      <c r="AC289" s="362"/>
      <c r="AD289" s="362"/>
      <c r="AE289" s="362"/>
      <c r="AF289" s="362"/>
      <c r="AG289" s="362"/>
      <c r="AH289" s="31">
        <f t="shared" si="104"/>
        <v>0</v>
      </c>
      <c r="AI289" s="130"/>
      <c r="AJ289" s="746"/>
      <c r="AK289" s="33"/>
      <c r="AL289" s="659"/>
      <c r="AM289" s="14">
        <v>259</v>
      </c>
      <c r="AN289" s="82"/>
      <c r="AO289" s="83"/>
    </row>
    <row r="290" spans="1:41" ht="25.5" x14ac:dyDescent="0.75">
      <c r="A290" s="885"/>
      <c r="B290" s="2" t="s">
        <v>391</v>
      </c>
      <c r="C290" s="85" t="s">
        <v>411</v>
      </c>
      <c r="D290" s="467"/>
      <c r="E290" s="88"/>
      <c r="F290" s="88"/>
      <c r="G290" s="88"/>
      <c r="H290" s="88"/>
      <c r="I290" s="88"/>
      <c r="J290" s="88"/>
      <c r="K290" s="88"/>
      <c r="L290" s="88"/>
      <c r="M290" s="88"/>
      <c r="N290" s="88"/>
      <c r="O290" s="88"/>
      <c r="P290" s="88"/>
      <c r="Q290" s="88"/>
      <c r="R290" s="88"/>
      <c r="S290" s="88"/>
      <c r="T290" s="88"/>
      <c r="U290" s="88"/>
      <c r="V290" s="88"/>
      <c r="W290" s="88"/>
      <c r="X290" s="88"/>
      <c r="Y290" s="362"/>
      <c r="Z290" s="472">
        <f t="shared" si="109"/>
        <v>0</v>
      </c>
      <c r="AA290" s="473">
        <f t="shared" si="110"/>
        <v>0</v>
      </c>
      <c r="AB290" s="407"/>
      <c r="AC290" s="362"/>
      <c r="AD290" s="362"/>
      <c r="AE290" s="362"/>
      <c r="AF290" s="362"/>
      <c r="AG290" s="362"/>
      <c r="AH290" s="31">
        <f t="shared" si="104"/>
        <v>0</v>
      </c>
      <c r="AI290" s="130"/>
      <c r="AJ290" s="746"/>
      <c r="AK290" s="33"/>
      <c r="AL290" s="659"/>
      <c r="AM290" s="14">
        <v>260</v>
      </c>
      <c r="AN290" s="82"/>
      <c r="AO290" s="83"/>
    </row>
    <row r="291" spans="1:41" ht="25.5" x14ac:dyDescent="0.75">
      <c r="A291" s="885"/>
      <c r="B291" s="2" t="s">
        <v>392</v>
      </c>
      <c r="C291" s="85" t="s">
        <v>412</v>
      </c>
      <c r="D291" s="467"/>
      <c r="E291" s="88"/>
      <c r="F291" s="88"/>
      <c r="G291" s="88"/>
      <c r="H291" s="88"/>
      <c r="I291" s="88"/>
      <c r="J291" s="88"/>
      <c r="K291" s="88"/>
      <c r="L291" s="88"/>
      <c r="M291" s="88"/>
      <c r="N291" s="88"/>
      <c r="O291" s="88"/>
      <c r="P291" s="88"/>
      <c r="Q291" s="88"/>
      <c r="R291" s="88"/>
      <c r="S291" s="88"/>
      <c r="T291" s="88"/>
      <c r="U291" s="88"/>
      <c r="V291" s="88"/>
      <c r="W291" s="88"/>
      <c r="X291" s="88"/>
      <c r="Y291" s="362"/>
      <c r="Z291" s="472">
        <f t="shared" si="109"/>
        <v>0</v>
      </c>
      <c r="AA291" s="473">
        <f t="shared" si="110"/>
        <v>0</v>
      </c>
      <c r="AB291" s="407"/>
      <c r="AC291" s="362"/>
      <c r="AD291" s="362"/>
      <c r="AE291" s="362"/>
      <c r="AF291" s="362"/>
      <c r="AG291" s="362"/>
      <c r="AH291" s="31">
        <f t="shared" si="104"/>
        <v>0</v>
      </c>
      <c r="AI291" s="130"/>
      <c r="AJ291" s="746"/>
      <c r="AK291" s="33"/>
      <c r="AL291" s="659"/>
      <c r="AM291" s="14">
        <v>261</v>
      </c>
      <c r="AN291" s="82"/>
      <c r="AO291" s="83"/>
    </row>
    <row r="292" spans="1:41" ht="25.5" x14ac:dyDescent="0.75">
      <c r="A292" s="885"/>
      <c r="B292" s="2" t="s">
        <v>393</v>
      </c>
      <c r="C292" s="85" t="s">
        <v>413</v>
      </c>
      <c r="D292" s="467"/>
      <c r="E292" s="88"/>
      <c r="F292" s="88"/>
      <c r="G292" s="88"/>
      <c r="H292" s="88"/>
      <c r="I292" s="88"/>
      <c r="J292" s="88"/>
      <c r="K292" s="88"/>
      <c r="L292" s="88"/>
      <c r="M292" s="88"/>
      <c r="N292" s="88"/>
      <c r="O292" s="88"/>
      <c r="P292" s="88"/>
      <c r="Q292" s="88"/>
      <c r="R292" s="88"/>
      <c r="S292" s="88"/>
      <c r="T292" s="88"/>
      <c r="U292" s="88"/>
      <c r="V292" s="88"/>
      <c r="W292" s="88"/>
      <c r="X292" s="88"/>
      <c r="Y292" s="362"/>
      <c r="Z292" s="472">
        <f t="shared" si="109"/>
        <v>0</v>
      </c>
      <c r="AA292" s="473">
        <f t="shared" si="110"/>
        <v>0</v>
      </c>
      <c r="AB292" s="407"/>
      <c r="AC292" s="362"/>
      <c r="AD292" s="362"/>
      <c r="AE292" s="362"/>
      <c r="AF292" s="362"/>
      <c r="AG292" s="362"/>
      <c r="AH292" s="31">
        <f t="shared" si="104"/>
        <v>0</v>
      </c>
      <c r="AI292" s="130"/>
      <c r="AJ292" s="746"/>
      <c r="AK292" s="33"/>
      <c r="AL292" s="659"/>
      <c r="AM292" s="14">
        <v>262</v>
      </c>
      <c r="AN292" s="82"/>
      <c r="AO292" s="83"/>
    </row>
    <row r="293" spans="1:41" ht="25.9" thickBot="1" x14ac:dyDescent="0.8">
      <c r="A293" s="771"/>
      <c r="B293" s="3" t="s">
        <v>394</v>
      </c>
      <c r="C293" s="97" t="s">
        <v>414</v>
      </c>
      <c r="D293" s="468"/>
      <c r="E293" s="100"/>
      <c r="F293" s="100"/>
      <c r="G293" s="100"/>
      <c r="H293" s="100"/>
      <c r="I293" s="100"/>
      <c r="J293" s="100"/>
      <c r="K293" s="100"/>
      <c r="L293" s="100"/>
      <c r="M293" s="100"/>
      <c r="N293" s="100"/>
      <c r="O293" s="100"/>
      <c r="P293" s="100"/>
      <c r="Q293" s="100"/>
      <c r="R293" s="100"/>
      <c r="S293" s="100"/>
      <c r="T293" s="100"/>
      <c r="U293" s="100"/>
      <c r="V293" s="100"/>
      <c r="W293" s="100"/>
      <c r="X293" s="100"/>
      <c r="Y293" s="364"/>
      <c r="Z293" s="474">
        <f t="shared" si="109"/>
        <v>0</v>
      </c>
      <c r="AA293" s="475">
        <f t="shared" si="110"/>
        <v>0</v>
      </c>
      <c r="AB293" s="465"/>
      <c r="AC293" s="364"/>
      <c r="AD293" s="364"/>
      <c r="AE293" s="364"/>
      <c r="AF293" s="364"/>
      <c r="AG293" s="364"/>
      <c r="AH293" s="101">
        <f t="shared" si="104"/>
        <v>0</v>
      </c>
      <c r="AI293" s="130"/>
      <c r="AJ293" s="746"/>
      <c r="AK293" s="33"/>
      <c r="AL293" s="659"/>
      <c r="AM293" s="14">
        <v>263</v>
      </c>
      <c r="AN293" s="82"/>
      <c r="AO293" s="83"/>
    </row>
    <row r="294" spans="1:41" ht="30.75" customHeight="1" x14ac:dyDescent="0.75">
      <c r="A294" s="884" t="s">
        <v>441</v>
      </c>
      <c r="B294" s="1" t="s">
        <v>444</v>
      </c>
      <c r="C294" s="77" t="s">
        <v>420</v>
      </c>
      <c r="D294" s="466"/>
      <c r="E294" s="105"/>
      <c r="F294" s="105"/>
      <c r="G294" s="105"/>
      <c r="H294" s="105"/>
      <c r="I294" s="105"/>
      <c r="J294" s="105"/>
      <c r="K294" s="105"/>
      <c r="L294" s="105"/>
      <c r="M294" s="105"/>
      <c r="N294" s="105"/>
      <c r="O294" s="105"/>
      <c r="P294" s="105"/>
      <c r="Q294" s="105"/>
      <c r="R294" s="105"/>
      <c r="S294" s="105"/>
      <c r="T294" s="105"/>
      <c r="U294" s="105"/>
      <c r="V294" s="105"/>
      <c r="W294" s="105"/>
      <c r="X294" s="105"/>
      <c r="Y294" s="365"/>
      <c r="Z294" s="470">
        <f t="shared" si="109"/>
        <v>0</v>
      </c>
      <c r="AA294" s="471">
        <f t="shared" si="110"/>
        <v>0</v>
      </c>
      <c r="AB294" s="406"/>
      <c r="AC294" s="365"/>
      <c r="AD294" s="365"/>
      <c r="AE294" s="365"/>
      <c r="AF294" s="365"/>
      <c r="AG294" s="365"/>
      <c r="AH294" s="71">
        <f t="shared" si="104"/>
        <v>0</v>
      </c>
      <c r="AI294" s="130"/>
      <c r="AJ294" s="746"/>
      <c r="AK294" s="33"/>
      <c r="AL294" s="659"/>
      <c r="AM294" s="14">
        <v>264</v>
      </c>
      <c r="AN294" s="82"/>
      <c r="AO294" s="83"/>
    </row>
    <row r="295" spans="1:41" ht="25.5" x14ac:dyDescent="0.75">
      <c r="A295" s="885"/>
      <c r="B295" s="2" t="s">
        <v>415</v>
      </c>
      <c r="C295" s="85" t="s">
        <v>421</v>
      </c>
      <c r="D295" s="467"/>
      <c r="E295" s="88"/>
      <c r="F295" s="88"/>
      <c r="G295" s="88"/>
      <c r="H295" s="88"/>
      <c r="I295" s="88"/>
      <c r="J295" s="88"/>
      <c r="K295" s="88"/>
      <c r="L295" s="88"/>
      <c r="M295" s="88"/>
      <c r="N295" s="88"/>
      <c r="O295" s="88"/>
      <c r="P295" s="88"/>
      <c r="Q295" s="88"/>
      <c r="R295" s="88"/>
      <c r="S295" s="88"/>
      <c r="T295" s="88"/>
      <c r="U295" s="88"/>
      <c r="V295" s="88"/>
      <c r="W295" s="88"/>
      <c r="X295" s="88"/>
      <c r="Y295" s="362"/>
      <c r="Z295" s="472">
        <f t="shared" si="109"/>
        <v>0</v>
      </c>
      <c r="AA295" s="473">
        <f t="shared" si="110"/>
        <v>0</v>
      </c>
      <c r="AB295" s="407"/>
      <c r="AC295" s="362"/>
      <c r="AD295" s="362"/>
      <c r="AE295" s="362"/>
      <c r="AF295" s="362"/>
      <c r="AG295" s="362"/>
      <c r="AH295" s="31">
        <f t="shared" si="104"/>
        <v>0</v>
      </c>
      <c r="AI295" s="130"/>
      <c r="AJ295" s="746"/>
      <c r="AK295" s="33"/>
      <c r="AL295" s="659"/>
      <c r="AM295" s="14">
        <v>265</v>
      </c>
      <c r="AN295" s="82"/>
      <c r="AO295" s="83"/>
    </row>
    <row r="296" spans="1:41" ht="25.5" x14ac:dyDescent="0.75">
      <c r="A296" s="885"/>
      <c r="B296" s="2" t="s">
        <v>416</v>
      </c>
      <c r="C296" s="85" t="s">
        <v>422</v>
      </c>
      <c r="D296" s="467"/>
      <c r="E296" s="88"/>
      <c r="F296" s="88"/>
      <c r="G296" s="88"/>
      <c r="H296" s="88"/>
      <c r="I296" s="88"/>
      <c r="J296" s="88"/>
      <c r="K296" s="88"/>
      <c r="L296" s="88"/>
      <c r="M296" s="88"/>
      <c r="N296" s="88"/>
      <c r="O296" s="88"/>
      <c r="P296" s="88"/>
      <c r="Q296" s="88"/>
      <c r="R296" s="88"/>
      <c r="S296" s="88"/>
      <c r="T296" s="88"/>
      <c r="U296" s="88"/>
      <c r="V296" s="88"/>
      <c r="W296" s="88"/>
      <c r="X296" s="88"/>
      <c r="Y296" s="362"/>
      <c r="Z296" s="472">
        <f t="shared" si="109"/>
        <v>0</v>
      </c>
      <c r="AA296" s="473">
        <f t="shared" si="110"/>
        <v>0</v>
      </c>
      <c r="AB296" s="407"/>
      <c r="AC296" s="362"/>
      <c r="AD296" s="362"/>
      <c r="AE296" s="362"/>
      <c r="AF296" s="362"/>
      <c r="AG296" s="362"/>
      <c r="AH296" s="31">
        <f t="shared" si="104"/>
        <v>0</v>
      </c>
      <c r="AI296" s="130"/>
      <c r="AJ296" s="746"/>
      <c r="AK296" s="33"/>
      <c r="AL296" s="659"/>
      <c r="AM296" s="14">
        <v>266</v>
      </c>
      <c r="AN296" s="82"/>
      <c r="AO296" s="83"/>
    </row>
    <row r="297" spans="1:41" ht="25.5" x14ac:dyDescent="0.75">
      <c r="A297" s="885"/>
      <c r="B297" s="2" t="s">
        <v>417</v>
      </c>
      <c r="C297" s="85" t="s">
        <v>423</v>
      </c>
      <c r="D297" s="467"/>
      <c r="E297" s="88"/>
      <c r="F297" s="88"/>
      <c r="G297" s="88"/>
      <c r="H297" s="88"/>
      <c r="I297" s="88"/>
      <c r="J297" s="88"/>
      <c r="K297" s="88"/>
      <c r="L297" s="88"/>
      <c r="M297" s="88"/>
      <c r="N297" s="88"/>
      <c r="O297" s="88"/>
      <c r="P297" s="88"/>
      <c r="Q297" s="88"/>
      <c r="R297" s="88"/>
      <c r="S297" s="88"/>
      <c r="T297" s="88"/>
      <c r="U297" s="88"/>
      <c r="V297" s="88"/>
      <c r="W297" s="88"/>
      <c r="X297" s="88"/>
      <c r="Y297" s="362"/>
      <c r="Z297" s="472">
        <f t="shared" si="109"/>
        <v>0</v>
      </c>
      <c r="AA297" s="473">
        <f t="shared" si="110"/>
        <v>0</v>
      </c>
      <c r="AB297" s="407"/>
      <c r="AC297" s="362"/>
      <c r="AD297" s="362"/>
      <c r="AE297" s="362"/>
      <c r="AF297" s="362"/>
      <c r="AG297" s="362"/>
      <c r="AH297" s="31">
        <f t="shared" si="104"/>
        <v>0</v>
      </c>
      <c r="AI297" s="130"/>
      <c r="AJ297" s="746"/>
      <c r="AK297" s="33"/>
      <c r="AL297" s="659"/>
      <c r="AM297" s="14">
        <v>267</v>
      </c>
      <c r="AN297" s="82"/>
      <c r="AO297" s="83"/>
    </row>
    <row r="298" spans="1:41" ht="25.5" x14ac:dyDescent="0.75">
      <c r="A298" s="885"/>
      <c r="B298" s="2" t="s">
        <v>418</v>
      </c>
      <c r="C298" s="85" t="s">
        <v>424</v>
      </c>
      <c r="D298" s="467"/>
      <c r="E298" s="88"/>
      <c r="F298" s="88"/>
      <c r="G298" s="88"/>
      <c r="H298" s="88"/>
      <c r="I298" s="88"/>
      <c r="J298" s="88"/>
      <c r="K298" s="88"/>
      <c r="L298" s="88"/>
      <c r="M298" s="88"/>
      <c r="N298" s="88"/>
      <c r="O298" s="88"/>
      <c r="P298" s="88"/>
      <c r="Q298" s="88"/>
      <c r="R298" s="88"/>
      <c r="S298" s="88"/>
      <c r="T298" s="88"/>
      <c r="U298" s="88"/>
      <c r="V298" s="88"/>
      <c r="W298" s="88"/>
      <c r="X298" s="88"/>
      <c r="Y298" s="362"/>
      <c r="Z298" s="472">
        <f t="shared" si="109"/>
        <v>0</v>
      </c>
      <c r="AA298" s="473">
        <f t="shared" si="110"/>
        <v>0</v>
      </c>
      <c r="AB298" s="407"/>
      <c r="AC298" s="362"/>
      <c r="AD298" s="362"/>
      <c r="AE298" s="362"/>
      <c r="AF298" s="362"/>
      <c r="AG298" s="362"/>
      <c r="AH298" s="31">
        <f t="shared" si="104"/>
        <v>0</v>
      </c>
      <c r="AI298" s="130"/>
      <c r="AJ298" s="746"/>
      <c r="AK298" s="33"/>
      <c r="AL298" s="659"/>
      <c r="AM298" s="14">
        <v>268</v>
      </c>
      <c r="AN298" s="82"/>
      <c r="AO298" s="83"/>
    </row>
    <row r="299" spans="1:41" ht="25.5" x14ac:dyDescent="0.75">
      <c r="A299" s="885"/>
      <c r="B299" s="2" t="s">
        <v>419</v>
      </c>
      <c r="C299" s="85" t="s">
        <v>425</v>
      </c>
      <c r="D299" s="467"/>
      <c r="E299" s="88"/>
      <c r="F299" s="88"/>
      <c r="G299" s="88"/>
      <c r="H299" s="88"/>
      <c r="I299" s="88"/>
      <c r="J299" s="88"/>
      <c r="K299" s="88"/>
      <c r="L299" s="88"/>
      <c r="M299" s="88"/>
      <c r="N299" s="88"/>
      <c r="O299" s="88"/>
      <c r="P299" s="88"/>
      <c r="Q299" s="88"/>
      <c r="R299" s="88"/>
      <c r="S299" s="88"/>
      <c r="T299" s="88"/>
      <c r="U299" s="88"/>
      <c r="V299" s="88"/>
      <c r="W299" s="88"/>
      <c r="X299" s="88"/>
      <c r="Y299" s="362"/>
      <c r="Z299" s="472">
        <f t="shared" si="109"/>
        <v>0</v>
      </c>
      <c r="AA299" s="473">
        <f t="shared" si="110"/>
        <v>0</v>
      </c>
      <c r="AB299" s="407"/>
      <c r="AC299" s="362"/>
      <c r="AD299" s="362"/>
      <c r="AE299" s="362"/>
      <c r="AF299" s="362"/>
      <c r="AG299" s="362"/>
      <c r="AH299" s="31">
        <f t="shared" si="104"/>
        <v>0</v>
      </c>
      <c r="AI299" s="130"/>
      <c r="AJ299" s="746"/>
      <c r="AK299" s="33"/>
      <c r="AL299" s="659"/>
      <c r="AM299" s="14">
        <v>269</v>
      </c>
      <c r="AN299" s="82"/>
      <c r="AO299" s="83"/>
    </row>
    <row r="300" spans="1:41" ht="25.9" thickBot="1" x14ac:dyDescent="0.8">
      <c r="A300" s="885"/>
      <c r="B300" s="278" t="s">
        <v>439</v>
      </c>
      <c r="C300" s="97" t="s">
        <v>443</v>
      </c>
      <c r="D300" s="469">
        <f>SUM(D294:D299)</f>
        <v>0</v>
      </c>
      <c r="E300" s="276">
        <f t="shared" ref="E300:Y300" si="111">SUM(E294:E299)</f>
        <v>0</v>
      </c>
      <c r="F300" s="276">
        <f t="shared" si="111"/>
        <v>0</v>
      </c>
      <c r="G300" s="276">
        <f t="shared" si="111"/>
        <v>0</v>
      </c>
      <c r="H300" s="276">
        <f t="shared" si="111"/>
        <v>0</v>
      </c>
      <c r="I300" s="276">
        <f t="shared" si="111"/>
        <v>0</v>
      </c>
      <c r="J300" s="276">
        <f t="shared" si="111"/>
        <v>0</v>
      </c>
      <c r="K300" s="276">
        <f t="shared" si="111"/>
        <v>0</v>
      </c>
      <c r="L300" s="276">
        <f t="shared" si="111"/>
        <v>0</v>
      </c>
      <c r="M300" s="276">
        <f t="shared" si="111"/>
        <v>0</v>
      </c>
      <c r="N300" s="276">
        <f t="shared" si="111"/>
        <v>0</v>
      </c>
      <c r="O300" s="276">
        <f t="shared" si="111"/>
        <v>0</v>
      </c>
      <c r="P300" s="276">
        <f t="shared" si="111"/>
        <v>0</v>
      </c>
      <c r="Q300" s="276">
        <f t="shared" si="111"/>
        <v>0</v>
      </c>
      <c r="R300" s="276">
        <f t="shared" si="111"/>
        <v>0</v>
      </c>
      <c r="S300" s="276">
        <f t="shared" si="111"/>
        <v>0</v>
      </c>
      <c r="T300" s="276">
        <f t="shared" si="111"/>
        <v>0</v>
      </c>
      <c r="U300" s="276">
        <f t="shared" si="111"/>
        <v>0</v>
      </c>
      <c r="V300" s="276">
        <f t="shared" si="111"/>
        <v>0</v>
      </c>
      <c r="W300" s="276">
        <f t="shared" si="111"/>
        <v>0</v>
      </c>
      <c r="X300" s="276">
        <f t="shared" si="111"/>
        <v>0</v>
      </c>
      <c r="Y300" s="402">
        <f t="shared" si="111"/>
        <v>0</v>
      </c>
      <c r="Z300" s="474">
        <f t="shared" si="109"/>
        <v>0</v>
      </c>
      <c r="AA300" s="475">
        <f t="shared" si="110"/>
        <v>0</v>
      </c>
      <c r="AB300" s="276">
        <f t="shared" ref="AB300:AG300" si="112">SUM(AB294:AB299)</f>
        <v>0</v>
      </c>
      <c r="AC300" s="276">
        <f t="shared" si="112"/>
        <v>0</v>
      </c>
      <c r="AD300" s="276">
        <f t="shared" si="112"/>
        <v>0</v>
      </c>
      <c r="AE300" s="276">
        <f t="shared" si="112"/>
        <v>0</v>
      </c>
      <c r="AF300" s="276">
        <f t="shared" si="112"/>
        <v>0</v>
      </c>
      <c r="AG300" s="276">
        <f t="shared" si="112"/>
        <v>0</v>
      </c>
      <c r="AH300" s="101">
        <f t="shared" si="104"/>
        <v>0</v>
      </c>
      <c r="AI300" s="130"/>
      <c r="AJ300" s="746"/>
      <c r="AK300" s="33"/>
      <c r="AL300" s="659"/>
      <c r="AM300" s="14">
        <v>270</v>
      </c>
      <c r="AN300" s="82"/>
      <c r="AO300" s="83"/>
    </row>
    <row r="301" spans="1:41" ht="25.9" thickBot="1" x14ac:dyDescent="0.8">
      <c r="A301" s="771"/>
      <c r="B301" s="256" t="s">
        <v>461</v>
      </c>
      <c r="C301" s="74" t="s">
        <v>445</v>
      </c>
      <c r="D301" s="476"/>
      <c r="E301" s="477"/>
      <c r="F301" s="477"/>
      <c r="G301" s="477"/>
      <c r="H301" s="477"/>
      <c r="I301" s="477"/>
      <c r="J301" s="477"/>
      <c r="K301" s="477"/>
      <c r="L301" s="477"/>
      <c r="M301" s="477"/>
      <c r="N301" s="477"/>
      <c r="O301" s="477"/>
      <c r="P301" s="477"/>
      <c r="Q301" s="477"/>
      <c r="R301" s="477"/>
      <c r="S301" s="477"/>
      <c r="T301" s="477"/>
      <c r="U301" s="477"/>
      <c r="V301" s="477"/>
      <c r="W301" s="477"/>
      <c r="X301" s="477"/>
      <c r="Y301" s="478"/>
      <c r="Z301" s="479">
        <f t="shared" si="109"/>
        <v>0</v>
      </c>
      <c r="AA301" s="480">
        <f t="shared" si="110"/>
        <v>0</v>
      </c>
      <c r="AB301" s="600"/>
      <c r="AC301" s="377"/>
      <c r="AD301" s="377"/>
      <c r="AE301" s="377"/>
      <c r="AF301" s="377"/>
      <c r="AG301" s="377"/>
      <c r="AH301" s="73">
        <f t="shared" si="104"/>
        <v>0</v>
      </c>
      <c r="AI301" s="130"/>
      <c r="AJ301" s="747"/>
      <c r="AK301" s="33"/>
      <c r="AL301" s="660"/>
      <c r="AM301" s="14">
        <v>271</v>
      </c>
      <c r="AN301" s="82"/>
      <c r="AO301" s="83"/>
    </row>
    <row r="302" spans="1:41" s="67" customFormat="1" ht="51" x14ac:dyDescent="0.75">
      <c r="A302" s="821" t="s">
        <v>611</v>
      </c>
      <c r="B302" s="1" t="s">
        <v>976</v>
      </c>
      <c r="C302" s="77" t="s">
        <v>557</v>
      </c>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80"/>
      <c r="AA302" s="361"/>
      <c r="AB302" s="432"/>
      <c r="AC302" s="433"/>
      <c r="AD302" s="433"/>
      <c r="AE302" s="433"/>
      <c r="AF302" s="433"/>
      <c r="AG302" s="360"/>
      <c r="AH302" s="214">
        <f t="shared" si="104"/>
        <v>0</v>
      </c>
      <c r="AI302" s="32" t="str">
        <f>CONCATENATE(IF(D313&gt;D302," *  confirmed TB positive newly started on TB treatment "&amp;$D$20&amp;" "&amp;$D$21&amp;" is more than Screening positive for TB Newly enrolled on ART"&amp;CHAR(10),""),IF(E313&gt;E302," *  confirmed TB positive newly started on TB treatment "&amp;$D$20&amp;" "&amp;$E$21&amp;" is more than Screening positive for TB Newly enrolled on ART"&amp;CHAR(10),""),IF(F313&gt;F302," *  confirmed TB positive newly started on TB treatment "&amp;$F$20&amp;" "&amp;$F$21&amp;" is more than Screening positive for TB Newly enrolled on ART"&amp;CHAR(10),""),IF(G313&gt;G302," *  confirmed TB positive newly started on TB treatment "&amp;$F$20&amp;" "&amp;$G$21&amp;" is more than Screening positive for TB Newly enrolled on ART"&amp;CHAR(10),""),IF(H313&gt;H302," *  confirmed TB positive newly started on TB treatment "&amp;$H$20&amp;" "&amp;$H$21&amp;" is more than Screening positive for TB Newly enrolled on ART"&amp;CHAR(10),""),IF(I313&gt;I302," *  confirmed TB positive newly started on TB treatment "&amp;$H$20&amp;" "&amp;$I$21&amp;" is more than Screening positive for TB Newly enrolled on ART"&amp;CHAR(10),""),IF(J313&gt;J302," *  confirmed TB positive newly started on TB treatment "&amp;$J$20&amp;" "&amp;$J$21&amp;" is more than Screening positive for TB Newly enrolled on ART"&amp;CHAR(10),""),IF(K313&gt;K302," *  confirmed TB positive newly started on TB treatment "&amp;$J$20&amp;" "&amp;$K$21&amp;" is more than Screening positive for TB Newly enrolled on ART"&amp;CHAR(10),""),IF(L313&gt;L302," *  confirmed TB positive newly started on TB treatment "&amp;$L$20&amp;" "&amp;$L$21&amp;" is more than Screening positive for TB Newly enrolled on ART"&amp;CHAR(10),""),IF(M313&gt;M302," *  confirmed TB positive newly started on TB treatment "&amp;$L$20&amp;" "&amp;$M$21&amp;" is more than Screening positive for TB Newly enrolled on ART"&amp;CHAR(10),""),IF(N313&gt;N302," *  confirmed TB positive newly started on TB treatment "&amp;$N$20&amp;" "&amp;$N$21&amp;" is more than Screening positive for TB Newly enrolled on ART"&amp;CHAR(10),""),IF(O313&gt;O302," *  confirmed TB positive newly started on TB treatment "&amp;$N$20&amp;" "&amp;$O$21&amp;" is more than Screening positive for TB Newly enrolled on ART"&amp;CHAR(10),""),IF(P313&gt;P302," *  confirmed TB positive newly started on TB treatment "&amp;$P$20&amp;" "&amp;$P$21&amp;" is more than Screening positive for TB Newly enrolled on ART"&amp;CHAR(10),""),IF(Q313&gt;Q302," *  confirmed TB positive newly started on TB treatment "&amp;$P$20&amp;" "&amp;$Q$21&amp;" is more than Screening positive for TB Newly enrolled on ART"&amp;CHAR(10),""),IF(R313&gt;R302," *  confirmed TB positive newly started on TB treatment "&amp;$R$20&amp;" "&amp;$R$21&amp;" is more than Screening positive for TB Newly enrolled on ART"&amp;CHAR(10),""),IF(S313&gt;S302," *  confirmed TB positive newly started on TB treatment "&amp;$R$20&amp;" "&amp;$S$21&amp;" is more than Screening positive for TB Newly enrolled on ART"&amp;CHAR(10),""),IF(T313&gt;T302," *  confirmed TB positive newly started on TB treatment "&amp;$T$20&amp;" "&amp;$T$21&amp;" is more than Screening positive for TB Newly enrolled on ART"&amp;CHAR(10),""),IF(U313&gt;U302," *  confirmed TB positive newly started on TB treatment "&amp;$T$20&amp;" "&amp;$U$21&amp;" is more than Screening positive for TB Newly enrolled on ART"&amp;CHAR(10),""),IF(V313&gt;V302," *  confirmed TB positive newly started on TB treatment "&amp;$V$20&amp;" "&amp;$V$21&amp;" is more than Screening positive for TB Newly enrolled on ART"&amp;CHAR(10),""),IF(W313&gt;W302," *  confirmed TB positive newly started on TB treatment "&amp;$V$20&amp;" "&amp;$W$21&amp;" is more than Screening positive for TB Newly enrolled on ART"&amp;CHAR(10),""),IF(X313&gt;X302," *  confirmed TB positive newly started on TB treatment "&amp;$X$20&amp;" "&amp;$X$21&amp;" is more than Screening positive for TB Newly enrolled on ART"&amp;CHAR(10),""),IF(Y313&gt;Y302," *  confirmed TB positive newly started on TB treatment "&amp;$X$20&amp;" "&amp;$Y$21&amp;" is more than Screening positive for TB Newly enrolled on ART"&amp;CHAR(10),""),IF(Z313&gt;Z302," *  confirmed TB positive newly started on TB treatment "&amp;$Z$20&amp;" "&amp;$Z$21&amp;" is more than Screening positive for TB Newly enrolled on ART"&amp;CHAR(10),""),IF(AA313&gt;AA302," *  confirmed TB positive newly started on TB treatment "&amp;$Z$20&amp;" "&amp;$AA$21&amp;" is more than Screening positive for TB Newly enrolled on ART"&amp;CHAR(10),""))</f>
        <v/>
      </c>
      <c r="AJ302" s="748" t="str">
        <f>CONCATENATE(AI302,AI303,AI304,AI305,AI306,AI307,AI308,AI309,AI310,AI311,AI312,AI313,AI314,AI315)</f>
        <v/>
      </c>
      <c r="AK302" s="66" t="str">
        <f>CONCATENATE(IF(D313&lt;D302," *  confirmed TB positive newly started on TB treatment "&amp;$D$20&amp;" "&amp;$D$21&amp;" is less than Screening positive for TB Newly enrolled on ART"&amp;CHAR(10),""),IF(E313&lt;E302," *  confirmed TB positive newly started on TB treatment "&amp;$D$20&amp;" "&amp;$E$21&amp;" is less than Screening positive for TB Newly enrolled on ART"&amp;CHAR(10),""),IF(F313&lt;F302," *  confirmed TB positive newly started on TB treatment "&amp;$F$20&amp;" "&amp;$F$21&amp;" is less than Screening positive for TB Newly enrolled on ART"&amp;CHAR(10),""),IF(G313&lt;G302," *  confirmed TB positive newly started on TB treatment "&amp;$F$20&amp;" "&amp;$G$21&amp;" is less than Screening positive for TB Newly enrolled on ART"&amp;CHAR(10),""),IF(H313&lt;H302," *  confirmed TB positive newly started on TB treatment "&amp;$H$20&amp;" "&amp;$H$21&amp;" is less than Screening positive for TB Newly enrolled on ART"&amp;CHAR(10),""),IF(I313&lt;I302," *  confirmed TB positive newly started on TB treatment "&amp;$H$20&amp;" "&amp;$I$21&amp;" is less than Screening positive for TB Newly enrolled on ART"&amp;CHAR(10),""),IF(J313&lt;J302," *  confirmed TB positive newly started on TB treatment "&amp;$J$20&amp;" "&amp;$J$21&amp;" is less than Screening positive for TB Newly enrolled on ART"&amp;CHAR(10),""),IF(K313&lt;K302," *  confirmed TB positive newly started on TB treatment "&amp;$J$20&amp;" "&amp;$K$21&amp;" is less than Screening positive for TB Newly enrolled on ART"&amp;CHAR(10),""),IF(L313&lt;L302," *  confirmed TB positive newly started on TB treatment "&amp;$L$20&amp;" "&amp;$L$21&amp;" is less than Screening positive for TB Newly enrolled on ART"&amp;CHAR(10),""),IF(M313&lt;M302," *  confirmed TB positive newly started on TB treatment "&amp;$L$20&amp;" "&amp;$M$21&amp;" is less than Screening positive for TB Newly enrolled on ART"&amp;CHAR(10),""),IF(N313&lt;N302," *  confirmed TB positive newly started on TB treatment "&amp;$N$20&amp;" "&amp;$N$21&amp;" is less than Screening positive for TB Newly enrolled on ART"&amp;CHAR(10),""),IF(O313&lt;O302," *  confirmed TB positive newly started on TB treatment "&amp;$N$20&amp;" "&amp;$O$21&amp;" is less than Screening positive for TB Newly enrolled on ART"&amp;CHAR(10),""),IF(P313&lt;P302," *  confirmed TB positive newly started on TB treatment "&amp;$P$20&amp;" "&amp;$P$21&amp;" is less than Screening positive for TB Newly enrolled on ART"&amp;CHAR(10),""),IF(Q313&lt;Q302," *  confirmed TB positive newly started on TB treatment "&amp;$P$20&amp;" "&amp;$Q$21&amp;" is less than Screening positive for TB Newly enrolled on ART"&amp;CHAR(10),""),IF(R313&lt;R302," *  confirmed TB positive newly started on TB treatment "&amp;$R$20&amp;" "&amp;$R$21&amp;" is less than Screening positive for TB Newly enrolled on ART"&amp;CHAR(10),""),IF(S313&lt;S302," *  confirmed TB positive newly started on TB treatment "&amp;$R$20&amp;" "&amp;$S$21&amp;" is less than Screening positive for TB Newly enrolled on ART"&amp;CHAR(10),""),IF(T313&lt;T302," *  confirmed TB positive newly started on TB treatment "&amp;$T$20&amp;" "&amp;$T$21&amp;" is less than Screening positive for TB Newly enrolled on ART"&amp;CHAR(10),""),IF(U313&lt;U302," *  confirmed TB positive newly started on TB treatment "&amp;$T$20&amp;" "&amp;$U$21&amp;" is less than Screening positive for TB Newly enrolled on ART"&amp;CHAR(10),""),IF(V313&lt;V302," *  confirmed TB positive newly started on TB treatment "&amp;$V$20&amp;" "&amp;$V$21&amp;" is less than Screening positive for TB Newly enrolled on ART"&amp;CHAR(10),""),IF(W313&lt;W302," *  confirmed TB positive newly started on TB treatment "&amp;$V$20&amp;" "&amp;$W$21&amp;" is less than Screening positive for TB Newly enrolled on ART"&amp;CHAR(10),""),IF(X313&lt;X302," *  confirmed TB positive newly started on TB treatment "&amp;$X$20&amp;" "&amp;$X$21&amp;" is less than Screening positive for TB Newly enrolled on ART"&amp;CHAR(10),""),IF(Y313&lt;Y302," *  confirmed TB positive newly started on TB treatment "&amp;$X$20&amp;" "&amp;$Y$21&amp;" is less than Screening positive for TB Newly enrolled on ART"&amp;CHAR(10),""),IF(Z313&lt;Z302," *  confirmed TB positive newly started on TB treatment "&amp;$Z$20&amp;" "&amp;$Z$21&amp;" is less than Screening positive for TB Newly enrolled on ART"&amp;CHAR(10),""),IF(AA313&lt;AA302," *  confirmed TB positive newly started on TB treatment "&amp;$Z$20&amp;" "&amp;$AA$21&amp;" is less than Screening positive for TB Newly enrolled on ART"&amp;CHAR(10),""))</f>
        <v/>
      </c>
      <c r="AL302" s="661" t="str">
        <f>CONCATENATE(AK302,AK303,AK304,AK305,AK306,AK307,AK308,AK309,AK310,AK311,AK312,AK313,AK314,AK315)</f>
        <v/>
      </c>
      <c r="AM302" s="14">
        <v>272</v>
      </c>
      <c r="AN302" s="89"/>
      <c r="AO302" s="83"/>
    </row>
    <row r="303" spans="1:41" ht="51" x14ac:dyDescent="0.75">
      <c r="A303" s="822"/>
      <c r="B303" s="2" t="s">
        <v>1011</v>
      </c>
      <c r="C303" s="85" t="s">
        <v>558</v>
      </c>
      <c r="D303" s="88"/>
      <c r="E303" s="88"/>
      <c r="F303" s="88"/>
      <c r="G303" s="88"/>
      <c r="H303" s="88"/>
      <c r="I303" s="88"/>
      <c r="J303" s="88"/>
      <c r="K303" s="88"/>
      <c r="L303" s="88"/>
      <c r="M303" s="88"/>
      <c r="N303" s="88"/>
      <c r="O303" s="88"/>
      <c r="P303" s="88"/>
      <c r="Q303" s="88"/>
      <c r="R303" s="88"/>
      <c r="S303" s="88"/>
      <c r="T303" s="88"/>
      <c r="U303" s="88"/>
      <c r="V303" s="88"/>
      <c r="W303" s="88"/>
      <c r="X303" s="88"/>
      <c r="Y303" s="88"/>
      <c r="Z303" s="88"/>
      <c r="AA303" s="362"/>
      <c r="AB303" s="434"/>
      <c r="AC303" s="401"/>
      <c r="AD303" s="401"/>
      <c r="AE303" s="401"/>
      <c r="AF303" s="401"/>
      <c r="AG303" s="357"/>
      <c r="AH303" s="199">
        <f t="shared" si="104"/>
        <v>0</v>
      </c>
      <c r="AI303" s="130" t="str">
        <f>CONCATENATE(IF(D314&gt;D303," *  Confirmed TB positive already on ART and on TB treatment "&amp;$D$20&amp;" "&amp;$D$21&amp;" is more than Screening positive for TB Previously enrolled on ART"&amp;CHAR(10),""),IF(E314&gt;E303," *  Confirmed TB positive already on ART and on TB treatment "&amp;$D$20&amp;" "&amp;$E$21&amp;" is more than Screening positive for TB Previously enrolled on ART"&amp;CHAR(10),""),IF(F314&gt;F303," *  Confirmed TB positive already on ART and on TB treatment "&amp;$F$20&amp;" "&amp;$F$21&amp;" is more than Screening positive for TB Previously enrolled on ART"&amp;CHAR(10),""),IF(G314&gt;G303," *  Confirmed TB positive already on ART and on TB treatment "&amp;$F$20&amp;" "&amp;$G$21&amp;" is more than Screening positive for TB Previously enrolled on ART"&amp;CHAR(10),""),IF(H314&gt;H303," *  Confirmed TB positive already on ART and on TB treatment "&amp;$H$20&amp;" "&amp;$H$21&amp;" is more than Screening positive for TB Previously enrolled on ART"&amp;CHAR(10),""),IF(I314&gt;I303," *  Confirmed TB positive already on ART and on TB treatment "&amp;$H$20&amp;" "&amp;$I$21&amp;" is more than Screening positive for TB Previously enrolled on ART"&amp;CHAR(10),""),IF(J314&gt;J303," *  Confirmed TB positive already on ART and on TB treatment "&amp;$J$20&amp;" "&amp;$J$21&amp;" is more than Screening positive for TB Previously enrolled on ART"&amp;CHAR(10),""),IF(K314&gt;K303," *  Confirmed TB positive already on ART and on TB treatment "&amp;$J$20&amp;" "&amp;$K$21&amp;" is more than Screening positive for TB Previously enrolled on ART"&amp;CHAR(10),""),IF(L314&gt;L303," *  Confirmed TB positive already on ART and on TB treatment "&amp;$L$20&amp;" "&amp;$L$21&amp;" is more than Screening positive for TB Previously enrolled on ART"&amp;CHAR(10),""),IF(M314&gt;M303," *  Confirmed TB positive already on ART and on TB treatment "&amp;$L$20&amp;" "&amp;$M$21&amp;" is more than Screening positive for TB Previously enrolled on ART"&amp;CHAR(10),""),IF(N314&gt;N303," *  Confirmed TB positive already on ART and on TB treatment "&amp;$N$20&amp;" "&amp;$N$21&amp;" is more than Screening positive for TB Previously enrolled on ART"&amp;CHAR(10),""),IF(O314&gt;O303," *  Confirmed TB positive already on ART and on TB treatment "&amp;$N$20&amp;" "&amp;$O$21&amp;" is more than Screening positive for TB Previously enrolled on ART"&amp;CHAR(10),""),IF(P314&gt;P303," *  Confirmed TB positive already on ART and on TB treatment "&amp;$P$20&amp;" "&amp;$P$21&amp;" is more than Screening positive for TB Previously enrolled on ART"&amp;CHAR(10),""),IF(Q314&gt;Q303," *  Confirmed TB positive already on ART and on TB treatment "&amp;$P$20&amp;" "&amp;$Q$21&amp;" is more than Screening positive for TB Previously enrolled on ART"&amp;CHAR(10),""),IF(R314&gt;R303," *  Confirmed TB positive already on ART and on TB treatment "&amp;$R$20&amp;" "&amp;$R$21&amp;" is more than Screening positive for TB Previously enrolled on ART"&amp;CHAR(10),""),IF(S314&gt;S303," *  Confirmed TB positive already on ART and on TB treatment "&amp;$R$20&amp;" "&amp;$S$21&amp;" is more than Screening positive for TB Previously enrolled on ART"&amp;CHAR(10),""),IF(T314&gt;T303," *  Confirmed TB positive already on ART and on TB treatment "&amp;$T$20&amp;" "&amp;$T$21&amp;" is more than Screening positive for TB Previously enrolled on ART"&amp;CHAR(10),""),IF(U314&gt;U303," *  Confirmed TB positive already on ART and on TB treatment "&amp;$T$20&amp;" "&amp;$U$21&amp;" is more than Screening positive for TB Previously enrolled on ART"&amp;CHAR(10),""),IF(V314&gt;V303," *  Confirmed TB positive already on ART and on TB treatment "&amp;$V$20&amp;" "&amp;$V$21&amp;" is more than Screening positive for TB Previously enrolled on ART"&amp;CHAR(10),""),IF(W314&gt;W303," *  Confirmed TB positive already on ART and on TB treatment "&amp;$V$20&amp;" "&amp;$W$21&amp;" is more than Screening positive for TB Previously enrolled on ART"&amp;CHAR(10),""),IF(X314&gt;X303," *  Confirmed TB positive already on ART and on TB treatment "&amp;$X$20&amp;" "&amp;$X$21&amp;" is more than Screening positive for TB Previously enrolled on ART"&amp;CHAR(10),""),IF(Y314&gt;Y303," *  Confirmed TB positive already on ART and on TB treatment "&amp;$X$20&amp;" "&amp;$Y$21&amp;" is more than Screening positive for TB Previously enrolled on ART"&amp;CHAR(10),""),IF(Z314&gt;Z303," *  Confirmed TB positive already on ART and on TB treatment "&amp;$Z$20&amp;" "&amp;$Z$21&amp;" is more than Screening positive for TB Previously enrolled on ART"&amp;CHAR(10),""),IF(AA314&gt;AA303," *  Confirmed TB positive already on ART and on TB treatment "&amp;$Z$20&amp;" "&amp;$AA$21&amp;" is more than Screening positive for TB Previously enrolled on ART"&amp;CHAR(10),""))</f>
        <v/>
      </c>
      <c r="AJ303" s="746"/>
      <c r="AK303" s="33" t="str">
        <f>CONCATENATE(IF(D314&lt;D303," *  Confirmed TB positive already on ART and on TB treatment "&amp;$D$20&amp;" "&amp;$D$21&amp;" is less than Screening positive for TB Previously enrolled on ART"&amp;CHAR(10),""),IF(E314&lt;E303," *  Confirmed TB positive already on ART and on TB treatment "&amp;$D$20&amp;" "&amp;$E$21&amp;" is less than Screening positive for TB Previously enrolled on ART"&amp;CHAR(10),""),IF(F314&lt;F303," *  Confirmed TB positive already on ART and on TB treatment "&amp;$F$20&amp;" "&amp;$F$21&amp;" is less than Screening positive for TB Previously enrolled on ART"&amp;CHAR(10),""),IF(G314&lt;G303," *  Confirmed TB positive already on ART and on TB treatment "&amp;$F$20&amp;" "&amp;$G$21&amp;" is less than Screening positive for TB Previously enrolled on ART"&amp;CHAR(10),""),IF(H314&lt;H303," *  Confirmed TB positive already on ART and on TB treatment "&amp;$H$20&amp;" "&amp;$H$21&amp;" is less than Screening positive for TB Previously enrolled on ART"&amp;CHAR(10),""),IF(I314&lt;I303," *  Confirmed TB positive already on ART and on TB treatment "&amp;$H$20&amp;" "&amp;$I$21&amp;" is less than Screening positive for TB Previously enrolled on ART"&amp;CHAR(10),""),IF(J314&lt;J303," *  Confirmed TB positive already on ART and on TB treatment "&amp;$J$20&amp;" "&amp;$J$21&amp;" is less than Screening positive for TB Previously enrolled on ART"&amp;CHAR(10),""),IF(K314&lt;K303," *  Confirmed TB positive already on ART and on TB treatment "&amp;$J$20&amp;" "&amp;$K$21&amp;" is less than Screening positive for TB Previously enrolled on ART"&amp;CHAR(10),""),IF(L314&lt;L303," *  Confirmed TB positive already on ART and on TB treatment "&amp;$L$20&amp;" "&amp;$L$21&amp;" is less than Screening positive for TB Previously enrolled on ART"&amp;CHAR(10),""),IF(M314&lt;M303," *  Confirmed TB positive already on ART and on TB treatment "&amp;$L$20&amp;" "&amp;$M$21&amp;" is less than Screening positive for TB Previously enrolled on ART"&amp;CHAR(10),""),IF(N314&lt;N303," *  Confirmed TB positive already on ART and on TB treatment "&amp;$N$20&amp;" "&amp;$N$21&amp;" is less than Screening positive for TB Previously enrolled on ART"&amp;CHAR(10),""),IF(O314&lt;O303," *  Confirmed TB positive already on ART and on TB treatment "&amp;$N$20&amp;" "&amp;$O$21&amp;" is less than Screening positive for TB Previously enrolled on ART"&amp;CHAR(10),""),IF(P314&lt;P303," *  Confirmed TB positive already on ART and on TB treatment "&amp;$P$20&amp;" "&amp;$P$21&amp;" is less than Screening positive for TB Previously enrolled on ART"&amp;CHAR(10),""),IF(Q314&lt;Q303," *  Confirmed TB positive already on ART and on TB treatment "&amp;$P$20&amp;" "&amp;$Q$21&amp;" is less than Screening positive for TB Previously enrolled on ART"&amp;CHAR(10),""),IF(R314&lt;R303," *  Confirmed TB positive already on ART and on TB treatment "&amp;$R$20&amp;" "&amp;$R$21&amp;" is less than Screening positive for TB Previously enrolled on ART"&amp;CHAR(10),""),IF(S314&lt;S303," *  Confirmed TB positive already on ART and on TB treatment "&amp;$R$20&amp;" "&amp;$S$21&amp;" is less than Screening positive for TB Previously enrolled on ART"&amp;CHAR(10),""),IF(T314&lt;T303," *  Confirmed TB positive already on ART and on TB treatment "&amp;$T$20&amp;" "&amp;$T$21&amp;" is less than Screening positive for TB Previously enrolled on ART"&amp;CHAR(10),""),IF(U314&lt;U303," *  Confirmed TB positive already on ART and on TB treatment "&amp;$T$20&amp;" "&amp;$U$21&amp;" is less than Screening positive for TB Previously enrolled on ART"&amp;CHAR(10),""),IF(V314&lt;V303," *  Confirmed TB positive already on ART and on TB treatment "&amp;$V$20&amp;" "&amp;$V$21&amp;" is less than Screening positive for TB Previously enrolled on ART"&amp;CHAR(10),""),IF(W314&lt;W303," *  Confirmed TB positive already on ART and on TB treatment "&amp;$V$20&amp;" "&amp;$W$21&amp;" is less than Screening positive for TB Previously enrolled on ART"&amp;CHAR(10),""),IF(X314&lt;X303," *  Confirmed TB positive already on ART and on TB treatment "&amp;$X$20&amp;" "&amp;$X$21&amp;" is less than Screening positive for TB Previously enrolled on ART"&amp;CHAR(10),""),IF(Y314&lt;Y303," *  Confirmed TB positive already on ART and on TB treatment "&amp;$X$20&amp;" "&amp;$Y$21&amp;" is less than Screening positive for TB Previously enrolled on ART"&amp;CHAR(10),""),IF(Z314&lt;Z303," *  Confirmed TB positive already on ART and on TB treatment "&amp;$Z$20&amp;" "&amp;$Z$21&amp;" is less than Screening positive for TB Previously enrolled on ART"&amp;CHAR(10),""),IF(AA314&lt;AA303," *  Confirmed TB positive already on ART and on TB treatment "&amp;$Z$20&amp;" "&amp;$AA$21&amp;" is less than Screening positive for TB Previously enrolled on ART"&amp;CHAR(10),""))</f>
        <v/>
      </c>
      <c r="AL303" s="659"/>
      <c r="AM303" s="14">
        <v>273</v>
      </c>
      <c r="AN303" s="82"/>
      <c r="AO303" s="83"/>
    </row>
    <row r="304" spans="1:41" ht="25.9" thickBot="1" x14ac:dyDescent="0.8">
      <c r="A304" s="822"/>
      <c r="B304" s="278" t="s">
        <v>841</v>
      </c>
      <c r="C304" s="97" t="s">
        <v>556</v>
      </c>
      <c r="D304" s="275">
        <f t="shared" ref="D304:AA304" si="113">D302+D303</f>
        <v>0</v>
      </c>
      <c r="E304" s="275">
        <f t="shared" si="113"/>
        <v>0</v>
      </c>
      <c r="F304" s="275">
        <f t="shared" si="113"/>
        <v>0</v>
      </c>
      <c r="G304" s="275">
        <f t="shared" si="113"/>
        <v>0</v>
      </c>
      <c r="H304" s="275">
        <f t="shared" si="113"/>
        <v>0</v>
      </c>
      <c r="I304" s="275">
        <f t="shared" si="113"/>
        <v>0</v>
      </c>
      <c r="J304" s="275">
        <f t="shared" si="113"/>
        <v>0</v>
      </c>
      <c r="K304" s="275">
        <f t="shared" si="113"/>
        <v>0</v>
      </c>
      <c r="L304" s="275">
        <f t="shared" si="113"/>
        <v>0</v>
      </c>
      <c r="M304" s="275">
        <f t="shared" si="113"/>
        <v>0</v>
      </c>
      <c r="N304" s="275">
        <f t="shared" si="113"/>
        <v>0</v>
      </c>
      <c r="O304" s="275">
        <f t="shared" si="113"/>
        <v>0</v>
      </c>
      <c r="P304" s="275">
        <f t="shared" si="113"/>
        <v>0</v>
      </c>
      <c r="Q304" s="275">
        <f t="shared" si="113"/>
        <v>0</v>
      </c>
      <c r="R304" s="275">
        <f t="shared" si="113"/>
        <v>0</v>
      </c>
      <c r="S304" s="275">
        <f t="shared" si="113"/>
        <v>0</v>
      </c>
      <c r="T304" s="275">
        <f t="shared" si="113"/>
        <v>0</v>
      </c>
      <c r="U304" s="275">
        <f t="shared" si="113"/>
        <v>0</v>
      </c>
      <c r="V304" s="275">
        <f t="shared" si="113"/>
        <v>0</v>
      </c>
      <c r="W304" s="275">
        <f t="shared" si="113"/>
        <v>0</v>
      </c>
      <c r="X304" s="275">
        <f t="shared" si="113"/>
        <v>0</v>
      </c>
      <c r="Y304" s="275">
        <f t="shared" si="113"/>
        <v>0</v>
      </c>
      <c r="Z304" s="275">
        <f t="shared" si="113"/>
        <v>0</v>
      </c>
      <c r="AA304" s="403">
        <f t="shared" si="113"/>
        <v>0</v>
      </c>
      <c r="AB304" s="434"/>
      <c r="AC304" s="401"/>
      <c r="AD304" s="401"/>
      <c r="AE304" s="401"/>
      <c r="AF304" s="401"/>
      <c r="AG304" s="357"/>
      <c r="AH304" s="218">
        <f t="shared" si="104"/>
        <v>0</v>
      </c>
      <c r="AI304" s="130"/>
      <c r="AJ304" s="746"/>
      <c r="AK304" s="33"/>
      <c r="AL304" s="659"/>
      <c r="AM304" s="14">
        <v>274</v>
      </c>
      <c r="AN304" s="82"/>
      <c r="AO304" s="83"/>
    </row>
    <row r="305" spans="1:41" ht="25.5" x14ac:dyDescent="0.75">
      <c r="A305" s="822"/>
      <c r="B305" s="280" t="s">
        <v>605</v>
      </c>
      <c r="C305" s="153" t="s">
        <v>559</v>
      </c>
      <c r="D305" s="159"/>
      <c r="E305" s="80"/>
      <c r="F305" s="80"/>
      <c r="G305" s="80"/>
      <c r="H305" s="80"/>
      <c r="I305" s="80"/>
      <c r="J305" s="80"/>
      <c r="K305" s="80"/>
      <c r="L305" s="80"/>
      <c r="M305" s="80"/>
      <c r="N305" s="80"/>
      <c r="O305" s="80"/>
      <c r="P305" s="80"/>
      <c r="Q305" s="80"/>
      <c r="R305" s="80"/>
      <c r="S305" s="80"/>
      <c r="T305" s="80"/>
      <c r="U305" s="80"/>
      <c r="V305" s="80"/>
      <c r="W305" s="80"/>
      <c r="X305" s="80"/>
      <c r="Y305" s="80"/>
      <c r="Z305" s="80"/>
      <c r="AA305" s="361"/>
      <c r="AB305" s="434"/>
      <c r="AC305" s="401"/>
      <c r="AD305" s="401"/>
      <c r="AE305" s="401"/>
      <c r="AF305" s="401"/>
      <c r="AG305" s="357"/>
      <c r="AH305" s="55">
        <f t="shared" si="104"/>
        <v>0</v>
      </c>
      <c r="AI305" s="130"/>
      <c r="AJ305" s="746"/>
      <c r="AK305" s="33"/>
      <c r="AL305" s="659"/>
      <c r="AM305" s="14">
        <v>275</v>
      </c>
      <c r="AN305" s="82"/>
      <c r="AO305" s="83"/>
    </row>
    <row r="306" spans="1:41" ht="25.5" x14ac:dyDescent="0.75">
      <c r="A306" s="822"/>
      <c r="B306" s="2" t="s">
        <v>606</v>
      </c>
      <c r="C306" s="85" t="s">
        <v>599</v>
      </c>
      <c r="D306" s="268"/>
      <c r="E306" s="88"/>
      <c r="F306" s="88"/>
      <c r="G306" s="88"/>
      <c r="H306" s="88"/>
      <c r="I306" s="88"/>
      <c r="J306" s="88"/>
      <c r="K306" s="88"/>
      <c r="L306" s="88"/>
      <c r="M306" s="88"/>
      <c r="N306" s="88"/>
      <c r="O306" s="88"/>
      <c r="P306" s="88"/>
      <c r="Q306" s="88"/>
      <c r="R306" s="88"/>
      <c r="S306" s="88"/>
      <c r="T306" s="88"/>
      <c r="U306" s="88"/>
      <c r="V306" s="88"/>
      <c r="W306" s="88"/>
      <c r="X306" s="88"/>
      <c r="Y306" s="88"/>
      <c r="Z306" s="88"/>
      <c r="AA306" s="362"/>
      <c r="AB306" s="434"/>
      <c r="AC306" s="401"/>
      <c r="AD306" s="401"/>
      <c r="AE306" s="401"/>
      <c r="AF306" s="401"/>
      <c r="AG306" s="357"/>
      <c r="AH306" s="199">
        <f t="shared" si="104"/>
        <v>0</v>
      </c>
      <c r="AI306" s="130" t="str">
        <f>IF(AH287&gt;0,IF(AH307&lt;1," No Patient was screened for TB",""),"")</f>
        <v/>
      </c>
      <c r="AJ306" s="746"/>
      <c r="AK306" s="33"/>
      <c r="AL306" s="659"/>
      <c r="AM306" s="14">
        <v>276</v>
      </c>
      <c r="AN306" s="82"/>
      <c r="AO306" s="83"/>
    </row>
    <row r="307" spans="1:41" ht="25.9" thickBot="1" x14ac:dyDescent="0.8">
      <c r="A307" s="822"/>
      <c r="B307" s="278" t="s">
        <v>842</v>
      </c>
      <c r="C307" s="97" t="s">
        <v>303</v>
      </c>
      <c r="D307" s="281">
        <f>SUM(D306,D305,D304)</f>
        <v>0</v>
      </c>
      <c r="E307" s="282">
        <f t="shared" ref="E307:AA307" si="114">SUM(E306,E305,E304)</f>
        <v>0</v>
      </c>
      <c r="F307" s="282">
        <f t="shared" si="114"/>
        <v>0</v>
      </c>
      <c r="G307" s="282">
        <f t="shared" si="114"/>
        <v>0</v>
      </c>
      <c r="H307" s="282">
        <f t="shared" si="114"/>
        <v>0</v>
      </c>
      <c r="I307" s="282">
        <f t="shared" si="114"/>
        <v>0</v>
      </c>
      <c r="J307" s="282">
        <f t="shared" si="114"/>
        <v>0</v>
      </c>
      <c r="K307" s="282">
        <f t="shared" si="114"/>
        <v>0</v>
      </c>
      <c r="L307" s="282">
        <f t="shared" si="114"/>
        <v>0</v>
      </c>
      <c r="M307" s="282">
        <f t="shared" si="114"/>
        <v>0</v>
      </c>
      <c r="N307" s="282">
        <f t="shared" si="114"/>
        <v>0</v>
      </c>
      <c r="O307" s="282">
        <f t="shared" si="114"/>
        <v>0</v>
      </c>
      <c r="P307" s="282">
        <f t="shared" si="114"/>
        <v>0</v>
      </c>
      <c r="Q307" s="282">
        <f t="shared" si="114"/>
        <v>0</v>
      </c>
      <c r="R307" s="282">
        <f t="shared" si="114"/>
        <v>0</v>
      </c>
      <c r="S307" s="282">
        <f t="shared" si="114"/>
        <v>0</v>
      </c>
      <c r="T307" s="282">
        <f t="shared" si="114"/>
        <v>0</v>
      </c>
      <c r="U307" s="282">
        <f t="shared" si="114"/>
        <v>0</v>
      </c>
      <c r="V307" s="282">
        <f t="shared" si="114"/>
        <v>0</v>
      </c>
      <c r="W307" s="282">
        <f t="shared" si="114"/>
        <v>0</v>
      </c>
      <c r="X307" s="282">
        <f t="shared" si="114"/>
        <v>0</v>
      </c>
      <c r="Y307" s="282">
        <f t="shared" si="114"/>
        <v>0</v>
      </c>
      <c r="Z307" s="282">
        <f t="shared" si="114"/>
        <v>0</v>
      </c>
      <c r="AA307" s="404">
        <f t="shared" si="114"/>
        <v>0</v>
      </c>
      <c r="AB307" s="434"/>
      <c r="AC307" s="401"/>
      <c r="AD307" s="401"/>
      <c r="AE307" s="401"/>
      <c r="AF307" s="401"/>
      <c r="AG307" s="357"/>
      <c r="AH307" s="218">
        <f t="shared" si="104"/>
        <v>0</v>
      </c>
      <c r="AI307" s="130" t="str">
        <f>CONCATENATE(IF(D307&gt;D287," * Total Screened For TB  for Age "&amp;D20&amp;" "&amp;D21&amp;" is more than Current On ART "&amp;CHAR(10),""),IF(E307&gt;E287," * Total Screened For TB  for Age "&amp;D20&amp;" "&amp;E21&amp;" is more than Current On ART "&amp;CHAR(10),""),IF(F307&gt;F287," * Total Screened For TB  for Age "&amp;F20&amp;" "&amp;F21&amp;" is more than Current On ART "&amp;CHAR(10),""),IF(G307&gt;G287," * Total Screened For TB  for Age "&amp;F20&amp;" "&amp;G21&amp;" is more than Current On ART "&amp;CHAR(10),""),IF(H307&gt;H287," * Total Screened For TB  for Age "&amp;H20&amp;" "&amp;H21&amp;" is more than Current On ART "&amp;CHAR(10),""),IF(I307&gt;I287," * Total Screened For TB  for Age "&amp;H20&amp;" "&amp;I21&amp;" is more than Current On ART "&amp;CHAR(10),""),IF(J307&gt;J287," * Total Screened For TB  for Age "&amp;J20&amp;" "&amp;J21&amp;" is more than Current On ART "&amp;CHAR(10),""),IF(K307&gt;K287," * Total Screened For TB  for Age "&amp;J20&amp;" "&amp;K21&amp;" is more than Current On ART "&amp;CHAR(10),""),IF(L307&gt;L287," * Total Screened For TB  for Age "&amp;L20&amp;" "&amp;L21&amp;" is more than Current On ART "&amp;CHAR(10),""),IF(M307&gt;M287," * Total Screened For TB  for Age "&amp;L20&amp;" "&amp;M21&amp;" is more than Current On ART "&amp;CHAR(10),""),IF(N307&gt;N287," * Total Screened For TB  for Age "&amp;N20&amp;" "&amp;N21&amp;" is more than Current On ART "&amp;CHAR(10),""),IF(O307&gt;O287," * Total Screened For TB  for Age "&amp;N20&amp;" "&amp;O21&amp;" is more than Current On ART "&amp;CHAR(10),""),IF(P307&gt;P287," * Total Screened For TB  for Age "&amp;P20&amp;" "&amp;P21&amp;" is more than Current On ART "&amp;CHAR(10),""),IF(Q307&gt;Q287," * Total Screened For TB  for Age "&amp;P20&amp;" "&amp;Q21&amp;" is more than Current On ART "&amp;CHAR(10),""),IF(R307&gt;R287," * Total Screened For TB  for Age "&amp;R20&amp;" "&amp;R21&amp;" is more than Current On ART "&amp;CHAR(10),""),IF(S307&gt;S287," * Total Screened For TB  for Age "&amp;R20&amp;" "&amp;S21&amp;" is more than Current On ART "&amp;CHAR(10),""),IF(T307&gt;T287," * Total Screened For TB  for Age "&amp;T20&amp;" "&amp;T21&amp;" is more than Current On ART "&amp;CHAR(10),""),IF(U307&gt;U287," * Total Screened For TB  for Age "&amp;T20&amp;" "&amp;U21&amp;" is more than Current On ART "&amp;CHAR(10),""),IF(V307&gt;V287," * Total Screened For TB  for Age "&amp;V20&amp;" "&amp;V21&amp;" is more than Current On ART "&amp;CHAR(10),""),IF(W307&gt;W287," * Total Screened For TB  for Age "&amp;V20&amp;" "&amp;W21&amp;" is more than Current On ART "&amp;CHAR(10),""),IF(X307&gt;X287," * Total Screened For TB  for Age "&amp;X20&amp;" "&amp;X21&amp;" is more than Current On ART "&amp;CHAR(10),""),IF(Y307&gt;Y287," * Total Screened For TB  for Age "&amp;X20&amp;" "&amp;Y21&amp;" is more than Current On ART "&amp;CHAR(10),""),IF(Z307&gt;Z287," * Total Screened For TB  for Age "&amp;Z20&amp;" "&amp;Z21&amp;" is more than Current On ART "&amp;CHAR(10),""),IF(AA307&gt;AA287," * Total Screened For TB  for Age "&amp;Z20&amp;" "&amp;AA21&amp;" is more than Current On ART "&amp;CHAR(10),""))</f>
        <v/>
      </c>
      <c r="AJ307" s="746"/>
      <c r="AK307" s="33" t="str">
        <f>CONCATENATE(IF(D307&lt;D287," * Screened for TB for Age "&amp;D20&amp;" "&amp;D21&amp;" is less than Current On ART"&amp;CHAR(10),""),IF(E307&lt;E287," * Screened for TB for Age "&amp;D20&amp;" "&amp;E21&amp;" is less than Current On ART"&amp;CHAR(10),""),IF(F307&lt;F287," * Screened for TB for Age "&amp;F20&amp;" "&amp;F21&amp;" is less than Current On ART"&amp;CHAR(10),""),IF(G307&lt;G287," * Screened for TB for Age "&amp;F20&amp;" "&amp;G21&amp;" is less than Current On ART"&amp;CHAR(10),""),IF(H307&lt;H287," * Screened for TB for Age "&amp;H20&amp;" "&amp;H21&amp;" is less than Current On ART"&amp;CHAR(10),""),IF(I307&lt;I287," * Screened for TB for Age "&amp;H20&amp;" "&amp;I21&amp;" is less than Current On ART"&amp;CHAR(10),""),IF(J307&lt;J287," * Screened for TB for Age "&amp;J20&amp;" "&amp;J21&amp;" is less than Current On ART"&amp;CHAR(10),""),IF(K307&lt;K287," * Screened for TB for Age "&amp;J20&amp;" "&amp;K21&amp;" is less than Current On ART"&amp;CHAR(10),""),IF(L307&lt;L287," * Screened for TB for Age "&amp;L20&amp;" "&amp;L21&amp;" is less than Current On ART"&amp;CHAR(10),""),IF(M307&lt;M287," * Screened for TB for Age "&amp;L20&amp;" "&amp;M21&amp;" is less than Current On ART"&amp;CHAR(10),""),IF(N307&lt;N287," * Screened for TB for Age "&amp;N20&amp;" "&amp;N21&amp;" is less than Current On ART"&amp;CHAR(10),""),IF(O307&lt;O287," * Screened for TB for Age "&amp;N20&amp;" "&amp;O21&amp;" is less than Current On ART"&amp;CHAR(10),""),IF(P307&lt;P287," * Screened for TB for Age "&amp;P20&amp;" "&amp;P21&amp;" is less than Current On ART"&amp;CHAR(10),""),IF(Q307&lt;Q287," * Screened for TB for Age "&amp;P20&amp;" "&amp;Q21&amp;" is less than Current On ART"&amp;CHAR(10),""),IF(R307&lt;R287," * Screened for TB for Age "&amp;R20&amp;" "&amp;R21&amp;" is less than Current On ART"&amp;CHAR(10),""),IF(S307&lt;S287," * Screened for TB for Age "&amp;R20&amp;" "&amp;S21&amp;" is less than Current On ART"&amp;CHAR(10),""),IF(T307&lt;T287," * Screened for TB for Age "&amp;T20&amp;" "&amp;T21&amp;" is less than Current On ART"&amp;CHAR(10),""),IF(U307&lt;U287," * Screened for TB for Age "&amp;T20&amp;" "&amp;U21&amp;" is less than Current On ART"&amp;CHAR(10),""),IF(V307&lt;V287," * Screened for TB for Age "&amp;V20&amp;" "&amp;V21&amp;" is less than Current On ART"&amp;CHAR(10),""),IF(W307&lt;W287," * Screened for TB for Age "&amp;V20&amp;" "&amp;W21&amp;" is less than Current On ART"&amp;CHAR(10),""),IF(X307&lt;X287," * Screened for TB for Age "&amp;X20&amp;" "&amp;X21&amp;" is less than Current On ART"&amp;CHAR(10),""),IF(Y307&lt;Y287," * Screened for TB for Age "&amp;X20&amp;" "&amp;Y21&amp;" is less than Current On ART"&amp;CHAR(10),""),IF(Z307&lt;Z287," * Screened for TB for Age "&amp;Z20&amp;" "&amp;Z21&amp;" is less than Current On ART"&amp;CHAR(10),""),IF(AA307&lt;AA287," * Screened for TB for Age "&amp;Z20&amp;" "&amp;AA21&amp;" is less than Current On ART"&amp;CHAR(10),""))</f>
        <v/>
      </c>
      <c r="AL307" s="659"/>
      <c r="AM307" s="14">
        <v>277</v>
      </c>
      <c r="AN307" s="82"/>
      <c r="AO307" s="83"/>
    </row>
    <row r="308" spans="1:41" ht="25.5" x14ac:dyDescent="0.75">
      <c r="A308" s="822"/>
      <c r="B308" s="1" t="s">
        <v>1023</v>
      </c>
      <c r="C308" s="77" t="s">
        <v>600</v>
      </c>
      <c r="D308" s="267"/>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365"/>
      <c r="AB308" s="434"/>
      <c r="AC308" s="401"/>
      <c r="AD308" s="401"/>
      <c r="AE308" s="401"/>
      <c r="AF308" s="401"/>
      <c r="AG308" s="357"/>
      <c r="AH308" s="214">
        <f t="shared" si="104"/>
        <v>0</v>
      </c>
      <c r="AI308" s="130"/>
      <c r="AJ308" s="746"/>
      <c r="AK308" s="33"/>
      <c r="AL308" s="659"/>
      <c r="AM308" s="14">
        <v>278</v>
      </c>
      <c r="AN308" s="82"/>
      <c r="AO308" s="83"/>
    </row>
    <row r="309" spans="1:41" s="67" customFormat="1" ht="51" x14ac:dyDescent="0.75">
      <c r="A309" s="822"/>
      <c r="B309" s="2" t="s">
        <v>1024</v>
      </c>
      <c r="C309" s="85" t="s">
        <v>601</v>
      </c>
      <c r="D309" s="268"/>
      <c r="E309" s="88"/>
      <c r="F309" s="88"/>
      <c r="G309" s="88"/>
      <c r="H309" s="88"/>
      <c r="I309" s="88"/>
      <c r="J309" s="88"/>
      <c r="K309" s="88"/>
      <c r="L309" s="88"/>
      <c r="M309" s="88"/>
      <c r="N309" s="88"/>
      <c r="O309" s="88"/>
      <c r="P309" s="88"/>
      <c r="Q309" s="88"/>
      <c r="R309" s="88"/>
      <c r="S309" s="88"/>
      <c r="T309" s="88"/>
      <c r="U309" s="88"/>
      <c r="V309" s="88"/>
      <c r="W309" s="88"/>
      <c r="X309" s="88"/>
      <c r="Y309" s="88"/>
      <c r="Z309" s="88"/>
      <c r="AA309" s="362"/>
      <c r="AB309" s="434"/>
      <c r="AC309" s="401"/>
      <c r="AD309" s="401"/>
      <c r="AE309" s="401"/>
      <c r="AF309" s="401"/>
      <c r="AG309" s="357"/>
      <c r="AH309" s="199">
        <f t="shared" si="104"/>
        <v>0</v>
      </c>
      <c r="AI309" s="130"/>
      <c r="AJ309" s="746"/>
      <c r="AK309" s="66"/>
      <c r="AL309" s="659"/>
      <c r="AM309" s="14">
        <v>279</v>
      </c>
      <c r="AN309" s="89"/>
      <c r="AO309" s="83"/>
    </row>
    <row r="310" spans="1:41" ht="25.5" x14ac:dyDescent="0.75">
      <c r="A310" s="822"/>
      <c r="B310" s="2" t="s">
        <v>1025</v>
      </c>
      <c r="C310" s="85" t="s">
        <v>602</v>
      </c>
      <c r="D310" s="268"/>
      <c r="E310" s="88"/>
      <c r="F310" s="88"/>
      <c r="G310" s="88"/>
      <c r="H310" s="88"/>
      <c r="I310" s="88"/>
      <c r="J310" s="88"/>
      <c r="K310" s="88"/>
      <c r="L310" s="88"/>
      <c r="M310" s="88"/>
      <c r="N310" s="88"/>
      <c r="O310" s="88"/>
      <c r="P310" s="88"/>
      <c r="Q310" s="88"/>
      <c r="R310" s="88"/>
      <c r="S310" s="88"/>
      <c r="T310" s="88"/>
      <c r="U310" s="88"/>
      <c r="V310" s="88"/>
      <c r="W310" s="88"/>
      <c r="X310" s="88"/>
      <c r="Y310" s="88"/>
      <c r="Z310" s="88"/>
      <c r="AA310" s="362"/>
      <c r="AB310" s="434"/>
      <c r="AC310" s="401"/>
      <c r="AD310" s="401"/>
      <c r="AE310" s="401"/>
      <c r="AF310" s="401"/>
      <c r="AG310" s="357"/>
      <c r="AH310" s="199">
        <f t="shared" si="104"/>
        <v>0</v>
      </c>
      <c r="AI310" s="130"/>
      <c r="AJ310" s="746"/>
      <c r="AK310" s="33"/>
      <c r="AL310" s="659"/>
      <c r="AM310" s="14">
        <v>280</v>
      </c>
      <c r="AN310" s="82"/>
      <c r="AO310" s="83"/>
    </row>
    <row r="311" spans="1:41" ht="32.25" customHeight="1" thickBot="1" x14ac:dyDescent="0.8">
      <c r="A311" s="822"/>
      <c r="B311" s="278" t="s">
        <v>843</v>
      </c>
      <c r="C311" s="97" t="s">
        <v>609</v>
      </c>
      <c r="D311" s="282">
        <f t="shared" ref="D311:AA311" si="115">SUM(D308:D310)</f>
        <v>0</v>
      </c>
      <c r="E311" s="282">
        <f t="shared" si="115"/>
        <v>0</v>
      </c>
      <c r="F311" s="282">
        <f t="shared" si="115"/>
        <v>0</v>
      </c>
      <c r="G311" s="282">
        <f t="shared" si="115"/>
        <v>0</v>
      </c>
      <c r="H311" s="282">
        <f t="shared" si="115"/>
        <v>0</v>
      </c>
      <c r="I311" s="282">
        <f t="shared" si="115"/>
        <v>0</v>
      </c>
      <c r="J311" s="282">
        <f t="shared" si="115"/>
        <v>0</v>
      </c>
      <c r="K311" s="282">
        <f t="shared" si="115"/>
        <v>0</v>
      </c>
      <c r="L311" s="282">
        <f t="shared" si="115"/>
        <v>0</v>
      </c>
      <c r="M311" s="282">
        <f t="shared" si="115"/>
        <v>0</v>
      </c>
      <c r="N311" s="282">
        <f t="shared" si="115"/>
        <v>0</v>
      </c>
      <c r="O311" s="282">
        <f t="shared" si="115"/>
        <v>0</v>
      </c>
      <c r="P311" s="282">
        <f t="shared" si="115"/>
        <v>0</v>
      </c>
      <c r="Q311" s="282">
        <f t="shared" si="115"/>
        <v>0</v>
      </c>
      <c r="R311" s="282">
        <f t="shared" si="115"/>
        <v>0</v>
      </c>
      <c r="S311" s="282">
        <f t="shared" si="115"/>
        <v>0</v>
      </c>
      <c r="T311" s="282">
        <f t="shared" si="115"/>
        <v>0</v>
      </c>
      <c r="U311" s="282">
        <f t="shared" si="115"/>
        <v>0</v>
      </c>
      <c r="V311" s="282">
        <f t="shared" si="115"/>
        <v>0</v>
      </c>
      <c r="W311" s="282">
        <f t="shared" si="115"/>
        <v>0</v>
      </c>
      <c r="X311" s="282">
        <f t="shared" si="115"/>
        <v>0</v>
      </c>
      <c r="Y311" s="282">
        <f t="shared" si="115"/>
        <v>0</v>
      </c>
      <c r="Z311" s="282">
        <f t="shared" si="115"/>
        <v>0</v>
      </c>
      <c r="AA311" s="404">
        <f t="shared" si="115"/>
        <v>0</v>
      </c>
      <c r="AB311" s="434"/>
      <c r="AC311" s="401"/>
      <c r="AD311" s="401"/>
      <c r="AE311" s="401"/>
      <c r="AF311" s="401"/>
      <c r="AG311" s="357"/>
      <c r="AH311" s="218">
        <f t="shared" si="104"/>
        <v>0</v>
      </c>
      <c r="AI311" s="32" t="str">
        <f>CONCATENATE(IF(D312&gt;D311," *  Positive Result Returned For bacteriologic diagnosis "&amp;$D$20&amp;" "&amp;$D$21&amp;" is more than Total Patients whose specimens were sent"&amp;CHAR(10),""),IF(E312&gt;E311," *  Positive Result Returned For bacteriologic diagnosis "&amp;$D$20&amp;" "&amp;$E$21&amp;" is more than Total Patients whose specimens were sent"&amp;CHAR(10),""),IF(F312&gt;F311," *  Positive Result Returned For bacteriologic diagnosis "&amp;$F$20&amp;" "&amp;$F$21&amp;" is more than Total Patients whose specimens were sent"&amp;CHAR(10),""),IF(G312&gt;G311," *  Positive Result Returned For bacteriologic diagnosis "&amp;$F$20&amp;" "&amp;$G$21&amp;" is more than Total Patients whose specimens were sent"&amp;CHAR(10),""),IF(H312&gt;H311," *  Positive Result Returned For bacteriologic diagnosis "&amp;$H$20&amp;" "&amp;$H$21&amp;" is more than Total Patients whose specimens were sent"&amp;CHAR(10),""),IF(I312&gt;I311," *  Positive Result Returned For bacteriologic diagnosis "&amp;$H$20&amp;" "&amp;$I$21&amp;" is more than Total Patients whose specimens were sent"&amp;CHAR(10),""),IF(J312&gt;J311," *  Positive Result Returned For bacteriologic diagnosis "&amp;$J$20&amp;" "&amp;$J$21&amp;" is more than Total Patients whose specimens were sent"&amp;CHAR(10),""),IF(K312&gt;K311," *  Positive Result Returned For bacteriologic diagnosis "&amp;$J$20&amp;" "&amp;$K$21&amp;" is more than Total Patients whose specimens were sent"&amp;CHAR(10),""),IF(L312&gt;L311," *  Positive Result Returned For bacteriologic diagnosis "&amp;$L$20&amp;" "&amp;$L$21&amp;" is more than Total Patients whose specimens were sent"&amp;CHAR(10),""),IF(M312&gt;M311," *  Positive Result Returned For bacteriologic diagnosis "&amp;$L$20&amp;" "&amp;$M$21&amp;" is more than Total Patients whose specimens were sent"&amp;CHAR(10),""),IF(N312&gt;N311," *  Positive Result Returned For bacteriologic diagnosis "&amp;$N$20&amp;" "&amp;$N$21&amp;" is more than Total Patients whose specimens were sent"&amp;CHAR(10),""),IF(O312&gt;O311," *  Positive Result Returned For bacteriologic diagnosis "&amp;$N$20&amp;" "&amp;$O$21&amp;" is more than Total Patients whose specimens were sent"&amp;CHAR(10),""),IF(P312&gt;P311," *  Positive Result Returned For bacteriologic diagnosis "&amp;$P$20&amp;" "&amp;$P$21&amp;" is more than Total Patients whose specimens were sent"&amp;CHAR(10),""),IF(Q312&gt;Q311," *  Positive Result Returned For bacteriologic diagnosis "&amp;$P$20&amp;" "&amp;$Q$21&amp;" is more than Total Patients whose specimens were sent"&amp;CHAR(10),""),IF(R312&gt;R311," *  Positive Result Returned For bacteriologic diagnosis "&amp;$R$20&amp;" "&amp;$R$21&amp;" is more than Total Patients whose specimens were sent"&amp;CHAR(10),""),IF(S312&gt;S311," *  Positive Result Returned For bacteriologic diagnosis "&amp;$R$20&amp;" "&amp;$S$21&amp;" is more than Total Patients whose specimens were sent"&amp;CHAR(10),""),IF(T312&gt;T311," *  Positive Result Returned For bacteriologic diagnosis "&amp;$T$20&amp;" "&amp;$T$21&amp;" is more than Total Patients whose specimens were sent"&amp;CHAR(10),""),IF(U312&gt;U311," *  Positive Result Returned For bacteriologic diagnosis "&amp;$T$20&amp;" "&amp;$U$21&amp;" is more than Total Patients whose specimens were sent"&amp;CHAR(10),""),IF(V312&gt;V311," *  Positive Result Returned For bacteriologic diagnosis "&amp;$V$20&amp;" "&amp;$V$21&amp;" is more than Total Patients whose specimens were sent"&amp;CHAR(10),""),IF(W312&gt;W311," *  Positive Result Returned For bacteriologic diagnosis "&amp;$V$20&amp;" "&amp;$W$21&amp;" is more than Total Patients whose specimens were sent"&amp;CHAR(10),""),IF(X312&gt;X311," *  Positive Result Returned For bacteriologic diagnosis "&amp;$X$20&amp;" "&amp;$X$21&amp;" is more than Total Patients whose specimens were sent"&amp;CHAR(10),""),IF(Y312&gt;Y311," *  Positive Result Returned For bacteriologic diagnosis "&amp;$X$20&amp;" "&amp;$Y$21&amp;" is more than Total Patients whose specimens were sent"&amp;CHAR(10),""),IF(Z312&gt;Z311," *  Positive Result Returned For bacteriologic diagnosis "&amp;$Z$20&amp;" "&amp;$Z$21&amp;" is more than Total Patients whose specimens were sent"&amp;CHAR(10),""),IF(AA312&gt;AA311," *  Positive Result Returned For bacteriologic diagnosis "&amp;$Z$20&amp;" "&amp;$AA$21&amp;" is more than Total Patients whose specimens were sent"&amp;CHAR(10),""))</f>
        <v/>
      </c>
      <c r="AJ311" s="746"/>
      <c r="AK311" s="33"/>
      <c r="AL311" s="659"/>
      <c r="AM311" s="14">
        <v>281</v>
      </c>
      <c r="AN311" s="82"/>
      <c r="AO311" s="83"/>
    </row>
    <row r="312" spans="1:41" ht="51.4" thickBot="1" x14ac:dyDescent="0.8">
      <c r="A312" s="823"/>
      <c r="B312" s="256" t="s">
        <v>607</v>
      </c>
      <c r="C312" s="74" t="s">
        <v>610</v>
      </c>
      <c r="D312" s="279"/>
      <c r="E312" s="279"/>
      <c r="F312" s="279"/>
      <c r="G312" s="279"/>
      <c r="H312" s="279"/>
      <c r="I312" s="279"/>
      <c r="J312" s="279"/>
      <c r="K312" s="279"/>
      <c r="L312" s="279"/>
      <c r="M312" s="279"/>
      <c r="N312" s="279"/>
      <c r="O312" s="279"/>
      <c r="P312" s="279"/>
      <c r="Q312" s="279"/>
      <c r="R312" s="279"/>
      <c r="S312" s="279"/>
      <c r="T312" s="279"/>
      <c r="U312" s="279"/>
      <c r="V312" s="279"/>
      <c r="W312" s="279"/>
      <c r="X312" s="279"/>
      <c r="Y312" s="279"/>
      <c r="Z312" s="279"/>
      <c r="AA312" s="405"/>
      <c r="AB312" s="434"/>
      <c r="AC312" s="401"/>
      <c r="AD312" s="401"/>
      <c r="AE312" s="401"/>
      <c r="AF312" s="401"/>
      <c r="AG312" s="357"/>
      <c r="AH312" s="598">
        <f t="shared" si="104"/>
        <v>0</v>
      </c>
      <c r="AI312" s="32" t="str">
        <f>CONCATENATE(IF(D304&lt;D311," *  Total Screening positive for TB ( Presumptive TB Clients ) "&amp;$D$20&amp;" "&amp;$D$21&amp;" is less than Total Patients whose specimens were sent"&amp;CHAR(10),""),IF(E304&lt;E311," *  Total Screening positive for TB ( Presumptive TB Clients ) "&amp;$D$20&amp;" "&amp;$E$21&amp;" is less than Total Patients whose specimens were sent"&amp;CHAR(10),""),IF(F304&lt;F311," *  Total Screening positive for TB ( Presumptive TB Clients ) "&amp;$F$20&amp;" "&amp;$F$21&amp;" is less than Total Patients whose specimens were sent"&amp;CHAR(10),""),IF(G304&lt;G311," *  Total Screening positive for TB ( Presumptive TB Clients ) "&amp;$F$20&amp;" "&amp;$G$21&amp;" is less than Total Patients whose specimens were sent"&amp;CHAR(10),""),IF(H304&lt;H311," *  Total Screening positive for TB ( Presumptive TB Clients ) "&amp;$H$20&amp;" "&amp;$H$21&amp;" is less than Total Patients whose specimens were sent"&amp;CHAR(10),""),IF(I304&lt;I311," *  Total Screening positive for TB ( Presumptive TB Clients ) "&amp;$H$20&amp;" "&amp;$I$21&amp;" is less than Total Patients whose specimens were sent"&amp;CHAR(10),""),IF(J304&lt;J311," *  Total Screening positive for TB ( Presumptive TB Clients ) "&amp;$J$20&amp;" "&amp;$J$21&amp;" is less than Total Patients whose specimens were sent"&amp;CHAR(10),""),IF(K304&lt;K311," *  Total Screening positive for TB ( Presumptive TB Clients ) "&amp;$J$20&amp;" "&amp;$K$21&amp;" is less than Total Patients whose specimens were sent"&amp;CHAR(10),""),IF(L304&lt;L311," *  Total Screening positive for TB ( Presumptive TB Clients ) "&amp;$L$20&amp;" "&amp;$L$21&amp;" is less than Total Patients whose specimens were sent"&amp;CHAR(10),""),IF(M304&lt;M311," *  Total Screening positive for TB ( Presumptive TB Clients ) "&amp;$L$20&amp;" "&amp;$M$21&amp;" is less than Total Patients whose specimens were sent"&amp;CHAR(10),""),IF(N304&lt;N311," *  Total Screening positive for TB ( Presumptive TB Clients ) "&amp;$N$20&amp;" "&amp;$N$21&amp;" is less than Total Patients whose specimens were sent"&amp;CHAR(10),""),IF(O304&lt;O311," *  Total Screening positive for TB ( Presumptive TB Clients ) "&amp;$N$20&amp;" "&amp;$O$21&amp;" is less than Total Patients whose specimens were sent"&amp;CHAR(10),""),IF(P304&lt;P311," *  Total Screening positive for TB ( Presumptive TB Clients ) "&amp;$P$20&amp;" "&amp;$P$21&amp;" is less than Total Patients whose specimens were sent"&amp;CHAR(10),""),IF(Q304&lt;Q311," *  Total Screening positive for TB ( Presumptive TB Clients ) "&amp;$P$20&amp;" "&amp;$Q$21&amp;" is less than Total Patients whose specimens were sent"&amp;CHAR(10),""),IF(R304&lt;R311," *  Total Screening positive for TB ( Presumptive TB Clients ) "&amp;$R$20&amp;" "&amp;$R$21&amp;" is less than Total Patients whose specimens were sent"&amp;CHAR(10),""),IF(S304&lt;S311," *  Total Screening positive for TB ( Presumptive TB Clients ) "&amp;$R$20&amp;" "&amp;$S$21&amp;" is less than Total Patients whose specimens were sent"&amp;CHAR(10),""),IF(T304&lt;T311," *  Total Screening positive for TB ( Presumptive TB Clients ) "&amp;$T$20&amp;" "&amp;$T$21&amp;" is less than Total Patients whose specimens were sent"&amp;CHAR(10),""),IF(U304&lt;U311," *  Total Screening positive for TB ( Presumptive TB Clients ) "&amp;$T$20&amp;" "&amp;$U$21&amp;" is less than Total Patients whose specimens were sent"&amp;CHAR(10),""),IF(V304&lt;V311," *  Total Screening positive for TB ( Presumptive TB Clients ) "&amp;$V$20&amp;" "&amp;$V$21&amp;" is less than Total Patients whose specimens were sent"&amp;CHAR(10),""),IF(W304&lt;W311," *  Total Screening positive for TB ( Presumptive TB Clients ) "&amp;$V$20&amp;" "&amp;$W$21&amp;" is less than Total Patients whose specimens were sent"&amp;CHAR(10),""),IF(X304&lt;X311," *  Total Screening positive for TB ( Presumptive TB Clients ) "&amp;$X$20&amp;" "&amp;$X$21&amp;" is less than Total Patients whose specimens were sent"&amp;CHAR(10),""),IF(Y304&lt;Y311," *  Total Screening positive for TB ( Presumptive TB Clients ) "&amp;$X$20&amp;" "&amp;$Y$21&amp;" is less than Total Patients whose specimens were sent"&amp;CHAR(10),""),IF(Z304&lt;Z311," *  Total Screening positive for TB ( Presumptive TB Clients ) "&amp;$Z$20&amp;" "&amp;$Z$21&amp;" is less than Total Patients whose specimens were sent"&amp;CHAR(10),""),IF(AA304&lt;AA311," *  Total Screening positive for TB ( Presumptive TB Clients ) "&amp;$Z$20&amp;" "&amp;$AA$21&amp;" is less than Total Patients whose specimens were sent"&amp;CHAR(10),""))</f>
        <v/>
      </c>
      <c r="AJ312" s="746"/>
      <c r="AK312" s="33"/>
      <c r="AL312" s="659"/>
      <c r="AM312" s="14">
        <v>282</v>
      </c>
      <c r="AN312" s="82"/>
      <c r="AO312" s="83"/>
    </row>
    <row r="313" spans="1:41" ht="25.5" x14ac:dyDescent="0.75">
      <c r="A313" s="666" t="s">
        <v>847</v>
      </c>
      <c r="B313" s="102" t="s">
        <v>608</v>
      </c>
      <c r="C313" s="77" t="s">
        <v>613</v>
      </c>
      <c r="D313" s="267"/>
      <c r="E313" s="267"/>
      <c r="F313" s="267"/>
      <c r="G313" s="267"/>
      <c r="H313" s="267"/>
      <c r="I313" s="267"/>
      <c r="J313" s="267"/>
      <c r="K313" s="267"/>
      <c r="L313" s="267"/>
      <c r="M313" s="267"/>
      <c r="N313" s="267"/>
      <c r="O313" s="267"/>
      <c r="P313" s="267"/>
      <c r="Q313" s="267"/>
      <c r="R313" s="267"/>
      <c r="S313" s="267"/>
      <c r="T313" s="267"/>
      <c r="U313" s="267"/>
      <c r="V313" s="267"/>
      <c r="W313" s="267"/>
      <c r="X313" s="267"/>
      <c r="Y313" s="267"/>
      <c r="Z313" s="267"/>
      <c r="AA313" s="406"/>
      <c r="AB313" s="434"/>
      <c r="AC313" s="401"/>
      <c r="AD313" s="401"/>
      <c r="AE313" s="401"/>
      <c r="AF313" s="401"/>
      <c r="AG313" s="357"/>
      <c r="AH313" s="214">
        <f t="shared" ref="AH313" si="116">SUM(D313:AA313)</f>
        <v>0</v>
      </c>
      <c r="AI313" s="130"/>
      <c r="AJ313" s="746"/>
      <c r="AK313" s="33"/>
      <c r="AL313" s="659"/>
      <c r="AM313" s="14">
        <v>283</v>
      </c>
      <c r="AN313" s="82"/>
      <c r="AO313" s="83"/>
    </row>
    <row r="314" spans="1:41" ht="25.5" x14ac:dyDescent="0.75">
      <c r="A314" s="667"/>
      <c r="B314" s="84" t="s">
        <v>846</v>
      </c>
      <c r="C314" s="85" t="s">
        <v>614</v>
      </c>
      <c r="D314" s="88"/>
      <c r="E314" s="88"/>
      <c r="F314" s="88"/>
      <c r="G314" s="88"/>
      <c r="H314" s="88"/>
      <c r="I314" s="88"/>
      <c r="J314" s="88"/>
      <c r="K314" s="88"/>
      <c r="L314" s="88"/>
      <c r="M314" s="88"/>
      <c r="N314" s="88"/>
      <c r="O314" s="88"/>
      <c r="P314" s="88"/>
      <c r="Q314" s="88"/>
      <c r="R314" s="88"/>
      <c r="S314" s="88"/>
      <c r="T314" s="88"/>
      <c r="U314" s="88"/>
      <c r="V314" s="88"/>
      <c r="W314" s="88"/>
      <c r="X314" s="88"/>
      <c r="Y314" s="88"/>
      <c r="Z314" s="88"/>
      <c r="AA314" s="362"/>
      <c r="AB314" s="434"/>
      <c r="AC314" s="401"/>
      <c r="AD314" s="401"/>
      <c r="AE314" s="401"/>
      <c r="AF314" s="401"/>
      <c r="AG314" s="357"/>
      <c r="AH314" s="199">
        <f t="shared" ref="AH314" si="117">SUM(D314:AA314)</f>
        <v>0</v>
      </c>
      <c r="AI314" s="130" t="str">
        <f>CONCATENATE(IF(D315&gt;D312," *  Confirmed ART Patients TB positive and started on TB treatment "&amp;$D$20&amp;" "&amp;$D$21&amp;" is less than  ART patients who had a positive result returned F07-50"&amp;CHAR(10),""),IF(E315&gt;E312," *  Confirmed ART Patients TB positive and started on TB treatment "&amp;$D$20&amp;" "&amp;$E$21&amp;" is less than  ART patients who had a positive result returned F07-50"&amp;CHAR(10),""),IF(F315&gt;F312," *  Confirmed ART Patients TB positive and started on TB treatment "&amp;$F$20&amp;" "&amp;$F$21&amp;" is less than  ART patients who had a positive result returned F07-50"&amp;CHAR(10),""),IF(G315&gt;G312," *  Confirmed ART Patients TB positive and started on TB treatment "&amp;$F$20&amp;" "&amp;$G$21&amp;" is less than  ART patients who had a positive result returned F07-50"&amp;CHAR(10),""),IF(H315&gt;H312," *  Confirmed ART Patients TB positive and started on TB treatment "&amp;$H$20&amp;" "&amp;$H$21&amp;" is less than  ART patients who had a positive result returned F07-50"&amp;CHAR(10),""),IF(I315&gt;I312," *  Confirmed ART Patients TB positive and started on TB treatment "&amp;$H$20&amp;" "&amp;$I$21&amp;" is less than  ART patients who had a positive result returned F07-50"&amp;CHAR(10),""),IF(J315&gt;J312," *  Confirmed ART Patients TB positive and started on TB treatment "&amp;$J$20&amp;" "&amp;$J$21&amp;" is less than  ART patients who had a positive result returned F07-50"&amp;CHAR(10),""),IF(K315&gt;K312," *  Confirmed ART Patients TB positive and started on TB treatment "&amp;$J$20&amp;" "&amp;$K$21&amp;" is less than  ART patients who had a positive result returned F07-50"&amp;CHAR(10),""),IF(L315&gt;L312," *  Confirmed ART Patients TB positive and started on TB treatment "&amp;$L$20&amp;" "&amp;$L$21&amp;" is less than  ART patients who had a positive result returned F07-50"&amp;CHAR(10),""),IF(M315&gt;M312," *  Confirmed ART Patients TB positive and started on TB treatment "&amp;$L$20&amp;" "&amp;$M$21&amp;" is less than  ART patients who had a positive result returned F07-50"&amp;CHAR(10),""),IF(N315&gt;N312," *  Confirmed ART Patients TB positive and started on TB treatment "&amp;$N$20&amp;" "&amp;$N$21&amp;" is less than  ART patients who had a positive result returned F07-50"&amp;CHAR(10),""),IF(O315&gt;O312," *  Confirmed ART Patients TB positive and started on TB treatment "&amp;$N$20&amp;" "&amp;$O$21&amp;" is less than  ART patients who had a positive result returned F07-50"&amp;CHAR(10),""),IF(P315&gt;P312," *  Confirmed ART Patients TB positive and started on TB treatment "&amp;$P$20&amp;" "&amp;$P$21&amp;" is less than  ART patients who had a positive result returned F07-50"&amp;CHAR(10),""),IF(Q315&gt;Q312," *  Confirmed ART Patients TB positive and started on TB treatment "&amp;$P$20&amp;" "&amp;$Q$21&amp;" is less than  ART patients who had a positive result returned F07-50"&amp;CHAR(10),""),IF(R315&gt;R312," *  Confirmed ART Patients TB positive and started on TB treatment "&amp;$R$20&amp;" "&amp;$R$21&amp;" is less than  ART patients who had a positive result returned F07-50"&amp;CHAR(10),""),IF(S315&gt;S312," *  Confirmed ART Patients TB positive and started on TB treatment "&amp;$R$20&amp;" "&amp;$S$21&amp;" is less than  ART patients who had a positive result returned F07-50"&amp;CHAR(10),""),IF(T315&gt;T312," *  Confirmed ART Patients TB positive and started on TB treatment "&amp;$T$20&amp;" "&amp;$T$21&amp;" is less than  ART patients who had a positive result returned F07-50"&amp;CHAR(10),""),IF(U315&gt;U312," *  Confirmed ART Patients TB positive and started on TB treatment "&amp;$T$20&amp;" "&amp;$U$21&amp;" is less than  ART patients who had a positive result returned F07-50"&amp;CHAR(10),""),IF(V315&gt;V312," *  Confirmed ART Patients TB positive and started on TB treatment "&amp;$V$20&amp;" "&amp;$V$21&amp;" is less than  ART patients who had a positive result returned F07-50"&amp;CHAR(10),""),IF(W315&gt;W312," *  Confirmed ART Patients TB positive and started on TB treatment "&amp;$V$20&amp;" "&amp;$W$21&amp;" is less than  ART patients who had a positive result returned F07-50"&amp;CHAR(10),""),IF(X315&gt;X312," *  Confirmed ART Patients TB positive and started on TB treatment "&amp;$X$20&amp;" "&amp;$X$21&amp;" is less than  ART patients who had a positive result returned F07-50"&amp;CHAR(10),""),IF(Y315&gt;Y312," *  Confirmed ART Patients TB positive and started on TB treatment "&amp;$X$20&amp;" "&amp;$Y$21&amp;" is less than  ART patients who had a positive result returned F07-50"&amp;CHAR(10),""),IF(Z315&gt;Z312," *  Confirmed ART Patients TB positive and started on TB treatment "&amp;$Z$20&amp;" "&amp;$Z$21&amp;" is less than  ART patients who had a positive result returned F07-50"&amp;CHAR(10),""),IF(AA315&gt;AA312," *  Confirmed ART Patients TB positive and started on TB treatment "&amp;$Z$20&amp;" "&amp;$AA$21&amp;" is less than  ART patients who had a positive result returned F07-50"&amp;CHAR(10),""))</f>
        <v/>
      </c>
      <c r="AJ314" s="746"/>
      <c r="AK314" s="33"/>
      <c r="AL314" s="659"/>
      <c r="AM314" s="14">
        <v>284</v>
      </c>
      <c r="AN314" s="82"/>
      <c r="AO314" s="83"/>
    </row>
    <row r="315" spans="1:41" ht="51.4" thickBot="1" x14ac:dyDescent="0.8">
      <c r="A315" s="668"/>
      <c r="B315" s="274" t="s">
        <v>845</v>
      </c>
      <c r="C315" s="97" t="s">
        <v>615</v>
      </c>
      <c r="D315" s="275">
        <f>D313+D314</f>
        <v>0</v>
      </c>
      <c r="E315" s="275">
        <f t="shared" ref="E315:AA315" si="118">E313+E314</f>
        <v>0</v>
      </c>
      <c r="F315" s="275">
        <f t="shared" si="118"/>
        <v>0</v>
      </c>
      <c r="G315" s="275">
        <f t="shared" si="118"/>
        <v>0</v>
      </c>
      <c r="H315" s="275">
        <f t="shared" si="118"/>
        <v>0</v>
      </c>
      <c r="I315" s="275">
        <f t="shared" si="118"/>
        <v>0</v>
      </c>
      <c r="J315" s="275">
        <f t="shared" si="118"/>
        <v>0</v>
      </c>
      <c r="K315" s="275">
        <f t="shared" si="118"/>
        <v>0</v>
      </c>
      <c r="L315" s="275">
        <f t="shared" si="118"/>
        <v>0</v>
      </c>
      <c r="M315" s="275">
        <f t="shared" si="118"/>
        <v>0</v>
      </c>
      <c r="N315" s="275">
        <f t="shared" si="118"/>
        <v>0</v>
      </c>
      <c r="O315" s="275">
        <f t="shared" si="118"/>
        <v>0</v>
      </c>
      <c r="P315" s="275">
        <f t="shared" si="118"/>
        <v>0</v>
      </c>
      <c r="Q315" s="275">
        <f t="shared" si="118"/>
        <v>0</v>
      </c>
      <c r="R315" s="275">
        <f t="shared" si="118"/>
        <v>0</v>
      </c>
      <c r="S315" s="275">
        <f t="shared" si="118"/>
        <v>0</v>
      </c>
      <c r="T315" s="275">
        <f t="shared" si="118"/>
        <v>0</v>
      </c>
      <c r="U315" s="275">
        <f t="shared" si="118"/>
        <v>0</v>
      </c>
      <c r="V315" s="275">
        <f t="shared" si="118"/>
        <v>0</v>
      </c>
      <c r="W315" s="275">
        <f t="shared" si="118"/>
        <v>0</v>
      </c>
      <c r="X315" s="275">
        <f t="shared" si="118"/>
        <v>0</v>
      </c>
      <c r="Y315" s="275">
        <f t="shared" si="118"/>
        <v>0</v>
      </c>
      <c r="Z315" s="275">
        <f t="shared" si="118"/>
        <v>0</v>
      </c>
      <c r="AA315" s="403">
        <f t="shared" si="118"/>
        <v>0</v>
      </c>
      <c r="AB315" s="434"/>
      <c r="AC315" s="401"/>
      <c r="AD315" s="401"/>
      <c r="AE315" s="401"/>
      <c r="AF315" s="401"/>
      <c r="AG315" s="357"/>
      <c r="AH315" s="218">
        <f t="shared" ref="AH315" si="119">SUM(D315:AA315)</f>
        <v>0</v>
      </c>
      <c r="AI315" s="130" t="str">
        <f>CONCATENATE(IF(D315&gt;D307," * ART Patients TB positive and started on TB Treatment  for Age "&amp;D20&amp;" "&amp;D21&amp;" is more than Total Screened for TB"&amp;CHAR(10),""),IF(E315&gt;E307," * ART Patients TB positive and started on TB Treatment  for Age "&amp;D20&amp;" "&amp;E21&amp;" is more than Total Screened for TB"&amp;CHAR(10),""),IF(F315&gt;F307," * ART Patients TB positive and started on TB Treatment  for Age "&amp;F20&amp;" "&amp;F21&amp;" is more than Total Screened for TB"&amp;CHAR(10),""),IF(G315&gt;G307," * ART Patients TB positive and started on TB Treatment  for Age "&amp;F20&amp;" "&amp;G21&amp;" is more than Total Screened for TB"&amp;CHAR(10),""),IF(H315&gt;H307," * ART Patients TB positive and started on TB Treatment  for Age "&amp;H20&amp;" "&amp;H21&amp;" is more than Total Screened for TB"&amp;CHAR(10),""),IF(I315&gt;I307," * ART Patients TB positive and started on TB Treatment  for Age "&amp;H20&amp;" "&amp;I21&amp;" is more than Total Screened for TB"&amp;CHAR(10),""),IF(J315&gt;J307," * ART Patients TB positive and started on TB Treatment  for Age "&amp;J20&amp;" "&amp;J21&amp;" is more than Total Screened for TB"&amp;CHAR(10),""),IF(K315&gt;K307," * ART Patients TB positive and started on TB Treatment  for Age "&amp;J20&amp;" "&amp;K21&amp;" is more than Total Screened for TB"&amp;CHAR(10),""),IF(L315&gt;L307," * ART Patients TB positive and started on TB Treatment  for Age "&amp;L20&amp;" "&amp;L21&amp;" is more than Total Screened for TB"&amp;CHAR(10),""),IF(M315&gt;M307," * ART Patients TB positive and started on TB Treatment  for Age "&amp;L20&amp;" "&amp;M21&amp;" is more than Total Screened for TB"&amp;CHAR(10),""),IF(N315&gt;N307," * ART Patients TB positive and started on TB Treatment  for Age "&amp;N20&amp;" "&amp;N21&amp;" is more than Total Screened for TB"&amp;CHAR(10),""),IF(O315&gt;O307," * ART Patients TB positive and started on TB Treatment  for Age "&amp;N20&amp;" "&amp;O21&amp;" is more than Total Screened for TB"&amp;CHAR(10),""),IF(P315&gt;P307," * ART Patients TB positive and started on TB Treatment  for Age "&amp;P20&amp;" "&amp;P21&amp;" is more than Total Screened for TB"&amp;CHAR(10),""),IF(Q315&gt;Q307," * ART Patients TB positive and started on TB Treatment  for Age "&amp;P20&amp;" "&amp;Q21&amp;" is more than Total Screened for TB"&amp;CHAR(10),""),IF(R315&gt;R307," * ART Patients TB positive and started on TB Treatment  for Age "&amp;R20&amp;" "&amp;R21&amp;" is more than Total Screened for TB"&amp;CHAR(10),""),IF(S315&gt;S307," * ART Patients TB positive and started on TB Treatment  for Age "&amp;R20&amp;" "&amp;S21&amp;" is more than Total Screened for TB"&amp;CHAR(10),""),IF(T315&gt;T307," * ART Patients TB positive and started on TB Treatment  for Age "&amp;T20&amp;" "&amp;T21&amp;" is more than Total Screened for TB"&amp;CHAR(10),""),IF(U315&gt;U307," * ART Patients TB positive and started on TB Treatment  for Age "&amp;T20&amp;" "&amp;U21&amp;" is more than Total Screened for TB"&amp;CHAR(10),""),IF(V315&gt;V307," * ART Patients TB positive and started on TB Treatment  for Age "&amp;V20&amp;" "&amp;V21&amp;" is more than Total Screened for TB"&amp;CHAR(10),""),IF(W315&gt;W307," * ART Patients TB positive and started on TB Treatment  for Age "&amp;V20&amp;" "&amp;W21&amp;" is more than Total Screened for TB"&amp;CHAR(10),""),IF(X315&gt;X307," * ART Patients TB positive and started on TB Treatment  for Age "&amp;X20&amp;" "&amp;X21&amp;" is more than Total Screened for TB"&amp;CHAR(10),""),IF(Y315&gt;Y307," * ART Patients TB positive and started on TB Treatment  for Age "&amp;X20&amp;" "&amp;Y21&amp;" is more than Total Screened for TB"&amp;CHAR(10),""),IF(Z315&gt;Z307," * ART Patients TB positive and started on TB Treatment  for Age "&amp;Z20&amp;" "&amp;Z21&amp;" is more than Total Screened for TB"&amp;CHAR(10),""),IF(AA315&gt;AA307," * ART Patients TB positive and started on TB Treatment  for Age "&amp;Z20&amp;" "&amp;AA21&amp;" is more than Total Screened for TB"&amp;CHAR(10),""))</f>
        <v/>
      </c>
      <c r="AJ315" s="747"/>
      <c r="AK315" s="33"/>
      <c r="AL315" s="660"/>
      <c r="AM315" s="14">
        <v>285</v>
      </c>
      <c r="AN315" s="82"/>
      <c r="AO315" s="83"/>
    </row>
    <row r="316" spans="1:41" ht="25.5" hidden="1" x14ac:dyDescent="0.75">
      <c r="A316" s="666" t="s">
        <v>612</v>
      </c>
      <c r="B316" s="118" t="s">
        <v>953</v>
      </c>
      <c r="C316" s="77" t="s">
        <v>616</v>
      </c>
      <c r="D316" s="283">
        <f t="shared" ref="D316:AA316" si="120">D8+D11+D15</f>
        <v>0</v>
      </c>
      <c r="E316" s="283">
        <f t="shared" si="120"/>
        <v>0</v>
      </c>
      <c r="F316" s="283">
        <f t="shared" si="120"/>
        <v>0</v>
      </c>
      <c r="G316" s="283">
        <f t="shared" si="120"/>
        <v>0</v>
      </c>
      <c r="H316" s="283">
        <f t="shared" si="120"/>
        <v>0</v>
      </c>
      <c r="I316" s="283">
        <f t="shared" si="120"/>
        <v>0</v>
      </c>
      <c r="J316" s="283">
        <f t="shared" si="120"/>
        <v>0</v>
      </c>
      <c r="K316" s="283">
        <f t="shared" si="120"/>
        <v>0</v>
      </c>
      <c r="L316" s="283">
        <f t="shared" si="120"/>
        <v>0</v>
      </c>
      <c r="M316" s="283">
        <f t="shared" si="120"/>
        <v>0</v>
      </c>
      <c r="N316" s="283">
        <f t="shared" si="120"/>
        <v>0</v>
      </c>
      <c r="O316" s="283">
        <f t="shared" si="120"/>
        <v>0</v>
      </c>
      <c r="P316" s="283">
        <f t="shared" si="120"/>
        <v>0</v>
      </c>
      <c r="Q316" s="283">
        <f t="shared" si="120"/>
        <v>0</v>
      </c>
      <c r="R316" s="283">
        <f t="shared" si="120"/>
        <v>0</v>
      </c>
      <c r="S316" s="283">
        <f t="shared" si="120"/>
        <v>0</v>
      </c>
      <c r="T316" s="283">
        <f t="shared" si="120"/>
        <v>0</v>
      </c>
      <c r="U316" s="283">
        <f t="shared" si="120"/>
        <v>0</v>
      </c>
      <c r="V316" s="283">
        <f t="shared" si="120"/>
        <v>0</v>
      </c>
      <c r="W316" s="283">
        <f t="shared" si="120"/>
        <v>0</v>
      </c>
      <c r="X316" s="283">
        <f t="shared" si="120"/>
        <v>0</v>
      </c>
      <c r="Y316" s="283">
        <f t="shared" si="120"/>
        <v>0</v>
      </c>
      <c r="Z316" s="283">
        <f t="shared" si="120"/>
        <v>0</v>
      </c>
      <c r="AA316" s="599">
        <f t="shared" si="120"/>
        <v>0</v>
      </c>
      <c r="AB316" s="602"/>
      <c r="AC316" s="601"/>
      <c r="AD316" s="601"/>
      <c r="AE316" s="601"/>
      <c r="AF316" s="601"/>
      <c r="AG316" s="603"/>
      <c r="AH316" s="283">
        <f>AH8+AH11+AH15</f>
        <v>0</v>
      </c>
      <c r="AI316" s="130"/>
      <c r="AJ316" s="748" t="str">
        <f>CONCATENATE(AI316,AI317,AI318,AI319,AI320,AI321,AI322,AI323)</f>
        <v/>
      </c>
      <c r="AK316" s="33"/>
      <c r="AL316" s="661" t="str">
        <f>CONCATENATE(AK316,AK317,AK318,AK319,AK320,AK321,AK322,AK323)</f>
        <v/>
      </c>
      <c r="AM316" s="14">
        <v>286</v>
      </c>
      <c r="AN316" s="82"/>
      <c r="AO316" s="83"/>
    </row>
    <row r="317" spans="1:41" ht="30.75" hidden="1" customHeight="1" x14ac:dyDescent="0.75">
      <c r="A317" s="667"/>
      <c r="B317" s="84" t="s">
        <v>966</v>
      </c>
      <c r="C317" s="85" t="s">
        <v>617</v>
      </c>
      <c r="D317" s="268"/>
      <c r="E317" s="88"/>
      <c r="F317" s="88"/>
      <c r="G317" s="88"/>
      <c r="H317" s="88"/>
      <c r="I317" s="88"/>
      <c r="J317" s="88"/>
      <c r="K317" s="88"/>
      <c r="L317" s="88"/>
      <c r="M317" s="88"/>
      <c r="N317" s="88"/>
      <c r="O317" s="88"/>
      <c r="P317" s="88"/>
      <c r="Q317" s="88"/>
      <c r="R317" s="88"/>
      <c r="S317" s="88"/>
      <c r="T317" s="88"/>
      <c r="U317" s="88"/>
      <c r="V317" s="88"/>
      <c r="W317" s="88"/>
      <c r="X317" s="88"/>
      <c r="Y317" s="88"/>
      <c r="Z317" s="88"/>
      <c r="AA317" s="362"/>
      <c r="AB317" s="604"/>
      <c r="AC317" s="600"/>
      <c r="AD317" s="600"/>
      <c r="AE317" s="600"/>
      <c r="AF317" s="600"/>
      <c r="AG317" s="605"/>
      <c r="AH317" s="199">
        <f>SUM(D317:AA317)</f>
        <v>0</v>
      </c>
      <c r="AI317" s="130"/>
      <c r="AJ317" s="746"/>
      <c r="AK317" s="33"/>
      <c r="AL317" s="659"/>
      <c r="AM317" s="14">
        <v>287</v>
      </c>
      <c r="AN317" s="82"/>
      <c r="AO317" s="83"/>
    </row>
    <row r="318" spans="1:41" ht="25.5" x14ac:dyDescent="0.75">
      <c r="A318" s="667"/>
      <c r="B318" s="84" t="s">
        <v>598</v>
      </c>
      <c r="C318" s="85" t="s">
        <v>618</v>
      </c>
      <c r="D318" s="268"/>
      <c r="E318" s="268"/>
      <c r="F318" s="268"/>
      <c r="G318" s="268"/>
      <c r="H318" s="268"/>
      <c r="I318" s="268"/>
      <c r="J318" s="268"/>
      <c r="K318" s="268"/>
      <c r="L318" s="268"/>
      <c r="M318" s="268"/>
      <c r="N318" s="268"/>
      <c r="O318" s="268"/>
      <c r="P318" s="268"/>
      <c r="Q318" s="268"/>
      <c r="R318" s="268"/>
      <c r="S318" s="268"/>
      <c r="T318" s="268"/>
      <c r="U318" s="268"/>
      <c r="V318" s="268"/>
      <c r="W318" s="268"/>
      <c r="X318" s="268"/>
      <c r="Y318" s="268"/>
      <c r="Z318" s="268"/>
      <c r="AA318" s="407"/>
      <c r="AB318" s="434"/>
      <c r="AC318" s="401"/>
      <c r="AD318" s="401"/>
      <c r="AE318" s="401"/>
      <c r="AF318" s="401"/>
      <c r="AG318" s="357"/>
      <c r="AH318" s="199">
        <f t="shared" ref="AH318:AH323" si="121">SUM(D318:AA318)</f>
        <v>0</v>
      </c>
      <c r="AI318" s="130"/>
      <c r="AJ318" s="746"/>
      <c r="AK318" s="33"/>
      <c r="AL318" s="659"/>
      <c r="AM318" s="14">
        <v>288</v>
      </c>
      <c r="AN318" s="82"/>
      <c r="AO318" s="83"/>
    </row>
    <row r="319" spans="1:41" ht="25.5" x14ac:dyDescent="0.75">
      <c r="A319" s="667"/>
      <c r="B319" s="84" t="s">
        <v>1023</v>
      </c>
      <c r="C319" s="85" t="s">
        <v>619</v>
      </c>
      <c r="D319" s="268"/>
      <c r="E319" s="268"/>
      <c r="F319" s="268"/>
      <c r="G319" s="268"/>
      <c r="H319" s="268"/>
      <c r="I319" s="268"/>
      <c r="J319" s="268"/>
      <c r="K319" s="268"/>
      <c r="L319" s="268"/>
      <c r="M319" s="268"/>
      <c r="N319" s="268"/>
      <c r="O319" s="268"/>
      <c r="P319" s="268"/>
      <c r="Q319" s="268"/>
      <c r="R319" s="268"/>
      <c r="S319" s="268"/>
      <c r="T319" s="268"/>
      <c r="U319" s="268"/>
      <c r="V319" s="268"/>
      <c r="W319" s="268"/>
      <c r="X319" s="268"/>
      <c r="Y319" s="268"/>
      <c r="Z319" s="268"/>
      <c r="AA319" s="407"/>
      <c r="AB319" s="434"/>
      <c r="AC319" s="401"/>
      <c r="AD319" s="401"/>
      <c r="AE319" s="401"/>
      <c r="AF319" s="401"/>
      <c r="AG319" s="357"/>
      <c r="AH319" s="199">
        <f t="shared" si="121"/>
        <v>0</v>
      </c>
      <c r="AI319" s="130"/>
      <c r="AJ319" s="746"/>
      <c r="AK319" s="33"/>
      <c r="AL319" s="659"/>
      <c r="AM319" s="14">
        <v>289</v>
      </c>
      <c r="AN319" s="82"/>
      <c r="AO319" s="83"/>
    </row>
    <row r="320" spans="1:41" ht="51" x14ac:dyDescent="0.75">
      <c r="A320" s="667"/>
      <c r="B320" s="84" t="s">
        <v>1024</v>
      </c>
      <c r="C320" s="85" t="s">
        <v>620</v>
      </c>
      <c r="D320" s="268"/>
      <c r="E320" s="268"/>
      <c r="F320" s="268"/>
      <c r="G320" s="268"/>
      <c r="H320" s="268"/>
      <c r="I320" s="268"/>
      <c r="J320" s="268"/>
      <c r="K320" s="268"/>
      <c r="L320" s="268"/>
      <c r="M320" s="268"/>
      <c r="N320" s="268"/>
      <c r="O320" s="268"/>
      <c r="P320" s="268"/>
      <c r="Q320" s="268"/>
      <c r="R320" s="268"/>
      <c r="S320" s="268"/>
      <c r="T320" s="268"/>
      <c r="U320" s="268"/>
      <c r="V320" s="268"/>
      <c r="W320" s="268"/>
      <c r="X320" s="268"/>
      <c r="Y320" s="268"/>
      <c r="Z320" s="268"/>
      <c r="AA320" s="407"/>
      <c r="AB320" s="434"/>
      <c r="AC320" s="401"/>
      <c r="AD320" s="401"/>
      <c r="AE320" s="401"/>
      <c r="AF320" s="401"/>
      <c r="AG320" s="357"/>
      <c r="AH320" s="199">
        <f t="shared" si="121"/>
        <v>0</v>
      </c>
      <c r="AI320" s="130"/>
      <c r="AJ320" s="746"/>
      <c r="AK320" s="33"/>
      <c r="AL320" s="659"/>
      <c r="AM320" s="14">
        <v>290</v>
      </c>
      <c r="AN320" s="82"/>
      <c r="AO320" s="83"/>
    </row>
    <row r="321" spans="1:41" ht="25.5" x14ac:dyDescent="0.75">
      <c r="A321" s="667"/>
      <c r="B321" s="84" t="s">
        <v>1025</v>
      </c>
      <c r="C321" s="85" t="s">
        <v>621</v>
      </c>
      <c r="D321" s="268"/>
      <c r="E321" s="268"/>
      <c r="F321" s="268"/>
      <c r="G321" s="268"/>
      <c r="H321" s="268"/>
      <c r="I321" s="268"/>
      <c r="J321" s="268"/>
      <c r="K321" s="268"/>
      <c r="L321" s="268"/>
      <c r="M321" s="268"/>
      <c r="N321" s="268"/>
      <c r="O321" s="268"/>
      <c r="P321" s="268"/>
      <c r="Q321" s="268"/>
      <c r="R321" s="268"/>
      <c r="S321" s="268"/>
      <c r="T321" s="268"/>
      <c r="U321" s="268"/>
      <c r="V321" s="268"/>
      <c r="W321" s="268"/>
      <c r="X321" s="268"/>
      <c r="Y321" s="268"/>
      <c r="Z321" s="268"/>
      <c r="AA321" s="407"/>
      <c r="AB321" s="434"/>
      <c r="AC321" s="401"/>
      <c r="AD321" s="401"/>
      <c r="AE321" s="401"/>
      <c r="AF321" s="401"/>
      <c r="AG321" s="357"/>
      <c r="AH321" s="199">
        <f t="shared" si="121"/>
        <v>0</v>
      </c>
      <c r="AI321" s="130"/>
      <c r="AJ321" s="746"/>
      <c r="AK321" s="33"/>
      <c r="AL321" s="659"/>
      <c r="AM321" s="14">
        <v>291</v>
      </c>
      <c r="AN321" s="82"/>
      <c r="AO321" s="83"/>
    </row>
    <row r="322" spans="1:41" ht="51" x14ac:dyDescent="0.75">
      <c r="A322" s="667"/>
      <c r="B322" s="84" t="s">
        <v>971</v>
      </c>
      <c r="C322" s="85" t="s">
        <v>622</v>
      </c>
      <c r="D322" s="268"/>
      <c r="E322" s="268"/>
      <c r="F322" s="268"/>
      <c r="G322" s="268"/>
      <c r="H322" s="268"/>
      <c r="I322" s="268"/>
      <c r="J322" s="268"/>
      <c r="K322" s="268"/>
      <c r="L322" s="268"/>
      <c r="M322" s="268"/>
      <c r="N322" s="268"/>
      <c r="O322" s="268"/>
      <c r="P322" s="268"/>
      <c r="Q322" s="268"/>
      <c r="R322" s="268"/>
      <c r="S322" s="268"/>
      <c r="T322" s="268"/>
      <c r="U322" s="268"/>
      <c r="V322" s="268"/>
      <c r="W322" s="268"/>
      <c r="X322" s="268"/>
      <c r="Y322" s="268"/>
      <c r="Z322" s="268"/>
      <c r="AA322" s="407"/>
      <c r="AB322" s="434"/>
      <c r="AC322" s="401"/>
      <c r="AD322" s="401"/>
      <c r="AE322" s="401"/>
      <c r="AF322" s="401"/>
      <c r="AG322" s="357"/>
      <c r="AH322" s="199">
        <f t="shared" si="121"/>
        <v>0</v>
      </c>
      <c r="AI322" s="130"/>
      <c r="AJ322" s="746"/>
      <c r="AK322" s="33"/>
      <c r="AL322" s="659"/>
      <c r="AM322" s="14">
        <v>292</v>
      </c>
      <c r="AN322" s="82"/>
      <c r="AO322" s="83"/>
    </row>
    <row r="323" spans="1:41" ht="25.9" thickBot="1" x14ac:dyDescent="0.8">
      <c r="A323" s="819"/>
      <c r="B323" s="132" t="s">
        <v>970</v>
      </c>
      <c r="C323" s="97" t="s">
        <v>848</v>
      </c>
      <c r="D323" s="284"/>
      <c r="E323" s="284"/>
      <c r="F323" s="284"/>
      <c r="G323" s="284"/>
      <c r="H323" s="284"/>
      <c r="I323" s="284"/>
      <c r="J323" s="284"/>
      <c r="K323" s="284"/>
      <c r="L323" s="284"/>
      <c r="M323" s="284"/>
      <c r="N323" s="284"/>
      <c r="O323" s="284"/>
      <c r="P323" s="284"/>
      <c r="Q323" s="284"/>
      <c r="R323" s="284"/>
      <c r="S323" s="284"/>
      <c r="T323" s="284"/>
      <c r="U323" s="284"/>
      <c r="V323" s="284"/>
      <c r="W323" s="284"/>
      <c r="X323" s="284"/>
      <c r="Y323" s="284"/>
      <c r="Z323" s="284"/>
      <c r="AA323" s="408"/>
      <c r="AB323" s="435"/>
      <c r="AC323" s="436"/>
      <c r="AD323" s="436"/>
      <c r="AE323" s="436"/>
      <c r="AF323" s="436"/>
      <c r="AG323" s="358"/>
      <c r="AH323" s="199">
        <f t="shared" si="121"/>
        <v>0</v>
      </c>
      <c r="AI323" s="136"/>
      <c r="AJ323" s="895"/>
      <c r="AK323" s="137"/>
      <c r="AL323" s="662"/>
      <c r="AM323" s="14">
        <v>293</v>
      </c>
      <c r="AN323" s="82"/>
      <c r="AO323" s="83"/>
    </row>
    <row r="324" spans="1:41" ht="25.9" hidden="1" thickBot="1" x14ac:dyDescent="0.8">
      <c r="A324" s="691" t="s">
        <v>132</v>
      </c>
      <c r="B324" s="692"/>
      <c r="C324" s="692"/>
      <c r="D324" s="692"/>
      <c r="E324" s="692"/>
      <c r="F324" s="692"/>
      <c r="G324" s="692"/>
      <c r="H324" s="692"/>
      <c r="I324" s="692"/>
      <c r="J324" s="692"/>
      <c r="K324" s="692"/>
      <c r="L324" s="692"/>
      <c r="M324" s="692"/>
      <c r="N324" s="692"/>
      <c r="O324" s="692"/>
      <c r="P324" s="692"/>
      <c r="Q324" s="692"/>
      <c r="R324" s="692"/>
      <c r="S324" s="692"/>
      <c r="T324" s="692"/>
      <c r="U324" s="692"/>
      <c r="V324" s="692"/>
      <c r="W324" s="692"/>
      <c r="X324" s="692"/>
      <c r="Y324" s="692"/>
      <c r="Z324" s="692"/>
      <c r="AA324" s="692"/>
      <c r="AB324" s="693"/>
      <c r="AC324" s="693"/>
      <c r="AD324" s="693"/>
      <c r="AE324" s="693"/>
      <c r="AF324" s="693"/>
      <c r="AG324" s="693"/>
      <c r="AH324" s="692"/>
      <c r="AI324" s="692"/>
      <c r="AJ324" s="692"/>
      <c r="AK324" s="692"/>
      <c r="AL324" s="694"/>
      <c r="AM324" s="14">
        <v>294</v>
      </c>
      <c r="AN324" s="82"/>
      <c r="AO324" s="83"/>
    </row>
    <row r="325" spans="1:41" ht="26.25" hidden="1" customHeight="1" x14ac:dyDescent="0.75">
      <c r="A325" s="749" t="s">
        <v>37</v>
      </c>
      <c r="B325" s="768" t="s">
        <v>346</v>
      </c>
      <c r="C325" s="754" t="s">
        <v>327</v>
      </c>
      <c r="D325" s="685" t="s">
        <v>0</v>
      </c>
      <c r="E325" s="685"/>
      <c r="F325" s="685" t="s">
        <v>1</v>
      </c>
      <c r="G325" s="685"/>
      <c r="H325" s="685" t="s">
        <v>2</v>
      </c>
      <c r="I325" s="685"/>
      <c r="J325" s="685" t="s">
        <v>3</v>
      </c>
      <c r="K325" s="685"/>
      <c r="L325" s="685" t="s">
        <v>4</v>
      </c>
      <c r="M325" s="685"/>
      <c r="N325" s="685" t="s">
        <v>5</v>
      </c>
      <c r="O325" s="685"/>
      <c r="P325" s="685" t="s">
        <v>6</v>
      </c>
      <c r="Q325" s="685"/>
      <c r="R325" s="685" t="s">
        <v>7</v>
      </c>
      <c r="S325" s="685"/>
      <c r="T325" s="685" t="s">
        <v>8</v>
      </c>
      <c r="U325" s="685"/>
      <c r="V325" s="685" t="s">
        <v>23</v>
      </c>
      <c r="W325" s="685"/>
      <c r="X325" s="685" t="s">
        <v>24</v>
      </c>
      <c r="Y325" s="685"/>
      <c r="Z325" s="685" t="s">
        <v>9</v>
      </c>
      <c r="AA325" s="685"/>
      <c r="AB325" s="350"/>
      <c r="AC325" s="350"/>
      <c r="AD325" s="350"/>
      <c r="AE325" s="350"/>
      <c r="AF325" s="350"/>
      <c r="AG325" s="350"/>
      <c r="AH325" s="893" t="s">
        <v>19</v>
      </c>
      <c r="AI325" s="809" t="s">
        <v>380</v>
      </c>
      <c r="AJ325" s="772" t="s">
        <v>386</v>
      </c>
      <c r="AK325" s="783" t="s">
        <v>387</v>
      </c>
      <c r="AL325" s="886" t="s">
        <v>387</v>
      </c>
      <c r="AM325" s="14">
        <v>295</v>
      </c>
      <c r="AN325" s="82"/>
      <c r="AO325" s="83"/>
    </row>
    <row r="326" spans="1:41" ht="27" hidden="1" customHeight="1" thickBot="1" x14ac:dyDescent="0.8">
      <c r="A326" s="750"/>
      <c r="B326" s="796"/>
      <c r="C326" s="755"/>
      <c r="D326" s="129" t="s">
        <v>10</v>
      </c>
      <c r="E326" s="129" t="s">
        <v>11</v>
      </c>
      <c r="F326" s="129" t="s">
        <v>10</v>
      </c>
      <c r="G326" s="129" t="s">
        <v>11</v>
      </c>
      <c r="H326" s="129" t="s">
        <v>10</v>
      </c>
      <c r="I326" s="129" t="s">
        <v>11</v>
      </c>
      <c r="J326" s="129" t="s">
        <v>10</v>
      </c>
      <c r="K326" s="129" t="s">
        <v>11</v>
      </c>
      <c r="L326" s="129" t="s">
        <v>10</v>
      </c>
      <c r="M326" s="129" t="s">
        <v>11</v>
      </c>
      <c r="N326" s="129" t="s">
        <v>10</v>
      </c>
      <c r="O326" s="129" t="s">
        <v>11</v>
      </c>
      <c r="P326" s="129" t="s">
        <v>10</v>
      </c>
      <c r="Q326" s="129" t="s">
        <v>11</v>
      </c>
      <c r="R326" s="129" t="s">
        <v>10</v>
      </c>
      <c r="S326" s="129" t="s">
        <v>11</v>
      </c>
      <c r="T326" s="129" t="s">
        <v>10</v>
      </c>
      <c r="U326" s="129" t="s">
        <v>11</v>
      </c>
      <c r="V326" s="129" t="s">
        <v>10</v>
      </c>
      <c r="W326" s="129" t="s">
        <v>11</v>
      </c>
      <c r="X326" s="129" t="s">
        <v>10</v>
      </c>
      <c r="Y326" s="129" t="s">
        <v>11</v>
      </c>
      <c r="Z326" s="129" t="s">
        <v>10</v>
      </c>
      <c r="AA326" s="129" t="s">
        <v>11</v>
      </c>
      <c r="AB326" s="129"/>
      <c r="AC326" s="129"/>
      <c r="AD326" s="129"/>
      <c r="AE326" s="129"/>
      <c r="AF326" s="129"/>
      <c r="AG326" s="129"/>
      <c r="AH326" s="894"/>
      <c r="AI326" s="810"/>
      <c r="AJ326" s="773"/>
      <c r="AK326" s="784"/>
      <c r="AL326" s="887"/>
      <c r="AM326" s="14">
        <v>296</v>
      </c>
      <c r="AN326" s="82"/>
      <c r="AO326" s="83"/>
    </row>
    <row r="327" spans="1:41" ht="25.5" hidden="1" x14ac:dyDescent="0.75">
      <c r="A327" s="663" t="s">
        <v>389</v>
      </c>
      <c r="B327" s="102" t="s">
        <v>395</v>
      </c>
      <c r="C327" s="77" t="s">
        <v>396</v>
      </c>
      <c r="D327" s="285"/>
      <c r="E327" s="286"/>
      <c r="F327" s="286"/>
      <c r="G327" s="286"/>
      <c r="H327" s="286"/>
      <c r="I327" s="286"/>
      <c r="J327" s="286"/>
      <c r="K327" s="286"/>
      <c r="L327" s="286"/>
      <c r="M327" s="286"/>
      <c r="N327" s="286"/>
      <c r="O327" s="286"/>
      <c r="P327" s="286"/>
      <c r="Q327" s="286"/>
      <c r="R327" s="286"/>
      <c r="S327" s="286"/>
      <c r="T327" s="286"/>
      <c r="U327" s="286"/>
      <c r="V327" s="286"/>
      <c r="W327" s="286"/>
      <c r="X327" s="286"/>
      <c r="Y327" s="286"/>
      <c r="Z327" s="286"/>
      <c r="AA327" s="286"/>
      <c r="AB327" s="409"/>
      <c r="AC327" s="409"/>
      <c r="AD327" s="409"/>
      <c r="AE327" s="409"/>
      <c r="AF327" s="409"/>
      <c r="AG327" s="409"/>
      <c r="AH327" s="71">
        <f t="shared" ref="AH327:AH337" si="122">SUM(D327:AA327)</f>
        <v>0</v>
      </c>
      <c r="AI327" s="287"/>
      <c r="AJ327" s="780" t="str">
        <f>CONCATENATE(AI333,AI336,AI338,AI339,AI340,AI341,AI342,AI343,AI344,AI345)</f>
        <v/>
      </c>
      <c r="AK327" s="288"/>
      <c r="AL327" s="765" t="str">
        <f>CONCATENATE(AK333,AK336,AK338,AK339,AK340,AK341,AK342,AK343,AK344,AK345)</f>
        <v/>
      </c>
      <c r="AM327" s="14">
        <v>297</v>
      </c>
      <c r="AN327" s="82"/>
      <c r="AO327" s="83"/>
    </row>
    <row r="328" spans="1:41" ht="25.5" hidden="1" x14ac:dyDescent="0.75">
      <c r="A328" s="664"/>
      <c r="B328" s="84" t="s">
        <v>390</v>
      </c>
      <c r="C328" s="85" t="s">
        <v>397</v>
      </c>
      <c r="D328" s="289"/>
      <c r="E328" s="290"/>
      <c r="F328" s="290"/>
      <c r="G328" s="290"/>
      <c r="H328" s="290"/>
      <c r="I328" s="290"/>
      <c r="J328" s="290"/>
      <c r="K328" s="290"/>
      <c r="L328" s="290"/>
      <c r="M328" s="290"/>
      <c r="N328" s="290"/>
      <c r="O328" s="290"/>
      <c r="P328" s="290"/>
      <c r="Q328" s="290"/>
      <c r="R328" s="290"/>
      <c r="S328" s="290"/>
      <c r="T328" s="290"/>
      <c r="U328" s="290"/>
      <c r="V328" s="290"/>
      <c r="W328" s="290"/>
      <c r="X328" s="290"/>
      <c r="Y328" s="290"/>
      <c r="Z328" s="290"/>
      <c r="AA328" s="290"/>
      <c r="AB328" s="410"/>
      <c r="AC328" s="410"/>
      <c r="AD328" s="410"/>
      <c r="AE328" s="410"/>
      <c r="AF328" s="410"/>
      <c r="AG328" s="410"/>
      <c r="AH328" s="31">
        <f t="shared" si="122"/>
        <v>0</v>
      </c>
      <c r="AI328" s="287"/>
      <c r="AJ328" s="781"/>
      <c r="AK328" s="288"/>
      <c r="AL328" s="766"/>
      <c r="AM328" s="14">
        <v>298</v>
      </c>
      <c r="AN328" s="82"/>
      <c r="AO328" s="83"/>
    </row>
    <row r="329" spans="1:41" ht="25.5" hidden="1" x14ac:dyDescent="0.75">
      <c r="A329" s="664"/>
      <c r="B329" s="84" t="s">
        <v>391</v>
      </c>
      <c r="C329" s="85" t="s">
        <v>398</v>
      </c>
      <c r="D329" s="289"/>
      <c r="E329" s="290"/>
      <c r="F329" s="290"/>
      <c r="G329" s="290"/>
      <c r="H329" s="290"/>
      <c r="I329" s="290"/>
      <c r="J329" s="290"/>
      <c r="K329" s="290"/>
      <c r="L329" s="290"/>
      <c r="M329" s="290"/>
      <c r="N329" s="290"/>
      <c r="O329" s="290"/>
      <c r="P329" s="290"/>
      <c r="Q329" s="290"/>
      <c r="R329" s="290"/>
      <c r="S329" s="290"/>
      <c r="T329" s="290"/>
      <c r="U329" s="290"/>
      <c r="V329" s="290"/>
      <c r="W329" s="290"/>
      <c r="X329" s="290"/>
      <c r="Y329" s="290"/>
      <c r="Z329" s="290"/>
      <c r="AA329" s="290"/>
      <c r="AB329" s="410"/>
      <c r="AC329" s="410"/>
      <c r="AD329" s="410"/>
      <c r="AE329" s="410"/>
      <c r="AF329" s="410"/>
      <c r="AG329" s="410"/>
      <c r="AH329" s="31">
        <f t="shared" si="122"/>
        <v>0</v>
      </c>
      <c r="AI329" s="287"/>
      <c r="AJ329" s="781"/>
      <c r="AK329" s="288"/>
      <c r="AL329" s="766"/>
      <c r="AM329" s="14">
        <v>299</v>
      </c>
      <c r="AN329" s="82"/>
      <c r="AO329" s="83"/>
    </row>
    <row r="330" spans="1:41" ht="25.5" hidden="1" x14ac:dyDescent="0.75">
      <c r="A330" s="664"/>
      <c r="B330" s="84" t="s">
        <v>392</v>
      </c>
      <c r="C330" s="85" t="s">
        <v>399</v>
      </c>
      <c r="D330" s="289"/>
      <c r="E330" s="290"/>
      <c r="F330" s="290"/>
      <c r="G330" s="290"/>
      <c r="H330" s="290"/>
      <c r="I330" s="290"/>
      <c r="J330" s="290"/>
      <c r="K330" s="290"/>
      <c r="L330" s="290"/>
      <c r="M330" s="290"/>
      <c r="N330" s="290"/>
      <c r="O330" s="290"/>
      <c r="P330" s="290"/>
      <c r="Q330" s="290"/>
      <c r="R330" s="290"/>
      <c r="S330" s="290"/>
      <c r="T330" s="290"/>
      <c r="U330" s="290"/>
      <c r="V330" s="290"/>
      <c r="W330" s="290"/>
      <c r="X330" s="290"/>
      <c r="Y330" s="290"/>
      <c r="Z330" s="290"/>
      <c r="AA330" s="290"/>
      <c r="AB330" s="410"/>
      <c r="AC330" s="410"/>
      <c r="AD330" s="410"/>
      <c r="AE330" s="410"/>
      <c r="AF330" s="410"/>
      <c r="AG330" s="410"/>
      <c r="AH330" s="31">
        <f t="shared" si="122"/>
        <v>0</v>
      </c>
      <c r="AI330" s="287"/>
      <c r="AJ330" s="781"/>
      <c r="AK330" s="288"/>
      <c r="AL330" s="766"/>
      <c r="AM330" s="14">
        <v>300</v>
      </c>
      <c r="AN330" s="82"/>
      <c r="AO330" s="83"/>
    </row>
    <row r="331" spans="1:41" ht="25.5" hidden="1" x14ac:dyDescent="0.75">
      <c r="A331" s="664"/>
      <c r="B331" s="84" t="s">
        <v>393</v>
      </c>
      <c r="C331" s="85" t="s">
        <v>400</v>
      </c>
      <c r="D331" s="289"/>
      <c r="E331" s="290"/>
      <c r="F331" s="290"/>
      <c r="G331" s="290"/>
      <c r="H331" s="290"/>
      <c r="I331" s="290"/>
      <c r="J331" s="290"/>
      <c r="K331" s="290"/>
      <c r="L331" s="290"/>
      <c r="M331" s="290"/>
      <c r="N331" s="290"/>
      <c r="O331" s="290"/>
      <c r="P331" s="290"/>
      <c r="Q331" s="290"/>
      <c r="R331" s="290"/>
      <c r="S331" s="290"/>
      <c r="T331" s="290"/>
      <c r="U331" s="290"/>
      <c r="V331" s="290"/>
      <c r="W331" s="290"/>
      <c r="X331" s="290"/>
      <c r="Y331" s="290"/>
      <c r="Z331" s="290"/>
      <c r="AA331" s="290"/>
      <c r="AB331" s="410"/>
      <c r="AC331" s="410"/>
      <c r="AD331" s="410"/>
      <c r="AE331" s="410"/>
      <c r="AF331" s="410"/>
      <c r="AG331" s="410"/>
      <c r="AH331" s="31">
        <f t="shared" si="122"/>
        <v>0</v>
      </c>
      <c r="AI331" s="287"/>
      <c r="AJ331" s="781"/>
      <c r="AK331" s="288"/>
      <c r="AL331" s="766"/>
      <c r="AM331" s="14">
        <v>301</v>
      </c>
      <c r="AN331" s="82"/>
      <c r="AO331" s="83"/>
    </row>
    <row r="332" spans="1:41" ht="25.9" hidden="1" thickBot="1" x14ac:dyDescent="0.8">
      <c r="A332" s="751"/>
      <c r="B332" s="96" t="s">
        <v>394</v>
      </c>
      <c r="C332" s="97" t="s">
        <v>401</v>
      </c>
      <c r="D332" s="291"/>
      <c r="E332" s="292"/>
      <c r="F332" s="292"/>
      <c r="G332" s="292"/>
      <c r="H332" s="292"/>
      <c r="I332" s="292"/>
      <c r="J332" s="292"/>
      <c r="K332" s="292"/>
      <c r="L332" s="292"/>
      <c r="M332" s="292"/>
      <c r="N332" s="292"/>
      <c r="O332" s="292"/>
      <c r="P332" s="292"/>
      <c r="Q332" s="292"/>
      <c r="R332" s="292"/>
      <c r="S332" s="292"/>
      <c r="T332" s="292"/>
      <c r="U332" s="292"/>
      <c r="V332" s="292"/>
      <c r="W332" s="292"/>
      <c r="X332" s="292"/>
      <c r="Y332" s="292"/>
      <c r="Z332" s="292"/>
      <c r="AA332" s="292"/>
      <c r="AB332" s="411"/>
      <c r="AC332" s="411"/>
      <c r="AD332" s="411"/>
      <c r="AE332" s="411"/>
      <c r="AF332" s="411"/>
      <c r="AG332" s="411"/>
      <c r="AH332" s="101">
        <f t="shared" si="122"/>
        <v>0</v>
      </c>
      <c r="AI332" s="287"/>
      <c r="AJ332" s="781"/>
      <c r="AK332" s="288"/>
      <c r="AL332" s="766"/>
      <c r="AM332" s="14">
        <v>302</v>
      </c>
      <c r="AN332" s="82"/>
      <c r="AO332" s="83"/>
    </row>
    <row r="333" spans="1:41" ht="25.5" hidden="1" x14ac:dyDescent="0.75">
      <c r="A333" s="636" t="s">
        <v>27</v>
      </c>
      <c r="B333" s="102" t="s">
        <v>710</v>
      </c>
      <c r="C333" s="77" t="s">
        <v>304</v>
      </c>
      <c r="D333" s="267"/>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365"/>
      <c r="AC333" s="365"/>
      <c r="AD333" s="365"/>
      <c r="AE333" s="365"/>
      <c r="AF333" s="365"/>
      <c r="AG333" s="365"/>
      <c r="AH333" s="71">
        <f t="shared" si="122"/>
        <v>0</v>
      </c>
      <c r="AI333" s="130" t="str">
        <f>CONCATENATE(IF(D333&lt;SUM(D339,D340,D341,D342,D343,D344,D345)," * Total Died  for Age "&amp;D20&amp;" "&amp;D21&amp;" is less than sum of Total Causes of Death F08-05 to F08-11"&amp;CHAR(10),""),IF(E333&lt;SUM(E339,E340,E341,E342,E343,E344,E345)," * Total Died  for Age "&amp;D20&amp;" "&amp;E21&amp;" is less than sum of Total Causes of Death F08-05 to F08-11"&amp;CHAR(10),""),IF(F333&lt;SUM(F339,F340,F341,F342,F343,F344,F345)," * Total Died  for Age "&amp;F20&amp;" "&amp;F21&amp;" is less than sum of Total Causes of Death F08-05 to F08-11"&amp;CHAR(10),""),IF(G333&lt;SUM(G339,G340,G341,G342,G343,G344,G345)," * Total Died  for Age "&amp;F20&amp;" "&amp;G21&amp;" is less than sum of Total Causes of Death F08-05 to F08-11"&amp;CHAR(10),""),IF(H333&lt;SUM(H339,H340,H341,H342,H343,H344,H345)," * Total Died  for Age "&amp;H20&amp;" "&amp;H21&amp;" is less than sum of Total Causes of Death F08-05 to F08-11"&amp;CHAR(10),""),IF(I333&lt;SUM(I339,I340,I341,I342,I343,I344,I345)," * Total Died  for Age "&amp;H20&amp;" "&amp;I21&amp;" is less than sum of Total Causes of Death F08-05 to F08-11"&amp;CHAR(10),""),IF(J333&lt;SUM(J339,J340,J341,J342,J343,J344,J345)," * Total Died  for Age "&amp;J20&amp;" "&amp;J21&amp;" is less than sum of Total Causes of Death F08-05 to F08-11"&amp;CHAR(10),""),IF(K333&lt;SUM(K339,K340,K341,K342,K343,K344,K345)," * Total Died  for Age "&amp;J20&amp;" "&amp;K21&amp;" is less than sum of Total Causes of Death F08-05 to F08-11"&amp;CHAR(10),""),IF(L333&lt;SUM(L339,L340,L341,L342,L343,L344,L345)," * Total Died  for Age "&amp;L20&amp;" "&amp;L21&amp;" is less than sum of Total Causes of Death F08-05 to F08-11"&amp;CHAR(10),""),IF(M333&lt;SUM(M339,M340,M341,M342,M343,M344,M345)," * Total Died  for Age "&amp;L20&amp;" "&amp;M21&amp;" is less than sum of Total Causes of Death F08-05 to F08-11"&amp;CHAR(10),""),IF(N333&lt;SUM(N339,N340,N341,N342,N343,N344,N345)," * Total Died  for Age "&amp;N20&amp;" "&amp;N21&amp;" is less than sum of Total Causes of Death F08-05 to F08-11"&amp;CHAR(10),""),IF(O333&lt;SUM(O339,O340,O341,O342,O343,O344,O345)," * Total Died  for Age "&amp;N20&amp;" "&amp;O21&amp;" is less than sum of Total Causes of Death F08-05 to F08-11"&amp;CHAR(10),""),IF(P333&lt;SUM(P339,P340,P341,P342,P343,P344,P345)," * Total Died  for Age "&amp;P20&amp;" "&amp;P21&amp;" is less than sum of Total Causes of Death F08-05 to F08-11"&amp;CHAR(10),""),IF(Q333&lt;SUM(Q339,Q340,Q341,Q342,Q343,Q344,Q345)," * Total Died  for Age "&amp;P20&amp;" "&amp;Q21&amp;" is less than sum of Total Causes of Death F08-05 to F08-11"&amp;CHAR(10),""),IF(R333&lt;SUM(R339,R340,R341,R342,R343,R344,R345)," * Total Died  for Age "&amp;R20&amp;" "&amp;R21&amp;" is less than sum of Total Causes of Death F08-05 to F08-11"&amp;CHAR(10),""),IF(S333&lt;SUM(S339,S340,S341,S342,S343,S344,S345)," * Total Died  for Age "&amp;R20&amp;" "&amp;S21&amp;" is less than sum of Total Causes of Death F08-05 to F08-11"&amp;CHAR(10),""),IF(T333&lt;SUM(T339,T340,T341,T342,T343,T344,T345)," * Total Died  for Age "&amp;T20&amp;" "&amp;T21&amp;" is less than sum of Total Causes of Death F08-05 to F08-11"&amp;CHAR(10),""),IF(U333&lt;SUM(U339,U340,U341,U342,U343,U344,U345)," * Total Died  for Age "&amp;T20&amp;" "&amp;U21&amp;" is less than sum of Total Causes of Death F08-05 to F08-11"&amp;CHAR(10),""),IF(V333&lt;SUM(V339,V340,V341,V342,V343,V344,V345)," * Total Died  for Age "&amp;V20&amp;" "&amp;V21&amp;" is less than sum of Total Causes of Death F08-05 to F08-11"&amp;CHAR(10),""),IF(W333&lt;SUM(W339,W340,W341,W342,W343,W344,W345)," * Total Died  for Age "&amp;V20&amp;" "&amp;W21&amp;" is less than sum of Total Causes of Death F08-05 to F08-11"&amp;CHAR(10),""),IF(X333&lt;SUM(X339,X340,X341,X342,X343,X344,X345)," * Total Died  for Age "&amp;X20&amp;" "&amp;X21&amp;" is less than sum of Total Causes of Death F08-05 to F08-11"&amp;CHAR(10),""),IF(Y333&lt;SUM(Y339,Y340,Y341,Y342,Y343,Y344,Y345)," * Total Died  for Age "&amp;X20&amp;" "&amp;Y21&amp;" is less than sum of Total Causes of Death F08-05 to F08-11"&amp;CHAR(10),""),IF(Z333&lt;SUM(Z339,Z340,Z341,Z342,Z343,Z344,Z345)," * Total Died  for Age "&amp;Z20&amp;" "&amp;Z21&amp;" is less than sum of Total Causes of Death F08-05 to F08-11"&amp;CHAR(10),""),IF(AA333&lt;SUM(AA339,AA340,AA341,AA342,AA343,AA344,AA345)," * Total Died  for Age "&amp;Z20&amp;" "&amp;AA21&amp;" is less than sum of Total Causes of Death F08-05 to F08-11"&amp;CHAR(10),""))</f>
        <v/>
      </c>
      <c r="AJ333" s="781"/>
      <c r="AK333" s="33"/>
      <c r="AL333" s="766"/>
      <c r="AM333" s="14">
        <v>303</v>
      </c>
      <c r="AN333" s="82"/>
      <c r="AO333" s="83"/>
    </row>
    <row r="334" spans="1:41" s="67" customFormat="1" ht="51" hidden="1" x14ac:dyDescent="0.75">
      <c r="A334" s="670"/>
      <c r="B334" s="84" t="s">
        <v>597</v>
      </c>
      <c r="C334" s="85" t="s">
        <v>449</v>
      </c>
      <c r="D334" s="268"/>
      <c r="E334" s="88"/>
      <c r="F334" s="88"/>
      <c r="G334" s="88"/>
      <c r="H334" s="88"/>
      <c r="I334" s="88"/>
      <c r="J334" s="88"/>
      <c r="K334" s="88"/>
      <c r="L334" s="88"/>
      <c r="M334" s="88"/>
      <c r="N334" s="88"/>
      <c r="O334" s="88"/>
      <c r="P334" s="88"/>
      <c r="Q334" s="88"/>
      <c r="R334" s="88"/>
      <c r="S334" s="88"/>
      <c r="T334" s="88"/>
      <c r="U334" s="88"/>
      <c r="V334" s="88"/>
      <c r="W334" s="88"/>
      <c r="X334" s="88"/>
      <c r="Y334" s="88"/>
      <c r="Z334" s="88"/>
      <c r="AA334" s="88"/>
      <c r="AB334" s="362"/>
      <c r="AC334" s="362"/>
      <c r="AD334" s="362"/>
      <c r="AE334" s="362"/>
      <c r="AF334" s="362"/>
      <c r="AG334" s="362"/>
      <c r="AH334" s="31">
        <f t="shared" si="122"/>
        <v>0</v>
      </c>
      <c r="AI334" s="130"/>
      <c r="AJ334" s="781"/>
      <c r="AK334" s="66"/>
      <c r="AL334" s="766"/>
      <c r="AM334" s="14">
        <v>304</v>
      </c>
      <c r="AN334" s="89"/>
      <c r="AO334" s="83"/>
    </row>
    <row r="335" spans="1:41" ht="51" hidden="1" x14ac:dyDescent="0.75">
      <c r="A335" s="670"/>
      <c r="B335" s="84" t="s">
        <v>453</v>
      </c>
      <c r="C335" s="85" t="s">
        <v>450</v>
      </c>
      <c r="D335" s="268"/>
      <c r="E335" s="88"/>
      <c r="F335" s="88"/>
      <c r="G335" s="88"/>
      <c r="H335" s="88"/>
      <c r="I335" s="88"/>
      <c r="J335" s="88"/>
      <c r="K335" s="88"/>
      <c r="L335" s="88"/>
      <c r="M335" s="88"/>
      <c r="N335" s="88"/>
      <c r="O335" s="88"/>
      <c r="P335" s="88"/>
      <c r="Q335" s="88"/>
      <c r="R335" s="88"/>
      <c r="S335" s="88"/>
      <c r="T335" s="88"/>
      <c r="U335" s="88"/>
      <c r="V335" s="88"/>
      <c r="W335" s="88"/>
      <c r="X335" s="88"/>
      <c r="Y335" s="88"/>
      <c r="Z335" s="88"/>
      <c r="AA335" s="88"/>
      <c r="AB335" s="362"/>
      <c r="AC335" s="362"/>
      <c r="AD335" s="362"/>
      <c r="AE335" s="362"/>
      <c r="AF335" s="362"/>
      <c r="AG335" s="362"/>
      <c r="AH335" s="31">
        <f t="shared" si="122"/>
        <v>0</v>
      </c>
      <c r="AI335" s="130"/>
      <c r="AJ335" s="781"/>
      <c r="AK335" s="33"/>
      <c r="AL335" s="766"/>
      <c r="AM335" s="14">
        <v>305</v>
      </c>
      <c r="AN335" s="82"/>
      <c r="AO335" s="83"/>
    </row>
    <row r="336" spans="1:41" ht="25.5" hidden="1" x14ac:dyDescent="0.75">
      <c r="A336" s="670"/>
      <c r="B336" s="84" t="s">
        <v>711</v>
      </c>
      <c r="C336" s="85" t="s">
        <v>451</v>
      </c>
      <c r="D336" s="268"/>
      <c r="E336" s="88"/>
      <c r="F336" s="88"/>
      <c r="G336" s="88"/>
      <c r="H336" s="88"/>
      <c r="I336" s="88"/>
      <c r="J336" s="88"/>
      <c r="K336" s="88"/>
      <c r="L336" s="88"/>
      <c r="M336" s="88"/>
      <c r="N336" s="88"/>
      <c r="O336" s="88"/>
      <c r="P336" s="88"/>
      <c r="Q336" s="88"/>
      <c r="R336" s="88"/>
      <c r="S336" s="88"/>
      <c r="T336" s="88"/>
      <c r="U336" s="88"/>
      <c r="V336" s="88"/>
      <c r="W336" s="88"/>
      <c r="X336" s="88"/>
      <c r="Y336" s="88"/>
      <c r="Z336" s="88"/>
      <c r="AA336" s="88"/>
      <c r="AB336" s="362"/>
      <c r="AC336" s="362"/>
      <c r="AD336" s="362"/>
      <c r="AE336" s="362"/>
      <c r="AF336" s="362"/>
      <c r="AG336" s="362"/>
      <c r="AH336" s="31">
        <f t="shared" si="122"/>
        <v>0</v>
      </c>
      <c r="AI336" s="130"/>
      <c r="AJ336" s="781"/>
      <c r="AK336" s="33"/>
      <c r="AL336" s="766"/>
      <c r="AM336" s="14">
        <v>306</v>
      </c>
      <c r="AN336" s="82"/>
      <c r="AO336" s="83"/>
    </row>
    <row r="337" spans="1:41" ht="25.5" hidden="1" x14ac:dyDescent="0.75">
      <c r="A337" s="670"/>
      <c r="B337" s="84" t="s">
        <v>448</v>
      </c>
      <c r="C337" s="85" t="s">
        <v>452</v>
      </c>
      <c r="D337" s="268"/>
      <c r="E337" s="88"/>
      <c r="F337" s="88"/>
      <c r="G337" s="88"/>
      <c r="H337" s="88"/>
      <c r="I337" s="88"/>
      <c r="J337" s="88"/>
      <c r="K337" s="88"/>
      <c r="L337" s="88"/>
      <c r="M337" s="88"/>
      <c r="N337" s="88"/>
      <c r="O337" s="88"/>
      <c r="P337" s="88"/>
      <c r="Q337" s="88"/>
      <c r="R337" s="88"/>
      <c r="S337" s="88"/>
      <c r="T337" s="88"/>
      <c r="U337" s="88"/>
      <c r="V337" s="88"/>
      <c r="W337" s="88"/>
      <c r="X337" s="88"/>
      <c r="Y337" s="88"/>
      <c r="Z337" s="88"/>
      <c r="AA337" s="88"/>
      <c r="AB337" s="362"/>
      <c r="AC337" s="362"/>
      <c r="AD337" s="362"/>
      <c r="AE337" s="362"/>
      <c r="AF337" s="362"/>
      <c r="AG337" s="362"/>
      <c r="AH337" s="31">
        <f t="shared" si="122"/>
        <v>0</v>
      </c>
      <c r="AI337" s="130"/>
      <c r="AJ337" s="781"/>
      <c r="AK337" s="33"/>
      <c r="AL337" s="766"/>
      <c r="AM337" s="14">
        <v>307</v>
      </c>
      <c r="AN337" s="82"/>
      <c r="AO337" s="83"/>
    </row>
    <row r="338" spans="1:41" ht="25.9" hidden="1" thickBot="1" x14ac:dyDescent="0.8">
      <c r="A338" s="637"/>
      <c r="B338" s="293" t="s">
        <v>460</v>
      </c>
      <c r="C338" s="294" t="s">
        <v>306</v>
      </c>
      <c r="D338" s="295">
        <f>SUM(D333:D337)</f>
        <v>0</v>
      </c>
      <c r="E338" s="296">
        <f t="shared" ref="E338:AH338" si="123">SUM(E333:E337)</f>
        <v>0</v>
      </c>
      <c r="F338" s="296">
        <f t="shared" si="123"/>
        <v>0</v>
      </c>
      <c r="G338" s="296">
        <f t="shared" si="123"/>
        <v>0</v>
      </c>
      <c r="H338" s="296">
        <f t="shared" si="123"/>
        <v>0</v>
      </c>
      <c r="I338" s="296">
        <f t="shared" si="123"/>
        <v>0</v>
      </c>
      <c r="J338" s="296">
        <f t="shared" si="123"/>
        <v>0</v>
      </c>
      <c r="K338" s="296">
        <f t="shared" si="123"/>
        <v>0</v>
      </c>
      <c r="L338" s="296">
        <f t="shared" si="123"/>
        <v>0</v>
      </c>
      <c r="M338" s="296">
        <f t="shared" si="123"/>
        <v>0</v>
      </c>
      <c r="N338" s="296">
        <f t="shared" si="123"/>
        <v>0</v>
      </c>
      <c r="O338" s="296">
        <f t="shared" si="123"/>
        <v>0</v>
      </c>
      <c r="P338" s="296">
        <f t="shared" si="123"/>
        <v>0</v>
      </c>
      <c r="Q338" s="296">
        <f t="shared" si="123"/>
        <v>0</v>
      </c>
      <c r="R338" s="296">
        <f t="shared" si="123"/>
        <v>0</v>
      </c>
      <c r="S338" s="296">
        <f t="shared" si="123"/>
        <v>0</v>
      </c>
      <c r="T338" s="296">
        <f t="shared" si="123"/>
        <v>0</v>
      </c>
      <c r="U338" s="296">
        <f t="shared" si="123"/>
        <v>0</v>
      </c>
      <c r="V338" s="296">
        <f t="shared" si="123"/>
        <v>0</v>
      </c>
      <c r="W338" s="296">
        <f t="shared" si="123"/>
        <v>0</v>
      </c>
      <c r="X338" s="296">
        <f t="shared" si="123"/>
        <v>0</v>
      </c>
      <c r="Y338" s="296">
        <f t="shared" si="123"/>
        <v>0</v>
      </c>
      <c r="Z338" s="296">
        <f t="shared" si="123"/>
        <v>0</v>
      </c>
      <c r="AA338" s="296">
        <f t="shared" si="123"/>
        <v>0</v>
      </c>
      <c r="AB338" s="412"/>
      <c r="AC338" s="412"/>
      <c r="AD338" s="412"/>
      <c r="AE338" s="412"/>
      <c r="AF338" s="412"/>
      <c r="AG338" s="412"/>
      <c r="AH338" s="297">
        <f t="shared" si="123"/>
        <v>0</v>
      </c>
      <c r="AI338" s="130"/>
      <c r="AJ338" s="781"/>
      <c r="AK338" s="33"/>
      <c r="AL338" s="766"/>
      <c r="AM338" s="14">
        <v>308</v>
      </c>
      <c r="AN338" s="82"/>
      <c r="AO338" s="83"/>
    </row>
    <row r="339" spans="1:41" ht="25.5" hidden="1" x14ac:dyDescent="0.75">
      <c r="A339" s="636" t="s">
        <v>1026</v>
      </c>
      <c r="B339" s="102" t="s">
        <v>316</v>
      </c>
      <c r="C339" s="77" t="s">
        <v>307</v>
      </c>
      <c r="D339" s="267"/>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365"/>
      <c r="AC339" s="365"/>
      <c r="AD339" s="365"/>
      <c r="AE339" s="365"/>
      <c r="AF339" s="365"/>
      <c r="AG339" s="365"/>
      <c r="AH339" s="71">
        <f t="shared" ref="AH339:AH345" si="124">SUM(D339:AA339)</f>
        <v>0</v>
      </c>
      <c r="AI339" s="130"/>
      <c r="AJ339" s="781"/>
      <c r="AK339" s="33"/>
      <c r="AL339" s="766"/>
      <c r="AM339" s="14">
        <v>309</v>
      </c>
      <c r="AN339" s="82"/>
      <c r="AO339" s="83"/>
    </row>
    <row r="340" spans="1:41" ht="25.5" hidden="1" x14ac:dyDescent="0.75">
      <c r="A340" s="670"/>
      <c r="B340" s="84" t="s">
        <v>552</v>
      </c>
      <c r="C340" s="85" t="s">
        <v>308</v>
      </c>
      <c r="D340" s="268"/>
      <c r="E340" s="88"/>
      <c r="F340" s="88"/>
      <c r="G340" s="88"/>
      <c r="H340" s="88"/>
      <c r="I340" s="88"/>
      <c r="J340" s="88"/>
      <c r="K340" s="88"/>
      <c r="L340" s="88"/>
      <c r="M340" s="88"/>
      <c r="N340" s="88"/>
      <c r="O340" s="88"/>
      <c r="P340" s="88"/>
      <c r="Q340" s="88"/>
      <c r="R340" s="88"/>
      <c r="S340" s="88"/>
      <c r="T340" s="88"/>
      <c r="U340" s="88"/>
      <c r="V340" s="88"/>
      <c r="W340" s="88"/>
      <c r="X340" s="88"/>
      <c r="Y340" s="88"/>
      <c r="Z340" s="88"/>
      <c r="AA340" s="88"/>
      <c r="AB340" s="362"/>
      <c r="AC340" s="362"/>
      <c r="AD340" s="362"/>
      <c r="AE340" s="362"/>
      <c r="AF340" s="362"/>
      <c r="AG340" s="362"/>
      <c r="AH340" s="31">
        <f t="shared" si="124"/>
        <v>0</v>
      </c>
      <c r="AI340" s="130"/>
      <c r="AJ340" s="781"/>
      <c r="AK340" s="33"/>
      <c r="AL340" s="766"/>
      <c r="AM340" s="14">
        <v>310</v>
      </c>
      <c r="AN340" s="82"/>
      <c r="AO340" s="83"/>
    </row>
    <row r="341" spans="1:41" ht="25.5" hidden="1" x14ac:dyDescent="0.75">
      <c r="A341" s="670"/>
      <c r="B341" s="84" t="s">
        <v>712</v>
      </c>
      <c r="C341" s="85" t="s">
        <v>309</v>
      </c>
      <c r="D341" s="268"/>
      <c r="E341" s="88"/>
      <c r="F341" s="88"/>
      <c r="G341" s="88"/>
      <c r="H341" s="88"/>
      <c r="I341" s="88"/>
      <c r="J341" s="88"/>
      <c r="K341" s="88"/>
      <c r="L341" s="88"/>
      <c r="M341" s="88"/>
      <c r="N341" s="88"/>
      <c r="O341" s="88"/>
      <c r="P341" s="88"/>
      <c r="Q341" s="88"/>
      <c r="R341" s="88"/>
      <c r="S341" s="88"/>
      <c r="T341" s="88"/>
      <c r="U341" s="88"/>
      <c r="V341" s="88"/>
      <c r="W341" s="88"/>
      <c r="X341" s="88"/>
      <c r="Y341" s="88"/>
      <c r="Z341" s="88"/>
      <c r="AA341" s="88"/>
      <c r="AB341" s="362"/>
      <c r="AC341" s="362"/>
      <c r="AD341" s="362"/>
      <c r="AE341" s="362"/>
      <c r="AF341" s="362"/>
      <c r="AG341" s="362"/>
      <c r="AH341" s="31">
        <f t="shared" si="124"/>
        <v>0</v>
      </c>
      <c r="AI341" s="130"/>
      <c r="AJ341" s="781"/>
      <c r="AK341" s="33"/>
      <c r="AL341" s="766"/>
      <c r="AM341" s="14">
        <v>311</v>
      </c>
      <c r="AN341" s="82"/>
      <c r="AO341" s="83"/>
    </row>
    <row r="342" spans="1:41" s="67" customFormat="1" ht="51" hidden="1" x14ac:dyDescent="0.75">
      <c r="A342" s="670"/>
      <c r="B342" s="84" t="s">
        <v>317</v>
      </c>
      <c r="C342" s="85" t="s">
        <v>310</v>
      </c>
      <c r="D342" s="268"/>
      <c r="E342" s="88"/>
      <c r="F342" s="88"/>
      <c r="G342" s="88"/>
      <c r="H342" s="88"/>
      <c r="I342" s="88"/>
      <c r="J342" s="88"/>
      <c r="K342" s="88"/>
      <c r="L342" s="88"/>
      <c r="M342" s="88"/>
      <c r="N342" s="88"/>
      <c r="O342" s="88"/>
      <c r="P342" s="88"/>
      <c r="Q342" s="88"/>
      <c r="R342" s="88"/>
      <c r="S342" s="88"/>
      <c r="T342" s="88"/>
      <c r="U342" s="88"/>
      <c r="V342" s="88"/>
      <c r="W342" s="88"/>
      <c r="X342" s="88"/>
      <c r="Y342" s="88"/>
      <c r="Z342" s="88"/>
      <c r="AA342" s="88"/>
      <c r="AB342" s="362"/>
      <c r="AC342" s="362"/>
      <c r="AD342" s="362"/>
      <c r="AE342" s="362"/>
      <c r="AF342" s="362"/>
      <c r="AG342" s="362"/>
      <c r="AH342" s="31">
        <f t="shared" si="124"/>
        <v>0</v>
      </c>
      <c r="AI342" s="130"/>
      <c r="AJ342" s="781"/>
      <c r="AK342" s="66"/>
      <c r="AL342" s="766"/>
      <c r="AM342" s="14">
        <v>312</v>
      </c>
      <c r="AN342" s="89"/>
      <c r="AO342" s="83"/>
    </row>
    <row r="343" spans="1:41" ht="25.5" hidden="1" x14ac:dyDescent="0.75">
      <c r="A343" s="670"/>
      <c r="B343" s="84" t="s">
        <v>553</v>
      </c>
      <c r="C343" s="85" t="s">
        <v>311</v>
      </c>
      <c r="D343" s="268"/>
      <c r="E343" s="88"/>
      <c r="F343" s="88"/>
      <c r="G343" s="88"/>
      <c r="H343" s="88"/>
      <c r="I343" s="88"/>
      <c r="J343" s="88"/>
      <c r="K343" s="88"/>
      <c r="L343" s="88"/>
      <c r="M343" s="88"/>
      <c r="N343" s="88"/>
      <c r="O343" s="88"/>
      <c r="P343" s="88"/>
      <c r="Q343" s="88"/>
      <c r="R343" s="88"/>
      <c r="S343" s="88"/>
      <c r="T343" s="88"/>
      <c r="U343" s="88"/>
      <c r="V343" s="88"/>
      <c r="W343" s="88"/>
      <c r="X343" s="88"/>
      <c r="Y343" s="88"/>
      <c r="Z343" s="88"/>
      <c r="AA343" s="88"/>
      <c r="AB343" s="362"/>
      <c r="AC343" s="362"/>
      <c r="AD343" s="362"/>
      <c r="AE343" s="362"/>
      <c r="AF343" s="362"/>
      <c r="AG343" s="362"/>
      <c r="AH343" s="31">
        <f t="shared" si="124"/>
        <v>0</v>
      </c>
      <c r="AI343" s="130"/>
      <c r="AJ343" s="781"/>
      <c r="AK343" s="33"/>
      <c r="AL343" s="766"/>
      <c r="AM343" s="14">
        <v>313</v>
      </c>
      <c r="AN343" s="82"/>
      <c r="AO343" s="83"/>
    </row>
    <row r="344" spans="1:41" ht="25.5" hidden="1" x14ac:dyDescent="0.75">
      <c r="A344" s="670"/>
      <c r="B344" s="84" t="s">
        <v>318</v>
      </c>
      <c r="C344" s="85" t="s">
        <v>312</v>
      </c>
      <c r="D344" s="268"/>
      <c r="E344" s="88"/>
      <c r="F344" s="88"/>
      <c r="G344" s="88"/>
      <c r="H344" s="88"/>
      <c r="I344" s="88"/>
      <c r="J344" s="88"/>
      <c r="K344" s="88"/>
      <c r="L344" s="88"/>
      <c r="M344" s="88"/>
      <c r="N344" s="88"/>
      <c r="O344" s="88"/>
      <c r="P344" s="88"/>
      <c r="Q344" s="88"/>
      <c r="R344" s="88"/>
      <c r="S344" s="88"/>
      <c r="T344" s="88"/>
      <c r="U344" s="88"/>
      <c r="V344" s="88"/>
      <c r="W344" s="88"/>
      <c r="X344" s="88"/>
      <c r="Y344" s="88"/>
      <c r="Z344" s="88"/>
      <c r="AA344" s="88"/>
      <c r="AB344" s="362"/>
      <c r="AC344" s="362"/>
      <c r="AD344" s="362"/>
      <c r="AE344" s="362"/>
      <c r="AF344" s="362"/>
      <c r="AG344" s="362"/>
      <c r="AH344" s="31">
        <f t="shared" si="124"/>
        <v>0</v>
      </c>
      <c r="AI344" s="130"/>
      <c r="AJ344" s="781"/>
      <c r="AK344" s="33"/>
      <c r="AL344" s="766"/>
      <c r="AM344" s="14">
        <v>314</v>
      </c>
      <c r="AN344" s="82"/>
      <c r="AO344" s="83"/>
    </row>
    <row r="345" spans="1:41" ht="25.9" hidden="1" thickBot="1" x14ac:dyDescent="0.8">
      <c r="A345" s="637"/>
      <c r="B345" s="96" t="s">
        <v>319</v>
      </c>
      <c r="C345" s="97" t="s">
        <v>313</v>
      </c>
      <c r="D345" s="162"/>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c r="AA345" s="100"/>
      <c r="AB345" s="364"/>
      <c r="AC345" s="364"/>
      <c r="AD345" s="364"/>
      <c r="AE345" s="364"/>
      <c r="AF345" s="364"/>
      <c r="AG345" s="364"/>
      <c r="AH345" s="101">
        <f t="shared" si="124"/>
        <v>0</v>
      </c>
      <c r="AI345" s="130"/>
      <c r="AJ345" s="782"/>
      <c r="AK345" s="33"/>
      <c r="AL345" s="767"/>
      <c r="AM345" s="14">
        <v>315</v>
      </c>
      <c r="AN345" s="82"/>
      <c r="AO345" s="83"/>
    </row>
    <row r="346" spans="1:41" ht="25.9" thickBot="1" x14ac:dyDescent="0.8">
      <c r="A346" s="699" t="s">
        <v>580</v>
      </c>
      <c r="B346" s="879"/>
      <c r="C346" s="879"/>
      <c r="D346" s="879"/>
      <c r="E346" s="879"/>
      <c r="F346" s="879"/>
      <c r="G346" s="879"/>
      <c r="H346" s="879"/>
      <c r="I346" s="879"/>
      <c r="J346" s="879"/>
      <c r="K346" s="879"/>
      <c r="L346" s="879"/>
      <c r="M346" s="879"/>
      <c r="N346" s="879"/>
      <c r="O346" s="879"/>
      <c r="P346" s="879"/>
      <c r="Q346" s="879"/>
      <c r="R346" s="879"/>
      <c r="S346" s="879"/>
      <c r="T346" s="879"/>
      <c r="U346" s="879"/>
      <c r="V346" s="879"/>
      <c r="W346" s="879"/>
      <c r="X346" s="879"/>
      <c r="Y346" s="879"/>
      <c r="Z346" s="879"/>
      <c r="AA346" s="879"/>
      <c r="AB346" s="879"/>
      <c r="AC346" s="879"/>
      <c r="AD346" s="879"/>
      <c r="AE346" s="879"/>
      <c r="AF346" s="879"/>
      <c r="AG346" s="879"/>
      <c r="AH346" s="879"/>
      <c r="AI346" s="879"/>
      <c r="AJ346" s="879"/>
      <c r="AK346" s="879"/>
      <c r="AL346" s="880"/>
      <c r="AM346" s="14">
        <v>316</v>
      </c>
      <c r="AN346" s="82"/>
      <c r="AO346" s="83"/>
    </row>
    <row r="347" spans="1:41" ht="50.25" customHeight="1" x14ac:dyDescent="0.75">
      <c r="A347" s="881" t="s">
        <v>524</v>
      </c>
      <c r="B347" s="102" t="s">
        <v>525</v>
      </c>
      <c r="C347" s="594" t="s">
        <v>528</v>
      </c>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365"/>
      <c r="AB347" s="432"/>
      <c r="AC347" s="433"/>
      <c r="AD347" s="433"/>
      <c r="AE347" s="433"/>
      <c r="AF347" s="433"/>
      <c r="AG347" s="360"/>
      <c r="AH347" s="214">
        <f t="shared" ref="AH347" si="125">SUM(D347:AA347)</f>
        <v>0</v>
      </c>
      <c r="AI347" s="32" t="str">
        <f>CONCATENATE(IF(D348&gt;D347," * TB Cases with Known HIV Positive status "&amp;$D$20&amp;" "&amp;$D$21&amp;" is more than Total TB Cases New and relapsed"&amp;CHAR(10),""),IF(E348&gt;E347," * TB Cases with Known HIV Positive status "&amp;$D$20&amp;" "&amp;$E$21&amp;" is more than Total TB Cases New and relapsed"&amp;CHAR(10),""),IF(F348&gt;F347," * TB Cases with Known HIV Positive status "&amp;$F$20&amp;" "&amp;$F$21&amp;" is more than Total TB Cases New and relapsed"&amp;CHAR(10),""),IF(G348&gt;G347," * TB Cases with Known HIV Positive status "&amp;$F$20&amp;" "&amp;$G$21&amp;" is more than Total TB Cases New and relapsed"&amp;CHAR(10),""),IF(H348&gt;H347," * TB Cases with Known HIV Positive status "&amp;$H$20&amp;" "&amp;$H$21&amp;" is more than Total TB Cases New and relapsed"&amp;CHAR(10),""),IF(I348&gt;I347," * TB Cases with Known HIV Positive status "&amp;$H$20&amp;" "&amp;$I$21&amp;" is more than Total TB Cases New and relapsed"&amp;CHAR(10),""),IF(J348&gt;J347," * TB Cases with Known HIV Positive status "&amp;$J$20&amp;" "&amp;$J$21&amp;" is more than Total TB Cases New and relapsed"&amp;CHAR(10),""),IF(K348&gt;K347," * TB Cases with Known HIV Positive status "&amp;$J$20&amp;" "&amp;$K$21&amp;" is more than Total TB Cases New and relapsed"&amp;CHAR(10),""),IF(L348&gt;L347," * TB Cases with Known HIV Positive status "&amp;$L$20&amp;" "&amp;$L$21&amp;" is more than Total TB Cases New and relapsed"&amp;CHAR(10),""),IF(M348&gt;M347," * TB Cases with Known HIV Positive status "&amp;$L$20&amp;" "&amp;$M$21&amp;" is more than Total TB Cases New and relapsed"&amp;CHAR(10),""),IF(N348&gt;N347," * TB Cases with Known HIV Positive status "&amp;$N$20&amp;" "&amp;$N$21&amp;" is more than Total TB Cases New and relapsed"&amp;CHAR(10),""),IF(O348&gt;O347," * TB Cases with Known HIV Positive status "&amp;$N$20&amp;" "&amp;$O$21&amp;" is more than Total TB Cases New and relapsed"&amp;CHAR(10),""),IF(P348&gt;P347," * TB Cases with Known HIV Positive status "&amp;$P$20&amp;" "&amp;$P$21&amp;" is more than Total TB Cases New and relapsed"&amp;CHAR(10),""),IF(Q348&gt;Q347," * TB Cases with Known HIV Positive status "&amp;$P$20&amp;" "&amp;$Q$21&amp;" is more than Total TB Cases New and relapsed"&amp;CHAR(10),""),IF(R348&gt;R347," * TB Cases with Known HIV Positive status "&amp;$R$20&amp;" "&amp;$R$21&amp;" is more than Total TB Cases New and relapsed"&amp;CHAR(10),""),IF(S348&gt;S347," * TB Cases with Known HIV Positive status "&amp;$R$20&amp;" "&amp;$S$21&amp;" is more than Total TB Cases New and relapsed"&amp;CHAR(10),""),IF(T348&gt;T347," * TB Cases with Known HIV Positive status "&amp;$T$20&amp;" "&amp;$T$21&amp;" is more than Total TB Cases New and relapsed"&amp;CHAR(10),""),IF(U348&gt;U347," * TB Cases with Known HIV Positive status "&amp;$T$20&amp;" "&amp;$U$21&amp;" is more than Total TB Cases New and relapsed"&amp;CHAR(10),""),IF(V348&gt;V347," * TB Cases with Known HIV Positive status "&amp;$V$20&amp;" "&amp;$V$21&amp;" is more than Total TB Cases New and relapsed"&amp;CHAR(10),""),IF(W348&gt;W347," * TB Cases with Known HIV Positive status "&amp;$V$20&amp;" "&amp;$W$21&amp;" is more than Total TB Cases New and relapsed"&amp;CHAR(10),""),IF(X348&gt;X347," * TB Cases with Known HIV Positive status "&amp;$X$20&amp;" "&amp;$X$21&amp;" is more than Total TB Cases New and relapsed"&amp;CHAR(10),""),IF(Y348&gt;Y347," * TB Cases with Known HIV Positive status "&amp;$X$20&amp;" "&amp;$Y$21&amp;" is more than Total TB Cases New and relapsed"&amp;CHAR(10),""),IF(Z348&gt;Z347," * TB Cases with Known HIV Positive status "&amp;$Z$20&amp;" "&amp;$Z$21&amp;" is more than Total TB Cases New and relapsed"&amp;CHAR(10),""),IF(AA348&gt;AA347," * TB Cases with Known HIV Positive status "&amp;$Z$20&amp;" "&amp;$AA$21&amp;" is more than Total TB Cases New and relapsed"&amp;CHAR(10),""))</f>
        <v/>
      </c>
      <c r="AJ347" s="680" t="str">
        <f>CONCATENATE(AI347,AI348,AI351,AI352,AI353,AI354,AI355,AI356,AI357)</f>
        <v/>
      </c>
      <c r="AK347" s="33"/>
      <c r="AL347" s="759" t="str">
        <f>CONCATENATE(AK347,AK348,AK350,AK351,AK352,AK353,AK354,AK355,AK356,AK357)</f>
        <v/>
      </c>
      <c r="AM347" s="14">
        <v>317</v>
      </c>
      <c r="AN347" s="82"/>
      <c r="AO347" s="83"/>
    </row>
    <row r="348" spans="1:41" s="15" customFormat="1" ht="51" x14ac:dyDescent="0.75">
      <c r="A348" s="882"/>
      <c r="B348" s="225" t="s">
        <v>1027</v>
      </c>
      <c r="C348" s="85" t="s">
        <v>538</v>
      </c>
      <c r="D348" s="227"/>
      <c r="E348" s="227"/>
      <c r="F348" s="227"/>
      <c r="G348" s="227"/>
      <c r="H348" s="227"/>
      <c r="I348" s="227"/>
      <c r="J348" s="227"/>
      <c r="K348" s="227"/>
      <c r="L348" s="227"/>
      <c r="M348" s="227"/>
      <c r="N348" s="227"/>
      <c r="O348" s="227"/>
      <c r="P348" s="227"/>
      <c r="Q348" s="227"/>
      <c r="R348" s="227"/>
      <c r="S348" s="227"/>
      <c r="T348" s="227"/>
      <c r="U348" s="227"/>
      <c r="V348" s="227"/>
      <c r="W348" s="227"/>
      <c r="X348" s="227"/>
      <c r="Y348" s="227"/>
      <c r="Z348" s="227"/>
      <c r="AA348" s="394"/>
      <c r="AB348" s="434"/>
      <c r="AC348" s="401"/>
      <c r="AD348" s="401"/>
      <c r="AE348" s="401"/>
      <c r="AF348" s="401"/>
      <c r="AG348" s="357"/>
      <c r="AH348" s="199">
        <f t="shared" ref="AH348:AH357" si="126">SUM(D348:AA348)</f>
        <v>0</v>
      </c>
      <c r="AI348" s="148"/>
      <c r="AJ348" s="656"/>
      <c r="AK348" s="33"/>
      <c r="AL348" s="760"/>
      <c r="AM348" s="14">
        <v>318</v>
      </c>
      <c r="AN348" s="82"/>
      <c r="AO348" s="171"/>
    </row>
    <row r="349" spans="1:41" s="15" customFormat="1" ht="51" x14ac:dyDescent="0.75">
      <c r="A349" s="882"/>
      <c r="B349" s="225" t="s">
        <v>1028</v>
      </c>
      <c r="C349" s="85" t="s">
        <v>1007</v>
      </c>
      <c r="D349" s="226"/>
      <c r="E349" s="227"/>
      <c r="F349" s="227"/>
      <c r="G349" s="227"/>
      <c r="H349" s="227"/>
      <c r="I349" s="227"/>
      <c r="J349" s="227"/>
      <c r="K349" s="227"/>
      <c r="L349" s="227"/>
      <c r="M349" s="227"/>
      <c r="N349" s="227"/>
      <c r="O349" s="227"/>
      <c r="P349" s="227"/>
      <c r="Q349" s="227"/>
      <c r="R349" s="227"/>
      <c r="S349" s="227"/>
      <c r="T349" s="227"/>
      <c r="U349" s="227"/>
      <c r="V349" s="227"/>
      <c r="W349" s="227"/>
      <c r="X349" s="227"/>
      <c r="Y349" s="227"/>
      <c r="Z349" s="227"/>
      <c r="AA349" s="394"/>
      <c r="AB349" s="434"/>
      <c r="AC349" s="401"/>
      <c r="AD349" s="401"/>
      <c r="AE349" s="401"/>
      <c r="AF349" s="401"/>
      <c r="AG349" s="357"/>
      <c r="AH349" s="199">
        <f t="shared" si="126"/>
        <v>0</v>
      </c>
      <c r="AI349" s="148"/>
      <c r="AJ349" s="656"/>
      <c r="AK349" s="33"/>
      <c r="AL349" s="760"/>
      <c r="AM349" s="14"/>
      <c r="AN349" s="82"/>
      <c r="AO349" s="171"/>
    </row>
    <row r="350" spans="1:41" s="15" customFormat="1" ht="25.5" x14ac:dyDescent="0.75">
      <c r="A350" s="882"/>
      <c r="B350" s="298" t="s">
        <v>526</v>
      </c>
      <c r="C350" s="85" t="s">
        <v>539</v>
      </c>
      <c r="D350" s="299"/>
      <c r="E350" s="300"/>
      <c r="F350" s="186">
        <f>F347-(F348+F349)</f>
        <v>0</v>
      </c>
      <c r="G350" s="186">
        <f t="shared" ref="G350:AA350" si="127">G347-(G348+G349)</f>
        <v>0</v>
      </c>
      <c r="H350" s="186">
        <f t="shared" si="127"/>
        <v>0</v>
      </c>
      <c r="I350" s="186">
        <f t="shared" si="127"/>
        <v>0</v>
      </c>
      <c r="J350" s="186">
        <f t="shared" si="127"/>
        <v>0</v>
      </c>
      <c r="K350" s="186">
        <f t="shared" si="127"/>
        <v>0</v>
      </c>
      <c r="L350" s="186">
        <f t="shared" si="127"/>
        <v>0</v>
      </c>
      <c r="M350" s="186">
        <f t="shared" si="127"/>
        <v>0</v>
      </c>
      <c r="N350" s="186">
        <f t="shared" si="127"/>
        <v>0</v>
      </c>
      <c r="O350" s="186">
        <f t="shared" si="127"/>
        <v>0</v>
      </c>
      <c r="P350" s="186">
        <f t="shared" si="127"/>
        <v>0</v>
      </c>
      <c r="Q350" s="186">
        <f t="shared" si="127"/>
        <v>0</v>
      </c>
      <c r="R350" s="186">
        <f t="shared" si="127"/>
        <v>0</v>
      </c>
      <c r="S350" s="186">
        <f t="shared" si="127"/>
        <v>0</v>
      </c>
      <c r="T350" s="186">
        <f t="shared" si="127"/>
        <v>0</v>
      </c>
      <c r="U350" s="186">
        <f t="shared" si="127"/>
        <v>0</v>
      </c>
      <c r="V350" s="186">
        <f t="shared" si="127"/>
        <v>0</v>
      </c>
      <c r="W350" s="186">
        <f t="shared" si="127"/>
        <v>0</v>
      </c>
      <c r="X350" s="186">
        <f t="shared" si="127"/>
        <v>0</v>
      </c>
      <c r="Y350" s="186">
        <f t="shared" si="127"/>
        <v>0</v>
      </c>
      <c r="Z350" s="186">
        <f t="shared" si="127"/>
        <v>0</v>
      </c>
      <c r="AA350" s="384">
        <f t="shared" si="127"/>
        <v>0</v>
      </c>
      <c r="AB350" s="434"/>
      <c r="AC350" s="401"/>
      <c r="AD350" s="401"/>
      <c r="AE350" s="401"/>
      <c r="AF350" s="401"/>
      <c r="AG350" s="357"/>
      <c r="AH350" s="199">
        <f t="shared" si="126"/>
        <v>0</v>
      </c>
      <c r="AI350" s="148"/>
      <c r="AJ350" s="656"/>
      <c r="AK350" s="33" t="str">
        <f>CONCATENATE(IF(D350&gt;D351," * TB Cases newly tested for HIV "&amp;$D$20&amp;" "&amp;$D$21&amp;" is less than TB Cases eligible for Testing"&amp;CHAR(10),""),IF(E350&gt;E351," * TB Cases newly tested for HIV "&amp;$D$20&amp;" "&amp;$E$21&amp;" is less than TB Cases eligible for Testing"&amp;CHAR(10),""),IF(F350&gt;F351," * TB Cases newly tested for HIV "&amp;$F$20&amp;" "&amp;$F$21&amp;" is less than TB Cases eligible for Testing"&amp;CHAR(10),""),IF(G350&gt;G351," * TB Cases newly tested for HIV "&amp;$F$20&amp;" "&amp;$G$21&amp;" is less than TB Cases eligible for Testing"&amp;CHAR(10),""),IF(H350&gt;H351," * TB Cases newly tested for HIV "&amp;$H$20&amp;" "&amp;$H$21&amp;" is less than TB Cases eligible for Testing"&amp;CHAR(10),""),IF(I350&gt;I351," * TB Cases newly tested for HIV "&amp;$H$20&amp;" "&amp;$I$21&amp;" is less than TB Cases eligible for Testing"&amp;CHAR(10),""),IF(J350&gt;J351," * TB Cases newly tested for HIV "&amp;$J$20&amp;" "&amp;$J$21&amp;" is less than TB Cases eligible for Testing"&amp;CHAR(10),""),IF(K350&gt;K351," * TB Cases newly tested for HIV "&amp;$J$20&amp;" "&amp;$K$21&amp;" is less than TB Cases eligible for Testing"&amp;CHAR(10),""),IF(L350&gt;L351," * TB Cases newly tested for HIV "&amp;$L$20&amp;" "&amp;$L$21&amp;" is less than TB Cases eligible for Testing"&amp;CHAR(10),""),IF(M350&gt;M351," * TB Cases newly tested for HIV "&amp;$L$20&amp;" "&amp;$M$21&amp;" is less than TB Cases eligible for Testing"&amp;CHAR(10),""),IF(N350&gt;N351," * TB Cases newly tested for HIV "&amp;$N$20&amp;" "&amp;$N$21&amp;" is less than TB Cases eligible for Testing"&amp;CHAR(10),""),IF(O350&gt;O351," * TB Cases newly tested for HIV "&amp;$N$20&amp;" "&amp;$O$21&amp;" is less than TB Cases eligible for Testing"&amp;CHAR(10),""),IF(P350&gt;P351," * TB Cases newly tested for HIV "&amp;$P$20&amp;" "&amp;$P$21&amp;" is less than TB Cases eligible for Testing"&amp;CHAR(10),""),IF(Q350&gt;Q351," * TB Cases newly tested for HIV "&amp;$P$20&amp;" "&amp;$Q$21&amp;" is less than TB Cases eligible for Testing"&amp;CHAR(10),""),IF(R350&gt;R351," * TB Cases newly tested for HIV "&amp;$R$20&amp;" "&amp;$R$21&amp;" is less than TB Cases eligible for Testing"&amp;CHAR(10),""),IF(S350&gt;S351," * TB Cases newly tested for HIV "&amp;$R$20&amp;" "&amp;$S$21&amp;" is less than TB Cases eligible for Testing"&amp;CHAR(10),""),IF(T350&gt;T351," * TB Cases newly tested for HIV "&amp;$T$20&amp;" "&amp;$T$21&amp;" is less than TB Cases eligible for Testing"&amp;CHAR(10),""),IF(U350&gt;U351," * TB Cases newly tested for HIV "&amp;$T$20&amp;" "&amp;$U$21&amp;" is less than TB Cases eligible for Testing"&amp;CHAR(10),""),IF(V350&gt;V351," * TB Cases newly tested for HIV "&amp;$V$20&amp;" "&amp;$V$21&amp;" is less than TB Cases eligible for Testing"&amp;CHAR(10),""),IF(W350&gt;W351," * TB Cases newly tested for HIV "&amp;$V$20&amp;" "&amp;$W$21&amp;" is less than TB Cases eligible for Testing"&amp;CHAR(10),""),IF(X350&gt;X351," * TB Cases newly tested for HIV "&amp;$X$20&amp;" "&amp;$X$21&amp;" is less than TB Cases eligible for Testing"&amp;CHAR(10),""),IF(Y350&gt;Y351," * TB Cases newly tested for HIV "&amp;$X$20&amp;" "&amp;$Y$21&amp;" is less than TB Cases eligible for Testing"&amp;CHAR(10),""),IF(Z350&gt;Z351," * TB Cases newly tested for HIV "&amp;$Z$20&amp;" "&amp;$Z$21&amp;" is less than TB Cases eligible for Testing"&amp;CHAR(10),""),IF(AA350&gt;AA351," * TB Cases newly tested for HIV "&amp;$Z$20&amp;" "&amp;$AA$21&amp;" is less than TB Cases eligible for Testing"&amp;CHAR(10),""))</f>
        <v/>
      </c>
      <c r="AL350" s="760"/>
      <c r="AM350" s="14">
        <v>319</v>
      </c>
      <c r="AN350" s="82"/>
      <c r="AO350" s="171"/>
    </row>
    <row r="351" spans="1:41" s="301" customFormat="1" ht="25.5" x14ac:dyDescent="0.75">
      <c r="A351" s="882"/>
      <c r="B351" s="225" t="s">
        <v>548</v>
      </c>
      <c r="C351" s="85" t="s">
        <v>540</v>
      </c>
      <c r="D351" s="299"/>
      <c r="E351" s="300"/>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375"/>
      <c r="AB351" s="434"/>
      <c r="AC351" s="401"/>
      <c r="AD351" s="401"/>
      <c r="AE351" s="401"/>
      <c r="AF351" s="401"/>
      <c r="AG351" s="357"/>
      <c r="AH351" s="199">
        <f t="shared" si="126"/>
        <v>0</v>
      </c>
      <c r="AI351" s="32" t="str">
        <f>CONCATENATE(IF(D347&lt;D351," * TB Cases newly tested for HIV "&amp;$D$20&amp;" "&amp;$D$21&amp;" is more than Total TB Cases New and relapsed"&amp;CHAR(10),""),IF(E347&lt;E351," * TB Cases newly tested for HIV "&amp;$D$20&amp;" "&amp;$E$21&amp;" is more than Total TB Cases New and relapsed"&amp;CHAR(10),""),IF(F347&lt;F351," * TB Cases newly tested for HIV "&amp;$F$20&amp;" "&amp;$F$21&amp;" is more than Total TB Cases New and relapsed"&amp;CHAR(10),""),IF(G347&lt;G351," * TB Cases newly tested for HIV "&amp;$F$20&amp;" "&amp;$G$21&amp;" is more than Total TB Cases New and relapsed"&amp;CHAR(10),""),IF(H347&lt;H351," * TB Cases newly tested for HIV "&amp;$H$20&amp;" "&amp;$H$21&amp;" is more than Total TB Cases New and relapsed"&amp;CHAR(10),""),IF(I347&lt;I351," * TB Cases newly tested for HIV "&amp;$H$20&amp;" "&amp;$I$21&amp;" is more than Total TB Cases New and relapsed"&amp;CHAR(10),""),IF(J347&lt;J351," * TB Cases newly tested for HIV "&amp;$J$20&amp;" "&amp;$J$21&amp;" is more than Total TB Cases New and relapsed"&amp;CHAR(10),""),IF(K347&lt;K351," * TB Cases newly tested for HIV "&amp;$J$20&amp;" "&amp;$K$21&amp;" is more than Total TB Cases New and relapsed"&amp;CHAR(10),""),IF(L347&lt;L351," * TB Cases newly tested for HIV "&amp;$L$20&amp;" "&amp;$L$21&amp;" is more than Total TB Cases New and relapsed"&amp;CHAR(10),""),IF(M347&lt;M351," * TB Cases newly tested for HIV "&amp;$L$20&amp;" "&amp;$M$21&amp;" is more than Total TB Cases New and relapsed"&amp;CHAR(10),""),IF(N347&lt;N351," * TB Cases newly tested for HIV "&amp;$N$20&amp;" "&amp;$N$21&amp;" is more than Total TB Cases New and relapsed"&amp;CHAR(10),""),IF(O347&lt;O351," * TB Cases newly tested for HIV "&amp;$N$20&amp;" "&amp;$O$21&amp;" is more than Total TB Cases New and relapsed"&amp;CHAR(10),""),IF(P347&lt;P351," * TB Cases newly tested for HIV "&amp;$P$20&amp;" "&amp;$P$21&amp;" is more than Total TB Cases New and relapsed"&amp;CHAR(10),""),IF(Q347&lt;Q351," * TB Cases newly tested for HIV "&amp;$P$20&amp;" "&amp;$Q$21&amp;" is more than Total TB Cases New and relapsed"&amp;CHAR(10),""),IF(R347&lt;R351," * TB Cases newly tested for HIV "&amp;$R$20&amp;" "&amp;$R$21&amp;" is more than Total TB Cases New and relapsed"&amp;CHAR(10),""),IF(S347&lt;S351," * TB Cases newly tested for HIV "&amp;$R$20&amp;" "&amp;$S$21&amp;" is more than Total TB Cases New and relapsed"&amp;CHAR(10),""),IF(T347&lt;T351," * TB Cases newly tested for HIV "&amp;$T$20&amp;" "&amp;$T$21&amp;" is more than Total TB Cases New and relapsed"&amp;CHAR(10),""),IF(U347&lt;U351," * TB Cases newly tested for HIV "&amp;$T$20&amp;" "&amp;$U$21&amp;" is more than Total TB Cases New and relapsed"&amp;CHAR(10),""),IF(V347&lt;V351," * TB Cases newly tested for HIV "&amp;$V$20&amp;" "&amp;$V$21&amp;" is more than Total TB Cases New and relapsed"&amp;CHAR(10),""),IF(W347&lt;W351," * TB Cases newly tested for HIV "&amp;$V$20&amp;" "&amp;$W$21&amp;" is more than Total TB Cases New and relapsed"&amp;CHAR(10),""),IF(X347&lt;X351," * TB Cases newly tested for HIV "&amp;$X$20&amp;" "&amp;$X$21&amp;" is more than Total TB Cases New and relapsed"&amp;CHAR(10),""),IF(Y347&lt;Y351," * TB Cases newly tested for HIV "&amp;$X$20&amp;" "&amp;$Y$21&amp;" is more than Total TB Cases New and relapsed"&amp;CHAR(10),""),IF(Z347&lt;Z351," * TB Cases newly tested for HIV "&amp;$Z$20&amp;" "&amp;$Z$21&amp;" is more than Total TB Cases New and relapsed"&amp;CHAR(10),""),IF(AA347&lt;AA351," * TB Cases newly tested for HIV "&amp;$Z$20&amp;" "&amp;$AA$21&amp;" is more than Total TB Cases New and relapsed"&amp;CHAR(10),""))</f>
        <v/>
      </c>
      <c r="AJ351" s="656"/>
      <c r="AK351" s="66"/>
      <c r="AL351" s="760"/>
      <c r="AM351" s="14">
        <v>320</v>
      </c>
      <c r="AN351" s="89"/>
      <c r="AO351" s="171"/>
    </row>
    <row r="352" spans="1:41" s="15" customFormat="1" ht="25.5" x14ac:dyDescent="0.75">
      <c r="A352" s="882"/>
      <c r="B352" s="298" t="s">
        <v>527</v>
      </c>
      <c r="C352" s="85" t="s">
        <v>541</v>
      </c>
      <c r="D352" s="299"/>
      <c r="E352" s="300"/>
      <c r="F352" s="186">
        <f t="shared" ref="F352:AA352" si="128">F351+F348</f>
        <v>0</v>
      </c>
      <c r="G352" s="186">
        <f t="shared" si="128"/>
        <v>0</v>
      </c>
      <c r="H352" s="186">
        <f t="shared" si="128"/>
        <v>0</v>
      </c>
      <c r="I352" s="186">
        <f t="shared" si="128"/>
        <v>0</v>
      </c>
      <c r="J352" s="186">
        <f t="shared" si="128"/>
        <v>0</v>
      </c>
      <c r="K352" s="186">
        <f t="shared" si="128"/>
        <v>0</v>
      </c>
      <c r="L352" s="186">
        <f t="shared" si="128"/>
        <v>0</v>
      </c>
      <c r="M352" s="186">
        <f t="shared" si="128"/>
        <v>0</v>
      </c>
      <c r="N352" s="186">
        <f t="shared" si="128"/>
        <v>0</v>
      </c>
      <c r="O352" s="186">
        <f t="shared" si="128"/>
        <v>0</v>
      </c>
      <c r="P352" s="186">
        <f t="shared" si="128"/>
        <v>0</v>
      </c>
      <c r="Q352" s="186">
        <f t="shared" si="128"/>
        <v>0</v>
      </c>
      <c r="R352" s="186">
        <f t="shared" si="128"/>
        <v>0</v>
      </c>
      <c r="S352" s="186">
        <f t="shared" si="128"/>
        <v>0</v>
      </c>
      <c r="T352" s="186">
        <f t="shared" si="128"/>
        <v>0</v>
      </c>
      <c r="U352" s="186">
        <f t="shared" si="128"/>
        <v>0</v>
      </c>
      <c r="V352" s="186">
        <f t="shared" si="128"/>
        <v>0</v>
      </c>
      <c r="W352" s="186">
        <f t="shared" si="128"/>
        <v>0</v>
      </c>
      <c r="X352" s="186">
        <f t="shared" si="128"/>
        <v>0</v>
      </c>
      <c r="Y352" s="186">
        <f t="shared" si="128"/>
        <v>0</v>
      </c>
      <c r="Z352" s="186">
        <f t="shared" si="128"/>
        <v>0</v>
      </c>
      <c r="AA352" s="384">
        <f t="shared" si="128"/>
        <v>0</v>
      </c>
      <c r="AB352" s="434"/>
      <c r="AC352" s="401"/>
      <c r="AD352" s="401"/>
      <c r="AE352" s="401"/>
      <c r="AF352" s="401"/>
      <c r="AG352" s="357"/>
      <c r="AH352" s="199">
        <f t="shared" si="126"/>
        <v>0</v>
      </c>
      <c r="AI352" s="32" t="str">
        <f>CONCATENATE(IF(D347&lt;D352," * TB cases with documented HIV status "&amp;$D$20&amp;" "&amp;$D$21&amp;" is more than Total TB Cases New and relapsed"&amp;CHAR(10),""),IF(E347&lt;E352," * TB cases with documented HIV status "&amp;$D$20&amp;" "&amp;$E$21&amp;" is more than Total TB Cases New and relapsed"&amp;CHAR(10),""),IF(F347&lt;F352," * TB cases with documented HIV status "&amp;$F$20&amp;" "&amp;$F$21&amp;" is more than Total TB Cases New and relapsed"&amp;CHAR(10),""),IF(G347&lt;G352," * TB cases with documented HIV status "&amp;$F$20&amp;" "&amp;$G$21&amp;" is more than Total TB Cases New and relapsed"&amp;CHAR(10),""),IF(H347&lt;H352," * TB cases with documented HIV status "&amp;$H$20&amp;" "&amp;$H$21&amp;" is more than Total TB Cases New and relapsed"&amp;CHAR(10),""),IF(I347&lt;I352," * TB cases with documented HIV status "&amp;$H$20&amp;" "&amp;$I$21&amp;" is more than Total TB Cases New and relapsed"&amp;CHAR(10),""),IF(J347&lt;J352," * TB cases with documented HIV status "&amp;$J$20&amp;" "&amp;$J$21&amp;" is more than Total TB Cases New and relapsed"&amp;CHAR(10),""),IF(K347&lt;K352," * TB cases with documented HIV status "&amp;$J$20&amp;" "&amp;$K$21&amp;" is more than Total TB Cases New and relapsed"&amp;CHAR(10),""),IF(L347&lt;L352," * TB cases with documented HIV status "&amp;$L$20&amp;" "&amp;$L$21&amp;" is more than Total TB Cases New and relapsed"&amp;CHAR(10),""),IF(M347&lt;M352," * TB cases with documented HIV status "&amp;$L$20&amp;" "&amp;$M$21&amp;" is more than Total TB Cases New and relapsed"&amp;CHAR(10),""),IF(N347&lt;N352," * TB cases with documented HIV status "&amp;$N$20&amp;" "&amp;$N$21&amp;" is more than Total TB Cases New and relapsed"&amp;CHAR(10),""),IF(O347&lt;O352," * TB cases with documented HIV status "&amp;$N$20&amp;" "&amp;$O$21&amp;" is more than Total TB Cases New and relapsed"&amp;CHAR(10),""),IF(P347&lt;P352," * TB cases with documented HIV status "&amp;$P$20&amp;" "&amp;$P$21&amp;" is more than Total TB Cases New and relapsed"&amp;CHAR(10),""),IF(Q347&lt;Q352," * TB cases with documented HIV status "&amp;$P$20&amp;" "&amp;$Q$21&amp;" is more than Total TB Cases New and relapsed"&amp;CHAR(10),""),IF(R347&lt;R352," * TB cases with documented HIV status "&amp;$R$20&amp;" "&amp;$R$21&amp;" is more than Total TB Cases New and relapsed"&amp;CHAR(10),""),IF(S347&lt;S352," * TB cases with documented HIV status "&amp;$R$20&amp;" "&amp;$S$21&amp;" is more than Total TB Cases New and relapsed"&amp;CHAR(10),""),IF(T347&lt;T352," * TB cases with documented HIV status "&amp;$T$20&amp;" "&amp;$T$21&amp;" is more than Total TB Cases New and relapsed"&amp;CHAR(10),""),IF(U347&lt;U352," * TB cases with documented HIV status "&amp;$T$20&amp;" "&amp;$U$21&amp;" is more than Total TB Cases New and relapsed"&amp;CHAR(10),""),IF(V347&lt;V352," * TB cases with documented HIV status "&amp;$V$20&amp;" "&amp;$V$21&amp;" is more than Total TB Cases New and relapsed"&amp;CHAR(10),""),IF(W347&lt;W352," * TB cases with documented HIV status "&amp;$V$20&amp;" "&amp;$W$21&amp;" is more than Total TB Cases New and relapsed"&amp;CHAR(10),""),IF(X347&lt;X352," * TB cases with documented HIV status "&amp;$X$20&amp;" "&amp;$X$21&amp;" is more than Total TB Cases New and relapsed"&amp;CHAR(10),""),IF(Y347&lt;Y352," * TB cases with documented HIV status "&amp;$X$20&amp;" "&amp;$Y$21&amp;" is more than Total TB Cases New and relapsed"&amp;CHAR(10),""),IF(Z347&lt;Z352," * TB cases with documented HIV status "&amp;$Z$20&amp;" "&amp;$Z$21&amp;" is more than Total TB Cases New and relapsed"&amp;CHAR(10),""),IF(AA347&lt;AA352," * TB cases with documented HIV status "&amp;$Z$20&amp;" "&amp;$AA$21&amp;" is more than Total TB Cases New and relapsed"&amp;CHAR(10),""))</f>
        <v/>
      </c>
      <c r="AJ352" s="656"/>
      <c r="AK352" s="33"/>
      <c r="AL352" s="760"/>
      <c r="AM352" s="14">
        <v>321</v>
      </c>
      <c r="AN352" s="82"/>
      <c r="AO352" s="171"/>
    </row>
    <row r="353" spans="1:41" ht="25.5" x14ac:dyDescent="0.75">
      <c r="A353" s="882"/>
      <c r="B353" s="225" t="s">
        <v>550</v>
      </c>
      <c r="C353" s="85" t="s">
        <v>542</v>
      </c>
      <c r="D353" s="299"/>
      <c r="E353" s="300"/>
      <c r="F353" s="88"/>
      <c r="G353" s="88"/>
      <c r="H353" s="88"/>
      <c r="I353" s="88"/>
      <c r="J353" s="88"/>
      <c r="K353" s="88"/>
      <c r="L353" s="88"/>
      <c r="M353" s="88"/>
      <c r="N353" s="88"/>
      <c r="O353" s="88"/>
      <c r="P353" s="88"/>
      <c r="Q353" s="88"/>
      <c r="R353" s="88"/>
      <c r="S353" s="88"/>
      <c r="T353" s="88"/>
      <c r="U353" s="88"/>
      <c r="V353" s="88"/>
      <c r="W353" s="88"/>
      <c r="X353" s="88"/>
      <c r="Y353" s="88"/>
      <c r="Z353" s="88"/>
      <c r="AA353" s="362"/>
      <c r="AB353" s="434"/>
      <c r="AC353" s="401"/>
      <c r="AD353" s="401"/>
      <c r="AE353" s="401"/>
      <c r="AF353" s="401"/>
      <c r="AG353" s="357"/>
      <c r="AH353" s="199">
        <f t="shared" si="126"/>
        <v>0</v>
      </c>
      <c r="AI353" s="32" t="str">
        <f>CONCATENATE(IF(D351&lt;D353," * Newly Tested Positives "&amp;$D$20&amp;" "&amp;$D$21&amp;" is more than TB Cases newly tested for HIV"&amp;CHAR(10),""),IF(E351&lt;E353," * Newly Tested Positives "&amp;$D$20&amp;" "&amp;$E$21&amp;" is more than TB Cases newly tested for HIV"&amp;CHAR(10),""),IF(F351&lt;F353," * Newly Tested Positives "&amp;$F$20&amp;" "&amp;$F$21&amp;" is more than TB Cases newly tested for HIV"&amp;CHAR(10),""),IF(G351&lt;G353," * Newly Tested Positives "&amp;$F$20&amp;" "&amp;$G$21&amp;" is more than TB Cases newly tested for HIV"&amp;CHAR(10),""),IF(H351&lt;H353," * Newly Tested Positives "&amp;$H$20&amp;" "&amp;$H$21&amp;" is more than TB Cases newly tested for HIV"&amp;CHAR(10),""),IF(I351&lt;I353," * Newly Tested Positives "&amp;$H$20&amp;" "&amp;$I$21&amp;" is more than TB Cases newly tested for HIV"&amp;CHAR(10),""),IF(J351&lt;J353," * Newly Tested Positives "&amp;$J$20&amp;" "&amp;$J$21&amp;" is more than TB Cases newly tested for HIV"&amp;CHAR(10),""),IF(K351&lt;K353," * Newly Tested Positives "&amp;$J$20&amp;" "&amp;$K$21&amp;" is more than TB Cases newly tested for HIV"&amp;CHAR(10),""),IF(L351&lt;L353," * Newly Tested Positives "&amp;$L$20&amp;" "&amp;$L$21&amp;" is more than TB Cases newly tested for HIV"&amp;CHAR(10),""),IF(M351&lt;M353," * Newly Tested Positives "&amp;$L$20&amp;" "&amp;$M$21&amp;" is more than TB Cases newly tested for HIV"&amp;CHAR(10),""),IF(N351&lt;N353," * Newly Tested Positives "&amp;$N$20&amp;" "&amp;$N$21&amp;" is more than TB Cases newly tested for HIV"&amp;CHAR(10),""),IF(O351&lt;O353," * Newly Tested Positives "&amp;$N$20&amp;" "&amp;$O$21&amp;" is more than TB Cases newly tested for HIV"&amp;CHAR(10),""),IF(P351&lt;P353," * Newly Tested Positives "&amp;$P$20&amp;" "&amp;$P$21&amp;" is more than TB Cases newly tested for HIV"&amp;CHAR(10),""),IF(Q351&lt;Q353," * Newly Tested Positives "&amp;$P$20&amp;" "&amp;$Q$21&amp;" is more than TB Cases newly tested for HIV"&amp;CHAR(10),""),IF(R351&lt;R353," * Newly Tested Positives "&amp;$R$20&amp;" "&amp;$R$21&amp;" is more than TB Cases newly tested for HIV"&amp;CHAR(10),""),IF(S351&lt;S353," * Newly Tested Positives "&amp;$R$20&amp;" "&amp;$S$21&amp;" is more than TB Cases newly tested for HIV"&amp;CHAR(10),""),IF(T351&lt;T353," * Newly Tested Positives "&amp;$T$20&amp;" "&amp;$T$21&amp;" is more than TB Cases newly tested for HIV"&amp;CHAR(10),""),IF(U351&lt;U353," * Newly Tested Positives "&amp;$T$20&amp;" "&amp;$U$21&amp;" is more than TB Cases newly tested for HIV"&amp;CHAR(10),""),IF(V351&lt;V353," * Newly Tested Positives "&amp;$V$20&amp;" "&amp;$V$21&amp;" is more than TB Cases newly tested for HIV"&amp;CHAR(10),""),IF(W351&lt;W353," * Newly Tested Positives "&amp;$V$20&amp;" "&amp;$W$21&amp;" is more than TB Cases newly tested for HIV"&amp;CHAR(10),""),IF(X351&lt;X353," * Newly Tested Positives "&amp;$X$20&amp;" "&amp;$X$21&amp;" is more than TB Cases newly tested for HIV"&amp;CHAR(10),""),IF(Y351&lt;Y353," * Newly Tested Positives "&amp;$X$20&amp;" "&amp;$Y$21&amp;" is more than TB Cases newly tested for HIV"&amp;CHAR(10),""),IF(Z351&lt;Z353," * Newly Tested Positives "&amp;$Z$20&amp;" "&amp;$Z$21&amp;" is more than TB Cases newly tested for HIV"&amp;CHAR(10),""),IF(AA351&lt;AA353," * Newly Tested Positives "&amp;$Z$20&amp;" "&amp;$AA$21&amp;" is more than TB Cases newly tested for HIV"&amp;CHAR(10),""))</f>
        <v/>
      </c>
      <c r="AJ353" s="656"/>
      <c r="AK353" s="33"/>
      <c r="AL353" s="760"/>
      <c r="AM353" s="14">
        <v>322</v>
      </c>
      <c r="AN353" s="82"/>
      <c r="AO353" s="83"/>
    </row>
    <row r="354" spans="1:41" ht="25.9" thickBot="1" x14ac:dyDescent="0.8">
      <c r="A354" s="882"/>
      <c r="B354" s="251" t="s">
        <v>543</v>
      </c>
      <c r="C354" s="595" t="s">
        <v>544</v>
      </c>
      <c r="D354" s="302"/>
      <c r="E354" s="129"/>
      <c r="F354" s="303">
        <f t="shared" ref="F354:AA354" si="129">F353+F348</f>
        <v>0</v>
      </c>
      <c r="G354" s="303">
        <f t="shared" si="129"/>
        <v>0</v>
      </c>
      <c r="H354" s="303">
        <f t="shared" si="129"/>
        <v>0</v>
      </c>
      <c r="I354" s="303">
        <f t="shared" si="129"/>
        <v>0</v>
      </c>
      <c r="J354" s="303">
        <f t="shared" si="129"/>
        <v>0</v>
      </c>
      <c r="K354" s="303">
        <f t="shared" si="129"/>
        <v>0</v>
      </c>
      <c r="L354" s="303">
        <f t="shared" si="129"/>
        <v>0</v>
      </c>
      <c r="M354" s="303">
        <f t="shared" si="129"/>
        <v>0</v>
      </c>
      <c r="N354" s="303">
        <f t="shared" si="129"/>
        <v>0</v>
      </c>
      <c r="O354" s="303">
        <f t="shared" si="129"/>
        <v>0</v>
      </c>
      <c r="P354" s="303">
        <f t="shared" si="129"/>
        <v>0</v>
      </c>
      <c r="Q354" s="303">
        <f t="shared" si="129"/>
        <v>0</v>
      </c>
      <c r="R354" s="303">
        <f t="shared" si="129"/>
        <v>0</v>
      </c>
      <c r="S354" s="303">
        <f t="shared" si="129"/>
        <v>0</v>
      </c>
      <c r="T354" s="303">
        <f t="shared" si="129"/>
        <v>0</v>
      </c>
      <c r="U354" s="303">
        <f t="shared" si="129"/>
        <v>0</v>
      </c>
      <c r="V354" s="303">
        <f t="shared" si="129"/>
        <v>0</v>
      </c>
      <c r="W354" s="303">
        <f t="shared" si="129"/>
        <v>0</v>
      </c>
      <c r="X354" s="303">
        <f t="shared" si="129"/>
        <v>0</v>
      </c>
      <c r="Y354" s="303">
        <f t="shared" si="129"/>
        <v>0</v>
      </c>
      <c r="Z354" s="303">
        <f t="shared" si="129"/>
        <v>0</v>
      </c>
      <c r="AA354" s="413">
        <f t="shared" si="129"/>
        <v>0</v>
      </c>
      <c r="AB354" s="434"/>
      <c r="AC354" s="401"/>
      <c r="AD354" s="401"/>
      <c r="AE354" s="401"/>
      <c r="AF354" s="401"/>
      <c r="AG354" s="357"/>
      <c r="AH354" s="439">
        <f t="shared" si="126"/>
        <v>0</v>
      </c>
      <c r="AI354" s="596"/>
      <c r="AJ354" s="656"/>
      <c r="AK354" s="33"/>
      <c r="AL354" s="760"/>
      <c r="AM354" s="14">
        <v>323</v>
      </c>
      <c r="AN354" s="82"/>
      <c r="AO354" s="83"/>
    </row>
    <row r="355" spans="1:41" ht="51" x14ac:dyDescent="0.75">
      <c r="A355" s="882"/>
      <c r="B355" s="304" t="s">
        <v>547</v>
      </c>
      <c r="C355" s="594" t="s">
        <v>545</v>
      </c>
      <c r="D355" s="305"/>
      <c r="E355" s="306"/>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365"/>
      <c r="AB355" s="434"/>
      <c r="AC355" s="401"/>
      <c r="AD355" s="401"/>
      <c r="AE355" s="401"/>
      <c r="AF355" s="401"/>
      <c r="AG355" s="357"/>
      <c r="AH355" s="214">
        <f t="shared" si="126"/>
        <v>0</v>
      </c>
      <c r="AI355" s="32"/>
      <c r="AJ355" s="656"/>
      <c r="AK355" s="32" t="str">
        <f>CONCATENATE(IF(D353&gt;D355," * Newly Tested Positives "&amp;$D$20&amp;" "&amp;$D$21&amp;" is more than Total Positive Clients newly started on ART"&amp;CHAR(10),""),IF(E353&gt;E355," * Newly Tested Positives "&amp;$D$20&amp;" "&amp;$E$21&amp;" is more than Total Positive Clients newly started on ART"&amp;CHAR(10),""),IF(F353&gt;F355," * Newly Tested Positives "&amp;$F$20&amp;" "&amp;$F$21&amp;" is more than Total Positive Clients newly started on ART"&amp;CHAR(10),""),IF(G353&gt;G355," * Newly Tested Positives "&amp;$F$20&amp;" "&amp;$G$21&amp;" is more than Total Positive Clients newly started on ART"&amp;CHAR(10),""),IF(H353&gt;H355," * Newly Tested Positives "&amp;$H$20&amp;" "&amp;$H$21&amp;" is more than Total Positive Clients newly started on ART"&amp;CHAR(10),""),IF(I353&gt;I355," * Newly Tested Positives "&amp;$H$20&amp;" "&amp;$I$21&amp;" is more than Total Positive Clients newly started on ART"&amp;CHAR(10),""),IF(J353&gt;J355," * Newly Tested Positives "&amp;$J$20&amp;" "&amp;$J$21&amp;" is more than Total Positive Clients newly started on ART"&amp;CHAR(10),""),IF(K353&gt;K355," * Newly Tested Positives "&amp;$J$20&amp;" "&amp;$K$21&amp;" is more than Total Positive Clients newly started on ART"&amp;CHAR(10),""),IF(L353&gt;L355," * Newly Tested Positives "&amp;$L$20&amp;" "&amp;$L$21&amp;" is more than Total Positive Clients newly started on ART"&amp;CHAR(10),""),IF(M353&gt;M355," * Newly Tested Positives "&amp;$L$20&amp;" "&amp;$M$21&amp;" is more than Total Positive Clients newly started on ART"&amp;CHAR(10),""),IF(N353&gt;N355," * Newly Tested Positives "&amp;$N$20&amp;" "&amp;$N$21&amp;" is more than Total Positive Clients newly started on ART"&amp;CHAR(10),""),IF(O353&gt;O355," * Newly Tested Positives "&amp;$N$20&amp;" "&amp;$O$21&amp;" is more than Total Positive Clients newly started on ART"&amp;CHAR(10),""),IF(P353&gt;P355," * Newly Tested Positives "&amp;$P$20&amp;" "&amp;$P$21&amp;" is more than Total Positive Clients newly started on ART"&amp;CHAR(10),""),IF(Q353&gt;Q355," * Newly Tested Positives "&amp;$P$20&amp;" "&amp;$Q$21&amp;" is more than Total Positive Clients newly started on ART"&amp;CHAR(10),""),IF(R353&gt;R355," * Newly Tested Positives "&amp;$R$20&amp;" "&amp;$R$21&amp;" is more than Total Positive Clients newly started on ART"&amp;CHAR(10),""),IF(S353&gt;S355," * Newly Tested Positives "&amp;$R$20&amp;" "&amp;$S$21&amp;" is more than Total Positive Clients newly started on ART"&amp;CHAR(10),""),IF(T353&gt;T355," * Newly Tested Positives "&amp;$T$20&amp;" "&amp;$T$21&amp;" is more than Total Positive Clients newly started on ART"&amp;CHAR(10),""),IF(U353&gt;U355," * Newly Tested Positives "&amp;$T$20&amp;" "&amp;$U$21&amp;" is more than Total Positive Clients newly started on ART"&amp;CHAR(10),""),IF(V353&gt;V355," * Newly Tested Positives "&amp;$V$20&amp;" "&amp;$V$21&amp;" is more than Total Positive Clients newly started on ART"&amp;CHAR(10),""),IF(W353&gt;W355," * Newly Tested Positives "&amp;$V$20&amp;" "&amp;$W$21&amp;" is more than Total Positive Clients newly started on ART"&amp;CHAR(10),""),IF(X353&gt;X355," * Newly Tested Positives "&amp;$X$20&amp;" "&amp;$X$21&amp;" is more than Total Positive Clients newly started on ART"&amp;CHAR(10),""),IF(Y353&gt;Y355," * Newly Tested Positives "&amp;$X$20&amp;" "&amp;$Y$21&amp;" is more than Total Positive Clients newly started on ART"&amp;CHAR(10),""),IF(Z353&gt;Z355," * Newly Tested Positives "&amp;$Z$20&amp;" "&amp;$Z$21&amp;" is more than Total Positive Clients newly started on ART"&amp;CHAR(10),""),IF(AA353&gt;AA355," * Newly Tested Positives "&amp;$Z$20&amp;" "&amp;$AA$21&amp;" is more than Total Positive Clients newly started on ART"&amp;CHAR(10),""))</f>
        <v/>
      </c>
      <c r="AL355" s="760"/>
      <c r="AM355" s="14">
        <v>324</v>
      </c>
      <c r="AN355" s="82"/>
      <c r="AO355" s="83"/>
    </row>
    <row r="356" spans="1:41" ht="51" x14ac:dyDescent="0.75">
      <c r="A356" s="882"/>
      <c r="B356" s="307" t="s">
        <v>549</v>
      </c>
      <c r="C356" s="85" t="s">
        <v>546</v>
      </c>
      <c r="D356" s="299"/>
      <c r="E356" s="300"/>
      <c r="F356" s="88"/>
      <c r="G356" s="88"/>
      <c r="H356" s="88"/>
      <c r="I356" s="88"/>
      <c r="J356" s="88"/>
      <c r="K356" s="88"/>
      <c r="L356" s="88"/>
      <c r="M356" s="88"/>
      <c r="N356" s="88"/>
      <c r="O356" s="88"/>
      <c r="P356" s="88"/>
      <c r="Q356" s="88"/>
      <c r="R356" s="88"/>
      <c r="S356" s="88"/>
      <c r="T356" s="88"/>
      <c r="U356" s="88"/>
      <c r="V356" s="88"/>
      <c r="W356" s="88"/>
      <c r="X356" s="88"/>
      <c r="Y356" s="88"/>
      <c r="Z356" s="88"/>
      <c r="AA356" s="362"/>
      <c r="AB356" s="434"/>
      <c r="AC356" s="401"/>
      <c r="AD356" s="401"/>
      <c r="AE356" s="401"/>
      <c r="AF356" s="401"/>
      <c r="AG356" s="357"/>
      <c r="AH356" s="199">
        <f t="shared" si="126"/>
        <v>0</v>
      </c>
      <c r="AI356" s="32" t="str">
        <f>CONCATENATE(IF(D348&lt;&gt;D356," * TB Cases Already on ART at entry in TB clinic "&amp;$D$20&amp;" "&amp;$D$21&amp;" is Not equal to  TB cases with known HIV +ve status"&amp;CHAR(10),""),IF(E348&lt;&gt;E356," * TB Cases Already on ART at entry in TB clinic "&amp;$D$20&amp;" "&amp;$E$21&amp;" is Not equal to  TB cases with known HIV +ve status"&amp;CHAR(10),""),IF(F348&lt;&gt;F356," * TB Cases Already on ART at entry in TB clinic "&amp;$F$20&amp;" "&amp;$F$21&amp;" is Not equal to  TB cases with known HIV +ve status"&amp;CHAR(10),""),IF(G348&lt;&gt;G356," * TB Cases Already on ART at entry in TB clinic "&amp;$F$20&amp;" "&amp;$G$21&amp;" is Not equal to  TB cases with known HIV +ve status"&amp;CHAR(10),""),IF(H348&lt;&gt;H356," * TB Cases Already on ART at entry in TB clinic "&amp;$H$20&amp;" "&amp;$H$21&amp;" is Not equal to  TB cases with known HIV +ve status"&amp;CHAR(10),""),IF(I348&lt;&gt;I356," * TB Cases Already on ART at entry in TB clinic "&amp;$H$20&amp;" "&amp;$I$21&amp;" is Not equal to  TB cases with known HIV +ve status"&amp;CHAR(10),""),IF(J348&lt;&gt;J356," * TB Cases Already on ART at entry in TB clinic "&amp;$J$20&amp;" "&amp;$J$21&amp;" is Not equal to  TB cases with known HIV +ve status"&amp;CHAR(10),""),IF(K348&lt;&gt;K356," * TB Cases Already on ART at entry in TB clinic "&amp;$J$20&amp;" "&amp;$K$21&amp;" is Not equal to  TB cases with known HIV +ve status"&amp;CHAR(10),""),IF(L348&lt;&gt;L356," * TB Cases Already on ART at entry in TB clinic "&amp;$L$20&amp;" "&amp;$L$21&amp;" is Not equal to  TB cases with known HIV +ve status"&amp;CHAR(10),""),IF(M348&lt;&gt;M356," * TB Cases Already on ART at entry in TB clinic "&amp;$L$20&amp;" "&amp;$M$21&amp;" is Not equal to  TB cases with known HIV +ve status"&amp;CHAR(10),""),IF(N348&lt;&gt;N356," * TB Cases Already on ART at entry in TB clinic "&amp;$N$20&amp;" "&amp;$N$21&amp;" is Not equal to  TB cases with known HIV +ve status"&amp;CHAR(10),""),IF(O348&lt;&gt;O356," * TB Cases Already on ART at entry in TB clinic "&amp;$N$20&amp;" "&amp;$O$21&amp;" is Not equal to  TB cases with known HIV +ve status"&amp;CHAR(10),""),IF(P348&lt;&gt;P356," * TB Cases Already on ART at entry in TB clinic "&amp;$P$20&amp;" "&amp;$P$21&amp;" is Not equal to  TB cases with known HIV +ve status"&amp;CHAR(10),""),IF(Q348&lt;&gt;Q356," * TB Cases Already on ART at entry in TB clinic "&amp;$P$20&amp;" "&amp;$Q$21&amp;" is Not equal to  TB cases with known HIV +ve status"&amp;CHAR(10),""),IF(R348&lt;&gt;R356," * TB Cases Already on ART at entry in TB clinic "&amp;$R$20&amp;" "&amp;$R$21&amp;" is Not equal to  TB cases with known HIV +ve status"&amp;CHAR(10),""),IF(S348&lt;&gt;S356," * TB Cases Already on ART at entry in TB clinic "&amp;$R$20&amp;" "&amp;$S$21&amp;" is Not equal to  TB cases with known HIV +ve status"&amp;CHAR(10),""),IF(T348&lt;&gt;T356," * TB Cases Already on ART at entry in TB clinic "&amp;$T$20&amp;" "&amp;$T$21&amp;" is Not equal to  TB cases with known HIV +ve status"&amp;CHAR(10),""),IF(U348&lt;&gt;U356," * TB Cases Already on ART at entry in TB clinic "&amp;$T$20&amp;" "&amp;$U$21&amp;" is Not equal to  TB cases with known HIV +ve status"&amp;CHAR(10),""),IF(V348&lt;&gt;V356," * TB Cases Already on ART at entry in TB clinic "&amp;$V$20&amp;" "&amp;$V$21&amp;" is Not equal to  TB cases with known HIV +ve status"&amp;CHAR(10),""),IF(W348&lt;&gt;W356," * TB Cases Already on ART at entry in TB clinic "&amp;$V$20&amp;" "&amp;$W$21&amp;" is Not equal to  TB cases with known HIV +ve status"&amp;CHAR(10),""),IF(X348&lt;&gt;X356," * TB Cases Already on ART at entry in TB clinic "&amp;$X$20&amp;" "&amp;$X$21&amp;" is Not equal to  TB cases with known HIV +ve status"&amp;CHAR(10),""),IF(Y348&lt;&gt;Y356," * TB Cases Already on ART at entry in TB clinic "&amp;$X$20&amp;" "&amp;$Y$21&amp;" is Not equal to  TB cases with known HIV +ve status"&amp;CHAR(10),""),IF(Z348&lt;&gt;Z356," * TB Cases Already on ART at entry in TB clinic "&amp;$Z$20&amp;" "&amp;$Z$21&amp;" is Not equal to  TB cases with known HIV +ve status"&amp;CHAR(10),""),IF(AA348&lt;&gt;AA356," * TB Cases Already on ART at entry in TB clinic "&amp;$Z$20&amp;" "&amp;$AA$21&amp;" is Not equal to  TB cases with known HIV +ve status"&amp;CHAR(10),""))</f>
        <v/>
      </c>
      <c r="AJ356" s="656"/>
      <c r="AK356" s="33"/>
      <c r="AL356" s="760"/>
      <c r="AM356" s="14">
        <v>325</v>
      </c>
      <c r="AN356" s="82"/>
      <c r="AO356" s="83"/>
    </row>
    <row r="357" spans="1:41" s="92" customFormat="1" ht="25.9" thickBot="1" x14ac:dyDescent="0.5">
      <c r="A357" s="883"/>
      <c r="B357" s="308" t="s">
        <v>555</v>
      </c>
      <c r="C357" s="597" t="s">
        <v>554</v>
      </c>
      <c r="D357" s="182"/>
      <c r="E357" s="16"/>
      <c r="F357" s="296">
        <f t="shared" ref="F357:AA357" si="130">F356+F355</f>
        <v>0</v>
      </c>
      <c r="G357" s="296">
        <f t="shared" si="130"/>
        <v>0</v>
      </c>
      <c r="H357" s="296">
        <f t="shared" si="130"/>
        <v>0</v>
      </c>
      <c r="I357" s="296">
        <f t="shared" si="130"/>
        <v>0</v>
      </c>
      <c r="J357" s="296">
        <f t="shared" si="130"/>
        <v>0</v>
      </c>
      <c r="K357" s="296">
        <f t="shared" si="130"/>
        <v>0</v>
      </c>
      <c r="L357" s="296">
        <f t="shared" si="130"/>
        <v>0</v>
      </c>
      <c r="M357" s="296">
        <f t="shared" si="130"/>
        <v>0</v>
      </c>
      <c r="N357" s="296">
        <f t="shared" si="130"/>
        <v>0</v>
      </c>
      <c r="O357" s="296">
        <f t="shared" si="130"/>
        <v>0</v>
      </c>
      <c r="P357" s="296">
        <f t="shared" si="130"/>
        <v>0</v>
      </c>
      <c r="Q357" s="296">
        <f t="shared" si="130"/>
        <v>0</v>
      </c>
      <c r="R357" s="296">
        <f t="shared" si="130"/>
        <v>0</v>
      </c>
      <c r="S357" s="296">
        <f t="shared" si="130"/>
        <v>0</v>
      </c>
      <c r="T357" s="296">
        <f t="shared" si="130"/>
        <v>0</v>
      </c>
      <c r="U357" s="296">
        <f t="shared" si="130"/>
        <v>0</v>
      </c>
      <c r="V357" s="296">
        <f t="shared" si="130"/>
        <v>0</v>
      </c>
      <c r="W357" s="296">
        <f t="shared" si="130"/>
        <v>0</v>
      </c>
      <c r="X357" s="296">
        <f t="shared" si="130"/>
        <v>0</v>
      </c>
      <c r="Y357" s="296">
        <f t="shared" si="130"/>
        <v>0</v>
      </c>
      <c r="Z357" s="296">
        <f t="shared" si="130"/>
        <v>0</v>
      </c>
      <c r="AA357" s="412">
        <f t="shared" si="130"/>
        <v>0</v>
      </c>
      <c r="AB357" s="435"/>
      <c r="AC357" s="436"/>
      <c r="AD357" s="436"/>
      <c r="AE357" s="436"/>
      <c r="AF357" s="436"/>
      <c r="AG357" s="358"/>
      <c r="AH357" s="218">
        <f t="shared" si="126"/>
        <v>0</v>
      </c>
      <c r="AI357" s="309" t="str">
        <f>CONCATENATE(IF(D352&lt;D357," * HIV coinfected clients started on ART "&amp;$D$20&amp;" "&amp;$D$21&amp;" is more than TB cases with documented HIV status"&amp;CHAR(10),""),IF(E352&lt;E357," * HIV coinfected clients started on ART "&amp;$D$20&amp;" "&amp;$E$21&amp;" is more than TB cases with documented HIV status"&amp;CHAR(10),""),IF(F352&lt;F357," * HIV coinfected clients started on ART "&amp;$F$20&amp;" "&amp;$F$21&amp;" is more than TB cases with documented HIV status"&amp;CHAR(10),""),IF(G352&lt;G357," * HIV coinfected clients started on ART "&amp;$F$20&amp;" "&amp;$G$21&amp;" is more than TB cases with documented HIV status"&amp;CHAR(10),""),IF(H352&lt;H357," * HIV coinfected clients started on ART "&amp;$H$20&amp;" "&amp;$H$21&amp;" is more than TB cases with documented HIV status"&amp;CHAR(10),""),IF(I352&lt;I357," * HIV coinfected clients started on ART "&amp;$H$20&amp;" "&amp;$I$21&amp;" is more than TB cases with documented HIV status"&amp;CHAR(10),""),IF(J352&lt;J357," * HIV coinfected clients started on ART "&amp;$J$20&amp;" "&amp;$J$21&amp;" is more than TB cases with documented HIV status"&amp;CHAR(10),""),IF(K352&lt;K357," * HIV coinfected clients started on ART "&amp;$J$20&amp;" "&amp;$K$21&amp;" is more than TB cases with documented HIV status"&amp;CHAR(10),""),IF(L352&lt;L357," * HIV coinfected clients started on ART "&amp;$L$20&amp;" "&amp;$L$21&amp;" is more than TB cases with documented HIV status"&amp;CHAR(10),""),IF(M352&lt;M357," * HIV coinfected clients started on ART "&amp;$L$20&amp;" "&amp;$M$21&amp;" is more than TB cases with documented HIV status"&amp;CHAR(10),""),IF(N352&lt;N357," * HIV coinfected clients started on ART "&amp;$N$20&amp;" "&amp;$N$21&amp;" is more than TB cases with documented HIV status"&amp;CHAR(10),""),IF(O352&lt;O357," * HIV coinfected clients started on ART "&amp;$N$20&amp;" "&amp;$O$21&amp;" is more than TB cases with documented HIV status"&amp;CHAR(10),""),IF(P352&lt;P357," * HIV coinfected clients started on ART "&amp;$P$20&amp;" "&amp;$P$21&amp;" is more than TB cases with documented HIV status"&amp;CHAR(10),""),IF(Q352&lt;Q357," * HIV coinfected clients started on ART "&amp;$P$20&amp;" "&amp;$Q$21&amp;" is more than TB cases with documented HIV status"&amp;CHAR(10),""),IF(R352&lt;R357," * HIV coinfected clients started on ART "&amp;$R$20&amp;" "&amp;$R$21&amp;" is more than TB cases with documented HIV status"&amp;CHAR(10),""),IF(S352&lt;S357," * HIV coinfected clients started on ART "&amp;$R$20&amp;" "&amp;$S$21&amp;" is more than TB cases with documented HIV status"&amp;CHAR(10),""),IF(T352&lt;T357," * HIV coinfected clients started on ART "&amp;$T$20&amp;" "&amp;$T$21&amp;" is more than TB cases with documented HIV status"&amp;CHAR(10),""),IF(U352&lt;U357," * HIV coinfected clients started on ART "&amp;$T$20&amp;" "&amp;$U$21&amp;" is more than TB cases with documented HIV status"&amp;CHAR(10),""),IF(V352&lt;V357," * HIV coinfected clients started on ART "&amp;$V$20&amp;" "&amp;$V$21&amp;" is more than TB cases with documented HIV status"&amp;CHAR(10),""),IF(W352&lt;W357," * HIV coinfected clients started on ART "&amp;$V$20&amp;" "&amp;$W$21&amp;" is more than TB cases with documented HIV status"&amp;CHAR(10),""),IF(X352&lt;X357," * HIV coinfected clients started on ART "&amp;$X$20&amp;" "&amp;$X$21&amp;" is more than TB cases with documented HIV status"&amp;CHAR(10),""),IF(Y352&lt;Y357," * HIV coinfected clients started on ART "&amp;$X$20&amp;" "&amp;$Y$21&amp;" is more than TB cases with documented HIV status"&amp;CHAR(10),""),IF(Z352&lt;Z357," * HIV coinfected clients started on ART "&amp;$Z$20&amp;" "&amp;$Z$21&amp;" is more than TB cases with documented HIV status"&amp;CHAR(10),""),IF(AA352&lt;AA357," * HIV coinfected clients started on ART "&amp;$Z$20&amp;" "&amp;$AA$21&amp;" is more than TB cases with documented HIV status"&amp;CHAR(10),""))</f>
        <v/>
      </c>
      <c r="AJ357" s="657"/>
      <c r="AK357" s="310"/>
      <c r="AL357" s="761"/>
      <c r="AM357" s="311">
        <v>326</v>
      </c>
      <c r="AN357" s="90"/>
      <c r="AO357" s="91"/>
    </row>
    <row r="358" spans="1:41" ht="25.9" hidden="1" thickBot="1" x14ac:dyDescent="0.8">
      <c r="A358" s="696" t="s">
        <v>980</v>
      </c>
      <c r="B358" s="696"/>
      <c r="C358" s="696"/>
      <c r="D358" s="696"/>
      <c r="E358" s="696"/>
      <c r="F358" s="696"/>
      <c r="G358" s="696"/>
      <c r="H358" s="696"/>
      <c r="I358" s="696"/>
      <c r="J358" s="696"/>
      <c r="K358" s="696"/>
      <c r="L358" s="696"/>
      <c r="M358" s="696"/>
      <c r="N358" s="696"/>
      <c r="O358" s="696"/>
      <c r="P358" s="696"/>
      <c r="Q358" s="696"/>
      <c r="R358" s="696"/>
      <c r="S358" s="696"/>
      <c r="T358" s="696"/>
      <c r="U358" s="696"/>
      <c r="V358" s="696"/>
      <c r="W358" s="696"/>
      <c r="X358" s="696"/>
      <c r="Y358" s="696"/>
      <c r="Z358" s="696"/>
      <c r="AA358" s="696"/>
      <c r="AB358" s="696"/>
      <c r="AC358" s="696"/>
      <c r="AD358" s="696"/>
      <c r="AE358" s="696"/>
      <c r="AF358" s="696"/>
      <c r="AG358" s="696"/>
      <c r="AH358" s="696"/>
      <c r="AI358" s="697"/>
      <c r="AJ358" s="696"/>
      <c r="AK358" s="698"/>
      <c r="AL358" s="699"/>
      <c r="AM358" s="14">
        <v>327</v>
      </c>
      <c r="AN358" s="82"/>
      <c r="AO358" s="83"/>
    </row>
    <row r="359" spans="1:41" ht="51.4" hidden="1" thickBot="1" x14ac:dyDescent="0.8">
      <c r="A359" s="304" t="s">
        <v>982</v>
      </c>
      <c r="B359" s="304" t="s">
        <v>981</v>
      </c>
      <c r="C359" s="273" t="s">
        <v>979</v>
      </c>
      <c r="D359" s="305"/>
      <c r="E359" s="306"/>
      <c r="F359" s="305"/>
      <c r="G359" s="306"/>
      <c r="H359" s="305"/>
      <c r="I359" s="306"/>
      <c r="J359" s="105"/>
      <c r="K359" s="105"/>
      <c r="L359" s="105"/>
      <c r="M359" s="105"/>
      <c r="N359" s="105"/>
      <c r="O359" s="105"/>
      <c r="P359" s="105"/>
      <c r="Q359" s="105"/>
      <c r="R359" s="105"/>
      <c r="S359" s="105"/>
      <c r="T359" s="105"/>
      <c r="U359" s="105"/>
      <c r="V359" s="105"/>
      <c r="W359" s="105"/>
      <c r="X359" s="105"/>
      <c r="Y359" s="105"/>
      <c r="Z359" s="105"/>
      <c r="AA359" s="105"/>
      <c r="AB359" s="365"/>
      <c r="AC359" s="365"/>
      <c r="AD359" s="365"/>
      <c r="AE359" s="365"/>
      <c r="AF359" s="365"/>
      <c r="AG359" s="365"/>
      <c r="AH359" s="71">
        <f t="shared" ref="AH359" si="131">SUM(D359:AA359)</f>
        <v>0</v>
      </c>
      <c r="AI359" s="32"/>
      <c r="AJ359" s="312"/>
      <c r="AK359" s="313" t="str">
        <f>CONCATENATE(IF(D357&gt;D359," * Newly Tested Positives "&amp;$D$20&amp;" "&amp;$D$21&amp;" is more than Total Positive Clients newly started on ART"&amp;CHAR(10),""),IF(E357&gt;E359," * Newly Tested Positives "&amp;$D$20&amp;" "&amp;$E$21&amp;" is more than Total Positive Clients newly started on ART"&amp;CHAR(10),""),IF(F357&gt;F359," * Newly Tested Positives "&amp;$F$20&amp;" "&amp;$F$21&amp;" is more than Total Positive Clients newly started on ART"&amp;CHAR(10),""),IF(G357&gt;G359," * Newly Tested Positives "&amp;$F$20&amp;" "&amp;$G$21&amp;" is more than Total Positive Clients newly started on ART"&amp;CHAR(10),""),IF(H357&gt;H359," * Newly Tested Positives "&amp;$H$20&amp;" "&amp;$H$21&amp;" is more than Total Positive Clients newly started on ART"&amp;CHAR(10),""),IF(I357&gt;I359," * Newly Tested Positives "&amp;$H$20&amp;" "&amp;$I$21&amp;" is more than Total Positive Clients newly started on ART"&amp;CHAR(10),""),IF(J357&gt;J359," * Newly Tested Positives "&amp;$J$20&amp;" "&amp;$J$21&amp;" is more than Total Positive Clients newly started on ART"&amp;CHAR(10),""),IF(K357&gt;K359," * Newly Tested Positives "&amp;$J$20&amp;" "&amp;$K$21&amp;" is more than Total Positive Clients newly started on ART"&amp;CHAR(10),""),IF(L357&gt;L359," * Newly Tested Positives "&amp;$L$20&amp;" "&amp;$L$21&amp;" is more than Total Positive Clients newly started on ART"&amp;CHAR(10),""),IF(M357&gt;M359," * Newly Tested Positives "&amp;$L$20&amp;" "&amp;$M$21&amp;" is more than Total Positive Clients newly started on ART"&amp;CHAR(10),""),IF(N357&gt;N359," * Newly Tested Positives "&amp;$N$20&amp;" "&amp;$N$21&amp;" is more than Total Positive Clients newly started on ART"&amp;CHAR(10),""),IF(O357&gt;O359," * Newly Tested Positives "&amp;$N$20&amp;" "&amp;$O$21&amp;" is more than Total Positive Clients newly started on ART"&amp;CHAR(10),""),IF(P357&gt;P359," * Newly Tested Positives "&amp;$P$20&amp;" "&amp;$P$21&amp;" is more than Total Positive Clients newly started on ART"&amp;CHAR(10),""),IF(Q357&gt;Q359," * Newly Tested Positives "&amp;$P$20&amp;" "&amp;$Q$21&amp;" is more than Total Positive Clients newly started on ART"&amp;CHAR(10),""),IF(R357&gt;R359," * Newly Tested Positives "&amp;$R$20&amp;" "&amp;$R$21&amp;" is more than Total Positive Clients newly started on ART"&amp;CHAR(10),""),IF(S357&gt;S359," * Newly Tested Positives "&amp;$R$20&amp;" "&amp;$S$21&amp;" is more than Total Positive Clients newly started on ART"&amp;CHAR(10),""),IF(T357&gt;T359," * Newly Tested Positives "&amp;$T$20&amp;" "&amp;$T$21&amp;" is more than Total Positive Clients newly started on ART"&amp;CHAR(10),""),IF(U357&gt;U359," * Newly Tested Positives "&amp;$T$20&amp;" "&amp;$U$21&amp;" is more than Total Positive Clients newly started on ART"&amp;CHAR(10),""),IF(V357&gt;V359," * Newly Tested Positives "&amp;$V$20&amp;" "&amp;$V$21&amp;" is more than Total Positive Clients newly started on ART"&amp;CHAR(10),""),IF(W357&gt;W359," * Newly Tested Positives "&amp;$V$20&amp;" "&amp;$W$21&amp;" is more than Total Positive Clients newly started on ART"&amp;CHAR(10),""),IF(X357&gt;X359," * Newly Tested Positives "&amp;$X$20&amp;" "&amp;$X$21&amp;" is more than Total Positive Clients newly started on ART"&amp;CHAR(10),""),IF(Y357&gt;Y359," * Newly Tested Positives "&amp;$X$20&amp;" "&amp;$Y$21&amp;" is more than Total Positive Clients newly started on ART"&amp;CHAR(10),""),IF(Z357&gt;Z359," * Newly Tested Positives "&amp;$Z$20&amp;" "&amp;$Z$21&amp;" is more than Total Positive Clients newly started on ART"&amp;CHAR(10),""),IF(AA357&gt;AA359," * Newly Tested Positives "&amp;$Z$20&amp;" "&amp;$AA$21&amp;" is more than Total Positive Clients newly started on ART"&amp;CHAR(10),""))</f>
        <v/>
      </c>
      <c r="AL359" s="314"/>
      <c r="AM359" s="14">
        <v>328</v>
      </c>
      <c r="AN359" s="82"/>
      <c r="AO359" s="83"/>
    </row>
    <row r="360" spans="1:41" ht="63" customHeight="1" thickBot="1" x14ac:dyDescent="0.8">
      <c r="A360" s="315" t="s">
        <v>469</v>
      </c>
      <c r="B360" s="316"/>
      <c r="C360" s="317"/>
      <c r="D360" s="318"/>
      <c r="E360" s="318"/>
      <c r="F360" s="8"/>
      <c r="G360" s="8"/>
      <c r="H360" s="318"/>
      <c r="I360" s="8"/>
      <c r="J360" s="8"/>
      <c r="K360" s="318"/>
      <c r="L360" s="318"/>
      <c r="M360" s="8"/>
      <c r="N360" s="8"/>
      <c r="O360" s="8"/>
      <c r="P360" s="318"/>
      <c r="Q360" s="8"/>
      <c r="R360" s="318"/>
      <c r="S360" s="318"/>
      <c r="T360" s="318"/>
      <c r="U360" s="318"/>
      <c r="V360" s="318"/>
      <c r="W360" s="318"/>
      <c r="X360" s="8"/>
      <c r="Y360" s="318"/>
      <c r="Z360" s="318"/>
      <c r="AA360" s="318"/>
      <c r="AB360" s="318"/>
      <c r="AC360" s="318"/>
      <c r="AD360" s="318"/>
      <c r="AE360" s="318"/>
      <c r="AF360" s="318"/>
      <c r="AG360" s="318"/>
      <c r="AH360" s="318"/>
      <c r="AI360" s="10"/>
      <c r="AK360" s="318"/>
      <c r="AL360" s="318"/>
      <c r="AM360" s="319"/>
      <c r="AN360" s="82"/>
      <c r="AO360" s="83"/>
    </row>
    <row r="362" spans="1:41" ht="28.9" thickBot="1" x14ac:dyDescent="0.75">
      <c r="A362" s="320"/>
      <c r="B362" s="321"/>
      <c r="E362" s="9"/>
      <c r="F362" s="9"/>
      <c r="G362" s="9"/>
      <c r="H362" s="9"/>
      <c r="I362" s="9"/>
      <c r="J362" s="9"/>
      <c r="K362" s="9"/>
      <c r="L362" s="9"/>
      <c r="M362" s="9"/>
    </row>
    <row r="363" spans="1:41" s="329" customFormat="1" ht="41.25" customHeight="1" thickBot="1" x14ac:dyDescent="0.5">
      <c r="A363" s="732" t="s">
        <v>958</v>
      </c>
      <c r="B363" s="733"/>
      <c r="C363" s="733"/>
      <c r="D363" s="733"/>
      <c r="E363" s="733"/>
      <c r="F363" s="733"/>
      <c r="G363" s="733"/>
      <c r="H363" s="733"/>
      <c r="I363" s="733"/>
      <c r="J363" s="733"/>
      <c r="K363" s="733"/>
      <c r="L363" s="733"/>
      <c r="M363" s="734" t="s">
        <v>955</v>
      </c>
      <c r="N363" s="733"/>
      <c r="O363" s="733"/>
      <c r="P363" s="733"/>
      <c r="Q363" s="733"/>
      <c r="R363" s="733"/>
      <c r="S363" s="733"/>
      <c r="T363" s="733"/>
      <c r="U363" s="733"/>
      <c r="V363" s="733"/>
      <c r="W363" s="733"/>
      <c r="X363" s="733"/>
      <c r="Y363" s="733"/>
      <c r="Z363" s="733"/>
      <c r="AA363" s="733"/>
      <c r="AB363" s="733"/>
      <c r="AC363" s="733"/>
      <c r="AD363" s="733"/>
      <c r="AE363" s="733"/>
      <c r="AF363" s="733"/>
      <c r="AG363" s="733"/>
      <c r="AH363" s="733"/>
      <c r="AI363" s="733"/>
      <c r="AJ363" s="733"/>
      <c r="AK363" s="733"/>
      <c r="AL363" s="735"/>
      <c r="AM363" s="326"/>
      <c r="AN363" s="327"/>
      <c r="AO363" s="328"/>
    </row>
    <row r="364" spans="1:41" ht="30.75" customHeight="1" x14ac:dyDescent="0.7">
      <c r="A364" s="723" t="str">
        <f>CONCATENATE(AJ347,AJ327,AJ316,AJ302,AJ277,AJ260,AJ248,AJ226,AJ208,AJ199,AJ190,AJ181,AJ172,AJ145,AJ130,AJ92,AJ82,AJ22,AJ8)</f>
        <v/>
      </c>
      <c r="B364" s="724"/>
      <c r="C364" s="724"/>
      <c r="D364" s="724"/>
      <c r="E364" s="724"/>
      <c r="F364" s="724"/>
      <c r="G364" s="724"/>
      <c r="H364" s="724"/>
      <c r="I364" s="724"/>
      <c r="J364" s="724"/>
      <c r="K364" s="724"/>
      <c r="L364" s="725"/>
      <c r="M364" s="736" t="str">
        <f>IF(LEN(A364)&lt;=0,"","Please ensure you solve the errors appearing on the left . However, In the cases where the errors are valid and can be explained ( We expect this to be very rare cases), Please delete this message and type the  justification for the error here)")</f>
        <v/>
      </c>
      <c r="N364" s="737"/>
      <c r="O364" s="737"/>
      <c r="P364" s="737"/>
      <c r="Q364" s="737"/>
      <c r="R364" s="737"/>
      <c r="S364" s="737"/>
      <c r="T364" s="737"/>
      <c r="U364" s="737"/>
      <c r="V364" s="737"/>
      <c r="W364" s="737"/>
      <c r="X364" s="737"/>
      <c r="Y364" s="737"/>
      <c r="Z364" s="737"/>
      <c r="AA364" s="737"/>
      <c r="AB364" s="737"/>
      <c r="AC364" s="737"/>
      <c r="AD364" s="737"/>
      <c r="AE364" s="737"/>
      <c r="AF364" s="737"/>
      <c r="AG364" s="737"/>
      <c r="AH364" s="737"/>
      <c r="AI364" s="737"/>
      <c r="AJ364" s="737"/>
      <c r="AK364" s="737"/>
      <c r="AL364" s="738"/>
    </row>
    <row r="365" spans="1:41" ht="25.5" customHeight="1" x14ac:dyDescent="0.7">
      <c r="A365" s="726"/>
      <c r="B365" s="727"/>
      <c r="C365" s="727"/>
      <c r="D365" s="727"/>
      <c r="E365" s="727"/>
      <c r="F365" s="727"/>
      <c r="G365" s="727"/>
      <c r="H365" s="727"/>
      <c r="I365" s="727"/>
      <c r="J365" s="727"/>
      <c r="K365" s="727"/>
      <c r="L365" s="728"/>
      <c r="M365" s="739"/>
      <c r="N365" s="740"/>
      <c r="O365" s="740"/>
      <c r="P365" s="740"/>
      <c r="Q365" s="740"/>
      <c r="R365" s="740"/>
      <c r="S365" s="740"/>
      <c r="T365" s="740"/>
      <c r="U365" s="740"/>
      <c r="V365" s="740"/>
      <c r="W365" s="740"/>
      <c r="X365" s="740"/>
      <c r="Y365" s="740"/>
      <c r="Z365" s="740"/>
      <c r="AA365" s="740"/>
      <c r="AB365" s="740"/>
      <c r="AC365" s="740"/>
      <c r="AD365" s="740"/>
      <c r="AE365" s="740"/>
      <c r="AF365" s="740"/>
      <c r="AG365" s="740"/>
      <c r="AH365" s="740"/>
      <c r="AI365" s="740"/>
      <c r="AJ365" s="740"/>
      <c r="AK365" s="740"/>
      <c r="AL365" s="741"/>
    </row>
    <row r="366" spans="1:41" ht="30.75" customHeight="1" x14ac:dyDescent="0.7">
      <c r="A366" s="726"/>
      <c r="B366" s="727"/>
      <c r="C366" s="727"/>
      <c r="D366" s="727"/>
      <c r="E366" s="727"/>
      <c r="F366" s="727"/>
      <c r="G366" s="727"/>
      <c r="H366" s="727"/>
      <c r="I366" s="727"/>
      <c r="J366" s="727"/>
      <c r="K366" s="727"/>
      <c r="L366" s="728"/>
      <c r="M366" s="739"/>
      <c r="N366" s="740"/>
      <c r="O366" s="740"/>
      <c r="P366" s="740"/>
      <c r="Q366" s="740"/>
      <c r="R366" s="740"/>
      <c r="S366" s="740"/>
      <c r="T366" s="740"/>
      <c r="U366" s="740"/>
      <c r="V366" s="740"/>
      <c r="W366" s="740"/>
      <c r="X366" s="740"/>
      <c r="Y366" s="740"/>
      <c r="Z366" s="740"/>
      <c r="AA366" s="740"/>
      <c r="AB366" s="740"/>
      <c r="AC366" s="740"/>
      <c r="AD366" s="740"/>
      <c r="AE366" s="740"/>
      <c r="AF366" s="740"/>
      <c r="AG366" s="740"/>
      <c r="AH366" s="740"/>
      <c r="AI366" s="740"/>
      <c r="AJ366" s="740"/>
      <c r="AK366" s="740"/>
      <c r="AL366" s="741"/>
    </row>
    <row r="367" spans="1:41" ht="25.5" customHeight="1" x14ac:dyDescent="0.7">
      <c r="A367" s="726"/>
      <c r="B367" s="727"/>
      <c r="C367" s="727"/>
      <c r="D367" s="727"/>
      <c r="E367" s="727"/>
      <c r="F367" s="727"/>
      <c r="G367" s="727"/>
      <c r="H367" s="727"/>
      <c r="I367" s="727"/>
      <c r="J367" s="727"/>
      <c r="K367" s="727"/>
      <c r="L367" s="728"/>
      <c r="M367" s="739"/>
      <c r="N367" s="740"/>
      <c r="O367" s="740"/>
      <c r="P367" s="740"/>
      <c r="Q367" s="740"/>
      <c r="R367" s="740"/>
      <c r="S367" s="740"/>
      <c r="T367" s="740"/>
      <c r="U367" s="740"/>
      <c r="V367" s="740"/>
      <c r="W367" s="740"/>
      <c r="X367" s="740"/>
      <c r="Y367" s="740"/>
      <c r="Z367" s="740"/>
      <c r="AA367" s="740"/>
      <c r="AB367" s="740"/>
      <c r="AC367" s="740"/>
      <c r="AD367" s="740"/>
      <c r="AE367" s="740"/>
      <c r="AF367" s="740"/>
      <c r="AG367" s="740"/>
      <c r="AH367" s="740"/>
      <c r="AI367" s="740"/>
      <c r="AJ367" s="740"/>
      <c r="AK367" s="740"/>
      <c r="AL367" s="741"/>
    </row>
    <row r="368" spans="1:41" ht="25.5" customHeight="1" x14ac:dyDescent="0.7">
      <c r="A368" s="726"/>
      <c r="B368" s="727"/>
      <c r="C368" s="727"/>
      <c r="D368" s="727"/>
      <c r="E368" s="727"/>
      <c r="F368" s="727"/>
      <c r="G368" s="727"/>
      <c r="H368" s="727"/>
      <c r="I368" s="727"/>
      <c r="J368" s="727"/>
      <c r="K368" s="727"/>
      <c r="L368" s="728"/>
      <c r="M368" s="739"/>
      <c r="N368" s="740"/>
      <c r="O368" s="740"/>
      <c r="P368" s="740"/>
      <c r="Q368" s="740"/>
      <c r="R368" s="740"/>
      <c r="S368" s="740"/>
      <c r="T368" s="740"/>
      <c r="U368" s="740"/>
      <c r="V368" s="740"/>
      <c r="W368" s="740"/>
      <c r="X368" s="740"/>
      <c r="Y368" s="740"/>
      <c r="Z368" s="740"/>
      <c r="AA368" s="740"/>
      <c r="AB368" s="740"/>
      <c r="AC368" s="740"/>
      <c r="AD368" s="740"/>
      <c r="AE368" s="740"/>
      <c r="AF368" s="740"/>
      <c r="AG368" s="740"/>
      <c r="AH368" s="740"/>
      <c r="AI368" s="740"/>
      <c r="AJ368" s="740"/>
      <c r="AK368" s="740"/>
      <c r="AL368" s="741"/>
    </row>
    <row r="369" spans="1:38" ht="25.5" customHeight="1" x14ac:dyDescent="0.7">
      <c r="A369" s="726"/>
      <c r="B369" s="727"/>
      <c r="C369" s="727"/>
      <c r="D369" s="727"/>
      <c r="E369" s="727"/>
      <c r="F369" s="727"/>
      <c r="G369" s="727"/>
      <c r="H369" s="727"/>
      <c r="I369" s="727"/>
      <c r="J369" s="727"/>
      <c r="K369" s="727"/>
      <c r="L369" s="728"/>
      <c r="M369" s="739"/>
      <c r="N369" s="740"/>
      <c r="O369" s="740"/>
      <c r="P369" s="740"/>
      <c r="Q369" s="740"/>
      <c r="R369" s="740"/>
      <c r="S369" s="740"/>
      <c r="T369" s="740"/>
      <c r="U369" s="740"/>
      <c r="V369" s="740"/>
      <c r="W369" s="740"/>
      <c r="X369" s="740"/>
      <c r="Y369" s="740"/>
      <c r="Z369" s="740"/>
      <c r="AA369" s="740"/>
      <c r="AB369" s="740"/>
      <c r="AC369" s="740"/>
      <c r="AD369" s="740"/>
      <c r="AE369" s="740"/>
      <c r="AF369" s="740"/>
      <c r="AG369" s="740"/>
      <c r="AH369" s="740"/>
      <c r="AI369" s="740"/>
      <c r="AJ369" s="740"/>
      <c r="AK369" s="740"/>
      <c r="AL369" s="741"/>
    </row>
    <row r="370" spans="1:38" ht="25.5" customHeight="1" x14ac:dyDescent="0.7">
      <c r="A370" s="726"/>
      <c r="B370" s="727"/>
      <c r="C370" s="727"/>
      <c r="D370" s="727"/>
      <c r="E370" s="727"/>
      <c r="F370" s="727"/>
      <c r="G370" s="727"/>
      <c r="H370" s="727"/>
      <c r="I370" s="727"/>
      <c r="J370" s="727"/>
      <c r="K370" s="727"/>
      <c r="L370" s="728"/>
      <c r="M370" s="739"/>
      <c r="N370" s="740"/>
      <c r="O370" s="740"/>
      <c r="P370" s="740"/>
      <c r="Q370" s="740"/>
      <c r="R370" s="740"/>
      <c r="S370" s="740"/>
      <c r="T370" s="740"/>
      <c r="U370" s="740"/>
      <c r="V370" s="740"/>
      <c r="W370" s="740"/>
      <c r="X370" s="740"/>
      <c r="Y370" s="740"/>
      <c r="Z370" s="740"/>
      <c r="AA370" s="740"/>
      <c r="AB370" s="740"/>
      <c r="AC370" s="740"/>
      <c r="AD370" s="740"/>
      <c r="AE370" s="740"/>
      <c r="AF370" s="740"/>
      <c r="AG370" s="740"/>
      <c r="AH370" s="740"/>
      <c r="AI370" s="740"/>
      <c r="AJ370" s="740"/>
      <c r="AK370" s="740"/>
      <c r="AL370" s="741"/>
    </row>
    <row r="371" spans="1:38" ht="25.5" customHeight="1" x14ac:dyDescent="0.7">
      <c r="A371" s="726"/>
      <c r="B371" s="727"/>
      <c r="C371" s="727"/>
      <c r="D371" s="727"/>
      <c r="E371" s="727"/>
      <c r="F371" s="727"/>
      <c r="G371" s="727"/>
      <c r="H371" s="727"/>
      <c r="I371" s="727"/>
      <c r="J371" s="727"/>
      <c r="K371" s="727"/>
      <c r="L371" s="728"/>
      <c r="M371" s="739"/>
      <c r="N371" s="740"/>
      <c r="O371" s="740"/>
      <c r="P371" s="740"/>
      <c r="Q371" s="740"/>
      <c r="R371" s="740"/>
      <c r="S371" s="740"/>
      <c r="T371" s="740"/>
      <c r="U371" s="740"/>
      <c r="V371" s="740"/>
      <c r="W371" s="740"/>
      <c r="X371" s="740"/>
      <c r="Y371" s="740"/>
      <c r="Z371" s="740"/>
      <c r="AA371" s="740"/>
      <c r="AB371" s="740"/>
      <c r="AC371" s="740"/>
      <c r="AD371" s="740"/>
      <c r="AE371" s="740"/>
      <c r="AF371" s="740"/>
      <c r="AG371" s="740"/>
      <c r="AH371" s="740"/>
      <c r="AI371" s="740"/>
      <c r="AJ371" s="740"/>
      <c r="AK371" s="740"/>
      <c r="AL371" s="741"/>
    </row>
    <row r="372" spans="1:38" ht="25.5" customHeight="1" x14ac:dyDescent="0.7">
      <c r="A372" s="726"/>
      <c r="B372" s="727"/>
      <c r="C372" s="727"/>
      <c r="D372" s="727"/>
      <c r="E372" s="727"/>
      <c r="F372" s="727"/>
      <c r="G372" s="727"/>
      <c r="H372" s="727"/>
      <c r="I372" s="727"/>
      <c r="J372" s="727"/>
      <c r="K372" s="727"/>
      <c r="L372" s="728"/>
      <c r="M372" s="739"/>
      <c r="N372" s="740"/>
      <c r="O372" s="740"/>
      <c r="P372" s="740"/>
      <c r="Q372" s="740"/>
      <c r="R372" s="740"/>
      <c r="S372" s="740"/>
      <c r="T372" s="740"/>
      <c r="U372" s="740"/>
      <c r="V372" s="740"/>
      <c r="W372" s="740"/>
      <c r="X372" s="740"/>
      <c r="Y372" s="740"/>
      <c r="Z372" s="740"/>
      <c r="AA372" s="740"/>
      <c r="AB372" s="740"/>
      <c r="AC372" s="740"/>
      <c r="AD372" s="740"/>
      <c r="AE372" s="740"/>
      <c r="AF372" s="740"/>
      <c r="AG372" s="740"/>
      <c r="AH372" s="740"/>
      <c r="AI372" s="740"/>
      <c r="AJ372" s="740"/>
      <c r="AK372" s="740"/>
      <c r="AL372" s="741"/>
    </row>
    <row r="373" spans="1:38" ht="25.5" customHeight="1" x14ac:dyDescent="0.7">
      <c r="A373" s="726"/>
      <c r="B373" s="727"/>
      <c r="C373" s="727"/>
      <c r="D373" s="727"/>
      <c r="E373" s="727"/>
      <c r="F373" s="727"/>
      <c r="G373" s="727"/>
      <c r="H373" s="727"/>
      <c r="I373" s="727"/>
      <c r="J373" s="727"/>
      <c r="K373" s="727"/>
      <c r="L373" s="728"/>
      <c r="M373" s="739"/>
      <c r="N373" s="740"/>
      <c r="O373" s="740"/>
      <c r="P373" s="740"/>
      <c r="Q373" s="740"/>
      <c r="R373" s="740"/>
      <c r="S373" s="740"/>
      <c r="T373" s="740"/>
      <c r="U373" s="740"/>
      <c r="V373" s="740"/>
      <c r="W373" s="740"/>
      <c r="X373" s="740"/>
      <c r="Y373" s="740"/>
      <c r="Z373" s="740"/>
      <c r="AA373" s="740"/>
      <c r="AB373" s="740"/>
      <c r="AC373" s="740"/>
      <c r="AD373" s="740"/>
      <c r="AE373" s="740"/>
      <c r="AF373" s="740"/>
      <c r="AG373" s="740"/>
      <c r="AH373" s="740"/>
      <c r="AI373" s="740"/>
      <c r="AJ373" s="740"/>
      <c r="AK373" s="740"/>
      <c r="AL373" s="741"/>
    </row>
    <row r="374" spans="1:38" ht="25.5" customHeight="1" x14ac:dyDescent="0.7">
      <c r="A374" s="726"/>
      <c r="B374" s="727"/>
      <c r="C374" s="727"/>
      <c r="D374" s="727"/>
      <c r="E374" s="727"/>
      <c r="F374" s="727"/>
      <c r="G374" s="727"/>
      <c r="H374" s="727"/>
      <c r="I374" s="727"/>
      <c r="J374" s="727"/>
      <c r="K374" s="727"/>
      <c r="L374" s="728"/>
      <c r="M374" s="739"/>
      <c r="N374" s="740"/>
      <c r="O374" s="740"/>
      <c r="P374" s="740"/>
      <c r="Q374" s="740"/>
      <c r="R374" s="740"/>
      <c r="S374" s="740"/>
      <c r="T374" s="740"/>
      <c r="U374" s="740"/>
      <c r="V374" s="740"/>
      <c r="W374" s="740"/>
      <c r="X374" s="740"/>
      <c r="Y374" s="740"/>
      <c r="Z374" s="740"/>
      <c r="AA374" s="740"/>
      <c r="AB374" s="740"/>
      <c r="AC374" s="740"/>
      <c r="AD374" s="740"/>
      <c r="AE374" s="740"/>
      <c r="AF374" s="740"/>
      <c r="AG374" s="740"/>
      <c r="AH374" s="740"/>
      <c r="AI374" s="740"/>
      <c r="AJ374" s="740"/>
      <c r="AK374" s="740"/>
      <c r="AL374" s="741"/>
    </row>
    <row r="375" spans="1:38" ht="25.5" customHeight="1" x14ac:dyDescent="0.7">
      <c r="A375" s="726"/>
      <c r="B375" s="727"/>
      <c r="C375" s="727"/>
      <c r="D375" s="727"/>
      <c r="E375" s="727"/>
      <c r="F375" s="727"/>
      <c r="G375" s="727"/>
      <c r="H375" s="727"/>
      <c r="I375" s="727"/>
      <c r="J375" s="727"/>
      <c r="K375" s="727"/>
      <c r="L375" s="728"/>
      <c r="M375" s="739"/>
      <c r="N375" s="740"/>
      <c r="O375" s="740"/>
      <c r="P375" s="740"/>
      <c r="Q375" s="740"/>
      <c r="R375" s="740"/>
      <c r="S375" s="740"/>
      <c r="T375" s="740"/>
      <c r="U375" s="740"/>
      <c r="V375" s="740"/>
      <c r="W375" s="740"/>
      <c r="X375" s="740"/>
      <c r="Y375" s="740"/>
      <c r="Z375" s="740"/>
      <c r="AA375" s="740"/>
      <c r="AB375" s="740"/>
      <c r="AC375" s="740"/>
      <c r="AD375" s="740"/>
      <c r="AE375" s="740"/>
      <c r="AF375" s="740"/>
      <c r="AG375" s="740"/>
      <c r="AH375" s="740"/>
      <c r="AI375" s="740"/>
      <c r="AJ375" s="740"/>
      <c r="AK375" s="740"/>
      <c r="AL375" s="741"/>
    </row>
    <row r="376" spans="1:38" ht="25.5" customHeight="1" x14ac:dyDescent="0.7">
      <c r="A376" s="726"/>
      <c r="B376" s="727"/>
      <c r="C376" s="727"/>
      <c r="D376" s="727"/>
      <c r="E376" s="727"/>
      <c r="F376" s="727"/>
      <c r="G376" s="727"/>
      <c r="H376" s="727"/>
      <c r="I376" s="727"/>
      <c r="J376" s="727"/>
      <c r="K376" s="727"/>
      <c r="L376" s="728"/>
      <c r="M376" s="739"/>
      <c r="N376" s="740"/>
      <c r="O376" s="740"/>
      <c r="P376" s="740"/>
      <c r="Q376" s="740"/>
      <c r="R376" s="740"/>
      <c r="S376" s="740"/>
      <c r="T376" s="740"/>
      <c r="U376" s="740"/>
      <c r="V376" s="740"/>
      <c r="W376" s="740"/>
      <c r="X376" s="740"/>
      <c r="Y376" s="740"/>
      <c r="Z376" s="740"/>
      <c r="AA376" s="740"/>
      <c r="AB376" s="740"/>
      <c r="AC376" s="740"/>
      <c r="AD376" s="740"/>
      <c r="AE376" s="740"/>
      <c r="AF376" s="740"/>
      <c r="AG376" s="740"/>
      <c r="AH376" s="740"/>
      <c r="AI376" s="740"/>
      <c r="AJ376" s="740"/>
      <c r="AK376" s="740"/>
      <c r="AL376" s="741"/>
    </row>
    <row r="377" spans="1:38" ht="25.5" customHeight="1" x14ac:dyDescent="0.7">
      <c r="A377" s="726"/>
      <c r="B377" s="727"/>
      <c r="C377" s="727"/>
      <c r="D377" s="727"/>
      <c r="E377" s="727"/>
      <c r="F377" s="727"/>
      <c r="G377" s="727"/>
      <c r="H377" s="727"/>
      <c r="I377" s="727"/>
      <c r="J377" s="727"/>
      <c r="K377" s="727"/>
      <c r="L377" s="728"/>
      <c r="M377" s="739"/>
      <c r="N377" s="740"/>
      <c r="O377" s="740"/>
      <c r="P377" s="740"/>
      <c r="Q377" s="740"/>
      <c r="R377" s="740"/>
      <c r="S377" s="740"/>
      <c r="T377" s="740"/>
      <c r="U377" s="740"/>
      <c r="V377" s="740"/>
      <c r="W377" s="740"/>
      <c r="X377" s="740"/>
      <c r="Y377" s="740"/>
      <c r="Z377" s="740"/>
      <c r="AA377" s="740"/>
      <c r="AB377" s="740"/>
      <c r="AC377" s="740"/>
      <c r="AD377" s="740"/>
      <c r="AE377" s="740"/>
      <c r="AF377" s="740"/>
      <c r="AG377" s="740"/>
      <c r="AH377" s="740"/>
      <c r="AI377" s="740"/>
      <c r="AJ377" s="740"/>
      <c r="AK377" s="740"/>
      <c r="AL377" s="741"/>
    </row>
    <row r="378" spans="1:38" ht="25.5" customHeight="1" x14ac:dyDescent="0.7">
      <c r="A378" s="726"/>
      <c r="B378" s="727"/>
      <c r="C378" s="727"/>
      <c r="D378" s="727"/>
      <c r="E378" s="727"/>
      <c r="F378" s="727"/>
      <c r="G378" s="727"/>
      <c r="H378" s="727"/>
      <c r="I378" s="727"/>
      <c r="J378" s="727"/>
      <c r="K378" s="727"/>
      <c r="L378" s="728"/>
      <c r="M378" s="739"/>
      <c r="N378" s="740"/>
      <c r="O378" s="740"/>
      <c r="P378" s="740"/>
      <c r="Q378" s="740"/>
      <c r="R378" s="740"/>
      <c r="S378" s="740"/>
      <c r="T378" s="740"/>
      <c r="U378" s="740"/>
      <c r="V378" s="740"/>
      <c r="W378" s="740"/>
      <c r="X378" s="740"/>
      <c r="Y378" s="740"/>
      <c r="Z378" s="740"/>
      <c r="AA378" s="740"/>
      <c r="AB378" s="740"/>
      <c r="AC378" s="740"/>
      <c r="AD378" s="740"/>
      <c r="AE378" s="740"/>
      <c r="AF378" s="740"/>
      <c r="AG378" s="740"/>
      <c r="AH378" s="740"/>
      <c r="AI378" s="740"/>
      <c r="AJ378" s="740"/>
      <c r="AK378" s="740"/>
      <c r="AL378" s="741"/>
    </row>
    <row r="379" spans="1:38" ht="25.5" customHeight="1" x14ac:dyDescent="0.7">
      <c r="A379" s="726"/>
      <c r="B379" s="727"/>
      <c r="C379" s="727"/>
      <c r="D379" s="727"/>
      <c r="E379" s="727"/>
      <c r="F379" s="727"/>
      <c r="G379" s="727"/>
      <c r="H379" s="727"/>
      <c r="I379" s="727"/>
      <c r="J379" s="727"/>
      <c r="K379" s="727"/>
      <c r="L379" s="728"/>
      <c r="M379" s="739"/>
      <c r="N379" s="740"/>
      <c r="O379" s="740"/>
      <c r="P379" s="740"/>
      <c r="Q379" s="740"/>
      <c r="R379" s="740"/>
      <c r="S379" s="740"/>
      <c r="T379" s="740"/>
      <c r="U379" s="740"/>
      <c r="V379" s="740"/>
      <c r="W379" s="740"/>
      <c r="X379" s="740"/>
      <c r="Y379" s="740"/>
      <c r="Z379" s="740"/>
      <c r="AA379" s="740"/>
      <c r="AB379" s="740"/>
      <c r="AC379" s="740"/>
      <c r="AD379" s="740"/>
      <c r="AE379" s="740"/>
      <c r="AF379" s="740"/>
      <c r="AG379" s="740"/>
      <c r="AH379" s="740"/>
      <c r="AI379" s="740"/>
      <c r="AJ379" s="740"/>
      <c r="AK379" s="740"/>
      <c r="AL379" s="741"/>
    </row>
    <row r="380" spans="1:38" ht="25.5" customHeight="1" x14ac:dyDescent="0.7">
      <c r="A380" s="726"/>
      <c r="B380" s="727"/>
      <c r="C380" s="727"/>
      <c r="D380" s="727"/>
      <c r="E380" s="727"/>
      <c r="F380" s="727"/>
      <c r="G380" s="727"/>
      <c r="H380" s="727"/>
      <c r="I380" s="727"/>
      <c r="J380" s="727"/>
      <c r="K380" s="727"/>
      <c r="L380" s="728"/>
      <c r="M380" s="739"/>
      <c r="N380" s="740"/>
      <c r="O380" s="740"/>
      <c r="P380" s="740"/>
      <c r="Q380" s="740"/>
      <c r="R380" s="740"/>
      <c r="S380" s="740"/>
      <c r="T380" s="740"/>
      <c r="U380" s="740"/>
      <c r="V380" s="740"/>
      <c r="W380" s="740"/>
      <c r="X380" s="740"/>
      <c r="Y380" s="740"/>
      <c r="Z380" s="740"/>
      <c r="AA380" s="740"/>
      <c r="AB380" s="740"/>
      <c r="AC380" s="740"/>
      <c r="AD380" s="740"/>
      <c r="AE380" s="740"/>
      <c r="AF380" s="740"/>
      <c r="AG380" s="740"/>
      <c r="AH380" s="740"/>
      <c r="AI380" s="740"/>
      <c r="AJ380" s="740"/>
      <c r="AK380" s="740"/>
      <c r="AL380" s="741"/>
    </row>
    <row r="381" spans="1:38" ht="25.5" customHeight="1" x14ac:dyDescent="0.7">
      <c r="A381" s="726"/>
      <c r="B381" s="727"/>
      <c r="C381" s="727"/>
      <c r="D381" s="727"/>
      <c r="E381" s="727"/>
      <c r="F381" s="727"/>
      <c r="G381" s="727"/>
      <c r="H381" s="727"/>
      <c r="I381" s="727"/>
      <c r="J381" s="727"/>
      <c r="K381" s="727"/>
      <c r="L381" s="728"/>
      <c r="M381" s="739"/>
      <c r="N381" s="740"/>
      <c r="O381" s="740"/>
      <c r="P381" s="740"/>
      <c r="Q381" s="740"/>
      <c r="R381" s="740"/>
      <c r="S381" s="740"/>
      <c r="T381" s="740"/>
      <c r="U381" s="740"/>
      <c r="V381" s="740"/>
      <c r="W381" s="740"/>
      <c r="X381" s="740"/>
      <c r="Y381" s="740"/>
      <c r="Z381" s="740"/>
      <c r="AA381" s="740"/>
      <c r="AB381" s="740"/>
      <c r="AC381" s="740"/>
      <c r="AD381" s="740"/>
      <c r="AE381" s="740"/>
      <c r="AF381" s="740"/>
      <c r="AG381" s="740"/>
      <c r="AH381" s="740"/>
      <c r="AI381" s="740"/>
      <c r="AJ381" s="740"/>
      <c r="AK381" s="740"/>
      <c r="AL381" s="741"/>
    </row>
    <row r="382" spans="1:38" ht="25.5" customHeight="1" x14ac:dyDescent="0.7">
      <c r="A382" s="726"/>
      <c r="B382" s="727"/>
      <c r="C382" s="727"/>
      <c r="D382" s="727"/>
      <c r="E382" s="727"/>
      <c r="F382" s="727"/>
      <c r="G382" s="727"/>
      <c r="H382" s="727"/>
      <c r="I382" s="727"/>
      <c r="J382" s="727"/>
      <c r="K382" s="727"/>
      <c r="L382" s="728"/>
      <c r="M382" s="739"/>
      <c r="N382" s="740"/>
      <c r="O382" s="740"/>
      <c r="P382" s="740"/>
      <c r="Q382" s="740"/>
      <c r="R382" s="740"/>
      <c r="S382" s="740"/>
      <c r="T382" s="740"/>
      <c r="U382" s="740"/>
      <c r="V382" s="740"/>
      <c r="W382" s="740"/>
      <c r="X382" s="740"/>
      <c r="Y382" s="740"/>
      <c r="Z382" s="740"/>
      <c r="AA382" s="740"/>
      <c r="AB382" s="740"/>
      <c r="AC382" s="740"/>
      <c r="AD382" s="740"/>
      <c r="AE382" s="740"/>
      <c r="AF382" s="740"/>
      <c r="AG382" s="740"/>
      <c r="AH382" s="740"/>
      <c r="AI382" s="740"/>
      <c r="AJ382" s="740"/>
      <c r="AK382" s="740"/>
      <c r="AL382" s="741"/>
    </row>
    <row r="383" spans="1:38" ht="25.5" customHeight="1" x14ac:dyDescent="0.7">
      <c r="A383" s="726"/>
      <c r="B383" s="727"/>
      <c r="C383" s="727"/>
      <c r="D383" s="727"/>
      <c r="E383" s="727"/>
      <c r="F383" s="727"/>
      <c r="G383" s="727"/>
      <c r="H383" s="727"/>
      <c r="I383" s="727"/>
      <c r="J383" s="727"/>
      <c r="K383" s="727"/>
      <c r="L383" s="728"/>
      <c r="M383" s="739"/>
      <c r="N383" s="740"/>
      <c r="O383" s="740"/>
      <c r="P383" s="740"/>
      <c r="Q383" s="740"/>
      <c r="R383" s="740"/>
      <c r="S383" s="740"/>
      <c r="T383" s="740"/>
      <c r="U383" s="740"/>
      <c r="V383" s="740"/>
      <c r="W383" s="740"/>
      <c r="X383" s="740"/>
      <c r="Y383" s="740"/>
      <c r="Z383" s="740"/>
      <c r="AA383" s="740"/>
      <c r="AB383" s="740"/>
      <c r="AC383" s="740"/>
      <c r="AD383" s="740"/>
      <c r="AE383" s="740"/>
      <c r="AF383" s="740"/>
      <c r="AG383" s="740"/>
      <c r="AH383" s="740"/>
      <c r="AI383" s="740"/>
      <c r="AJ383" s="740"/>
      <c r="AK383" s="740"/>
      <c r="AL383" s="741"/>
    </row>
    <row r="384" spans="1:38" ht="26.25" customHeight="1" thickBot="1" x14ac:dyDescent="0.75">
      <c r="A384" s="729"/>
      <c r="B384" s="730"/>
      <c r="C384" s="730"/>
      <c r="D384" s="730"/>
      <c r="E384" s="730"/>
      <c r="F384" s="730"/>
      <c r="G384" s="730"/>
      <c r="H384" s="730"/>
      <c r="I384" s="730"/>
      <c r="J384" s="730"/>
      <c r="K384" s="730"/>
      <c r="L384" s="731"/>
      <c r="M384" s="742"/>
      <c r="N384" s="743"/>
      <c r="O384" s="743"/>
      <c r="P384" s="743"/>
      <c r="Q384" s="743"/>
      <c r="R384" s="743"/>
      <c r="S384" s="743"/>
      <c r="T384" s="743"/>
      <c r="U384" s="743"/>
      <c r="V384" s="743"/>
      <c r="W384" s="743"/>
      <c r="X384" s="743"/>
      <c r="Y384" s="743"/>
      <c r="Z384" s="743"/>
      <c r="AA384" s="743"/>
      <c r="AB384" s="743"/>
      <c r="AC384" s="743"/>
      <c r="AD384" s="743"/>
      <c r="AE384" s="743"/>
      <c r="AF384" s="743"/>
      <c r="AG384" s="743"/>
      <c r="AH384" s="743"/>
      <c r="AI384" s="743"/>
      <c r="AJ384" s="743"/>
      <c r="AK384" s="743"/>
      <c r="AL384" s="744"/>
    </row>
    <row r="385" spans="1:41" s="333" customFormat="1" ht="41.25" customHeight="1" thickBot="1" x14ac:dyDescent="1.1000000000000001">
      <c r="A385" s="718" t="s">
        <v>954</v>
      </c>
      <c r="B385" s="719"/>
      <c r="C385" s="719"/>
      <c r="D385" s="719"/>
      <c r="E385" s="719"/>
      <c r="F385" s="719"/>
      <c r="G385" s="719"/>
      <c r="H385" s="719"/>
      <c r="I385" s="719"/>
      <c r="J385" s="719"/>
      <c r="K385" s="719"/>
      <c r="L385" s="720"/>
      <c r="M385" s="721" t="s">
        <v>956</v>
      </c>
      <c r="N385" s="721"/>
      <c r="O385" s="721"/>
      <c r="P385" s="721"/>
      <c r="Q385" s="721"/>
      <c r="R385" s="721"/>
      <c r="S385" s="721"/>
      <c r="T385" s="721"/>
      <c r="U385" s="721"/>
      <c r="V385" s="721"/>
      <c r="W385" s="721"/>
      <c r="X385" s="721"/>
      <c r="Y385" s="721"/>
      <c r="Z385" s="721"/>
      <c r="AA385" s="721"/>
      <c r="AB385" s="721"/>
      <c r="AC385" s="721"/>
      <c r="AD385" s="721"/>
      <c r="AE385" s="721"/>
      <c r="AF385" s="721"/>
      <c r="AG385" s="721"/>
      <c r="AH385" s="721"/>
      <c r="AI385" s="721"/>
      <c r="AJ385" s="721"/>
      <c r="AK385" s="721"/>
      <c r="AL385" s="722"/>
      <c r="AM385" s="330"/>
      <c r="AN385" s="331"/>
      <c r="AO385" s="332"/>
    </row>
    <row r="386" spans="1:41" ht="30.75" customHeight="1" x14ac:dyDescent="0.7">
      <c r="A386" s="700" t="str">
        <f>CONCATENATE(AL347,AL327,AL316,AL302,AL277,AL260,AL248,AL226,AL172,AL145,AL130,AL92,AL82,AL22,AL8)</f>
        <v/>
      </c>
      <c r="B386" s="701"/>
      <c r="C386" s="701"/>
      <c r="D386" s="701"/>
      <c r="E386" s="701"/>
      <c r="F386" s="701"/>
      <c r="G386" s="701"/>
      <c r="H386" s="701"/>
      <c r="I386" s="701"/>
      <c r="J386" s="701"/>
      <c r="K386" s="701"/>
      <c r="L386" s="702"/>
      <c r="M386" s="709"/>
      <c r="N386" s="710"/>
      <c r="O386" s="710"/>
      <c r="P386" s="710"/>
      <c r="Q386" s="710"/>
      <c r="R386" s="710"/>
      <c r="S386" s="710"/>
      <c r="T386" s="710"/>
      <c r="U386" s="710"/>
      <c r="V386" s="710"/>
      <c r="W386" s="710"/>
      <c r="X386" s="710"/>
      <c r="Y386" s="710"/>
      <c r="Z386" s="710"/>
      <c r="AA386" s="710"/>
      <c r="AB386" s="710"/>
      <c r="AC386" s="710"/>
      <c r="AD386" s="710"/>
      <c r="AE386" s="710"/>
      <c r="AF386" s="710"/>
      <c r="AG386" s="710"/>
      <c r="AH386" s="710"/>
      <c r="AI386" s="710"/>
      <c r="AJ386" s="710"/>
      <c r="AK386" s="710"/>
      <c r="AL386" s="711"/>
    </row>
    <row r="387" spans="1:41" ht="30.75" customHeight="1" x14ac:dyDescent="0.7">
      <c r="A387" s="703"/>
      <c r="B387" s="704"/>
      <c r="C387" s="704"/>
      <c r="D387" s="704"/>
      <c r="E387" s="704"/>
      <c r="F387" s="704"/>
      <c r="G387" s="704"/>
      <c r="H387" s="704"/>
      <c r="I387" s="704"/>
      <c r="J387" s="704"/>
      <c r="K387" s="704"/>
      <c r="L387" s="705"/>
      <c r="M387" s="712"/>
      <c r="N387" s="713"/>
      <c r="O387" s="713"/>
      <c r="P387" s="713"/>
      <c r="Q387" s="713"/>
      <c r="R387" s="713"/>
      <c r="S387" s="713"/>
      <c r="T387" s="713"/>
      <c r="U387" s="713"/>
      <c r="V387" s="713"/>
      <c r="W387" s="713"/>
      <c r="X387" s="713"/>
      <c r="Y387" s="713"/>
      <c r="Z387" s="713"/>
      <c r="AA387" s="713"/>
      <c r="AB387" s="713"/>
      <c r="AC387" s="713"/>
      <c r="AD387" s="713"/>
      <c r="AE387" s="713"/>
      <c r="AF387" s="713"/>
      <c r="AG387" s="713"/>
      <c r="AH387" s="713"/>
      <c r="AI387" s="713"/>
      <c r="AJ387" s="713"/>
      <c r="AK387" s="713"/>
      <c r="AL387" s="714"/>
    </row>
    <row r="388" spans="1:41" ht="30.75" customHeight="1" x14ac:dyDescent="0.7">
      <c r="A388" s="703"/>
      <c r="B388" s="704"/>
      <c r="C388" s="704"/>
      <c r="D388" s="704"/>
      <c r="E388" s="704"/>
      <c r="F388" s="704"/>
      <c r="G388" s="704"/>
      <c r="H388" s="704"/>
      <c r="I388" s="704"/>
      <c r="J388" s="704"/>
      <c r="K388" s="704"/>
      <c r="L388" s="705"/>
      <c r="M388" s="712"/>
      <c r="N388" s="713"/>
      <c r="O388" s="713"/>
      <c r="P388" s="713"/>
      <c r="Q388" s="713"/>
      <c r="R388" s="713"/>
      <c r="S388" s="713"/>
      <c r="T388" s="713"/>
      <c r="U388" s="713"/>
      <c r="V388" s="713"/>
      <c r="W388" s="713"/>
      <c r="X388" s="713"/>
      <c r="Y388" s="713"/>
      <c r="Z388" s="713"/>
      <c r="AA388" s="713"/>
      <c r="AB388" s="713"/>
      <c r="AC388" s="713"/>
      <c r="AD388" s="713"/>
      <c r="AE388" s="713"/>
      <c r="AF388" s="713"/>
      <c r="AG388" s="713"/>
      <c r="AH388" s="713"/>
      <c r="AI388" s="713"/>
      <c r="AJ388" s="713"/>
      <c r="AK388" s="713"/>
      <c r="AL388" s="714"/>
    </row>
    <row r="389" spans="1:41" ht="30.75" customHeight="1" x14ac:dyDescent="0.7">
      <c r="A389" s="703"/>
      <c r="B389" s="704"/>
      <c r="C389" s="704"/>
      <c r="D389" s="704"/>
      <c r="E389" s="704"/>
      <c r="F389" s="704"/>
      <c r="G389" s="704"/>
      <c r="H389" s="704"/>
      <c r="I389" s="704"/>
      <c r="J389" s="704"/>
      <c r="K389" s="704"/>
      <c r="L389" s="705"/>
      <c r="M389" s="712"/>
      <c r="N389" s="713"/>
      <c r="O389" s="713"/>
      <c r="P389" s="713"/>
      <c r="Q389" s="713"/>
      <c r="R389" s="713"/>
      <c r="S389" s="713"/>
      <c r="T389" s="713"/>
      <c r="U389" s="713"/>
      <c r="V389" s="713"/>
      <c r="W389" s="713"/>
      <c r="X389" s="713"/>
      <c r="Y389" s="713"/>
      <c r="Z389" s="713"/>
      <c r="AA389" s="713"/>
      <c r="AB389" s="713"/>
      <c r="AC389" s="713"/>
      <c r="AD389" s="713"/>
      <c r="AE389" s="713"/>
      <c r="AF389" s="713"/>
      <c r="AG389" s="713"/>
      <c r="AH389" s="713"/>
      <c r="AI389" s="713"/>
      <c r="AJ389" s="713"/>
      <c r="AK389" s="713"/>
      <c r="AL389" s="714"/>
    </row>
    <row r="390" spans="1:41" ht="30.75" customHeight="1" x14ac:dyDescent="0.7">
      <c r="A390" s="703"/>
      <c r="B390" s="704"/>
      <c r="C390" s="704"/>
      <c r="D390" s="704"/>
      <c r="E390" s="704"/>
      <c r="F390" s="704"/>
      <c r="G390" s="704"/>
      <c r="H390" s="704"/>
      <c r="I390" s="704"/>
      <c r="J390" s="704"/>
      <c r="K390" s="704"/>
      <c r="L390" s="705"/>
      <c r="M390" s="712"/>
      <c r="N390" s="713"/>
      <c r="O390" s="713"/>
      <c r="P390" s="713"/>
      <c r="Q390" s="713"/>
      <c r="R390" s="713"/>
      <c r="S390" s="713"/>
      <c r="T390" s="713"/>
      <c r="U390" s="713"/>
      <c r="V390" s="713"/>
      <c r="W390" s="713"/>
      <c r="X390" s="713"/>
      <c r="Y390" s="713"/>
      <c r="Z390" s="713"/>
      <c r="AA390" s="713"/>
      <c r="AB390" s="713"/>
      <c r="AC390" s="713"/>
      <c r="AD390" s="713"/>
      <c r="AE390" s="713"/>
      <c r="AF390" s="713"/>
      <c r="AG390" s="713"/>
      <c r="AH390" s="713"/>
      <c r="AI390" s="713"/>
      <c r="AJ390" s="713"/>
      <c r="AK390" s="713"/>
      <c r="AL390" s="714"/>
    </row>
    <row r="391" spans="1:41" ht="30.75" customHeight="1" x14ac:dyDescent="0.7">
      <c r="A391" s="703"/>
      <c r="B391" s="704"/>
      <c r="C391" s="704"/>
      <c r="D391" s="704"/>
      <c r="E391" s="704"/>
      <c r="F391" s="704"/>
      <c r="G391" s="704"/>
      <c r="H391" s="704"/>
      <c r="I391" s="704"/>
      <c r="J391" s="704"/>
      <c r="K391" s="704"/>
      <c r="L391" s="705"/>
      <c r="M391" s="712"/>
      <c r="N391" s="713"/>
      <c r="O391" s="713"/>
      <c r="P391" s="713"/>
      <c r="Q391" s="713"/>
      <c r="R391" s="713"/>
      <c r="S391" s="713"/>
      <c r="T391" s="713"/>
      <c r="U391" s="713"/>
      <c r="V391" s="713"/>
      <c r="W391" s="713"/>
      <c r="X391" s="713"/>
      <c r="Y391" s="713"/>
      <c r="Z391" s="713"/>
      <c r="AA391" s="713"/>
      <c r="AB391" s="713"/>
      <c r="AC391" s="713"/>
      <c r="AD391" s="713"/>
      <c r="AE391" s="713"/>
      <c r="AF391" s="713"/>
      <c r="AG391" s="713"/>
      <c r="AH391" s="713"/>
      <c r="AI391" s="713"/>
      <c r="AJ391" s="713"/>
      <c r="AK391" s="713"/>
      <c r="AL391" s="714"/>
    </row>
    <row r="392" spans="1:41" ht="30.75" customHeight="1" x14ac:dyDescent="0.7">
      <c r="A392" s="703"/>
      <c r="B392" s="704"/>
      <c r="C392" s="704"/>
      <c r="D392" s="704"/>
      <c r="E392" s="704"/>
      <c r="F392" s="704"/>
      <c r="G392" s="704"/>
      <c r="H392" s="704"/>
      <c r="I392" s="704"/>
      <c r="J392" s="704"/>
      <c r="K392" s="704"/>
      <c r="L392" s="705"/>
      <c r="M392" s="712"/>
      <c r="N392" s="713"/>
      <c r="O392" s="713"/>
      <c r="P392" s="713"/>
      <c r="Q392" s="713"/>
      <c r="R392" s="713"/>
      <c r="S392" s="713"/>
      <c r="T392" s="713"/>
      <c r="U392" s="713"/>
      <c r="V392" s="713"/>
      <c r="W392" s="713"/>
      <c r="X392" s="713"/>
      <c r="Y392" s="713"/>
      <c r="Z392" s="713"/>
      <c r="AA392" s="713"/>
      <c r="AB392" s="713"/>
      <c r="AC392" s="713"/>
      <c r="AD392" s="713"/>
      <c r="AE392" s="713"/>
      <c r="AF392" s="713"/>
      <c r="AG392" s="713"/>
      <c r="AH392" s="713"/>
      <c r="AI392" s="713"/>
      <c r="AJ392" s="713"/>
      <c r="AK392" s="713"/>
      <c r="AL392" s="714"/>
    </row>
    <row r="393" spans="1:41" ht="30.75" customHeight="1" x14ac:dyDescent="0.7">
      <c r="A393" s="703"/>
      <c r="B393" s="704"/>
      <c r="C393" s="704"/>
      <c r="D393" s="704"/>
      <c r="E393" s="704"/>
      <c r="F393" s="704"/>
      <c r="G393" s="704"/>
      <c r="H393" s="704"/>
      <c r="I393" s="704"/>
      <c r="J393" s="704"/>
      <c r="K393" s="704"/>
      <c r="L393" s="705"/>
      <c r="M393" s="712"/>
      <c r="N393" s="713"/>
      <c r="O393" s="713"/>
      <c r="P393" s="713"/>
      <c r="Q393" s="713"/>
      <c r="R393" s="713"/>
      <c r="S393" s="713"/>
      <c r="T393" s="713"/>
      <c r="U393" s="713"/>
      <c r="V393" s="713"/>
      <c r="W393" s="713"/>
      <c r="X393" s="713"/>
      <c r="Y393" s="713"/>
      <c r="Z393" s="713"/>
      <c r="AA393" s="713"/>
      <c r="AB393" s="713"/>
      <c r="AC393" s="713"/>
      <c r="AD393" s="713"/>
      <c r="AE393" s="713"/>
      <c r="AF393" s="713"/>
      <c r="AG393" s="713"/>
      <c r="AH393" s="713"/>
      <c r="AI393" s="713"/>
      <c r="AJ393" s="713"/>
      <c r="AK393" s="713"/>
      <c r="AL393" s="714"/>
    </row>
    <row r="394" spans="1:41" ht="30.75" customHeight="1" x14ac:dyDescent="0.7">
      <c r="A394" s="703"/>
      <c r="B394" s="704"/>
      <c r="C394" s="704"/>
      <c r="D394" s="704"/>
      <c r="E394" s="704"/>
      <c r="F394" s="704"/>
      <c r="G394" s="704"/>
      <c r="H394" s="704"/>
      <c r="I394" s="704"/>
      <c r="J394" s="704"/>
      <c r="K394" s="704"/>
      <c r="L394" s="705"/>
      <c r="M394" s="712"/>
      <c r="N394" s="713"/>
      <c r="O394" s="713"/>
      <c r="P394" s="713"/>
      <c r="Q394" s="713"/>
      <c r="R394" s="713"/>
      <c r="S394" s="713"/>
      <c r="T394" s="713"/>
      <c r="U394" s="713"/>
      <c r="V394" s="713"/>
      <c r="W394" s="713"/>
      <c r="X394" s="713"/>
      <c r="Y394" s="713"/>
      <c r="Z394" s="713"/>
      <c r="AA394" s="713"/>
      <c r="AB394" s="713"/>
      <c r="AC394" s="713"/>
      <c r="AD394" s="713"/>
      <c r="AE394" s="713"/>
      <c r="AF394" s="713"/>
      <c r="AG394" s="713"/>
      <c r="AH394" s="713"/>
      <c r="AI394" s="713"/>
      <c r="AJ394" s="713"/>
      <c r="AK394" s="713"/>
      <c r="AL394" s="714"/>
    </row>
    <row r="395" spans="1:41" ht="30.75" customHeight="1" x14ac:dyDescent="0.7">
      <c r="A395" s="703"/>
      <c r="B395" s="704"/>
      <c r="C395" s="704"/>
      <c r="D395" s="704"/>
      <c r="E395" s="704"/>
      <c r="F395" s="704"/>
      <c r="G395" s="704"/>
      <c r="H395" s="704"/>
      <c r="I395" s="704"/>
      <c r="J395" s="704"/>
      <c r="K395" s="704"/>
      <c r="L395" s="705"/>
      <c r="M395" s="712"/>
      <c r="N395" s="713"/>
      <c r="O395" s="713"/>
      <c r="P395" s="713"/>
      <c r="Q395" s="713"/>
      <c r="R395" s="713"/>
      <c r="S395" s="713"/>
      <c r="T395" s="713"/>
      <c r="U395" s="713"/>
      <c r="V395" s="713"/>
      <c r="W395" s="713"/>
      <c r="X395" s="713"/>
      <c r="Y395" s="713"/>
      <c r="Z395" s="713"/>
      <c r="AA395" s="713"/>
      <c r="AB395" s="713"/>
      <c r="AC395" s="713"/>
      <c r="AD395" s="713"/>
      <c r="AE395" s="713"/>
      <c r="AF395" s="713"/>
      <c r="AG395" s="713"/>
      <c r="AH395" s="713"/>
      <c r="AI395" s="713"/>
      <c r="AJ395" s="713"/>
      <c r="AK395" s="713"/>
      <c r="AL395" s="714"/>
    </row>
    <row r="396" spans="1:41" ht="30.75" customHeight="1" x14ac:dyDescent="0.7">
      <c r="A396" s="703"/>
      <c r="B396" s="704"/>
      <c r="C396" s="704"/>
      <c r="D396" s="704"/>
      <c r="E396" s="704"/>
      <c r="F396" s="704"/>
      <c r="G396" s="704"/>
      <c r="H396" s="704"/>
      <c r="I396" s="704"/>
      <c r="J396" s="704"/>
      <c r="K396" s="704"/>
      <c r="L396" s="705"/>
      <c r="M396" s="712"/>
      <c r="N396" s="713"/>
      <c r="O396" s="713"/>
      <c r="P396" s="713"/>
      <c r="Q396" s="713"/>
      <c r="R396" s="713"/>
      <c r="S396" s="713"/>
      <c r="T396" s="713"/>
      <c r="U396" s="713"/>
      <c r="V396" s="713"/>
      <c r="W396" s="713"/>
      <c r="X396" s="713"/>
      <c r="Y396" s="713"/>
      <c r="Z396" s="713"/>
      <c r="AA396" s="713"/>
      <c r="AB396" s="713"/>
      <c r="AC396" s="713"/>
      <c r="AD396" s="713"/>
      <c r="AE396" s="713"/>
      <c r="AF396" s="713"/>
      <c r="AG396" s="713"/>
      <c r="AH396" s="713"/>
      <c r="AI396" s="713"/>
      <c r="AJ396" s="713"/>
      <c r="AK396" s="713"/>
      <c r="AL396" s="714"/>
    </row>
    <row r="397" spans="1:41" ht="30.75" customHeight="1" x14ac:dyDescent="0.7">
      <c r="A397" s="703"/>
      <c r="B397" s="704"/>
      <c r="C397" s="704"/>
      <c r="D397" s="704"/>
      <c r="E397" s="704"/>
      <c r="F397" s="704"/>
      <c r="G397" s="704"/>
      <c r="H397" s="704"/>
      <c r="I397" s="704"/>
      <c r="J397" s="704"/>
      <c r="K397" s="704"/>
      <c r="L397" s="705"/>
      <c r="M397" s="712"/>
      <c r="N397" s="713"/>
      <c r="O397" s="713"/>
      <c r="P397" s="713"/>
      <c r="Q397" s="713"/>
      <c r="R397" s="713"/>
      <c r="S397" s="713"/>
      <c r="T397" s="713"/>
      <c r="U397" s="713"/>
      <c r="V397" s="713"/>
      <c r="W397" s="713"/>
      <c r="X397" s="713"/>
      <c r="Y397" s="713"/>
      <c r="Z397" s="713"/>
      <c r="AA397" s="713"/>
      <c r="AB397" s="713"/>
      <c r="AC397" s="713"/>
      <c r="AD397" s="713"/>
      <c r="AE397" s="713"/>
      <c r="AF397" s="713"/>
      <c r="AG397" s="713"/>
      <c r="AH397" s="713"/>
      <c r="AI397" s="713"/>
      <c r="AJ397" s="713"/>
      <c r="AK397" s="713"/>
      <c r="AL397" s="714"/>
    </row>
    <row r="398" spans="1:41" ht="30.75" customHeight="1" x14ac:dyDescent="0.7">
      <c r="A398" s="703"/>
      <c r="B398" s="704"/>
      <c r="C398" s="704"/>
      <c r="D398" s="704"/>
      <c r="E398" s="704"/>
      <c r="F398" s="704"/>
      <c r="G398" s="704"/>
      <c r="H398" s="704"/>
      <c r="I398" s="704"/>
      <c r="J398" s="704"/>
      <c r="K398" s="704"/>
      <c r="L398" s="705"/>
      <c r="M398" s="712"/>
      <c r="N398" s="713"/>
      <c r="O398" s="713"/>
      <c r="P398" s="713"/>
      <c r="Q398" s="713"/>
      <c r="R398" s="713"/>
      <c r="S398" s="713"/>
      <c r="T398" s="713"/>
      <c r="U398" s="713"/>
      <c r="V398" s="713"/>
      <c r="W398" s="713"/>
      <c r="X398" s="713"/>
      <c r="Y398" s="713"/>
      <c r="Z398" s="713"/>
      <c r="AA398" s="713"/>
      <c r="AB398" s="713"/>
      <c r="AC398" s="713"/>
      <c r="AD398" s="713"/>
      <c r="AE398" s="713"/>
      <c r="AF398" s="713"/>
      <c r="AG398" s="713"/>
      <c r="AH398" s="713"/>
      <c r="AI398" s="713"/>
      <c r="AJ398" s="713"/>
      <c r="AK398" s="713"/>
      <c r="AL398" s="714"/>
    </row>
    <row r="399" spans="1:41" ht="30.75" customHeight="1" x14ac:dyDescent="0.7">
      <c r="A399" s="703"/>
      <c r="B399" s="704"/>
      <c r="C399" s="704"/>
      <c r="D399" s="704"/>
      <c r="E399" s="704"/>
      <c r="F399" s="704"/>
      <c r="G399" s="704"/>
      <c r="H399" s="704"/>
      <c r="I399" s="704"/>
      <c r="J399" s="704"/>
      <c r="K399" s="704"/>
      <c r="L399" s="705"/>
      <c r="M399" s="712"/>
      <c r="N399" s="713"/>
      <c r="O399" s="713"/>
      <c r="P399" s="713"/>
      <c r="Q399" s="713"/>
      <c r="R399" s="713"/>
      <c r="S399" s="713"/>
      <c r="T399" s="713"/>
      <c r="U399" s="713"/>
      <c r="V399" s="713"/>
      <c r="W399" s="713"/>
      <c r="X399" s="713"/>
      <c r="Y399" s="713"/>
      <c r="Z399" s="713"/>
      <c r="AA399" s="713"/>
      <c r="AB399" s="713"/>
      <c r="AC399" s="713"/>
      <c r="AD399" s="713"/>
      <c r="AE399" s="713"/>
      <c r="AF399" s="713"/>
      <c r="AG399" s="713"/>
      <c r="AH399" s="713"/>
      <c r="AI399" s="713"/>
      <c r="AJ399" s="713"/>
      <c r="AK399" s="713"/>
      <c r="AL399" s="714"/>
    </row>
    <row r="400" spans="1:41" ht="30.75" customHeight="1" x14ac:dyDescent="0.7">
      <c r="A400" s="703"/>
      <c r="B400" s="704"/>
      <c r="C400" s="704"/>
      <c r="D400" s="704"/>
      <c r="E400" s="704"/>
      <c r="F400" s="704"/>
      <c r="G400" s="704"/>
      <c r="H400" s="704"/>
      <c r="I400" s="704"/>
      <c r="J400" s="704"/>
      <c r="K400" s="704"/>
      <c r="L400" s="705"/>
      <c r="M400" s="712"/>
      <c r="N400" s="713"/>
      <c r="O400" s="713"/>
      <c r="P400" s="713"/>
      <c r="Q400" s="713"/>
      <c r="R400" s="713"/>
      <c r="S400" s="713"/>
      <c r="T400" s="713"/>
      <c r="U400" s="713"/>
      <c r="V400" s="713"/>
      <c r="W400" s="713"/>
      <c r="X400" s="713"/>
      <c r="Y400" s="713"/>
      <c r="Z400" s="713"/>
      <c r="AA400" s="713"/>
      <c r="AB400" s="713"/>
      <c r="AC400" s="713"/>
      <c r="AD400" s="713"/>
      <c r="AE400" s="713"/>
      <c r="AF400" s="713"/>
      <c r="AG400" s="713"/>
      <c r="AH400" s="713"/>
      <c r="AI400" s="713"/>
      <c r="AJ400" s="713"/>
      <c r="AK400" s="713"/>
      <c r="AL400" s="714"/>
    </row>
    <row r="401" spans="1:38" ht="30.75" customHeight="1" x14ac:dyDescent="0.7">
      <c r="A401" s="703"/>
      <c r="B401" s="704"/>
      <c r="C401" s="704"/>
      <c r="D401" s="704"/>
      <c r="E401" s="704"/>
      <c r="F401" s="704"/>
      <c r="G401" s="704"/>
      <c r="H401" s="704"/>
      <c r="I401" s="704"/>
      <c r="J401" s="704"/>
      <c r="K401" s="704"/>
      <c r="L401" s="705"/>
      <c r="M401" s="712"/>
      <c r="N401" s="713"/>
      <c r="O401" s="713"/>
      <c r="P401" s="713"/>
      <c r="Q401" s="713"/>
      <c r="R401" s="713"/>
      <c r="S401" s="713"/>
      <c r="T401" s="713"/>
      <c r="U401" s="713"/>
      <c r="V401" s="713"/>
      <c r="W401" s="713"/>
      <c r="X401" s="713"/>
      <c r="Y401" s="713"/>
      <c r="Z401" s="713"/>
      <c r="AA401" s="713"/>
      <c r="AB401" s="713"/>
      <c r="AC401" s="713"/>
      <c r="AD401" s="713"/>
      <c r="AE401" s="713"/>
      <c r="AF401" s="713"/>
      <c r="AG401" s="713"/>
      <c r="AH401" s="713"/>
      <c r="AI401" s="713"/>
      <c r="AJ401" s="713"/>
      <c r="AK401" s="713"/>
      <c r="AL401" s="714"/>
    </row>
    <row r="402" spans="1:38" ht="30.75" customHeight="1" x14ac:dyDescent="0.7">
      <c r="A402" s="703"/>
      <c r="B402" s="704"/>
      <c r="C402" s="704"/>
      <c r="D402" s="704"/>
      <c r="E402" s="704"/>
      <c r="F402" s="704"/>
      <c r="G402" s="704"/>
      <c r="H402" s="704"/>
      <c r="I402" s="704"/>
      <c r="J402" s="704"/>
      <c r="K402" s="704"/>
      <c r="L402" s="705"/>
      <c r="M402" s="712"/>
      <c r="N402" s="713"/>
      <c r="O402" s="713"/>
      <c r="P402" s="713"/>
      <c r="Q402" s="713"/>
      <c r="R402" s="713"/>
      <c r="S402" s="713"/>
      <c r="T402" s="713"/>
      <c r="U402" s="713"/>
      <c r="V402" s="713"/>
      <c r="W402" s="713"/>
      <c r="X402" s="713"/>
      <c r="Y402" s="713"/>
      <c r="Z402" s="713"/>
      <c r="AA402" s="713"/>
      <c r="AB402" s="713"/>
      <c r="AC402" s="713"/>
      <c r="AD402" s="713"/>
      <c r="AE402" s="713"/>
      <c r="AF402" s="713"/>
      <c r="AG402" s="713"/>
      <c r="AH402" s="713"/>
      <c r="AI402" s="713"/>
      <c r="AJ402" s="713"/>
      <c r="AK402" s="713"/>
      <c r="AL402" s="714"/>
    </row>
    <row r="403" spans="1:38" ht="30.75" customHeight="1" x14ac:dyDescent="0.7">
      <c r="A403" s="703"/>
      <c r="B403" s="704"/>
      <c r="C403" s="704"/>
      <c r="D403" s="704"/>
      <c r="E403" s="704"/>
      <c r="F403" s="704"/>
      <c r="G403" s="704"/>
      <c r="H403" s="704"/>
      <c r="I403" s="704"/>
      <c r="J403" s="704"/>
      <c r="K403" s="704"/>
      <c r="L403" s="705"/>
      <c r="M403" s="712"/>
      <c r="N403" s="713"/>
      <c r="O403" s="713"/>
      <c r="P403" s="713"/>
      <c r="Q403" s="713"/>
      <c r="R403" s="713"/>
      <c r="S403" s="713"/>
      <c r="T403" s="713"/>
      <c r="U403" s="713"/>
      <c r="V403" s="713"/>
      <c r="W403" s="713"/>
      <c r="X403" s="713"/>
      <c r="Y403" s="713"/>
      <c r="Z403" s="713"/>
      <c r="AA403" s="713"/>
      <c r="AB403" s="713"/>
      <c r="AC403" s="713"/>
      <c r="AD403" s="713"/>
      <c r="AE403" s="713"/>
      <c r="AF403" s="713"/>
      <c r="AG403" s="713"/>
      <c r="AH403" s="713"/>
      <c r="AI403" s="713"/>
      <c r="AJ403" s="713"/>
      <c r="AK403" s="713"/>
      <c r="AL403" s="714"/>
    </row>
    <row r="404" spans="1:38" ht="30.75" customHeight="1" x14ac:dyDescent="0.7">
      <c r="A404" s="703"/>
      <c r="B404" s="704"/>
      <c r="C404" s="704"/>
      <c r="D404" s="704"/>
      <c r="E404" s="704"/>
      <c r="F404" s="704"/>
      <c r="G404" s="704"/>
      <c r="H404" s="704"/>
      <c r="I404" s="704"/>
      <c r="J404" s="704"/>
      <c r="K404" s="704"/>
      <c r="L404" s="705"/>
      <c r="M404" s="712"/>
      <c r="N404" s="713"/>
      <c r="O404" s="713"/>
      <c r="P404" s="713"/>
      <c r="Q404" s="713"/>
      <c r="R404" s="713"/>
      <c r="S404" s="713"/>
      <c r="T404" s="713"/>
      <c r="U404" s="713"/>
      <c r="V404" s="713"/>
      <c r="W404" s="713"/>
      <c r="X404" s="713"/>
      <c r="Y404" s="713"/>
      <c r="Z404" s="713"/>
      <c r="AA404" s="713"/>
      <c r="AB404" s="713"/>
      <c r="AC404" s="713"/>
      <c r="AD404" s="713"/>
      <c r="AE404" s="713"/>
      <c r="AF404" s="713"/>
      <c r="AG404" s="713"/>
      <c r="AH404" s="713"/>
      <c r="AI404" s="713"/>
      <c r="AJ404" s="713"/>
      <c r="AK404" s="713"/>
      <c r="AL404" s="714"/>
    </row>
    <row r="405" spans="1:38" ht="30.75" customHeight="1" x14ac:dyDescent="0.7">
      <c r="A405" s="703"/>
      <c r="B405" s="704"/>
      <c r="C405" s="704"/>
      <c r="D405" s="704"/>
      <c r="E405" s="704"/>
      <c r="F405" s="704"/>
      <c r="G405" s="704"/>
      <c r="H405" s="704"/>
      <c r="I405" s="704"/>
      <c r="J405" s="704"/>
      <c r="K405" s="704"/>
      <c r="L405" s="705"/>
      <c r="M405" s="712"/>
      <c r="N405" s="713"/>
      <c r="O405" s="713"/>
      <c r="P405" s="713"/>
      <c r="Q405" s="713"/>
      <c r="R405" s="713"/>
      <c r="S405" s="713"/>
      <c r="T405" s="713"/>
      <c r="U405" s="713"/>
      <c r="V405" s="713"/>
      <c r="W405" s="713"/>
      <c r="X405" s="713"/>
      <c r="Y405" s="713"/>
      <c r="Z405" s="713"/>
      <c r="AA405" s="713"/>
      <c r="AB405" s="713"/>
      <c r="AC405" s="713"/>
      <c r="AD405" s="713"/>
      <c r="AE405" s="713"/>
      <c r="AF405" s="713"/>
      <c r="AG405" s="713"/>
      <c r="AH405" s="713"/>
      <c r="AI405" s="713"/>
      <c r="AJ405" s="713"/>
      <c r="AK405" s="713"/>
      <c r="AL405" s="714"/>
    </row>
    <row r="406" spans="1:38" ht="30.75" customHeight="1" x14ac:dyDescent="0.7">
      <c r="A406" s="703"/>
      <c r="B406" s="704"/>
      <c r="C406" s="704"/>
      <c r="D406" s="704"/>
      <c r="E406" s="704"/>
      <c r="F406" s="704"/>
      <c r="G406" s="704"/>
      <c r="H406" s="704"/>
      <c r="I406" s="704"/>
      <c r="J406" s="704"/>
      <c r="K406" s="704"/>
      <c r="L406" s="705"/>
      <c r="M406" s="712"/>
      <c r="N406" s="713"/>
      <c r="O406" s="713"/>
      <c r="P406" s="713"/>
      <c r="Q406" s="713"/>
      <c r="R406" s="713"/>
      <c r="S406" s="713"/>
      <c r="T406" s="713"/>
      <c r="U406" s="713"/>
      <c r="V406" s="713"/>
      <c r="W406" s="713"/>
      <c r="X406" s="713"/>
      <c r="Y406" s="713"/>
      <c r="Z406" s="713"/>
      <c r="AA406" s="713"/>
      <c r="AB406" s="713"/>
      <c r="AC406" s="713"/>
      <c r="AD406" s="713"/>
      <c r="AE406" s="713"/>
      <c r="AF406" s="713"/>
      <c r="AG406" s="713"/>
      <c r="AH406" s="713"/>
      <c r="AI406" s="713"/>
      <c r="AJ406" s="713"/>
      <c r="AK406" s="713"/>
      <c r="AL406" s="714"/>
    </row>
    <row r="407" spans="1:38" ht="30.75" customHeight="1" x14ac:dyDescent="0.7">
      <c r="A407" s="703"/>
      <c r="B407" s="704"/>
      <c r="C407" s="704"/>
      <c r="D407" s="704"/>
      <c r="E407" s="704"/>
      <c r="F407" s="704"/>
      <c r="G407" s="704"/>
      <c r="H407" s="704"/>
      <c r="I407" s="704"/>
      <c r="J407" s="704"/>
      <c r="K407" s="704"/>
      <c r="L407" s="705"/>
      <c r="M407" s="712"/>
      <c r="N407" s="713"/>
      <c r="O407" s="713"/>
      <c r="P407" s="713"/>
      <c r="Q407" s="713"/>
      <c r="R407" s="713"/>
      <c r="S407" s="713"/>
      <c r="T407" s="713"/>
      <c r="U407" s="713"/>
      <c r="V407" s="713"/>
      <c r="W407" s="713"/>
      <c r="X407" s="713"/>
      <c r="Y407" s="713"/>
      <c r="Z407" s="713"/>
      <c r="AA407" s="713"/>
      <c r="AB407" s="713"/>
      <c r="AC407" s="713"/>
      <c r="AD407" s="713"/>
      <c r="AE407" s="713"/>
      <c r="AF407" s="713"/>
      <c r="AG407" s="713"/>
      <c r="AH407" s="713"/>
      <c r="AI407" s="713"/>
      <c r="AJ407" s="713"/>
      <c r="AK407" s="713"/>
      <c r="AL407" s="714"/>
    </row>
    <row r="408" spans="1:38" ht="30.75" customHeight="1" x14ac:dyDescent="0.7">
      <c r="A408" s="703"/>
      <c r="B408" s="704"/>
      <c r="C408" s="704"/>
      <c r="D408" s="704"/>
      <c r="E408" s="704"/>
      <c r="F408" s="704"/>
      <c r="G408" s="704"/>
      <c r="H408" s="704"/>
      <c r="I408" s="704"/>
      <c r="J408" s="704"/>
      <c r="K408" s="704"/>
      <c r="L408" s="705"/>
      <c r="M408" s="712"/>
      <c r="N408" s="713"/>
      <c r="O408" s="713"/>
      <c r="P408" s="713"/>
      <c r="Q408" s="713"/>
      <c r="R408" s="713"/>
      <c r="S408" s="713"/>
      <c r="T408" s="713"/>
      <c r="U408" s="713"/>
      <c r="V408" s="713"/>
      <c r="W408" s="713"/>
      <c r="X408" s="713"/>
      <c r="Y408" s="713"/>
      <c r="Z408" s="713"/>
      <c r="AA408" s="713"/>
      <c r="AB408" s="713"/>
      <c r="AC408" s="713"/>
      <c r="AD408" s="713"/>
      <c r="AE408" s="713"/>
      <c r="AF408" s="713"/>
      <c r="AG408" s="713"/>
      <c r="AH408" s="713"/>
      <c r="AI408" s="713"/>
      <c r="AJ408" s="713"/>
      <c r="AK408" s="713"/>
      <c r="AL408" s="714"/>
    </row>
    <row r="409" spans="1:38" ht="30.75" customHeight="1" x14ac:dyDescent="0.7">
      <c r="A409" s="703"/>
      <c r="B409" s="704"/>
      <c r="C409" s="704"/>
      <c r="D409" s="704"/>
      <c r="E409" s="704"/>
      <c r="F409" s="704"/>
      <c r="G409" s="704"/>
      <c r="H409" s="704"/>
      <c r="I409" s="704"/>
      <c r="J409" s="704"/>
      <c r="K409" s="704"/>
      <c r="L409" s="705"/>
      <c r="M409" s="712"/>
      <c r="N409" s="713"/>
      <c r="O409" s="713"/>
      <c r="P409" s="713"/>
      <c r="Q409" s="713"/>
      <c r="R409" s="713"/>
      <c r="S409" s="713"/>
      <c r="T409" s="713"/>
      <c r="U409" s="713"/>
      <c r="V409" s="713"/>
      <c r="W409" s="713"/>
      <c r="X409" s="713"/>
      <c r="Y409" s="713"/>
      <c r="Z409" s="713"/>
      <c r="AA409" s="713"/>
      <c r="AB409" s="713"/>
      <c r="AC409" s="713"/>
      <c r="AD409" s="713"/>
      <c r="AE409" s="713"/>
      <c r="AF409" s="713"/>
      <c r="AG409" s="713"/>
      <c r="AH409" s="713"/>
      <c r="AI409" s="713"/>
      <c r="AJ409" s="713"/>
      <c r="AK409" s="713"/>
      <c r="AL409" s="714"/>
    </row>
    <row r="410" spans="1:38" ht="30.75" customHeight="1" x14ac:dyDescent="0.7">
      <c r="A410" s="703"/>
      <c r="B410" s="704"/>
      <c r="C410" s="704"/>
      <c r="D410" s="704"/>
      <c r="E410" s="704"/>
      <c r="F410" s="704"/>
      <c r="G410" s="704"/>
      <c r="H410" s="704"/>
      <c r="I410" s="704"/>
      <c r="J410" s="704"/>
      <c r="K410" s="704"/>
      <c r="L410" s="705"/>
      <c r="M410" s="712"/>
      <c r="N410" s="713"/>
      <c r="O410" s="713"/>
      <c r="P410" s="713"/>
      <c r="Q410" s="713"/>
      <c r="R410" s="713"/>
      <c r="S410" s="713"/>
      <c r="T410" s="713"/>
      <c r="U410" s="713"/>
      <c r="V410" s="713"/>
      <c r="W410" s="713"/>
      <c r="X410" s="713"/>
      <c r="Y410" s="713"/>
      <c r="Z410" s="713"/>
      <c r="AA410" s="713"/>
      <c r="AB410" s="713"/>
      <c r="AC410" s="713"/>
      <c r="AD410" s="713"/>
      <c r="AE410" s="713"/>
      <c r="AF410" s="713"/>
      <c r="AG410" s="713"/>
      <c r="AH410" s="713"/>
      <c r="AI410" s="713"/>
      <c r="AJ410" s="713"/>
      <c r="AK410" s="713"/>
      <c r="AL410" s="714"/>
    </row>
    <row r="411" spans="1:38" ht="30.75" customHeight="1" x14ac:dyDescent="0.7">
      <c r="A411" s="703"/>
      <c r="B411" s="704"/>
      <c r="C411" s="704"/>
      <c r="D411" s="704"/>
      <c r="E411" s="704"/>
      <c r="F411" s="704"/>
      <c r="G411" s="704"/>
      <c r="H411" s="704"/>
      <c r="I411" s="704"/>
      <c r="J411" s="704"/>
      <c r="K411" s="704"/>
      <c r="L411" s="705"/>
      <c r="M411" s="712"/>
      <c r="N411" s="713"/>
      <c r="O411" s="713"/>
      <c r="P411" s="713"/>
      <c r="Q411" s="713"/>
      <c r="R411" s="713"/>
      <c r="S411" s="713"/>
      <c r="T411" s="713"/>
      <c r="U411" s="713"/>
      <c r="V411" s="713"/>
      <c r="W411" s="713"/>
      <c r="X411" s="713"/>
      <c r="Y411" s="713"/>
      <c r="Z411" s="713"/>
      <c r="AA411" s="713"/>
      <c r="AB411" s="713"/>
      <c r="AC411" s="713"/>
      <c r="AD411" s="713"/>
      <c r="AE411" s="713"/>
      <c r="AF411" s="713"/>
      <c r="AG411" s="713"/>
      <c r="AH411" s="713"/>
      <c r="AI411" s="713"/>
      <c r="AJ411" s="713"/>
      <c r="AK411" s="713"/>
      <c r="AL411" s="714"/>
    </row>
    <row r="412" spans="1:38" ht="30.75" customHeight="1" x14ac:dyDescent="0.7">
      <c r="A412" s="703"/>
      <c r="B412" s="704"/>
      <c r="C412" s="704"/>
      <c r="D412" s="704"/>
      <c r="E412" s="704"/>
      <c r="F412" s="704"/>
      <c r="G412" s="704"/>
      <c r="H412" s="704"/>
      <c r="I412" s="704"/>
      <c r="J412" s="704"/>
      <c r="K412" s="704"/>
      <c r="L412" s="705"/>
      <c r="M412" s="712"/>
      <c r="N412" s="713"/>
      <c r="O412" s="713"/>
      <c r="P412" s="713"/>
      <c r="Q412" s="713"/>
      <c r="R412" s="713"/>
      <c r="S412" s="713"/>
      <c r="T412" s="713"/>
      <c r="U412" s="713"/>
      <c r="V412" s="713"/>
      <c r="W412" s="713"/>
      <c r="X412" s="713"/>
      <c r="Y412" s="713"/>
      <c r="Z412" s="713"/>
      <c r="AA412" s="713"/>
      <c r="AB412" s="713"/>
      <c r="AC412" s="713"/>
      <c r="AD412" s="713"/>
      <c r="AE412" s="713"/>
      <c r="AF412" s="713"/>
      <c r="AG412" s="713"/>
      <c r="AH412" s="713"/>
      <c r="AI412" s="713"/>
      <c r="AJ412" s="713"/>
      <c r="AK412" s="713"/>
      <c r="AL412" s="714"/>
    </row>
    <row r="413" spans="1:38" ht="30.75" customHeight="1" x14ac:dyDescent="0.7">
      <c r="A413" s="703"/>
      <c r="B413" s="704"/>
      <c r="C413" s="704"/>
      <c r="D413" s="704"/>
      <c r="E413" s="704"/>
      <c r="F413" s="704"/>
      <c r="G413" s="704"/>
      <c r="H413" s="704"/>
      <c r="I413" s="704"/>
      <c r="J413" s="704"/>
      <c r="K413" s="704"/>
      <c r="L413" s="705"/>
      <c r="M413" s="712"/>
      <c r="N413" s="713"/>
      <c r="O413" s="713"/>
      <c r="P413" s="713"/>
      <c r="Q413" s="713"/>
      <c r="R413" s="713"/>
      <c r="S413" s="713"/>
      <c r="T413" s="713"/>
      <c r="U413" s="713"/>
      <c r="V413" s="713"/>
      <c r="W413" s="713"/>
      <c r="X413" s="713"/>
      <c r="Y413" s="713"/>
      <c r="Z413" s="713"/>
      <c r="AA413" s="713"/>
      <c r="AB413" s="713"/>
      <c r="AC413" s="713"/>
      <c r="AD413" s="713"/>
      <c r="AE413" s="713"/>
      <c r="AF413" s="713"/>
      <c r="AG413" s="713"/>
      <c r="AH413" s="713"/>
      <c r="AI413" s="713"/>
      <c r="AJ413" s="713"/>
      <c r="AK413" s="713"/>
      <c r="AL413" s="714"/>
    </row>
    <row r="414" spans="1:38" ht="30.75" customHeight="1" x14ac:dyDescent="0.7">
      <c r="A414" s="703"/>
      <c r="B414" s="704"/>
      <c r="C414" s="704"/>
      <c r="D414" s="704"/>
      <c r="E414" s="704"/>
      <c r="F414" s="704"/>
      <c r="G414" s="704"/>
      <c r="H414" s="704"/>
      <c r="I414" s="704"/>
      <c r="J414" s="704"/>
      <c r="K414" s="704"/>
      <c r="L414" s="705"/>
      <c r="M414" s="712"/>
      <c r="N414" s="713"/>
      <c r="O414" s="713"/>
      <c r="P414" s="713"/>
      <c r="Q414" s="713"/>
      <c r="R414" s="713"/>
      <c r="S414" s="713"/>
      <c r="T414" s="713"/>
      <c r="U414" s="713"/>
      <c r="V414" s="713"/>
      <c r="W414" s="713"/>
      <c r="X414" s="713"/>
      <c r="Y414" s="713"/>
      <c r="Z414" s="713"/>
      <c r="AA414" s="713"/>
      <c r="AB414" s="713"/>
      <c r="AC414" s="713"/>
      <c r="AD414" s="713"/>
      <c r="AE414" s="713"/>
      <c r="AF414" s="713"/>
      <c r="AG414" s="713"/>
      <c r="AH414" s="713"/>
      <c r="AI414" s="713"/>
      <c r="AJ414" s="713"/>
      <c r="AK414" s="713"/>
      <c r="AL414" s="714"/>
    </row>
    <row r="415" spans="1:38" ht="30.75" customHeight="1" thickBot="1" x14ac:dyDescent="0.75">
      <c r="A415" s="706"/>
      <c r="B415" s="707"/>
      <c r="C415" s="707"/>
      <c r="D415" s="707"/>
      <c r="E415" s="707"/>
      <c r="F415" s="707"/>
      <c r="G415" s="707"/>
      <c r="H415" s="707"/>
      <c r="I415" s="707"/>
      <c r="J415" s="707"/>
      <c r="K415" s="707"/>
      <c r="L415" s="708"/>
      <c r="M415" s="715"/>
      <c r="N415" s="716"/>
      <c r="O415" s="716"/>
      <c r="P415" s="716"/>
      <c r="Q415" s="716"/>
      <c r="R415" s="716"/>
      <c r="S415" s="716"/>
      <c r="T415" s="716"/>
      <c r="U415" s="716"/>
      <c r="V415" s="716"/>
      <c r="W415" s="716"/>
      <c r="X415" s="716"/>
      <c r="Y415" s="716"/>
      <c r="Z415" s="716"/>
      <c r="AA415" s="716"/>
      <c r="AB415" s="716"/>
      <c r="AC415" s="716"/>
      <c r="AD415" s="716"/>
      <c r="AE415" s="716"/>
      <c r="AF415" s="716"/>
      <c r="AG415" s="716"/>
      <c r="AH415" s="716"/>
      <c r="AI415" s="716"/>
      <c r="AJ415" s="716"/>
      <c r="AK415" s="716"/>
      <c r="AL415" s="717"/>
    </row>
  </sheetData>
  <sheetProtection selectLockedCells="1"/>
  <mergeCells count="428">
    <mergeCell ref="AB275:AC275"/>
    <mergeCell ref="AD275:AE275"/>
    <mergeCell ref="J275:K275"/>
    <mergeCell ref="L275:M275"/>
    <mergeCell ref="A258:A259"/>
    <mergeCell ref="A271:A273"/>
    <mergeCell ref="A92:A95"/>
    <mergeCell ref="AB90:AC90"/>
    <mergeCell ref="AD90:AE90"/>
    <mergeCell ref="V258:W258"/>
    <mergeCell ref="X258:Y258"/>
    <mergeCell ref="R258:S258"/>
    <mergeCell ref="T258:U258"/>
    <mergeCell ref="A140:A141"/>
    <mergeCell ref="J128:K128"/>
    <mergeCell ref="Z128:AA128"/>
    <mergeCell ref="A226:A231"/>
    <mergeCell ref="A136:A137"/>
    <mergeCell ref="D128:E128"/>
    <mergeCell ref="H20:I20"/>
    <mergeCell ref="A36:A37"/>
    <mergeCell ref="A38:A39"/>
    <mergeCell ref="A40:A41"/>
    <mergeCell ref="A22:A31"/>
    <mergeCell ref="V20:W20"/>
    <mergeCell ref="C80:C81"/>
    <mergeCell ref="A48:A49"/>
    <mergeCell ref="A44:A45"/>
    <mergeCell ref="A34:A35"/>
    <mergeCell ref="A61:A62"/>
    <mergeCell ref="A63:A64"/>
    <mergeCell ref="A67:A68"/>
    <mergeCell ref="H55:I55"/>
    <mergeCell ref="J55:K55"/>
    <mergeCell ref="L55:M55"/>
    <mergeCell ref="N55:O55"/>
    <mergeCell ref="AL8:AL18"/>
    <mergeCell ref="AI20:AI21"/>
    <mergeCell ref="AK80:AK81"/>
    <mergeCell ref="AH20:AH21"/>
    <mergeCell ref="AL92:AL126"/>
    <mergeCell ref="AL130:AL141"/>
    <mergeCell ref="F20:G20"/>
    <mergeCell ref="D80:I81"/>
    <mergeCell ref="A80:A81"/>
    <mergeCell ref="AL55:AL56"/>
    <mergeCell ref="A69:A70"/>
    <mergeCell ref="A71:A72"/>
    <mergeCell ref="A73:A74"/>
    <mergeCell ref="A75:A76"/>
    <mergeCell ref="A65:A66"/>
    <mergeCell ref="AJ57:AJ78"/>
    <mergeCell ref="X55:Y55"/>
    <mergeCell ref="Z55:AA55"/>
    <mergeCell ref="AB55:AC55"/>
    <mergeCell ref="AD55:AE55"/>
    <mergeCell ref="AF55:AG55"/>
    <mergeCell ref="AH55:AH56"/>
    <mergeCell ref="AI55:AI56"/>
    <mergeCell ref="AJ55:AJ56"/>
    <mergeCell ref="AI258:AI259"/>
    <mergeCell ref="AF90:AG90"/>
    <mergeCell ref="AB128:AC128"/>
    <mergeCell ref="AD128:AE128"/>
    <mergeCell ref="AF128:AG128"/>
    <mergeCell ref="AB143:AC143"/>
    <mergeCell ref="AD143:AE143"/>
    <mergeCell ref="AF143:AG143"/>
    <mergeCell ref="AJ8:AJ18"/>
    <mergeCell ref="AJ80:AJ81"/>
    <mergeCell ref="A127:AL127"/>
    <mergeCell ref="B90:B91"/>
    <mergeCell ref="A115:A117"/>
    <mergeCell ref="A118:A124"/>
    <mergeCell ref="A125:A126"/>
    <mergeCell ref="A82:A86"/>
    <mergeCell ref="J90:K90"/>
    <mergeCell ref="C90:C91"/>
    <mergeCell ref="N20:O20"/>
    <mergeCell ref="A97:A102"/>
    <mergeCell ref="AJ90:AJ91"/>
    <mergeCell ref="AJ82:AJ86"/>
    <mergeCell ref="A89:AL89"/>
    <mergeCell ref="AL80:AL81"/>
    <mergeCell ref="AI1:AL1"/>
    <mergeCell ref="V80:W80"/>
    <mergeCell ref="X20:Y20"/>
    <mergeCell ref="Z20:AA20"/>
    <mergeCell ref="AK258:AK259"/>
    <mergeCell ref="AK20:AK21"/>
    <mergeCell ref="AH325:AH326"/>
    <mergeCell ref="AL316:AL323"/>
    <mergeCell ref="V224:W224"/>
    <mergeCell ref="AL143:AL144"/>
    <mergeCell ref="AB224:AC224"/>
    <mergeCell ref="AD224:AE224"/>
    <mergeCell ref="AF224:AG224"/>
    <mergeCell ref="AB258:AC258"/>
    <mergeCell ref="AD258:AE258"/>
    <mergeCell ref="AF258:AG258"/>
    <mergeCell ref="A54:AL54"/>
    <mergeCell ref="A55:A56"/>
    <mergeCell ref="B55:B56"/>
    <mergeCell ref="C55:C56"/>
    <mergeCell ref="D55:E55"/>
    <mergeCell ref="AJ316:AJ323"/>
    <mergeCell ref="H275:I275"/>
    <mergeCell ref="AI275:AI276"/>
    <mergeCell ref="A346:AL346"/>
    <mergeCell ref="A347:A357"/>
    <mergeCell ref="A278:A283"/>
    <mergeCell ref="A286:A287"/>
    <mergeCell ref="A294:A301"/>
    <mergeCell ref="A109:A114"/>
    <mergeCell ref="AL325:AL326"/>
    <mergeCell ref="A324:AL324"/>
    <mergeCell ref="A274:AL274"/>
    <mergeCell ref="A288:A293"/>
    <mergeCell ref="AL275:AL276"/>
    <mergeCell ref="AK275:AK276"/>
    <mergeCell ref="AJ258:AJ259"/>
    <mergeCell ref="AJ275:AJ276"/>
    <mergeCell ref="A138:A139"/>
    <mergeCell ref="A143:A144"/>
    <mergeCell ref="B143:B144"/>
    <mergeCell ref="A170:A171"/>
    <mergeCell ref="AL128:AL129"/>
    <mergeCell ref="R128:S128"/>
    <mergeCell ref="T128:U128"/>
    <mergeCell ref="AH128:AH129"/>
    <mergeCell ref="AI115:AI116"/>
    <mergeCell ref="X224:Y224"/>
    <mergeCell ref="AH275:AH276"/>
    <mergeCell ref="AF275:AG275"/>
    <mergeCell ref="AJ260:AJ273"/>
    <mergeCell ref="P275:Q275"/>
    <mergeCell ref="R275:S275"/>
    <mergeCell ref="T275:U275"/>
    <mergeCell ref="AN2:AO2"/>
    <mergeCell ref="R80:S80"/>
    <mergeCell ref="T80:U80"/>
    <mergeCell ref="AM1:AM21"/>
    <mergeCell ref="Z90:AA90"/>
    <mergeCell ref="X90:Y90"/>
    <mergeCell ref="AJ224:AJ225"/>
    <mergeCell ref="AI40:AI41"/>
    <mergeCell ref="AI48:AI49"/>
    <mergeCell ref="AH80:AH81"/>
    <mergeCell ref="AI46:AI47"/>
    <mergeCell ref="AI224:AI225"/>
    <mergeCell ref="X80:Y80"/>
    <mergeCell ref="AI80:AI81"/>
    <mergeCell ref="AK170:AK171"/>
    <mergeCell ref="AI90:AI91"/>
    <mergeCell ref="V128:W128"/>
    <mergeCell ref="X128:Y128"/>
    <mergeCell ref="AL170:AL171"/>
    <mergeCell ref="AL224:AL225"/>
    <mergeCell ref="AL172:AL222"/>
    <mergeCell ref="AK224:AK225"/>
    <mergeCell ref="AL145:AL168"/>
    <mergeCell ref="L143:M143"/>
    <mergeCell ref="N143:O143"/>
    <mergeCell ref="P143:Q143"/>
    <mergeCell ref="A181:A189"/>
    <mergeCell ref="A190:A198"/>
    <mergeCell ref="A199:A207"/>
    <mergeCell ref="A172:A180"/>
    <mergeCell ref="AK143:AK144"/>
    <mergeCell ref="AJ170:AJ171"/>
    <mergeCell ref="L224:M224"/>
    <mergeCell ref="D224:E224"/>
    <mergeCell ref="H224:I224"/>
    <mergeCell ref="A145:A152"/>
    <mergeCell ref="C143:C144"/>
    <mergeCell ref="AK128:AK129"/>
    <mergeCell ref="F128:G128"/>
    <mergeCell ref="H128:I128"/>
    <mergeCell ref="AJ145:AJ168"/>
    <mergeCell ref="AJ143:AJ144"/>
    <mergeCell ref="Z170:AA170"/>
    <mergeCell ref="L170:M170"/>
    <mergeCell ref="AJ172:AJ180"/>
    <mergeCell ref="AB170:AC170"/>
    <mergeCell ref="AD170:AE170"/>
    <mergeCell ref="AF170:AG170"/>
    <mergeCell ref="P128:Q128"/>
    <mergeCell ref="AI128:AI129"/>
    <mergeCell ref="L128:M128"/>
    <mergeCell ref="N128:O128"/>
    <mergeCell ref="AI143:AI144"/>
    <mergeCell ref="R143:S143"/>
    <mergeCell ref="T143:U143"/>
    <mergeCell ref="V143:W143"/>
    <mergeCell ref="X143:Y143"/>
    <mergeCell ref="Z143:AA143"/>
    <mergeCell ref="AH143:AH144"/>
    <mergeCell ref="R5:S5"/>
    <mergeCell ref="T5:U5"/>
    <mergeCell ref="V5:W5"/>
    <mergeCell ref="T20:U20"/>
    <mergeCell ref="J20:K20"/>
    <mergeCell ref="L20:M20"/>
    <mergeCell ref="Z80:AA80"/>
    <mergeCell ref="J80:K80"/>
    <mergeCell ref="L80:M80"/>
    <mergeCell ref="N80:O80"/>
    <mergeCell ref="P80:Q80"/>
    <mergeCell ref="A79:AL79"/>
    <mergeCell ref="AB20:AC20"/>
    <mergeCell ref="AD20:AE20"/>
    <mergeCell ref="AF20:AG20"/>
    <mergeCell ref="AB80:AC80"/>
    <mergeCell ref="AD80:AE80"/>
    <mergeCell ref="AF80:AG80"/>
    <mergeCell ref="P55:Q55"/>
    <mergeCell ref="R55:S55"/>
    <mergeCell ref="T55:U55"/>
    <mergeCell ref="V55:W55"/>
    <mergeCell ref="D20:E20"/>
    <mergeCell ref="B80:B81"/>
    <mergeCell ref="AL82:AL86"/>
    <mergeCell ref="B1:C1"/>
    <mergeCell ref="AI22:AI23"/>
    <mergeCell ref="A19:AL19"/>
    <mergeCell ref="AJ22:AJ53"/>
    <mergeCell ref="AI27:AI28"/>
    <mergeCell ref="AI32:AI33"/>
    <mergeCell ref="AI34:AI35"/>
    <mergeCell ref="F5:G5"/>
    <mergeCell ref="H5:I5"/>
    <mergeCell ref="J5:K5"/>
    <mergeCell ref="L5:M5"/>
    <mergeCell ref="N5:O5"/>
    <mergeCell ref="P5:Q5"/>
    <mergeCell ref="A52:A53"/>
    <mergeCell ref="A42:A43"/>
    <mergeCell ref="P20:Q20"/>
    <mergeCell ref="R20:S20"/>
    <mergeCell ref="AI36:AI37"/>
    <mergeCell ref="AK5:AK6"/>
    <mergeCell ref="A46:A47"/>
    <mergeCell ref="A8:A10"/>
    <mergeCell ref="AL22:AL53"/>
    <mergeCell ref="AL20:AL21"/>
    <mergeCell ref="AJ20:AJ21"/>
    <mergeCell ref="AI38:AI39"/>
    <mergeCell ref="AL90:AL91"/>
    <mergeCell ref="D90:I91"/>
    <mergeCell ref="AK90:AK91"/>
    <mergeCell ref="AK55:AK56"/>
    <mergeCell ref="F55:G55"/>
    <mergeCell ref="A339:A345"/>
    <mergeCell ref="V325:W325"/>
    <mergeCell ref="X325:Y325"/>
    <mergeCell ref="D275:E275"/>
    <mergeCell ref="F275:G275"/>
    <mergeCell ref="Z275:AA275"/>
    <mergeCell ref="B275:B276"/>
    <mergeCell ref="A325:A326"/>
    <mergeCell ref="B325:B326"/>
    <mergeCell ref="A327:A332"/>
    <mergeCell ref="C325:C326"/>
    <mergeCell ref="Z325:AA325"/>
    <mergeCell ref="L325:M325"/>
    <mergeCell ref="H325:I325"/>
    <mergeCell ref="J325:K325"/>
    <mergeCell ref="V275:W275"/>
    <mergeCell ref="N275:O275"/>
    <mergeCell ref="N325:O325"/>
    <mergeCell ref="P325:Q325"/>
    <mergeCell ref="R325:S325"/>
    <mergeCell ref="T325:U325"/>
    <mergeCell ref="D325:E325"/>
    <mergeCell ref="F325:G325"/>
    <mergeCell ref="C275:C276"/>
    <mergeCell ref="A161:A168"/>
    <mergeCell ref="A153:A160"/>
    <mergeCell ref="D170:E170"/>
    <mergeCell ref="F170:G170"/>
    <mergeCell ref="H170:I170"/>
    <mergeCell ref="J170:K170"/>
    <mergeCell ref="C170:C171"/>
    <mergeCell ref="A4:C4"/>
    <mergeCell ref="C20:C21"/>
    <mergeCell ref="B20:B21"/>
    <mergeCell ref="A20:A21"/>
    <mergeCell ref="A128:A129"/>
    <mergeCell ref="B128:B129"/>
    <mergeCell ref="A130:A131"/>
    <mergeCell ref="A132:A133"/>
    <mergeCell ref="A134:A135"/>
    <mergeCell ref="A90:A91"/>
    <mergeCell ref="A11:A13"/>
    <mergeCell ref="A15:A17"/>
    <mergeCell ref="A57:A58"/>
    <mergeCell ref="A59:A60"/>
    <mergeCell ref="A50:A51"/>
    <mergeCell ref="A77:A78"/>
    <mergeCell ref="AI325:AI326"/>
    <mergeCell ref="V170:W170"/>
    <mergeCell ref="AH224:AH225"/>
    <mergeCell ref="AH258:AH259"/>
    <mergeCell ref="T224:U224"/>
    <mergeCell ref="R224:S224"/>
    <mergeCell ref="N224:O224"/>
    <mergeCell ref="P224:Q224"/>
    <mergeCell ref="AH170:AH171"/>
    <mergeCell ref="P170:Q170"/>
    <mergeCell ref="R170:S170"/>
    <mergeCell ref="T170:U170"/>
    <mergeCell ref="A257:AL257"/>
    <mergeCell ref="AL258:AL259"/>
    <mergeCell ref="C258:C259"/>
    <mergeCell ref="AL260:AL273"/>
    <mergeCell ref="A316:A323"/>
    <mergeCell ref="A248:A250"/>
    <mergeCell ref="A254:A256"/>
    <mergeCell ref="B258:B259"/>
    <mergeCell ref="A313:A315"/>
    <mergeCell ref="A302:A312"/>
    <mergeCell ref="D258:E258"/>
    <mergeCell ref="F258:G258"/>
    <mergeCell ref="D1:E1"/>
    <mergeCell ref="F1:G1"/>
    <mergeCell ref="H1:J1"/>
    <mergeCell ref="A7:AL7"/>
    <mergeCell ref="A5:A6"/>
    <mergeCell ref="B5:B6"/>
    <mergeCell ref="C5:C6"/>
    <mergeCell ref="D5:E5"/>
    <mergeCell ref="AJ130:AJ141"/>
    <mergeCell ref="AJ128:AJ129"/>
    <mergeCell ref="D4:V4"/>
    <mergeCell ref="V90:W90"/>
    <mergeCell ref="K1:Q1"/>
    <mergeCell ref="R1:S1"/>
    <mergeCell ref="T1:V1"/>
    <mergeCell ref="W1:X1"/>
    <mergeCell ref="AA1:AH1"/>
    <mergeCell ref="L90:M90"/>
    <mergeCell ref="N90:O90"/>
    <mergeCell ref="P90:Q90"/>
    <mergeCell ref="R90:S90"/>
    <mergeCell ref="T90:U90"/>
    <mergeCell ref="AH90:AH91"/>
    <mergeCell ref="W4:AL4"/>
    <mergeCell ref="AJ347:AJ357"/>
    <mergeCell ref="AL347:AL357"/>
    <mergeCell ref="AJ92:AJ126"/>
    <mergeCell ref="A265:A266"/>
    <mergeCell ref="A236:A239"/>
    <mergeCell ref="AL327:AL345"/>
    <mergeCell ref="A333:A338"/>
    <mergeCell ref="C128:C129"/>
    <mergeCell ref="B170:B171"/>
    <mergeCell ref="A103:A106"/>
    <mergeCell ref="A208:A209"/>
    <mergeCell ref="AJ325:AJ326"/>
    <mergeCell ref="D143:K144"/>
    <mergeCell ref="AJ327:AJ345"/>
    <mergeCell ref="AK325:AK326"/>
    <mergeCell ref="X275:Y275"/>
    <mergeCell ref="J258:K258"/>
    <mergeCell ref="Z224:AA224"/>
    <mergeCell ref="AI170:AI171"/>
    <mergeCell ref="AI240:AI241"/>
    <mergeCell ref="AI246:AI247"/>
    <mergeCell ref="AI236:AI237"/>
    <mergeCell ref="AI232:AI233"/>
    <mergeCell ref="X170:Y170"/>
    <mergeCell ref="AJ277:AJ301"/>
    <mergeCell ref="AJ302:AJ315"/>
    <mergeCell ref="AL277:AL301"/>
    <mergeCell ref="AL302:AL315"/>
    <mergeCell ref="AJ226:AJ247"/>
    <mergeCell ref="H258:I258"/>
    <mergeCell ref="A246:A247"/>
    <mergeCell ref="A210:A211"/>
    <mergeCell ref="A224:A225"/>
    <mergeCell ref="A212:A218"/>
    <mergeCell ref="B224:B225"/>
    <mergeCell ref="C224:C225"/>
    <mergeCell ref="A240:A245"/>
    <mergeCell ref="A263:A264"/>
    <mergeCell ref="A260:A262"/>
    <mergeCell ref="A223:AL223"/>
    <mergeCell ref="AI219:AI220"/>
    <mergeCell ref="AI217:AI218"/>
    <mergeCell ref="A275:A276"/>
    <mergeCell ref="J224:K224"/>
    <mergeCell ref="Z258:AA258"/>
    <mergeCell ref="L258:M258"/>
    <mergeCell ref="N258:O258"/>
    <mergeCell ref="P258:Q258"/>
    <mergeCell ref="A358:AL358"/>
    <mergeCell ref="A386:L415"/>
    <mergeCell ref="M386:AL415"/>
    <mergeCell ref="A385:L385"/>
    <mergeCell ref="M385:AL385"/>
    <mergeCell ref="A364:L384"/>
    <mergeCell ref="A363:L363"/>
    <mergeCell ref="M363:AL363"/>
    <mergeCell ref="M364:AL384"/>
    <mergeCell ref="AJ248:AJ256"/>
    <mergeCell ref="AL226:AL247"/>
    <mergeCell ref="AL248:AL256"/>
    <mergeCell ref="A219:A222"/>
    <mergeCell ref="A267:A269"/>
    <mergeCell ref="F224:G224"/>
    <mergeCell ref="A232:A235"/>
    <mergeCell ref="A251:A253"/>
    <mergeCell ref="A2:AL2"/>
    <mergeCell ref="A3:AL3"/>
    <mergeCell ref="AJ181:AJ189"/>
    <mergeCell ref="AJ190:AJ198"/>
    <mergeCell ref="AJ199:AJ207"/>
    <mergeCell ref="AJ208:AJ222"/>
    <mergeCell ref="X5:Y5"/>
    <mergeCell ref="Z5:AA5"/>
    <mergeCell ref="AI44:AI45"/>
    <mergeCell ref="AH5:AH6"/>
    <mergeCell ref="AI5:AI6"/>
    <mergeCell ref="A32:A33"/>
    <mergeCell ref="AI42:AI43"/>
    <mergeCell ref="A169:AL169"/>
    <mergeCell ref="A142:AL142"/>
    <mergeCell ref="N170:O170"/>
  </mergeCells>
  <phoneticPr fontId="3" type="noConversion"/>
  <conditionalFormatting sqref="AI22">
    <cfRule type="notContainsBlanks" dxfId="1163" priority="1933">
      <formula>LEN(TRIM(AI22))&gt;0</formula>
    </cfRule>
  </conditionalFormatting>
  <conditionalFormatting sqref="AI27:AI28">
    <cfRule type="notContainsBlanks" dxfId="1162" priority="1934">
      <formula>LEN(TRIM(AI27))&gt;0</formula>
    </cfRule>
  </conditionalFormatting>
  <conditionalFormatting sqref="AI32:AI33">
    <cfRule type="notContainsBlanks" dxfId="1161" priority="1937">
      <formula>LEN(TRIM(AI32))&gt;0</formula>
    </cfRule>
  </conditionalFormatting>
  <conditionalFormatting sqref="AI34:AI35">
    <cfRule type="notContainsBlanks" dxfId="1160" priority="1935">
      <formula>LEN(TRIM(AI34))&gt;0</formula>
    </cfRule>
  </conditionalFormatting>
  <conditionalFormatting sqref="AI36:AI37">
    <cfRule type="notContainsBlanks" dxfId="1159" priority="1928">
      <formula>LEN(TRIM(AI36))&gt;0</formula>
    </cfRule>
  </conditionalFormatting>
  <conditionalFormatting sqref="AI38:AI39">
    <cfRule type="notContainsBlanks" dxfId="1158" priority="1927">
      <formula>LEN(TRIM(AI38))&gt;0</formula>
    </cfRule>
  </conditionalFormatting>
  <conditionalFormatting sqref="AI40:AI41">
    <cfRule type="notContainsBlanks" dxfId="1157" priority="1926">
      <formula>LEN(TRIM(AI40))&gt;0</formula>
    </cfRule>
  </conditionalFormatting>
  <conditionalFormatting sqref="AI42:AI43">
    <cfRule type="notContainsBlanks" dxfId="1156" priority="1925">
      <formula>LEN(TRIM(AI42))&gt;0</formula>
    </cfRule>
  </conditionalFormatting>
  <conditionalFormatting sqref="AI44:AI45">
    <cfRule type="notContainsBlanks" dxfId="1155" priority="1924">
      <formula>LEN(TRIM(AI44))&gt;0</formula>
    </cfRule>
  </conditionalFormatting>
  <conditionalFormatting sqref="AI46:AI47">
    <cfRule type="notContainsBlanks" dxfId="1154" priority="1923">
      <formula>LEN(TRIM(AI46))&gt;0</formula>
    </cfRule>
  </conditionalFormatting>
  <conditionalFormatting sqref="AI48:AI51">
    <cfRule type="notContainsBlanks" dxfId="1153" priority="1922">
      <formula>LEN(TRIM(AI48))&gt;0</formula>
    </cfRule>
  </conditionalFormatting>
  <conditionalFormatting sqref="AI52:AI53">
    <cfRule type="notContainsBlanks" dxfId="1152" priority="1921">
      <formula>LEN(TRIM(AI52))&gt;0</formula>
    </cfRule>
  </conditionalFormatting>
  <conditionalFormatting sqref="AI92 AI94:AI95">
    <cfRule type="notContainsBlanks" dxfId="1151" priority="1938">
      <formula>LEN(TRIM(AI92))&gt;0</formula>
    </cfRule>
  </conditionalFormatting>
  <conditionalFormatting sqref="AI96:AI102">
    <cfRule type="notContainsBlanks" dxfId="1150" priority="1939">
      <formula>LEN(TRIM(AI96))&gt;0</formula>
    </cfRule>
  </conditionalFormatting>
  <conditionalFormatting sqref="AI115:AI116">
    <cfRule type="notContainsBlanks" dxfId="1149" priority="1918">
      <formula>LEN(TRIM(AI115))&gt;0</formula>
    </cfRule>
  </conditionalFormatting>
  <conditionalFormatting sqref="AI130">
    <cfRule type="notContainsBlanks" dxfId="1148" priority="1917">
      <formula>LEN(TRIM(AI130))&gt;0</formula>
    </cfRule>
  </conditionalFormatting>
  <conditionalFormatting sqref="AI24">
    <cfRule type="notContainsBlanks" dxfId="1147" priority="1916">
      <formula>LEN(TRIM(AI24))&gt;0</formula>
    </cfRule>
  </conditionalFormatting>
  <conditionalFormatting sqref="AI131">
    <cfRule type="notContainsBlanks" dxfId="1146" priority="1915">
      <formula>LEN(TRIM(AI131))&gt;0</formula>
    </cfRule>
  </conditionalFormatting>
  <conditionalFormatting sqref="AI132">
    <cfRule type="notContainsBlanks" dxfId="1145" priority="1914">
      <formula>LEN(TRIM(AI132))&gt;0</formula>
    </cfRule>
  </conditionalFormatting>
  <conditionalFormatting sqref="AI133">
    <cfRule type="notContainsBlanks" dxfId="1144" priority="1913">
      <formula>LEN(TRIM(AI133))&gt;0</formula>
    </cfRule>
  </conditionalFormatting>
  <conditionalFormatting sqref="AI146">
    <cfRule type="notContainsBlanks" dxfId="1143" priority="1912">
      <formula>LEN(TRIM(AI146))&gt;0</formula>
    </cfRule>
  </conditionalFormatting>
  <conditionalFormatting sqref="AI209">
    <cfRule type="notContainsBlanks" dxfId="1142" priority="1909">
      <formula>LEN(TRIM(AI209))&gt;0</formula>
    </cfRule>
  </conditionalFormatting>
  <conditionalFormatting sqref="AI212">
    <cfRule type="notContainsBlanks" dxfId="1141" priority="1908">
      <formula>LEN(TRIM(AI212))&gt;0</formula>
    </cfRule>
  </conditionalFormatting>
  <conditionalFormatting sqref="AI213:AI214">
    <cfRule type="notContainsBlanks" dxfId="1140" priority="1907">
      <formula>LEN(TRIM(AI213))&gt;0</formula>
    </cfRule>
  </conditionalFormatting>
  <conditionalFormatting sqref="AI215:AI216 AI228 AI230 AI319:AI321 AI288:AI301 AI307">
    <cfRule type="notContainsBlanks" dxfId="1139" priority="1906">
      <formula>LEN(TRIM(AI215))&gt;0</formula>
    </cfRule>
  </conditionalFormatting>
  <conditionalFormatting sqref="AI217:AI218">
    <cfRule type="notContainsBlanks" dxfId="1138" priority="1905">
      <formula>LEN(TRIM(AI217))&gt;0</formula>
    </cfRule>
  </conditionalFormatting>
  <conditionalFormatting sqref="AI219:AI220">
    <cfRule type="notContainsBlanks" dxfId="1137" priority="1904">
      <formula>LEN(TRIM(AI219))&gt;0</formula>
    </cfRule>
  </conditionalFormatting>
  <conditionalFormatting sqref="AI221">
    <cfRule type="notContainsBlanks" dxfId="1136" priority="1903">
      <formula>LEN(TRIM(AI221))&gt;0</formula>
    </cfRule>
  </conditionalFormatting>
  <conditionalFormatting sqref="AI222">
    <cfRule type="notContainsBlanks" dxfId="1135" priority="1902">
      <formula>LEN(TRIM(AI222))&gt;0</formula>
    </cfRule>
  </conditionalFormatting>
  <conditionalFormatting sqref="AI226">
    <cfRule type="notContainsBlanks" dxfId="1134" priority="1901">
      <formula>LEN(TRIM(AI226))&gt;0</formula>
    </cfRule>
  </conditionalFormatting>
  <conditionalFormatting sqref="AI227">
    <cfRule type="notContainsBlanks" dxfId="1133" priority="1900">
      <formula>LEN(TRIM(AI227))&gt;0</formula>
    </cfRule>
  </conditionalFormatting>
  <conditionalFormatting sqref="AI229:AI231">
    <cfRule type="notContainsBlanks" dxfId="1132" priority="1898">
      <formula>LEN(TRIM(AI229))&gt;0</formula>
    </cfRule>
  </conditionalFormatting>
  <conditionalFormatting sqref="AI232:AI233 AI235">
    <cfRule type="notContainsBlanks" dxfId="1131" priority="1897">
      <formula>LEN(TRIM(AI232))&gt;0</formula>
    </cfRule>
  </conditionalFormatting>
  <conditionalFormatting sqref="AI236:AI237 AI239">
    <cfRule type="notContainsBlanks" dxfId="1130" priority="1896">
      <formula>LEN(TRIM(AI236))&gt;0</formula>
    </cfRule>
  </conditionalFormatting>
  <conditionalFormatting sqref="AI240:AI241 AI243 AI245">
    <cfRule type="notContainsBlanks" dxfId="1129" priority="1895">
      <formula>LEN(TRIM(AI240))&gt;0</formula>
    </cfRule>
  </conditionalFormatting>
  <conditionalFormatting sqref="AI246:AI255">
    <cfRule type="notContainsBlanks" dxfId="1128" priority="1894">
      <formula>LEN(TRIM(AI246))&gt;0</formula>
    </cfRule>
  </conditionalFormatting>
  <conditionalFormatting sqref="AI261:AI264">
    <cfRule type="notContainsBlanks" dxfId="1127" priority="1893">
      <formula>LEN(TRIM(AI261))&gt;0</formula>
    </cfRule>
  </conditionalFormatting>
  <conditionalFormatting sqref="AI265:AI266">
    <cfRule type="notContainsBlanks" dxfId="1126" priority="1892">
      <formula>LEN(TRIM(AI265))&gt;0</formula>
    </cfRule>
  </conditionalFormatting>
  <conditionalFormatting sqref="AI267:AI269">
    <cfRule type="notContainsBlanks" dxfId="1125" priority="1891">
      <formula>LEN(TRIM(AI267))&gt;0</formula>
    </cfRule>
  </conditionalFormatting>
  <conditionalFormatting sqref="AI271">
    <cfRule type="notContainsBlanks" dxfId="1124" priority="1890">
      <formula>LEN(TRIM(AI271))&gt;0</formula>
    </cfRule>
  </conditionalFormatting>
  <conditionalFormatting sqref="AI272">
    <cfRule type="notContainsBlanks" dxfId="1123" priority="1889">
      <formula>LEN(TRIM(AI272))&gt;0</formula>
    </cfRule>
  </conditionalFormatting>
  <conditionalFormatting sqref="AI273">
    <cfRule type="notContainsBlanks" dxfId="1122" priority="1888">
      <formula>LEN(TRIM(AI273))&gt;0</formula>
    </cfRule>
  </conditionalFormatting>
  <conditionalFormatting sqref="AI277:AI283">
    <cfRule type="notContainsBlanks" dxfId="1121" priority="1887">
      <formula>LEN(TRIM(AI277))&gt;0</formula>
    </cfRule>
  </conditionalFormatting>
  <conditionalFormatting sqref="AI284:AI286">
    <cfRule type="notContainsBlanks" priority="1886">
      <formula>LEN(TRIM(AI284))&gt;0</formula>
    </cfRule>
  </conditionalFormatting>
  <conditionalFormatting sqref="AI333:AI335">
    <cfRule type="notContainsBlanks" dxfId="1120" priority="1884">
      <formula>LEN(TRIM(AI333))&gt;0</formula>
    </cfRule>
  </conditionalFormatting>
  <conditionalFormatting sqref="AK34">
    <cfRule type="notContainsBlanks" dxfId="1119" priority="1877">
      <formula>LEN(TRIM(AK34))&gt;0</formula>
    </cfRule>
  </conditionalFormatting>
  <conditionalFormatting sqref="AK226:AL226">
    <cfRule type="notContainsBlanks" dxfId="1118" priority="1876">
      <formula>LEN(TRIM(AK226))&gt;0</formula>
    </cfRule>
  </conditionalFormatting>
  <conditionalFormatting sqref="AK227">
    <cfRule type="notContainsBlanks" dxfId="1117" priority="1875">
      <formula>LEN(TRIM(AK227))&gt;0</formula>
    </cfRule>
  </conditionalFormatting>
  <conditionalFormatting sqref="AK82:AL82 AK130:AL130 AK145:AL145 AK172:AL172 AK260:AL260 AK277:AL277 AK92:AL94 AK22:AL22 AK83:AK88 AK95:AK126 AK131:AK141 AK146:AK168 AK209:AK222 AK23:AK53 AL327 AK333:AK345 AK228:AK250 AK254:AK255 AK319:AK321 AK261:AK273 AK278:AK301 AK307">
    <cfRule type="notContainsBlanks" dxfId="1116" priority="1874">
      <formula>LEN(TRIM(AK22))&gt;0</formula>
    </cfRule>
  </conditionalFormatting>
  <conditionalFormatting sqref="AK36">
    <cfRule type="notContainsBlanks" dxfId="1115" priority="1873">
      <formula>LEN(TRIM(AK36))&gt;0</formula>
    </cfRule>
  </conditionalFormatting>
  <conditionalFormatting sqref="AK48">
    <cfRule type="notContainsBlanks" dxfId="1114" priority="1867">
      <formula>LEN(TRIM(AK48))&gt;0</formula>
    </cfRule>
  </conditionalFormatting>
  <conditionalFormatting sqref="AK38">
    <cfRule type="notContainsBlanks" dxfId="1113" priority="1872">
      <formula>LEN(TRIM(AK38))&gt;0</formula>
    </cfRule>
  </conditionalFormatting>
  <conditionalFormatting sqref="AK40">
    <cfRule type="notContainsBlanks" dxfId="1112" priority="1871">
      <formula>LEN(TRIM(AK40))&gt;0</formula>
    </cfRule>
  </conditionalFormatting>
  <conditionalFormatting sqref="AK42">
    <cfRule type="notContainsBlanks" dxfId="1111" priority="1870">
      <formula>LEN(TRIM(AK42))&gt;0</formula>
    </cfRule>
  </conditionalFormatting>
  <conditionalFormatting sqref="AK44">
    <cfRule type="notContainsBlanks" dxfId="1110" priority="1869">
      <formula>LEN(TRIM(AK44))&gt;0</formula>
    </cfRule>
  </conditionalFormatting>
  <conditionalFormatting sqref="AK46">
    <cfRule type="notContainsBlanks" dxfId="1109" priority="1868">
      <formula>LEN(TRIM(AK46))&gt;0</formula>
    </cfRule>
  </conditionalFormatting>
  <conditionalFormatting sqref="AJ22:AJ53 AJ82:AJ88 AJ92 AJ130:AJ141 AJ145:AJ168 AJ172 AJ260:AJ273 AJ277 AJ327 AJ226">
    <cfRule type="notContainsBlanks" dxfId="1108" priority="2103">
      <formula>LEN(TRIM(AJ22))&gt;0</formula>
    </cfRule>
  </conditionalFormatting>
  <conditionalFormatting sqref="D287:Y287 AB287:AH287">
    <cfRule type="cellIs" dxfId="1107" priority="1864" operator="equal">
      <formula>0</formula>
    </cfRule>
  </conditionalFormatting>
  <conditionalFormatting sqref="D300:Y300 AB300:AG300">
    <cfRule type="cellIs" dxfId="1106" priority="1863" operator="equal">
      <formula>0</formula>
    </cfRule>
  </conditionalFormatting>
  <conditionalFormatting sqref="D300:Y300 AB300:AG300">
    <cfRule type="cellIs" dxfId="1105" priority="1862" operator="equal">
      <formula>0</formula>
    </cfRule>
  </conditionalFormatting>
  <conditionalFormatting sqref="D52:AA53">
    <cfRule type="cellIs" dxfId="1104" priority="1861" operator="equal">
      <formula>0</formula>
    </cfRule>
  </conditionalFormatting>
  <conditionalFormatting sqref="AH82:AH88 AH130:AH141 AH339:AH345 AH327:AH337 AH44 AH46 AH34 AH29:AH32 AH48:AH49 AH36:AH42 AH209 AH288:AH312 AH145:AH168 AH211:AH222 AH226:AH255 AH260:AH273 AH277:AH286 AH92:AH124 AH22:AH27 AH52">
    <cfRule type="cellIs" dxfId="1103" priority="1858" operator="equal">
      <formula>0</formula>
    </cfRule>
  </conditionalFormatting>
  <conditionalFormatting sqref="D300:Y300 D287:Y287 AB287:AH287 D52:AA53 AB300:AG300">
    <cfRule type="cellIs" dxfId="1102" priority="1857" operator="equal">
      <formula>0</formula>
    </cfRule>
  </conditionalFormatting>
  <conditionalFormatting sqref="A1">
    <cfRule type="cellIs" dxfId="1101" priority="1856" operator="equal">
      <formula>0</formula>
    </cfRule>
  </conditionalFormatting>
  <conditionalFormatting sqref="D338:AH338">
    <cfRule type="cellIs" dxfId="1100" priority="1853" operator="equal">
      <formula>0</formula>
    </cfRule>
  </conditionalFormatting>
  <conditionalFormatting sqref="AH43">
    <cfRule type="cellIs" dxfId="1099" priority="1852" operator="equal">
      <formula>0</formula>
    </cfRule>
  </conditionalFormatting>
  <conditionalFormatting sqref="AH45">
    <cfRule type="cellIs" dxfId="1098" priority="1851" operator="equal">
      <formula>0</formula>
    </cfRule>
  </conditionalFormatting>
  <conditionalFormatting sqref="AH35">
    <cfRule type="cellIs" dxfId="1097" priority="1850" operator="equal">
      <formula>0</formula>
    </cfRule>
  </conditionalFormatting>
  <conditionalFormatting sqref="AH33">
    <cfRule type="cellIs" dxfId="1096" priority="1849" operator="equal">
      <formula>0</formula>
    </cfRule>
  </conditionalFormatting>
  <conditionalFormatting sqref="AH28">
    <cfRule type="cellIs" dxfId="1095" priority="1848" operator="equal">
      <formula>0</formula>
    </cfRule>
  </conditionalFormatting>
  <conditionalFormatting sqref="AH47">
    <cfRule type="cellIs" dxfId="1094" priority="1847" operator="equal">
      <formula>0</formula>
    </cfRule>
  </conditionalFormatting>
  <conditionalFormatting sqref="AH53">
    <cfRule type="cellIs" dxfId="1093" priority="1829" operator="equal">
      <formula>0</formula>
    </cfRule>
  </conditionalFormatting>
  <conditionalFormatting sqref="AH53">
    <cfRule type="cellIs" dxfId="1092" priority="1828" operator="equal">
      <formula>0</formula>
    </cfRule>
  </conditionalFormatting>
  <conditionalFormatting sqref="D132:AA132 D130:AA130">
    <cfRule type="expression" dxfId="1091" priority="1817">
      <formula>D132&gt;D130</formula>
    </cfRule>
  </conditionalFormatting>
  <conditionalFormatting sqref="D133:AA133 D131:AA131">
    <cfRule type="expression" dxfId="1090" priority="1816">
      <formula>D133&gt;D131</formula>
    </cfRule>
  </conditionalFormatting>
  <conditionalFormatting sqref="D212:AA212">
    <cfRule type="expression" dxfId="1089" priority="1813">
      <formula>D213&gt;D212</formula>
    </cfRule>
  </conditionalFormatting>
  <conditionalFormatting sqref="D213:AA213">
    <cfRule type="expression" dxfId="1088" priority="1812">
      <formula>D214&gt;D213</formula>
    </cfRule>
  </conditionalFormatting>
  <conditionalFormatting sqref="K215 M215 O215 Q215 S215 U215 W215 Y215 AA215">
    <cfRule type="expression" dxfId="1087" priority="1811">
      <formula>K216&gt;K215</formula>
    </cfRule>
  </conditionalFormatting>
  <conditionalFormatting sqref="D217:AA217">
    <cfRule type="expression" dxfId="1086" priority="1810">
      <formula>D218&gt;D217</formula>
    </cfRule>
  </conditionalFormatting>
  <conditionalFormatting sqref="D219:AA219">
    <cfRule type="expression" dxfId="1085" priority="1807">
      <formula>D222&gt;D219</formula>
    </cfRule>
    <cfRule type="expression" dxfId="1084" priority="1809">
      <formula>D220&gt;D219</formula>
    </cfRule>
  </conditionalFormatting>
  <conditionalFormatting sqref="D220:AA220">
    <cfRule type="expression" dxfId="1083" priority="1808">
      <formula>D221&gt;D220</formula>
    </cfRule>
  </conditionalFormatting>
  <conditionalFormatting sqref="K226">
    <cfRule type="expression" dxfId="1082" priority="1806">
      <formula>(K227+K228)&gt;K226</formula>
    </cfRule>
  </conditionalFormatting>
  <conditionalFormatting sqref="K228">
    <cfRule type="expression" dxfId="1081" priority="1320">
      <formula>K228&gt;K226</formula>
    </cfRule>
    <cfRule type="expression" dxfId="1080" priority="1805">
      <formula>K229&gt;K228</formula>
    </cfRule>
  </conditionalFormatting>
  <conditionalFormatting sqref="K232">
    <cfRule type="expression" dxfId="1079" priority="1804">
      <formula>K233&gt;K232</formula>
    </cfRule>
  </conditionalFormatting>
  <conditionalFormatting sqref="K236">
    <cfRule type="expression" dxfId="1078" priority="1803">
      <formula>K237&gt;K236</formula>
    </cfRule>
  </conditionalFormatting>
  <conditionalFormatting sqref="K240">
    <cfRule type="expression" dxfId="1077" priority="1802">
      <formula>K241&gt;K240</formula>
    </cfRule>
  </conditionalFormatting>
  <conditionalFormatting sqref="M226">
    <cfRule type="expression" dxfId="1076" priority="1801">
      <formula>(M227+M228)&gt;M226</formula>
    </cfRule>
  </conditionalFormatting>
  <conditionalFormatting sqref="M228">
    <cfRule type="expression" dxfId="1075" priority="1800">
      <formula>M229&gt;M228</formula>
    </cfRule>
  </conditionalFormatting>
  <conditionalFormatting sqref="M232">
    <cfRule type="expression" dxfId="1074" priority="1799">
      <formula>M233&gt;M232</formula>
    </cfRule>
  </conditionalFormatting>
  <conditionalFormatting sqref="M236">
    <cfRule type="expression" dxfId="1073" priority="1798">
      <formula>M237&gt;M236</formula>
    </cfRule>
  </conditionalFormatting>
  <conditionalFormatting sqref="M240">
    <cfRule type="expression" dxfId="1072" priority="1797">
      <formula>M241&gt;M240</formula>
    </cfRule>
  </conditionalFormatting>
  <conditionalFormatting sqref="O226">
    <cfRule type="expression" dxfId="1071" priority="1796">
      <formula>(O227+O228)&gt;O226</formula>
    </cfRule>
  </conditionalFormatting>
  <conditionalFormatting sqref="O228">
    <cfRule type="expression" dxfId="1070" priority="1795">
      <formula>O229&gt;O228</formula>
    </cfRule>
  </conditionalFormatting>
  <conditionalFormatting sqref="O232">
    <cfRule type="expression" dxfId="1069" priority="1794">
      <formula>O233&gt;O232</formula>
    </cfRule>
  </conditionalFormatting>
  <conditionalFormatting sqref="O236">
    <cfRule type="expression" dxfId="1068" priority="1793">
      <formula>O237&gt;O236</formula>
    </cfRule>
  </conditionalFormatting>
  <conditionalFormatting sqref="O240">
    <cfRule type="expression" dxfId="1067" priority="1792">
      <formula>O241&gt;O240</formula>
    </cfRule>
  </conditionalFormatting>
  <conditionalFormatting sqref="Q226">
    <cfRule type="expression" dxfId="1066" priority="1791">
      <formula>(Q227+Q228)&gt;Q226</formula>
    </cfRule>
  </conditionalFormatting>
  <conditionalFormatting sqref="Q228">
    <cfRule type="expression" dxfId="1065" priority="1790">
      <formula>Q229&gt;Q228</formula>
    </cfRule>
  </conditionalFormatting>
  <conditionalFormatting sqref="Q232">
    <cfRule type="expression" dxfId="1064" priority="1789">
      <formula>Q233&gt;Q232</formula>
    </cfRule>
  </conditionalFormatting>
  <conditionalFormatting sqref="Q236">
    <cfRule type="expression" dxfId="1063" priority="1788">
      <formula>Q237&gt;Q236</formula>
    </cfRule>
  </conditionalFormatting>
  <conditionalFormatting sqref="Q240">
    <cfRule type="expression" dxfId="1062" priority="1787">
      <formula>Q241&gt;Q240</formula>
    </cfRule>
  </conditionalFormatting>
  <conditionalFormatting sqref="S226">
    <cfRule type="expression" dxfId="1061" priority="1786">
      <formula>(S227+S228)&gt;S226</formula>
    </cfRule>
  </conditionalFormatting>
  <conditionalFormatting sqref="S228">
    <cfRule type="expression" dxfId="1060" priority="1785">
      <formula>S229&gt;S228</formula>
    </cfRule>
  </conditionalFormatting>
  <conditionalFormatting sqref="S232">
    <cfRule type="expression" dxfId="1059" priority="1784">
      <formula>S233&gt;S232</formula>
    </cfRule>
  </conditionalFormatting>
  <conditionalFormatting sqref="S236">
    <cfRule type="expression" dxfId="1058" priority="1783">
      <formula>S237&gt;S236</formula>
    </cfRule>
  </conditionalFormatting>
  <conditionalFormatting sqref="S240">
    <cfRule type="expression" dxfId="1057" priority="1782">
      <formula>S241&gt;S240</formula>
    </cfRule>
  </conditionalFormatting>
  <conditionalFormatting sqref="U226">
    <cfRule type="expression" dxfId="1056" priority="1781">
      <formula>(U227+U228)&gt;U226</formula>
    </cfRule>
  </conditionalFormatting>
  <conditionalFormatting sqref="U228">
    <cfRule type="expression" dxfId="1055" priority="1780">
      <formula>U229&gt;U228</formula>
    </cfRule>
  </conditionalFormatting>
  <conditionalFormatting sqref="U232">
    <cfRule type="expression" dxfId="1054" priority="1779">
      <formula>U233&gt;U232</formula>
    </cfRule>
  </conditionalFormatting>
  <conditionalFormatting sqref="U236">
    <cfRule type="expression" dxfId="1053" priority="1778">
      <formula>U237&gt;U236</formula>
    </cfRule>
  </conditionalFormatting>
  <conditionalFormatting sqref="U240">
    <cfRule type="expression" dxfId="1052" priority="1777">
      <formula>U241&gt;U240</formula>
    </cfRule>
  </conditionalFormatting>
  <conditionalFormatting sqref="W226">
    <cfRule type="expression" dxfId="1051" priority="1776">
      <formula>(W227+W228)&gt;W226</formula>
    </cfRule>
  </conditionalFormatting>
  <conditionalFormatting sqref="W228">
    <cfRule type="expression" dxfId="1050" priority="1775">
      <formula>W229&gt;W228</formula>
    </cfRule>
  </conditionalFormatting>
  <conditionalFormatting sqref="W232">
    <cfRule type="expression" dxfId="1049" priority="1774">
      <formula>W233&gt;W232</formula>
    </cfRule>
  </conditionalFormatting>
  <conditionalFormatting sqref="W236">
    <cfRule type="expression" dxfId="1048" priority="1773">
      <formula>W237&gt;W236</formula>
    </cfRule>
  </conditionalFormatting>
  <conditionalFormatting sqref="W240">
    <cfRule type="expression" dxfId="1047" priority="1772">
      <formula>W241&gt;W240</formula>
    </cfRule>
  </conditionalFormatting>
  <conditionalFormatting sqref="Y226">
    <cfRule type="expression" dxfId="1046" priority="1771">
      <formula>(Y227+Y228)&gt;Y226</formula>
    </cfRule>
  </conditionalFormatting>
  <conditionalFormatting sqref="Y228">
    <cfRule type="expression" dxfId="1045" priority="1770">
      <formula>Y229&gt;Y228</formula>
    </cfRule>
  </conditionalFormatting>
  <conditionalFormatting sqref="Y232">
    <cfRule type="expression" dxfId="1044" priority="1769">
      <formula>Y233&gt;Y232</formula>
    </cfRule>
  </conditionalFormatting>
  <conditionalFormatting sqref="Y236">
    <cfRule type="expression" dxfId="1043" priority="1768">
      <formula>Y237&gt;Y236</formula>
    </cfRule>
  </conditionalFormatting>
  <conditionalFormatting sqref="Y240">
    <cfRule type="expression" dxfId="1042" priority="1767">
      <formula>Y241&gt;Y240</formula>
    </cfRule>
  </conditionalFormatting>
  <conditionalFormatting sqref="J246">
    <cfRule type="expression" dxfId="1041" priority="1766">
      <formula>J247&gt;J246</formula>
    </cfRule>
  </conditionalFormatting>
  <conditionalFormatting sqref="L246">
    <cfRule type="expression" dxfId="1040" priority="1765">
      <formula>L247&gt;L246</formula>
    </cfRule>
  </conditionalFormatting>
  <conditionalFormatting sqref="N246">
    <cfRule type="expression" dxfId="1039" priority="1764">
      <formula>N247&gt;N246</formula>
    </cfRule>
  </conditionalFormatting>
  <conditionalFormatting sqref="P246">
    <cfRule type="expression" dxfId="1038" priority="1763">
      <formula>P247&gt;P246</formula>
    </cfRule>
  </conditionalFormatting>
  <conditionalFormatting sqref="R246">
    <cfRule type="expression" dxfId="1037" priority="1762">
      <formula>R247&gt;R246</formula>
    </cfRule>
  </conditionalFormatting>
  <conditionalFormatting sqref="T246">
    <cfRule type="expression" dxfId="1036" priority="1761">
      <formula>T247&gt;T246</formula>
    </cfRule>
  </conditionalFormatting>
  <conditionalFormatting sqref="V246">
    <cfRule type="expression" dxfId="1035" priority="1760">
      <formula>V247&gt;V246</formula>
    </cfRule>
  </conditionalFormatting>
  <conditionalFormatting sqref="X246">
    <cfRule type="expression" dxfId="1034" priority="1759">
      <formula>X247&gt;X246</formula>
    </cfRule>
  </conditionalFormatting>
  <conditionalFormatting sqref="Z246">
    <cfRule type="expression" dxfId="1033" priority="1758">
      <formula>Z247&gt;Z246</formula>
    </cfRule>
  </conditionalFormatting>
  <conditionalFormatting sqref="K227">
    <cfRule type="expression" dxfId="1032" priority="1313">
      <formula>K227&gt;K226</formula>
    </cfRule>
    <cfRule type="expression" dxfId="1031" priority="1757">
      <formula>K260&gt;K227</formula>
    </cfRule>
  </conditionalFormatting>
  <conditionalFormatting sqref="M227">
    <cfRule type="expression" dxfId="1030" priority="1756">
      <formula>M260&gt;M227</formula>
    </cfRule>
  </conditionalFormatting>
  <conditionalFormatting sqref="O227">
    <cfRule type="expression" dxfId="1029" priority="1755">
      <formula>O260&gt;O227</formula>
    </cfRule>
  </conditionalFormatting>
  <conditionalFormatting sqref="Q227">
    <cfRule type="expression" dxfId="1028" priority="1754">
      <formula>Q260&gt;Q227</formula>
    </cfRule>
  </conditionalFormatting>
  <conditionalFormatting sqref="S227">
    <cfRule type="expression" dxfId="1027" priority="1753">
      <formula>S260&gt;S227</formula>
    </cfRule>
  </conditionalFormatting>
  <conditionalFormatting sqref="U227">
    <cfRule type="expression" dxfId="1026" priority="1752">
      <formula>U260&gt;U227</formula>
    </cfRule>
  </conditionalFormatting>
  <conditionalFormatting sqref="W227">
    <cfRule type="expression" dxfId="1025" priority="1751">
      <formula>W260&gt;W227</formula>
    </cfRule>
  </conditionalFormatting>
  <conditionalFormatting sqref="Y227">
    <cfRule type="expression" dxfId="1024" priority="1750">
      <formula>Y260&gt;Y227</formula>
    </cfRule>
  </conditionalFormatting>
  <conditionalFormatting sqref="K229 M229 O229 Q229 S229 U229 W229 Y229">
    <cfRule type="expression" dxfId="1023" priority="1749">
      <formula>K261&gt;K229</formula>
    </cfRule>
  </conditionalFormatting>
  <conditionalFormatting sqref="M226">
    <cfRule type="expression" dxfId="1022" priority="1745">
      <formula>(M227+M228)&gt;M226</formula>
    </cfRule>
  </conditionalFormatting>
  <conditionalFormatting sqref="M228">
    <cfRule type="expression" dxfId="1021" priority="1744">
      <formula>M229&gt;M228</formula>
    </cfRule>
  </conditionalFormatting>
  <conditionalFormatting sqref="M232">
    <cfRule type="expression" dxfId="1020" priority="1743">
      <formula>M233&gt;M232</formula>
    </cfRule>
  </conditionalFormatting>
  <conditionalFormatting sqref="M236">
    <cfRule type="expression" dxfId="1019" priority="1742">
      <formula>M237&gt;M236</formula>
    </cfRule>
  </conditionalFormatting>
  <conditionalFormatting sqref="M240">
    <cfRule type="expression" dxfId="1018" priority="1741">
      <formula>M241&gt;M240</formula>
    </cfRule>
  </conditionalFormatting>
  <conditionalFormatting sqref="M227">
    <cfRule type="expression" dxfId="1017" priority="1740">
      <formula>M260&gt;M227</formula>
    </cfRule>
  </conditionalFormatting>
  <conditionalFormatting sqref="K239 M239 O239 Q239 S239 U239 W239 Y239">
    <cfRule type="expression" dxfId="1016" priority="1738">
      <formula>K266&gt;K239</formula>
    </cfRule>
  </conditionalFormatting>
  <conditionalFormatting sqref="O226">
    <cfRule type="expression" dxfId="1015" priority="1736">
      <formula>(O227+O228)&gt;O226</formula>
    </cfRule>
  </conditionalFormatting>
  <conditionalFormatting sqref="O228">
    <cfRule type="expression" dxfId="1014" priority="1735">
      <formula>O229&gt;O228</formula>
    </cfRule>
  </conditionalFormatting>
  <conditionalFormatting sqref="O232">
    <cfRule type="expression" dxfId="1013" priority="1734">
      <formula>O233&gt;O232</formula>
    </cfRule>
  </conditionalFormatting>
  <conditionalFormatting sqref="O236">
    <cfRule type="expression" dxfId="1012" priority="1733">
      <formula>O237&gt;O236</formula>
    </cfRule>
  </conditionalFormatting>
  <conditionalFormatting sqref="O240">
    <cfRule type="expression" dxfId="1011" priority="1732">
      <formula>O241&gt;O240</formula>
    </cfRule>
  </conditionalFormatting>
  <conditionalFormatting sqref="O227">
    <cfRule type="expression" dxfId="1010" priority="1731">
      <formula>O260&gt;O227</formula>
    </cfRule>
  </conditionalFormatting>
  <conditionalFormatting sqref="Q226">
    <cfRule type="expression" dxfId="1009" priority="1727">
      <formula>(Q227+Q228)&gt;Q226</formula>
    </cfRule>
  </conditionalFormatting>
  <conditionalFormatting sqref="Q228">
    <cfRule type="expression" dxfId="1008" priority="1726">
      <formula>Q229&gt;Q228</formula>
    </cfRule>
  </conditionalFormatting>
  <conditionalFormatting sqref="Q232">
    <cfRule type="expression" dxfId="1007" priority="1725">
      <formula>Q233&gt;Q232</formula>
    </cfRule>
  </conditionalFormatting>
  <conditionalFormatting sqref="Q236">
    <cfRule type="expression" dxfId="1006" priority="1724">
      <formula>Q237&gt;Q236</formula>
    </cfRule>
  </conditionalFormatting>
  <conditionalFormatting sqref="Q240">
    <cfRule type="expression" dxfId="1005" priority="1723">
      <formula>Q241&gt;Q240</formula>
    </cfRule>
  </conditionalFormatting>
  <conditionalFormatting sqref="Q227">
    <cfRule type="expression" dxfId="1004" priority="1722">
      <formula>Q260&gt;Q227</formula>
    </cfRule>
  </conditionalFormatting>
  <conditionalFormatting sqref="S226">
    <cfRule type="expression" dxfId="1003" priority="1718">
      <formula>(S227+S228)&gt;S226</formula>
    </cfRule>
  </conditionalFormatting>
  <conditionalFormatting sqref="S228">
    <cfRule type="expression" dxfId="1002" priority="1717">
      <formula>S229&gt;S228</formula>
    </cfRule>
  </conditionalFormatting>
  <conditionalFormatting sqref="S232">
    <cfRule type="expression" dxfId="1001" priority="1716">
      <formula>S233&gt;S232</formula>
    </cfRule>
  </conditionalFormatting>
  <conditionalFormatting sqref="S236">
    <cfRule type="expression" dxfId="1000" priority="1715">
      <formula>S237&gt;S236</formula>
    </cfRule>
  </conditionalFormatting>
  <conditionalFormatting sqref="S240">
    <cfRule type="expression" dxfId="999" priority="1714">
      <formula>S241&gt;S240</formula>
    </cfRule>
  </conditionalFormatting>
  <conditionalFormatting sqref="S227">
    <cfRule type="expression" dxfId="998" priority="1713">
      <formula>S260&gt;S227</formula>
    </cfRule>
  </conditionalFormatting>
  <conditionalFormatting sqref="U226">
    <cfRule type="expression" dxfId="997" priority="1709">
      <formula>(U227+U228)&gt;U226</formula>
    </cfRule>
  </conditionalFormatting>
  <conditionalFormatting sqref="U228">
    <cfRule type="expression" dxfId="996" priority="1708">
      <formula>U229&gt;U228</formula>
    </cfRule>
  </conditionalFormatting>
  <conditionalFormatting sqref="U232">
    <cfRule type="expression" dxfId="995" priority="1707">
      <formula>U233&gt;U232</formula>
    </cfRule>
  </conditionalFormatting>
  <conditionalFormatting sqref="U236">
    <cfRule type="expression" dxfId="994" priority="1706">
      <formula>U237&gt;U236</formula>
    </cfRule>
  </conditionalFormatting>
  <conditionalFormatting sqref="U240">
    <cfRule type="expression" dxfId="993" priority="1705">
      <formula>U241&gt;U240</formula>
    </cfRule>
  </conditionalFormatting>
  <conditionalFormatting sqref="U227">
    <cfRule type="expression" dxfId="992" priority="1704">
      <formula>U260&gt;U227</formula>
    </cfRule>
  </conditionalFormatting>
  <conditionalFormatting sqref="W226">
    <cfRule type="expression" dxfId="991" priority="1700">
      <formula>(W227+W228)&gt;W226</formula>
    </cfRule>
  </conditionalFormatting>
  <conditionalFormatting sqref="W228">
    <cfRule type="expression" dxfId="990" priority="1699">
      <formula>W229&gt;W228</formula>
    </cfRule>
  </conditionalFormatting>
  <conditionalFormatting sqref="W232">
    <cfRule type="expression" dxfId="989" priority="1698">
      <formula>W233&gt;W232</formula>
    </cfRule>
  </conditionalFormatting>
  <conditionalFormatting sqref="W236">
    <cfRule type="expression" dxfId="988" priority="1697">
      <formula>W237&gt;W236</formula>
    </cfRule>
  </conditionalFormatting>
  <conditionalFormatting sqref="W240">
    <cfRule type="expression" dxfId="987" priority="1696">
      <formula>W241&gt;W240</formula>
    </cfRule>
  </conditionalFormatting>
  <conditionalFormatting sqref="W227">
    <cfRule type="expression" dxfId="986" priority="1695">
      <formula>W260&gt;W227</formula>
    </cfRule>
  </conditionalFormatting>
  <conditionalFormatting sqref="Y226">
    <cfRule type="expression" dxfId="985" priority="1691">
      <formula>(Y227+Y228)&gt;Y226</formula>
    </cfRule>
  </conditionalFormatting>
  <conditionalFormatting sqref="Y228">
    <cfRule type="expression" dxfId="984" priority="1690">
      <formula>Y229&gt;Y228</formula>
    </cfRule>
  </conditionalFormatting>
  <conditionalFormatting sqref="Y232">
    <cfRule type="expression" dxfId="983" priority="1689">
      <formula>Y233&gt;Y232</formula>
    </cfRule>
  </conditionalFormatting>
  <conditionalFormatting sqref="Y236">
    <cfRule type="expression" dxfId="982" priority="1688">
      <formula>Y237&gt;Y236</formula>
    </cfRule>
  </conditionalFormatting>
  <conditionalFormatting sqref="Y240">
    <cfRule type="expression" dxfId="981" priority="1687">
      <formula>Y241&gt;Y240</formula>
    </cfRule>
  </conditionalFormatting>
  <conditionalFormatting sqref="Y227">
    <cfRule type="expression" dxfId="980" priority="1686">
      <formula>Y260&gt;Y227</formula>
    </cfRule>
  </conditionalFormatting>
  <conditionalFormatting sqref="K270 M270 O270 Q270 S270 U270 W270 Y270">
    <cfRule type="expression" dxfId="979" priority="1682">
      <formula>K270&gt;K287</formula>
    </cfRule>
  </conditionalFormatting>
  <conditionalFormatting sqref="D300:Y300 AB300:AG300">
    <cfRule type="expression" dxfId="978" priority="1672">
      <formula>D300&lt;&gt;D287</formula>
    </cfRule>
  </conditionalFormatting>
  <conditionalFormatting sqref="F27:AA27">
    <cfRule type="expression" dxfId="977" priority="1655">
      <formula>F28&gt;F27</formula>
    </cfRule>
  </conditionalFormatting>
  <conditionalFormatting sqref="F32:AA32">
    <cfRule type="expression" dxfId="976" priority="1654">
      <formula>F33&gt;F32</formula>
    </cfRule>
  </conditionalFormatting>
  <conditionalFormatting sqref="F34:AA34">
    <cfRule type="expression" dxfId="975" priority="1653">
      <formula>F35&gt;F34</formula>
    </cfRule>
  </conditionalFormatting>
  <conditionalFormatting sqref="F36">
    <cfRule type="expression" dxfId="974" priority="1652">
      <formula>F37&gt;F36</formula>
    </cfRule>
  </conditionalFormatting>
  <conditionalFormatting sqref="G36">
    <cfRule type="expression" dxfId="973" priority="1651">
      <formula>G37&gt;G36</formula>
    </cfRule>
  </conditionalFormatting>
  <conditionalFormatting sqref="F38:G38">
    <cfRule type="expression" dxfId="972" priority="1650">
      <formula>F39&gt;F38</formula>
    </cfRule>
  </conditionalFormatting>
  <conditionalFormatting sqref="F40:AA40">
    <cfRule type="expression" dxfId="971" priority="1649">
      <formula>F41&gt;F40</formula>
    </cfRule>
  </conditionalFormatting>
  <conditionalFormatting sqref="F42:AA42">
    <cfRule type="cellIs" dxfId="970" priority="162" operator="equal">
      <formula>0</formula>
    </cfRule>
    <cfRule type="expression" dxfId="969" priority="1648">
      <formula>F43&gt;F42</formula>
    </cfRule>
  </conditionalFormatting>
  <conditionalFormatting sqref="F44:AA44">
    <cfRule type="expression" dxfId="968" priority="1647">
      <formula>F45&gt;F44</formula>
    </cfRule>
  </conditionalFormatting>
  <conditionalFormatting sqref="L46:AA46">
    <cfRule type="expression" dxfId="967" priority="1646">
      <formula>L47&gt;L46</formula>
    </cfRule>
  </conditionalFormatting>
  <conditionalFormatting sqref="L48">
    <cfRule type="expression" dxfId="966" priority="1645">
      <formula>L49&gt;L48</formula>
    </cfRule>
  </conditionalFormatting>
  <conditionalFormatting sqref="N48">
    <cfRule type="expression" dxfId="965" priority="1644">
      <formula>N49&gt;N48</formula>
    </cfRule>
  </conditionalFormatting>
  <conditionalFormatting sqref="P48">
    <cfRule type="expression" dxfId="964" priority="1643">
      <formula>P49&gt;P48</formula>
    </cfRule>
  </conditionalFormatting>
  <conditionalFormatting sqref="R48">
    <cfRule type="expression" dxfId="963" priority="1642">
      <formula>R49&gt;R48</formula>
    </cfRule>
  </conditionalFormatting>
  <conditionalFormatting sqref="T48">
    <cfRule type="expression" dxfId="962" priority="1641">
      <formula>T49&gt;T48</formula>
    </cfRule>
  </conditionalFormatting>
  <conditionalFormatting sqref="V48">
    <cfRule type="expression" dxfId="961" priority="1640">
      <formula>V49&gt;V48</formula>
    </cfRule>
  </conditionalFormatting>
  <conditionalFormatting sqref="X48">
    <cfRule type="expression" dxfId="960" priority="1639">
      <formula>X49&gt;X48</formula>
    </cfRule>
  </conditionalFormatting>
  <conditionalFormatting sqref="Z48">
    <cfRule type="expression" dxfId="959" priority="1638">
      <formula>Z49&gt;Z48</formula>
    </cfRule>
  </conditionalFormatting>
  <conditionalFormatting sqref="AI10 AI13 AI17:AI18">
    <cfRule type="notContainsBlanks" dxfId="958" priority="1636">
      <formula>LEN(TRIM(AI10))&gt;0</formula>
    </cfRule>
  </conditionalFormatting>
  <conditionalFormatting sqref="AK8:AL8 AK9:AK18">
    <cfRule type="notContainsBlanks" dxfId="957" priority="1635">
      <formula>LEN(TRIM(AK8))&gt;0</formula>
    </cfRule>
  </conditionalFormatting>
  <conditionalFormatting sqref="AJ8">
    <cfRule type="notContainsBlanks" dxfId="956" priority="2104">
      <formula>LEN(TRIM(AJ8))&gt;0</formula>
    </cfRule>
  </conditionalFormatting>
  <conditionalFormatting sqref="Y230">
    <cfRule type="cellIs" dxfId="955" priority="1623" operator="equal">
      <formula>0</formula>
    </cfRule>
  </conditionalFormatting>
  <conditionalFormatting sqref="W230">
    <cfRule type="cellIs" dxfId="954" priority="1622" operator="equal">
      <formula>0</formula>
    </cfRule>
  </conditionalFormatting>
  <conditionalFormatting sqref="U230">
    <cfRule type="cellIs" dxfId="953" priority="1621" operator="equal">
      <formula>0</formula>
    </cfRule>
  </conditionalFormatting>
  <conditionalFormatting sqref="S230">
    <cfRule type="cellIs" dxfId="952" priority="1620" operator="equal">
      <formula>0</formula>
    </cfRule>
  </conditionalFormatting>
  <conditionalFormatting sqref="Q230">
    <cfRule type="cellIs" dxfId="951" priority="1619" operator="equal">
      <formula>0</formula>
    </cfRule>
  </conditionalFormatting>
  <conditionalFormatting sqref="O230">
    <cfRule type="cellIs" dxfId="950" priority="1618" operator="equal">
      <formula>0</formula>
    </cfRule>
  </conditionalFormatting>
  <conditionalFormatting sqref="M230">
    <cfRule type="cellIs" dxfId="949" priority="1617" operator="equal">
      <formula>0</formula>
    </cfRule>
  </conditionalFormatting>
  <conditionalFormatting sqref="K230">
    <cfRule type="cellIs" dxfId="948" priority="1616" operator="equal">
      <formula>0</formula>
    </cfRule>
  </conditionalFormatting>
  <conditionalFormatting sqref="B230">
    <cfRule type="cellIs" dxfId="947" priority="1615" operator="equal">
      <formula>0</formula>
    </cfRule>
  </conditionalFormatting>
  <conditionalFormatting sqref="B231">
    <cfRule type="cellIs" dxfId="946" priority="1614" operator="equal">
      <formula>0</formula>
    </cfRule>
  </conditionalFormatting>
  <conditionalFormatting sqref="K231">
    <cfRule type="cellIs" dxfId="945" priority="1606" operator="equal">
      <formula>0</formula>
    </cfRule>
  </conditionalFormatting>
  <conditionalFormatting sqref="M231">
    <cfRule type="cellIs" dxfId="944" priority="1605" operator="equal">
      <formula>0</formula>
    </cfRule>
  </conditionalFormatting>
  <conditionalFormatting sqref="O231">
    <cfRule type="cellIs" dxfId="943" priority="1604" operator="equal">
      <formula>0</formula>
    </cfRule>
  </conditionalFormatting>
  <conditionalFormatting sqref="Q231">
    <cfRule type="cellIs" dxfId="942" priority="1603" operator="equal">
      <formula>0</formula>
    </cfRule>
  </conditionalFormatting>
  <conditionalFormatting sqref="S231">
    <cfRule type="cellIs" dxfId="941" priority="1602" operator="equal">
      <formula>0</formula>
    </cfRule>
  </conditionalFormatting>
  <conditionalFormatting sqref="U231">
    <cfRule type="cellIs" dxfId="940" priority="1601" operator="equal">
      <formula>0</formula>
    </cfRule>
  </conditionalFormatting>
  <conditionalFormatting sqref="W231">
    <cfRule type="cellIs" dxfId="939" priority="1600" operator="equal">
      <formula>0</formula>
    </cfRule>
  </conditionalFormatting>
  <conditionalFormatting sqref="Y231">
    <cfRule type="cellIs" dxfId="938" priority="1599" operator="equal">
      <formula>0</formula>
    </cfRule>
  </conditionalFormatting>
  <conditionalFormatting sqref="K244">
    <cfRule type="expression" dxfId="937" priority="1940">
      <formula>K270&gt;K244</formula>
    </cfRule>
  </conditionalFormatting>
  <conditionalFormatting sqref="K241">
    <cfRule type="expression" dxfId="936" priority="498">
      <formula>K273&gt;K243+K241</formula>
    </cfRule>
    <cfRule type="expression" dxfId="935" priority="1941">
      <formula>K267&gt;K241</formula>
    </cfRule>
  </conditionalFormatting>
  <conditionalFormatting sqref="M230 O230 Q230 S230 U230 W230 Y230 K230">
    <cfRule type="expression" dxfId="934" priority="1942">
      <formula>K265&gt;K230</formula>
    </cfRule>
  </conditionalFormatting>
  <conditionalFormatting sqref="K262">
    <cfRule type="cellIs" dxfId="933" priority="1598" operator="equal">
      <formula>0</formula>
    </cfRule>
  </conditionalFormatting>
  <conditionalFormatting sqref="O262">
    <cfRule type="cellIs" dxfId="932" priority="1589" operator="equal">
      <formula>0</formula>
    </cfRule>
  </conditionalFormatting>
  <conditionalFormatting sqref="M262">
    <cfRule type="cellIs" dxfId="931" priority="1590" operator="equal">
      <formula>0</formula>
    </cfRule>
  </conditionalFormatting>
  <conditionalFormatting sqref="Q262">
    <cfRule type="cellIs" dxfId="930" priority="1588" operator="equal">
      <formula>0</formula>
    </cfRule>
  </conditionalFormatting>
  <conditionalFormatting sqref="S262">
    <cfRule type="cellIs" dxfId="929" priority="1587" operator="equal">
      <formula>0</formula>
    </cfRule>
  </conditionalFormatting>
  <conditionalFormatting sqref="U262">
    <cfRule type="cellIs" dxfId="928" priority="1586" operator="equal">
      <formula>0</formula>
    </cfRule>
  </conditionalFormatting>
  <conditionalFormatting sqref="W262">
    <cfRule type="cellIs" dxfId="927" priority="1585" operator="equal">
      <formula>0</formula>
    </cfRule>
  </conditionalFormatting>
  <conditionalFormatting sqref="Y262">
    <cfRule type="cellIs" dxfId="926" priority="1584" operator="equal">
      <formula>0</formula>
    </cfRule>
  </conditionalFormatting>
  <conditionalFormatting sqref="B262">
    <cfRule type="cellIs" dxfId="925" priority="1583" operator="equal">
      <formula>0</formula>
    </cfRule>
  </conditionalFormatting>
  <conditionalFormatting sqref="B250">
    <cfRule type="cellIs" dxfId="924" priority="1582" operator="equal">
      <formula>0</formula>
    </cfRule>
  </conditionalFormatting>
  <conditionalFormatting sqref="B253">
    <cfRule type="cellIs" dxfId="923" priority="1569" operator="equal">
      <formula>0</formula>
    </cfRule>
  </conditionalFormatting>
  <conditionalFormatting sqref="AI256">
    <cfRule type="notContainsBlanks" dxfId="922" priority="1559">
      <formula>LEN(TRIM(AI256))&gt;0</formula>
    </cfRule>
  </conditionalFormatting>
  <conditionalFormatting sqref="AK256">
    <cfRule type="notContainsBlanks" dxfId="921" priority="1558">
      <formula>LEN(TRIM(AK256))&gt;0</formula>
    </cfRule>
  </conditionalFormatting>
  <conditionalFormatting sqref="AH256">
    <cfRule type="cellIs" dxfId="920" priority="1557" operator="equal">
      <formula>0</formula>
    </cfRule>
  </conditionalFormatting>
  <conditionalFormatting sqref="B256">
    <cfRule type="cellIs" dxfId="919" priority="1546" operator="equal">
      <formula>0</formula>
    </cfRule>
  </conditionalFormatting>
  <conditionalFormatting sqref="AI208">
    <cfRule type="notContainsBlanks" dxfId="918" priority="1545">
      <formula>LEN(TRIM(AI208))&gt;0</formula>
    </cfRule>
  </conditionalFormatting>
  <conditionalFormatting sqref="AK208:AL208">
    <cfRule type="notContainsBlanks" dxfId="917" priority="1544">
      <formula>LEN(TRIM(AK208))&gt;0</formula>
    </cfRule>
  </conditionalFormatting>
  <conditionalFormatting sqref="AJ208">
    <cfRule type="notContainsBlanks" dxfId="916" priority="2105">
      <formula>LEN(TRIM(AJ208))&gt;0</formula>
    </cfRule>
  </conditionalFormatting>
  <conditionalFormatting sqref="AH208">
    <cfRule type="cellIs" dxfId="915" priority="1541" operator="equal">
      <formula>0</formula>
    </cfRule>
  </conditionalFormatting>
  <conditionalFormatting sqref="AI173:AI174 AI176 AI178:AI180">
    <cfRule type="notContainsBlanks" dxfId="914" priority="1539">
      <formula>LEN(TRIM(AI173))&gt;0</formula>
    </cfRule>
  </conditionalFormatting>
  <conditionalFormatting sqref="AK173:AL180">
    <cfRule type="notContainsBlanks" dxfId="913" priority="1538">
      <formula>LEN(TRIM(AK173))&gt;0</formula>
    </cfRule>
  </conditionalFormatting>
  <conditionalFormatting sqref="AH173:AH180">
    <cfRule type="cellIs" dxfId="912" priority="1535" operator="equal">
      <formula>0</formula>
    </cfRule>
  </conditionalFormatting>
  <conditionalFormatting sqref="D172:AH172">
    <cfRule type="cellIs" dxfId="911" priority="1533" operator="equal">
      <formula>0</formula>
    </cfRule>
  </conditionalFormatting>
  <conditionalFormatting sqref="AK347 AK353:AK354">
    <cfRule type="notContainsBlanks" dxfId="910" priority="1529">
      <formula>LEN(TRIM(AK347))&gt;0</formula>
    </cfRule>
  </conditionalFormatting>
  <conditionalFormatting sqref="AH347">
    <cfRule type="cellIs" dxfId="909" priority="1528" operator="equal">
      <formula>0</formula>
    </cfRule>
  </conditionalFormatting>
  <conditionalFormatting sqref="AI354">
    <cfRule type="notContainsBlanks" dxfId="908" priority="1530">
      <formula>LEN(TRIM(AI354))&gt;0</formula>
    </cfRule>
  </conditionalFormatting>
  <conditionalFormatting sqref="AI348:AI350">
    <cfRule type="notContainsBlanks" dxfId="907" priority="1527">
      <formula>LEN(TRIM(AI348))&gt;0</formula>
    </cfRule>
  </conditionalFormatting>
  <conditionalFormatting sqref="AK348:AK352">
    <cfRule type="notContainsBlanks" dxfId="906" priority="1524">
      <formula>LEN(TRIM(AK348))&gt;0</formula>
    </cfRule>
  </conditionalFormatting>
  <conditionalFormatting sqref="F351:AA351 D348:AA348">
    <cfRule type="cellIs" dxfId="905" priority="1522" operator="equal">
      <formula>0</formula>
    </cfRule>
  </conditionalFormatting>
  <conditionalFormatting sqref="AH348:AH357">
    <cfRule type="cellIs" dxfId="904" priority="1521" operator="equal">
      <formula>0</formula>
    </cfRule>
  </conditionalFormatting>
  <conditionalFormatting sqref="B350">
    <cfRule type="cellIs" dxfId="903" priority="1517" operator="equal">
      <formula>0</formula>
    </cfRule>
  </conditionalFormatting>
  <conditionalFormatting sqref="B352">
    <cfRule type="cellIs" dxfId="902" priority="1516" operator="equal">
      <formula>0</formula>
    </cfRule>
  </conditionalFormatting>
  <conditionalFormatting sqref="F350:AA350">
    <cfRule type="cellIs" dxfId="901" priority="1515" operator="equal">
      <formula>0</formula>
    </cfRule>
  </conditionalFormatting>
  <conditionalFormatting sqref="F352:AA352">
    <cfRule type="cellIs" dxfId="900" priority="1513" operator="equal">
      <formula>0</formula>
    </cfRule>
  </conditionalFormatting>
  <conditionalFormatting sqref="AK356">
    <cfRule type="notContainsBlanks" dxfId="899" priority="1511">
      <formula>LEN(TRIM(AK356))&gt;0</formula>
    </cfRule>
  </conditionalFormatting>
  <conditionalFormatting sqref="AK357">
    <cfRule type="notContainsBlanks" dxfId="898" priority="1507">
      <formula>LEN(TRIM(AK357))&gt;0</formula>
    </cfRule>
  </conditionalFormatting>
  <conditionalFormatting sqref="F354:AA354">
    <cfRule type="cellIs" dxfId="897" priority="1504" operator="equal">
      <formula>0</formula>
    </cfRule>
  </conditionalFormatting>
  <conditionalFormatting sqref="B354">
    <cfRule type="cellIs" dxfId="896" priority="1503" operator="equal">
      <formula>0</formula>
    </cfRule>
  </conditionalFormatting>
  <conditionalFormatting sqref="B357">
    <cfRule type="cellIs" dxfId="895" priority="1502" operator="equal">
      <formula>0</formula>
    </cfRule>
  </conditionalFormatting>
  <conditionalFormatting sqref="F357:AA357">
    <cfRule type="cellIs" dxfId="894" priority="1501" operator="equal">
      <formula>0</formula>
    </cfRule>
  </conditionalFormatting>
  <conditionalFormatting sqref="J95:AA95">
    <cfRule type="expression" dxfId="893" priority="1960">
      <formula>J95&gt;J92</formula>
    </cfRule>
  </conditionalFormatting>
  <conditionalFormatting sqref="D307:AA307">
    <cfRule type="expression" dxfId="892" priority="1963">
      <formula>D307&gt;D287</formula>
    </cfRule>
  </conditionalFormatting>
  <conditionalFormatting sqref="D307:AA307">
    <cfRule type="expression" dxfId="891" priority="1965">
      <formula>(D287*0.7)&gt;D307</formula>
    </cfRule>
  </conditionalFormatting>
  <conditionalFormatting sqref="D286:Y286 AB286:AG286">
    <cfRule type="cellIs" dxfId="890" priority="1498" operator="equal">
      <formula>0</formula>
    </cfRule>
  </conditionalFormatting>
  <conditionalFormatting sqref="AH286">
    <cfRule type="cellIs" dxfId="889" priority="1497" operator="equal">
      <formula>0</formula>
    </cfRule>
  </conditionalFormatting>
  <conditionalFormatting sqref="D277:AA277">
    <cfRule type="cellIs" dxfId="888" priority="1494" operator="equal">
      <formula>0</formula>
    </cfRule>
  </conditionalFormatting>
  <conditionalFormatting sqref="D277:AA277">
    <cfRule type="cellIs" dxfId="887" priority="1493" operator="equal">
      <formula>0</formula>
    </cfRule>
  </conditionalFormatting>
  <conditionalFormatting sqref="J108:AA108">
    <cfRule type="cellIs" dxfId="886" priority="1489" operator="equal">
      <formula>0</formula>
    </cfRule>
  </conditionalFormatting>
  <conditionalFormatting sqref="B108">
    <cfRule type="cellIs" dxfId="885" priority="1492" operator="equal">
      <formula>0</formula>
    </cfRule>
  </conditionalFormatting>
  <conditionalFormatting sqref="J108:AA108">
    <cfRule type="cellIs" dxfId="884" priority="1490" operator="equal">
      <formula>0</formula>
    </cfRule>
  </conditionalFormatting>
  <conditionalFormatting sqref="J108:AA108">
    <cfRule type="expression" dxfId="883" priority="1491">
      <formula>J141&gt;J108</formula>
    </cfRule>
  </conditionalFormatting>
  <conditionalFormatting sqref="B96">
    <cfRule type="cellIs" dxfId="882" priority="1488" operator="equal">
      <formula>0</formula>
    </cfRule>
  </conditionalFormatting>
  <conditionalFormatting sqref="J96:AA96">
    <cfRule type="cellIs" dxfId="881" priority="1485" operator="equal">
      <formula>0</formula>
    </cfRule>
  </conditionalFormatting>
  <conditionalFormatting sqref="J96:AA96">
    <cfRule type="cellIs" dxfId="880" priority="1486" operator="equal">
      <formula>0</formula>
    </cfRule>
  </conditionalFormatting>
  <conditionalFormatting sqref="J96:AA96">
    <cfRule type="expression" dxfId="879" priority="1487">
      <formula>J130&gt;J96</formula>
    </cfRule>
  </conditionalFormatting>
  <conditionalFormatting sqref="AI304">
    <cfRule type="notContainsBlanks" dxfId="878" priority="1453">
      <formula>LEN(TRIM(AI304))&gt;0</formula>
    </cfRule>
  </conditionalFormatting>
  <conditionalFormatting sqref="AK304">
    <cfRule type="notContainsBlanks" dxfId="877" priority="1452">
      <formula>LEN(TRIM(AK304))&gt;0</formula>
    </cfRule>
  </conditionalFormatting>
  <conditionalFormatting sqref="AI303:AI304">
    <cfRule type="notContainsBlanks" dxfId="876" priority="1449">
      <formula>LEN(TRIM(AI303))&gt;0</formula>
    </cfRule>
  </conditionalFormatting>
  <conditionalFormatting sqref="AK302:AK304">
    <cfRule type="notContainsBlanks" dxfId="875" priority="1448">
      <formula>LEN(TRIM(AK302))&gt;0</formula>
    </cfRule>
  </conditionalFormatting>
  <conditionalFormatting sqref="AK315">
    <cfRule type="notContainsBlanks" dxfId="874" priority="1436">
      <formula>LEN(TRIM(AK315))&gt;0</formula>
    </cfRule>
  </conditionalFormatting>
  <conditionalFormatting sqref="AH315">
    <cfRule type="cellIs" dxfId="873" priority="1435" operator="equal">
      <formula>0</formula>
    </cfRule>
  </conditionalFormatting>
  <conditionalFormatting sqref="AK312">
    <cfRule type="notContainsBlanks" dxfId="872" priority="1440">
      <formula>LEN(TRIM(AK312))&gt;0</formula>
    </cfRule>
  </conditionalFormatting>
  <conditionalFormatting sqref="AI314 AI316">
    <cfRule type="notContainsBlanks" dxfId="871" priority="1433">
      <formula>LEN(TRIM(AI314))&gt;0</formula>
    </cfRule>
  </conditionalFormatting>
  <conditionalFormatting sqref="AK314:AK316">
    <cfRule type="notContainsBlanks" dxfId="870" priority="1432">
      <formula>LEN(TRIM(AK314))&gt;0</formula>
    </cfRule>
  </conditionalFormatting>
  <conditionalFormatting sqref="AH314:AH315">
    <cfRule type="cellIs" dxfId="869" priority="1431" operator="equal">
      <formula>0</formula>
    </cfRule>
  </conditionalFormatting>
  <conditionalFormatting sqref="D304:AA304">
    <cfRule type="cellIs" dxfId="868" priority="1427" operator="equal">
      <formula>0</formula>
    </cfRule>
  </conditionalFormatting>
  <conditionalFormatting sqref="D304:AA304">
    <cfRule type="cellIs" dxfId="867" priority="1426" operator="equal">
      <formula>0</formula>
    </cfRule>
  </conditionalFormatting>
  <conditionalFormatting sqref="D304:AA304">
    <cfRule type="cellIs" dxfId="866" priority="1425" operator="equal">
      <formula>0</formula>
    </cfRule>
  </conditionalFormatting>
  <conditionalFormatting sqref="AI305:AI310">
    <cfRule type="notContainsBlanks" dxfId="865" priority="1421">
      <formula>LEN(TRIM(AI305))&gt;0</formula>
    </cfRule>
  </conditionalFormatting>
  <conditionalFormatting sqref="AK305:AK311">
    <cfRule type="notContainsBlanks" dxfId="864" priority="1420">
      <formula>LEN(TRIM(AK305))&gt;0</formula>
    </cfRule>
  </conditionalFormatting>
  <conditionalFormatting sqref="AI313">
    <cfRule type="notContainsBlanks" dxfId="863" priority="1412">
      <formula>LEN(TRIM(AI313))&gt;0</formula>
    </cfRule>
  </conditionalFormatting>
  <conditionalFormatting sqref="AK313">
    <cfRule type="notContainsBlanks" dxfId="862" priority="1411">
      <formula>LEN(TRIM(AK313))&gt;0</formula>
    </cfRule>
  </conditionalFormatting>
  <conditionalFormatting sqref="AH313">
    <cfRule type="cellIs" dxfId="861" priority="1410" operator="equal">
      <formula>0</formula>
    </cfRule>
  </conditionalFormatting>
  <conditionalFormatting sqref="D315:AA315">
    <cfRule type="cellIs" dxfId="860" priority="1408" operator="equal">
      <formula>0</formula>
    </cfRule>
  </conditionalFormatting>
  <conditionalFormatting sqref="D315:AA315">
    <cfRule type="cellIs" dxfId="859" priority="1407" operator="equal">
      <formula>0</formula>
    </cfRule>
  </conditionalFormatting>
  <conditionalFormatting sqref="D315:AA315">
    <cfRule type="cellIs" dxfId="858" priority="1406" operator="equal">
      <formula>0</formula>
    </cfRule>
  </conditionalFormatting>
  <conditionalFormatting sqref="AI317">
    <cfRule type="notContainsBlanks" dxfId="857" priority="1401">
      <formula>LEN(TRIM(AI317))&gt;0</formula>
    </cfRule>
  </conditionalFormatting>
  <conditionalFormatting sqref="AK317">
    <cfRule type="notContainsBlanks" dxfId="856" priority="1400">
      <formula>LEN(TRIM(AK317))&gt;0</formula>
    </cfRule>
  </conditionalFormatting>
  <conditionalFormatting sqref="D317:AG317">
    <cfRule type="cellIs" dxfId="855" priority="1399" operator="equal">
      <formula>0</formula>
    </cfRule>
  </conditionalFormatting>
  <conditionalFormatting sqref="AH317">
    <cfRule type="cellIs" dxfId="854" priority="1398" operator="equal">
      <formula>0</formula>
    </cfRule>
  </conditionalFormatting>
  <conditionalFormatting sqref="D317:AG317">
    <cfRule type="cellIs" dxfId="853" priority="1397" operator="equal">
      <formula>0</formula>
    </cfRule>
  </conditionalFormatting>
  <conditionalFormatting sqref="AI318">
    <cfRule type="notContainsBlanks" dxfId="852" priority="1395">
      <formula>LEN(TRIM(AI318))&gt;0</formula>
    </cfRule>
  </conditionalFormatting>
  <conditionalFormatting sqref="AK318">
    <cfRule type="notContainsBlanks" dxfId="851" priority="1394">
      <formula>LEN(TRIM(AK318))&gt;0</formula>
    </cfRule>
  </conditionalFormatting>
  <conditionalFormatting sqref="AH318:AH323">
    <cfRule type="cellIs" dxfId="850" priority="1393" operator="equal">
      <formula>0</formula>
    </cfRule>
  </conditionalFormatting>
  <conditionalFormatting sqref="AI323">
    <cfRule type="notContainsBlanks" dxfId="849" priority="1385">
      <formula>LEN(TRIM(AI323))&gt;0</formula>
    </cfRule>
  </conditionalFormatting>
  <conditionalFormatting sqref="AK323">
    <cfRule type="notContainsBlanks" dxfId="848" priority="1384">
      <formula>LEN(TRIM(AK323))&gt;0</formula>
    </cfRule>
  </conditionalFormatting>
  <conditionalFormatting sqref="AI322">
    <cfRule type="notContainsBlanks" dxfId="847" priority="1388">
      <formula>LEN(TRIM(AI322))&gt;0</formula>
    </cfRule>
  </conditionalFormatting>
  <conditionalFormatting sqref="AK322">
    <cfRule type="notContainsBlanks" dxfId="846" priority="1387">
      <formula>LEN(TRIM(AK322))&gt;0</formula>
    </cfRule>
  </conditionalFormatting>
  <conditionalFormatting sqref="D316:AH316">
    <cfRule type="cellIs" dxfId="845" priority="1357" operator="equal">
      <formula>0</formula>
    </cfRule>
  </conditionalFormatting>
  <conditionalFormatting sqref="D316:AH316">
    <cfRule type="cellIs" dxfId="844" priority="1356" operator="equal">
      <formula>0</formula>
    </cfRule>
  </conditionalFormatting>
  <conditionalFormatting sqref="D316:AH316">
    <cfRule type="cellIs" dxfId="843" priority="1355" operator="equal">
      <formula>0</formula>
    </cfRule>
  </conditionalFormatting>
  <conditionalFormatting sqref="AI8">
    <cfRule type="notContainsBlanks" dxfId="842" priority="1348">
      <formula>LEN(TRIM(AI8))&gt;0</formula>
    </cfRule>
  </conditionalFormatting>
  <conditionalFormatting sqref="AI9">
    <cfRule type="notContainsBlanks" dxfId="841" priority="1347">
      <formula>LEN(TRIM(AI9))&gt;0</formula>
    </cfRule>
  </conditionalFormatting>
  <conditionalFormatting sqref="J92:AA92">
    <cfRule type="expression" dxfId="840" priority="1346">
      <formula>J95&gt;J92</formula>
    </cfRule>
  </conditionalFormatting>
  <conditionalFormatting sqref="J94:AA94">
    <cfRule type="expression" dxfId="839" priority="1345">
      <formula>J94&gt;J93</formula>
    </cfRule>
  </conditionalFormatting>
  <conditionalFormatting sqref="J93:AA93">
    <cfRule type="expression" dxfId="838" priority="1344">
      <formula>J94&gt;J93</formula>
    </cfRule>
  </conditionalFormatting>
  <conditionalFormatting sqref="AI93">
    <cfRule type="notContainsBlanks" dxfId="837" priority="1343">
      <formula>LEN(TRIM(AI93))&gt;0</formula>
    </cfRule>
  </conditionalFormatting>
  <conditionalFormatting sqref="AI108">
    <cfRule type="notContainsBlanks" dxfId="836" priority="1340">
      <formula>LEN(TRIM(AI108))&gt;0</formula>
    </cfRule>
  </conditionalFormatting>
  <conditionalFormatting sqref="J95:AA95">
    <cfRule type="expression" dxfId="835" priority="1339">
      <formula>J96&gt;J95</formula>
    </cfRule>
  </conditionalFormatting>
  <conditionalFormatting sqref="D287:Y287 AB287:AH287">
    <cfRule type="expression" dxfId="834" priority="1338">
      <formula>D286&gt;D287</formula>
    </cfRule>
  </conditionalFormatting>
  <conditionalFormatting sqref="AI106:AI107">
    <cfRule type="notContainsBlanks" dxfId="833" priority="1336">
      <formula>LEN(TRIM(AI106))&gt;0</formula>
    </cfRule>
  </conditionalFormatting>
  <conditionalFormatting sqref="J108:AA108">
    <cfRule type="expression" dxfId="832" priority="1332">
      <formula>J103&gt;J108</formula>
    </cfRule>
  </conditionalFormatting>
  <conditionalFormatting sqref="AI103">
    <cfRule type="notContainsBlanks" dxfId="831" priority="1331">
      <formula>LEN(TRIM(AI103))&gt;0</formula>
    </cfRule>
  </conditionalFormatting>
  <conditionalFormatting sqref="J116:AA116">
    <cfRule type="expression" dxfId="830" priority="1330">
      <formula>J116&gt;J115</formula>
    </cfRule>
  </conditionalFormatting>
  <conditionalFormatting sqref="J115:AA115">
    <cfRule type="expression" dxfId="829" priority="1329">
      <formula>J116&gt;J115</formula>
    </cfRule>
  </conditionalFormatting>
  <conditionalFormatting sqref="J115:AA115">
    <cfRule type="expression" dxfId="828" priority="1328">
      <formula>(J115)&gt;J107</formula>
    </cfRule>
  </conditionalFormatting>
  <conditionalFormatting sqref="J108:AA108">
    <cfRule type="expression" dxfId="827" priority="1327">
      <formula>(J115+J116+J117)&gt;J108</formula>
    </cfRule>
  </conditionalFormatting>
  <conditionalFormatting sqref="J117:AA117">
    <cfRule type="expression" dxfId="826" priority="1326">
      <formula>(J115+J116+J117)&gt;J108</formula>
    </cfRule>
  </conditionalFormatting>
  <conditionalFormatting sqref="D132:AA132">
    <cfRule type="expression" dxfId="825" priority="1325">
      <formula>D132&gt;D130</formula>
    </cfRule>
  </conditionalFormatting>
  <conditionalFormatting sqref="D133:AA133">
    <cfRule type="expression" dxfId="824" priority="1324">
      <formula>D133&gt;D131</formula>
    </cfRule>
  </conditionalFormatting>
  <conditionalFormatting sqref="M226">
    <cfRule type="expression" dxfId="823" priority="1319">
      <formula>(M227+M228)&gt;M226</formula>
    </cfRule>
  </conditionalFormatting>
  <conditionalFormatting sqref="O226">
    <cfRule type="expression" dxfId="822" priority="1318">
      <formula>(O227+O228)&gt;O226</formula>
    </cfRule>
  </conditionalFormatting>
  <conditionalFormatting sqref="Q226">
    <cfRule type="expression" dxfId="821" priority="1317">
      <formula>(Q227+Q228)&gt;Q226</formula>
    </cfRule>
  </conditionalFormatting>
  <conditionalFormatting sqref="U226">
    <cfRule type="expression" dxfId="820" priority="1316">
      <formula>(U227+U228)&gt;U226</formula>
    </cfRule>
  </conditionalFormatting>
  <conditionalFormatting sqref="W226">
    <cfRule type="expression" dxfId="819" priority="1315">
      <formula>(W227+W228)&gt;W226</formula>
    </cfRule>
  </conditionalFormatting>
  <conditionalFormatting sqref="Y226">
    <cfRule type="expression" dxfId="818" priority="1314">
      <formula>(Y227+Y228)&gt;Y226</formula>
    </cfRule>
  </conditionalFormatting>
  <conditionalFormatting sqref="M227">
    <cfRule type="expression" dxfId="817" priority="1311">
      <formula>M227&gt;M226</formula>
    </cfRule>
    <cfRule type="expression" dxfId="816" priority="1312">
      <formula>M260&gt;M227</formula>
    </cfRule>
  </conditionalFormatting>
  <conditionalFormatting sqref="O227">
    <cfRule type="expression" dxfId="815" priority="1309">
      <formula>O227&gt;O226</formula>
    </cfRule>
    <cfRule type="expression" dxfId="814" priority="1310">
      <formula>O260&gt;O227</formula>
    </cfRule>
  </conditionalFormatting>
  <conditionalFormatting sqref="Q227">
    <cfRule type="expression" dxfId="813" priority="1307">
      <formula>Q227&gt;Q226</formula>
    </cfRule>
    <cfRule type="expression" dxfId="812" priority="1308">
      <formula>Q260&gt;Q227</formula>
    </cfRule>
  </conditionalFormatting>
  <conditionalFormatting sqref="S227">
    <cfRule type="expression" dxfId="811" priority="1305">
      <formula>S227&gt;S226</formula>
    </cfRule>
    <cfRule type="expression" dxfId="810" priority="1306">
      <formula>S260&gt;S227</formula>
    </cfRule>
  </conditionalFormatting>
  <conditionalFormatting sqref="U227">
    <cfRule type="expression" dxfId="809" priority="1303">
      <formula>U227&gt;U226</formula>
    </cfRule>
    <cfRule type="expression" dxfId="808" priority="1304">
      <formula>U260&gt;U227</formula>
    </cfRule>
  </conditionalFormatting>
  <conditionalFormatting sqref="W227">
    <cfRule type="expression" dxfId="807" priority="1301">
      <formula>W227&gt;W226</formula>
    </cfRule>
    <cfRule type="expression" dxfId="806" priority="1302">
      <formula>W260&gt;W227</formula>
    </cfRule>
  </conditionalFormatting>
  <conditionalFormatting sqref="Y227">
    <cfRule type="expression" dxfId="805" priority="1299">
      <formula>Y227&gt;Y226</formula>
    </cfRule>
    <cfRule type="expression" dxfId="804" priority="1300">
      <formula>Y260&gt;Y227</formula>
    </cfRule>
  </conditionalFormatting>
  <conditionalFormatting sqref="K229">
    <cfRule type="expression" dxfId="803" priority="1298">
      <formula>K229&gt;K228</formula>
    </cfRule>
  </conditionalFormatting>
  <conditionalFormatting sqref="M229">
    <cfRule type="expression" dxfId="802" priority="1297">
      <formula>M229&gt;M228</formula>
    </cfRule>
  </conditionalFormatting>
  <conditionalFormatting sqref="O229">
    <cfRule type="expression" dxfId="801" priority="1296">
      <formula>O229&gt;O228</formula>
    </cfRule>
  </conditionalFormatting>
  <conditionalFormatting sqref="Q229">
    <cfRule type="expression" dxfId="800" priority="1295">
      <formula>Q229&gt;Q228</formula>
    </cfRule>
  </conditionalFormatting>
  <conditionalFormatting sqref="S229">
    <cfRule type="expression" dxfId="799" priority="1294">
      <formula>S229&gt;S228</formula>
    </cfRule>
  </conditionalFormatting>
  <conditionalFormatting sqref="U229">
    <cfRule type="expression" dxfId="798" priority="1293">
      <formula>U229&gt;U228</formula>
    </cfRule>
  </conditionalFormatting>
  <conditionalFormatting sqref="W229">
    <cfRule type="expression" dxfId="797" priority="1292">
      <formula>W229&gt;W228</formula>
    </cfRule>
  </conditionalFormatting>
  <conditionalFormatting sqref="Y229">
    <cfRule type="expression" dxfId="796" priority="1291">
      <formula>Y229&gt;Y228</formula>
    </cfRule>
  </conditionalFormatting>
  <conditionalFormatting sqref="K233">
    <cfRule type="expression" dxfId="795" priority="1119">
      <formula>K263&lt;&gt;K233</formula>
    </cfRule>
    <cfRule type="expression" dxfId="794" priority="1290">
      <formula>K233&gt;K232</formula>
    </cfRule>
  </conditionalFormatting>
  <conditionalFormatting sqref="M233">
    <cfRule type="expression" dxfId="793" priority="1289">
      <formula>M233&gt;M232</formula>
    </cfRule>
  </conditionalFormatting>
  <conditionalFormatting sqref="O233">
    <cfRule type="expression" dxfId="792" priority="1288">
      <formula>O233&gt;O232</formula>
    </cfRule>
  </conditionalFormatting>
  <conditionalFormatting sqref="Q233">
    <cfRule type="expression" dxfId="791" priority="1287">
      <formula>Q233&gt;Q232</formula>
    </cfRule>
  </conditionalFormatting>
  <conditionalFormatting sqref="S233">
    <cfRule type="expression" dxfId="790" priority="1286">
      <formula>S233&gt;S232</formula>
    </cfRule>
  </conditionalFormatting>
  <conditionalFormatting sqref="U233">
    <cfRule type="expression" dxfId="789" priority="1285">
      <formula>U233&gt;U232</formula>
    </cfRule>
  </conditionalFormatting>
  <conditionalFormatting sqref="W233">
    <cfRule type="expression" dxfId="788" priority="1284">
      <formula>W233&gt;W232</formula>
    </cfRule>
  </conditionalFormatting>
  <conditionalFormatting sqref="Y233">
    <cfRule type="expression" dxfId="787" priority="1283">
      <formula>Y233&gt;Y232</formula>
    </cfRule>
  </conditionalFormatting>
  <conditionalFormatting sqref="AI234">
    <cfRule type="notContainsBlanks" dxfId="786" priority="1282">
      <formula>LEN(TRIM(AI234))&gt;0</formula>
    </cfRule>
  </conditionalFormatting>
  <conditionalFormatting sqref="K234">
    <cfRule type="expression" dxfId="785" priority="1281">
      <formula>K235&gt;K234</formula>
    </cfRule>
  </conditionalFormatting>
  <conditionalFormatting sqref="K235">
    <cfRule type="expression" dxfId="784" priority="1060">
      <formula>K264&lt;&gt;K235</formula>
    </cfRule>
    <cfRule type="expression" dxfId="783" priority="1280">
      <formula>K235&gt;K234</formula>
    </cfRule>
  </conditionalFormatting>
  <conditionalFormatting sqref="M234">
    <cfRule type="expression" dxfId="782" priority="1279">
      <formula>M235&gt;M234</formula>
    </cfRule>
  </conditionalFormatting>
  <conditionalFormatting sqref="M235">
    <cfRule type="expression" dxfId="781" priority="1278">
      <formula>M235&gt;M234</formula>
    </cfRule>
  </conditionalFormatting>
  <conditionalFormatting sqref="O234">
    <cfRule type="expression" dxfId="780" priority="1277">
      <formula>O235&gt;O234</formula>
    </cfRule>
  </conditionalFormatting>
  <conditionalFormatting sqref="O235">
    <cfRule type="expression" dxfId="779" priority="1276">
      <formula>O235&gt;O234</formula>
    </cfRule>
  </conditionalFormatting>
  <conditionalFormatting sqref="Q234">
    <cfRule type="expression" dxfId="778" priority="1275">
      <formula>Q235&gt;Q234</formula>
    </cfRule>
  </conditionalFormatting>
  <conditionalFormatting sqref="Q235">
    <cfRule type="expression" dxfId="777" priority="1274">
      <formula>Q235&gt;Q234</formula>
    </cfRule>
  </conditionalFormatting>
  <conditionalFormatting sqref="S234">
    <cfRule type="expression" dxfId="776" priority="1273">
      <formula>S235&gt;S234</formula>
    </cfRule>
  </conditionalFormatting>
  <conditionalFormatting sqref="S235">
    <cfRule type="expression" dxfId="775" priority="1272">
      <formula>S235&gt;S234</formula>
    </cfRule>
  </conditionalFormatting>
  <conditionalFormatting sqref="U234">
    <cfRule type="expression" dxfId="774" priority="1271">
      <formula>U235&gt;U234</formula>
    </cfRule>
  </conditionalFormatting>
  <conditionalFormatting sqref="U235">
    <cfRule type="expression" dxfId="773" priority="1270">
      <formula>U235&gt;U234</formula>
    </cfRule>
  </conditionalFormatting>
  <conditionalFormatting sqref="W234">
    <cfRule type="expression" dxfId="772" priority="1269">
      <formula>W235&gt;W234</formula>
    </cfRule>
  </conditionalFormatting>
  <conditionalFormatting sqref="W235">
    <cfRule type="expression" dxfId="771" priority="1268">
      <formula>W235&gt;W234</formula>
    </cfRule>
  </conditionalFormatting>
  <conditionalFormatting sqref="Y234">
    <cfRule type="expression" dxfId="770" priority="1267">
      <formula>Y235&gt;Y234</formula>
    </cfRule>
  </conditionalFormatting>
  <conditionalFormatting sqref="Y235">
    <cfRule type="expression" dxfId="769" priority="1266">
      <formula>Y235&gt;Y234</formula>
    </cfRule>
  </conditionalFormatting>
  <conditionalFormatting sqref="AI238">
    <cfRule type="notContainsBlanks" dxfId="768" priority="1265">
      <formula>LEN(TRIM(AI238))&gt;0</formula>
    </cfRule>
  </conditionalFormatting>
  <conditionalFormatting sqref="K239">
    <cfRule type="expression" dxfId="767" priority="1264">
      <formula>K239&gt;K238</formula>
    </cfRule>
  </conditionalFormatting>
  <conditionalFormatting sqref="M239">
    <cfRule type="expression" dxfId="766" priority="1262">
      <formula>M239&gt;M238</formula>
    </cfRule>
  </conditionalFormatting>
  <conditionalFormatting sqref="M238">
    <cfRule type="expression" dxfId="765" priority="1261">
      <formula>M239&gt;M238</formula>
    </cfRule>
  </conditionalFormatting>
  <conditionalFormatting sqref="O239">
    <cfRule type="expression" dxfId="764" priority="1260">
      <formula>O239&gt;O238</formula>
    </cfRule>
  </conditionalFormatting>
  <conditionalFormatting sqref="O238">
    <cfRule type="expression" dxfId="763" priority="1259">
      <formula>O239&gt;O238</formula>
    </cfRule>
  </conditionalFormatting>
  <conditionalFormatting sqref="Q239">
    <cfRule type="expression" dxfId="762" priority="1258">
      <formula>Q239&gt;Q238</formula>
    </cfRule>
  </conditionalFormatting>
  <conditionalFormatting sqref="Q238">
    <cfRule type="expression" dxfId="761" priority="1257">
      <formula>Q239&gt;Q238</formula>
    </cfRule>
  </conditionalFormatting>
  <conditionalFormatting sqref="S239">
    <cfRule type="expression" dxfId="760" priority="1256">
      <formula>S239&gt;S238</formula>
    </cfRule>
  </conditionalFormatting>
  <conditionalFormatting sqref="S238">
    <cfRule type="expression" dxfId="759" priority="1255">
      <formula>S239&gt;S238</formula>
    </cfRule>
  </conditionalFormatting>
  <conditionalFormatting sqref="U239">
    <cfRule type="expression" dxfId="758" priority="1254">
      <formula>U239&gt;U238</formula>
    </cfRule>
  </conditionalFormatting>
  <conditionalFormatting sqref="U238">
    <cfRule type="expression" dxfId="757" priority="1253">
      <formula>U239&gt;U238</formula>
    </cfRule>
  </conditionalFormatting>
  <conditionalFormatting sqref="W239">
    <cfRule type="expression" dxfId="756" priority="1252">
      <formula>W239&gt;W238</formula>
    </cfRule>
  </conditionalFormatting>
  <conditionalFormatting sqref="W238">
    <cfRule type="expression" dxfId="755" priority="1251">
      <formula>W239&gt;W238</formula>
    </cfRule>
  </conditionalFormatting>
  <conditionalFormatting sqref="Y239">
    <cfRule type="expression" dxfId="754" priority="1250">
      <formula>Y239&gt;Y238</formula>
    </cfRule>
  </conditionalFormatting>
  <conditionalFormatting sqref="Y238">
    <cfRule type="expression" dxfId="753" priority="1249">
      <formula>Y239&gt;Y238</formula>
    </cfRule>
  </conditionalFormatting>
  <conditionalFormatting sqref="Q240">
    <cfRule type="expression" dxfId="752" priority="1247">
      <formula>Q241&gt;Q240</formula>
    </cfRule>
  </conditionalFormatting>
  <conditionalFormatting sqref="Q240">
    <cfRule type="expression" dxfId="751" priority="1246">
      <formula>Q241&gt;Q240</formula>
    </cfRule>
  </conditionalFormatting>
  <conditionalFormatting sqref="S240">
    <cfRule type="expression" dxfId="750" priority="1245">
      <formula>S241&gt;S240</formula>
    </cfRule>
  </conditionalFormatting>
  <conditionalFormatting sqref="S240">
    <cfRule type="expression" dxfId="749" priority="1244">
      <formula>S241&gt;S240</formula>
    </cfRule>
  </conditionalFormatting>
  <conditionalFormatting sqref="U240">
    <cfRule type="expression" dxfId="748" priority="1243">
      <formula>U241&gt;U240</formula>
    </cfRule>
  </conditionalFormatting>
  <conditionalFormatting sqref="U240">
    <cfRule type="expression" dxfId="747" priority="1242">
      <formula>U241&gt;U240</formula>
    </cfRule>
  </conditionalFormatting>
  <conditionalFormatting sqref="W240">
    <cfRule type="expression" dxfId="746" priority="1241">
      <formula>W241&gt;W240</formula>
    </cfRule>
  </conditionalFormatting>
  <conditionalFormatting sqref="W240">
    <cfRule type="expression" dxfId="745" priority="1240">
      <formula>W241&gt;W240</formula>
    </cfRule>
  </conditionalFormatting>
  <conditionalFormatting sqref="Y240">
    <cfRule type="expression" dxfId="744" priority="1239">
      <formula>Y241&gt;Y240</formula>
    </cfRule>
  </conditionalFormatting>
  <conditionalFormatting sqref="Y240">
    <cfRule type="expression" dxfId="743" priority="1238">
      <formula>Y241&gt;Y240</formula>
    </cfRule>
  </conditionalFormatting>
  <conditionalFormatting sqref="K241">
    <cfRule type="expression" dxfId="742" priority="1237">
      <formula>K267&gt;K241</formula>
    </cfRule>
  </conditionalFormatting>
  <conditionalFormatting sqref="K241">
    <cfRule type="expression" dxfId="741" priority="1236">
      <formula>K241&gt;K240</formula>
    </cfRule>
  </conditionalFormatting>
  <conditionalFormatting sqref="K242">
    <cfRule type="expression" dxfId="740" priority="1228">
      <formula>K243&gt;K242</formula>
    </cfRule>
  </conditionalFormatting>
  <conditionalFormatting sqref="M242">
    <cfRule type="expression" dxfId="739" priority="1224">
      <formula>M243&gt;M242</formula>
    </cfRule>
  </conditionalFormatting>
  <conditionalFormatting sqref="O242">
    <cfRule type="expression" dxfId="738" priority="1220">
      <formula>O243&gt;O242</formula>
    </cfRule>
  </conditionalFormatting>
  <conditionalFormatting sqref="Q242">
    <cfRule type="expression" dxfId="737" priority="1216">
      <formula>Q243&gt;Q242</formula>
    </cfRule>
  </conditionalFormatting>
  <conditionalFormatting sqref="S242">
    <cfRule type="expression" dxfId="736" priority="1212">
      <formula>S243&gt;S242</formula>
    </cfRule>
  </conditionalFormatting>
  <conditionalFormatting sqref="U242">
    <cfRule type="expression" dxfId="735" priority="1208">
      <formula>U243&gt;U242</formula>
    </cfRule>
  </conditionalFormatting>
  <conditionalFormatting sqref="W242">
    <cfRule type="expression" dxfId="734" priority="1204">
      <formula>W243&gt;W242</formula>
    </cfRule>
  </conditionalFormatting>
  <conditionalFormatting sqref="Y242">
    <cfRule type="expression" dxfId="733" priority="1200">
      <formula>Y243&gt;Y242</formula>
    </cfRule>
  </conditionalFormatting>
  <conditionalFormatting sqref="K244">
    <cfRule type="expression" dxfId="732" priority="1196">
      <formula>K245&gt;K244</formula>
    </cfRule>
  </conditionalFormatting>
  <conditionalFormatting sqref="M244">
    <cfRule type="expression" dxfId="731" priority="1192">
      <formula>M245&gt;M244</formula>
    </cfRule>
  </conditionalFormatting>
  <conditionalFormatting sqref="O244">
    <cfRule type="expression" dxfId="730" priority="1188">
      <formula>O245&gt;O244</formula>
    </cfRule>
  </conditionalFormatting>
  <conditionalFormatting sqref="Q244">
    <cfRule type="expression" dxfId="729" priority="1184">
      <formula>Q245&gt;Q244</formula>
    </cfRule>
  </conditionalFormatting>
  <conditionalFormatting sqref="Q245">
    <cfRule type="expression" dxfId="728" priority="1182">
      <formula>Q245&gt;Q244</formula>
    </cfRule>
  </conditionalFormatting>
  <conditionalFormatting sqref="AI242">
    <cfRule type="notContainsBlanks" dxfId="727" priority="1165">
      <formula>LEN(TRIM(AI242))&gt;0</formula>
    </cfRule>
  </conditionalFormatting>
  <conditionalFormatting sqref="AI244">
    <cfRule type="notContainsBlanks" dxfId="726" priority="1164">
      <formula>LEN(TRIM(AI244))&gt;0</formula>
    </cfRule>
  </conditionalFormatting>
  <conditionalFormatting sqref="D248:E249">
    <cfRule type="cellIs" dxfId="725" priority="1163" operator="equal">
      <formula>0</formula>
    </cfRule>
  </conditionalFormatting>
  <conditionalFormatting sqref="D250:E250">
    <cfRule type="expression" dxfId="724" priority="1145">
      <formula>D253&gt;D250</formula>
    </cfRule>
    <cfRule type="cellIs" dxfId="723" priority="1160" operator="equal">
      <formula>0</formula>
    </cfRule>
  </conditionalFormatting>
  <conditionalFormatting sqref="D251:E252">
    <cfRule type="cellIs" dxfId="722" priority="1159" operator="equal">
      <formula>0</formula>
    </cfRule>
  </conditionalFormatting>
  <conditionalFormatting sqref="D253:E253">
    <cfRule type="expression" dxfId="721" priority="1146">
      <formula>D253&gt;D250</formula>
    </cfRule>
    <cfRule type="cellIs" dxfId="720" priority="1156" operator="equal">
      <formula>0</formula>
    </cfRule>
  </conditionalFormatting>
  <conditionalFormatting sqref="D256:E256">
    <cfRule type="expression" dxfId="719" priority="562">
      <formula>D254&lt;&gt;D277</formula>
    </cfRule>
    <cfRule type="cellIs" dxfId="718" priority="1153" operator="equal">
      <formula>0</formula>
    </cfRule>
  </conditionalFormatting>
  <conditionalFormatting sqref="D248:E249">
    <cfRule type="expression" dxfId="717" priority="1151">
      <formula>D251&gt;D248</formula>
    </cfRule>
  </conditionalFormatting>
  <conditionalFormatting sqref="D251:E252">
    <cfRule type="expression" dxfId="716" priority="1150">
      <formula>D251&gt;D248</formula>
    </cfRule>
  </conditionalFormatting>
  <conditionalFormatting sqref="D254:E255">
    <cfRule type="cellIs" dxfId="715" priority="1149" operator="equal">
      <formula>0</formula>
    </cfRule>
  </conditionalFormatting>
  <conditionalFormatting sqref="D254:E255">
    <cfRule type="expression" dxfId="714" priority="1148">
      <formula>D254&gt;D251</formula>
    </cfRule>
  </conditionalFormatting>
  <conditionalFormatting sqref="AK251:AK253">
    <cfRule type="notContainsBlanks" dxfId="713" priority="1998">
      <formula>LEN(TRIM(AK251))&gt;0</formula>
    </cfRule>
  </conditionalFormatting>
  <conditionalFormatting sqref="D254:E255">
    <cfRule type="expression" dxfId="712" priority="1144">
      <formula>D251&gt;D254</formula>
    </cfRule>
  </conditionalFormatting>
  <conditionalFormatting sqref="D251:E252">
    <cfRule type="expression" dxfId="711" priority="1143">
      <formula>D251&gt;D254</formula>
    </cfRule>
  </conditionalFormatting>
  <conditionalFormatting sqref="K260">
    <cfRule type="expression" dxfId="710" priority="1142">
      <formula>K260&gt;K227</formula>
    </cfRule>
  </conditionalFormatting>
  <conditionalFormatting sqref="M260">
    <cfRule type="expression" dxfId="709" priority="1141">
      <formula>M260&gt;M227</formula>
    </cfRule>
  </conditionalFormatting>
  <conditionalFormatting sqref="O260">
    <cfRule type="expression" dxfId="708" priority="1140">
      <formula>O260&gt;O227</formula>
    </cfRule>
  </conditionalFormatting>
  <conditionalFormatting sqref="Q260">
    <cfRule type="expression" dxfId="707" priority="1139">
      <formula>Q260&gt;Q227</formula>
    </cfRule>
  </conditionalFormatting>
  <conditionalFormatting sqref="S260">
    <cfRule type="expression" dxfId="706" priority="1138">
      <formula>S260&gt;S227</formula>
    </cfRule>
  </conditionalFormatting>
  <conditionalFormatting sqref="U260">
    <cfRule type="expression" dxfId="705" priority="1137">
      <formula>U260&gt;U227</formula>
    </cfRule>
  </conditionalFormatting>
  <conditionalFormatting sqref="W260">
    <cfRule type="expression" dxfId="704" priority="1136">
      <formula>W260&gt;W227</formula>
    </cfRule>
  </conditionalFormatting>
  <conditionalFormatting sqref="Y260">
    <cfRule type="expression" dxfId="703" priority="1135">
      <formula>Y260&gt;Y227</formula>
    </cfRule>
  </conditionalFormatting>
  <conditionalFormatting sqref="K263">
    <cfRule type="expression" dxfId="702" priority="1120">
      <formula>K263&lt;&gt;K233</formula>
    </cfRule>
  </conditionalFormatting>
  <conditionalFormatting sqref="M233">
    <cfRule type="expression" dxfId="701" priority="1117">
      <formula>M263&lt;&gt;M233</formula>
    </cfRule>
    <cfRule type="expression" dxfId="700" priority="1118">
      <formula>M233&gt;M232</formula>
    </cfRule>
  </conditionalFormatting>
  <conditionalFormatting sqref="O233">
    <cfRule type="expression" dxfId="699" priority="1115">
      <formula>O263&lt;&gt;O233</formula>
    </cfRule>
    <cfRule type="expression" dxfId="698" priority="1116">
      <formula>O233&gt;O232</formula>
    </cfRule>
  </conditionalFormatting>
  <conditionalFormatting sqref="Q233">
    <cfRule type="expression" dxfId="697" priority="1113">
      <formula>Q263&lt;&gt;Q233</formula>
    </cfRule>
    <cfRule type="expression" dxfId="696" priority="1114">
      <formula>Q233&gt;Q232</formula>
    </cfRule>
  </conditionalFormatting>
  <conditionalFormatting sqref="S233">
    <cfRule type="expression" dxfId="695" priority="1111">
      <formula>S263&lt;&gt;S233</formula>
    </cfRule>
    <cfRule type="expression" dxfId="694" priority="1112">
      <formula>S233&gt;S232</formula>
    </cfRule>
  </conditionalFormatting>
  <conditionalFormatting sqref="U233">
    <cfRule type="expression" dxfId="693" priority="1109">
      <formula>U263&lt;&gt;U233</formula>
    </cfRule>
    <cfRule type="expression" dxfId="692" priority="1110">
      <formula>U233&gt;U232</formula>
    </cfRule>
  </conditionalFormatting>
  <conditionalFormatting sqref="W233">
    <cfRule type="expression" dxfId="691" priority="1107">
      <formula>W263&lt;&gt;W233</formula>
    </cfRule>
    <cfRule type="expression" dxfId="690" priority="1108">
      <formula>W233&gt;W232</formula>
    </cfRule>
  </conditionalFormatting>
  <conditionalFormatting sqref="Y233">
    <cfRule type="expression" dxfId="689" priority="1105">
      <formula>Y263&lt;&gt;Y233</formula>
    </cfRule>
    <cfRule type="expression" dxfId="688" priority="1106">
      <formula>Y233&gt;Y232</formula>
    </cfRule>
  </conditionalFormatting>
  <conditionalFormatting sqref="M263">
    <cfRule type="cellIs" dxfId="687" priority="1104" operator="equal">
      <formula>0</formula>
    </cfRule>
  </conditionalFormatting>
  <conditionalFormatting sqref="M263">
    <cfRule type="expression" dxfId="686" priority="1103">
      <formula>M263&lt;&gt;M233</formula>
    </cfRule>
  </conditionalFormatting>
  <conditionalFormatting sqref="O263">
    <cfRule type="cellIs" dxfId="685" priority="1102" operator="equal">
      <formula>0</formula>
    </cfRule>
  </conditionalFormatting>
  <conditionalFormatting sqref="O263">
    <cfRule type="expression" dxfId="684" priority="1101">
      <formula>O263&lt;&gt;O233</formula>
    </cfRule>
  </conditionalFormatting>
  <conditionalFormatting sqref="Q263">
    <cfRule type="cellIs" dxfId="683" priority="1100" operator="equal">
      <formula>0</formula>
    </cfRule>
  </conditionalFormatting>
  <conditionalFormatting sqref="Q263">
    <cfRule type="expression" dxfId="682" priority="1099">
      <formula>Q263&lt;&gt;Q233</formula>
    </cfRule>
  </conditionalFormatting>
  <conditionalFormatting sqref="S263">
    <cfRule type="cellIs" dxfId="681" priority="1098" operator="equal">
      <formula>0</formula>
    </cfRule>
  </conditionalFormatting>
  <conditionalFormatting sqref="S263">
    <cfRule type="expression" dxfId="680" priority="1097">
      <formula>S263&lt;&gt;S233</formula>
    </cfRule>
  </conditionalFormatting>
  <conditionalFormatting sqref="U263">
    <cfRule type="cellIs" dxfId="679" priority="1096" operator="equal">
      <formula>0</formula>
    </cfRule>
  </conditionalFormatting>
  <conditionalFormatting sqref="U263">
    <cfRule type="expression" dxfId="678" priority="1095">
      <formula>U263&lt;&gt;U233</formula>
    </cfRule>
  </conditionalFormatting>
  <conditionalFormatting sqref="W263">
    <cfRule type="cellIs" dxfId="677" priority="1094" operator="equal">
      <formula>0</formula>
    </cfRule>
  </conditionalFormatting>
  <conditionalFormatting sqref="W263">
    <cfRule type="expression" dxfId="676" priority="1093">
      <formula>W263&lt;&gt;W233</formula>
    </cfRule>
  </conditionalFormatting>
  <conditionalFormatting sqref="Y263">
    <cfRule type="cellIs" dxfId="675" priority="1092" operator="equal">
      <formula>0</formula>
    </cfRule>
  </conditionalFormatting>
  <conditionalFormatting sqref="Y263">
    <cfRule type="expression" dxfId="674" priority="1091">
      <formula>Y263&lt;&gt;Y233</formula>
    </cfRule>
  </conditionalFormatting>
  <conditionalFormatting sqref="K264">
    <cfRule type="expression" dxfId="673" priority="1090">
      <formula>K264&lt;&gt;K235</formula>
    </cfRule>
  </conditionalFormatting>
  <conditionalFormatting sqref="M234">
    <cfRule type="expression" dxfId="672" priority="1088">
      <formula>M235&gt;M234</formula>
    </cfRule>
  </conditionalFormatting>
  <conditionalFormatting sqref="O234">
    <cfRule type="expression" dxfId="671" priority="1086">
      <formula>O235&gt;O234</formula>
    </cfRule>
  </conditionalFormatting>
  <conditionalFormatting sqref="Q234">
    <cfRule type="expression" dxfId="670" priority="1084">
      <formula>Q235&gt;Q234</formula>
    </cfRule>
  </conditionalFormatting>
  <conditionalFormatting sqref="S234">
    <cfRule type="expression" dxfId="669" priority="1082">
      <formula>S235&gt;S234</formula>
    </cfRule>
  </conditionalFormatting>
  <conditionalFormatting sqref="U234">
    <cfRule type="expression" dxfId="668" priority="1080">
      <formula>U235&gt;U234</formula>
    </cfRule>
  </conditionalFormatting>
  <conditionalFormatting sqref="W234">
    <cfRule type="expression" dxfId="667" priority="1078">
      <formula>W235&gt;W234</formula>
    </cfRule>
  </conditionalFormatting>
  <conditionalFormatting sqref="Y234">
    <cfRule type="expression" dxfId="666" priority="1076">
      <formula>Y235&gt;Y234</formula>
    </cfRule>
  </conditionalFormatting>
  <conditionalFormatting sqref="M264">
    <cfRule type="cellIs" dxfId="665" priority="1074" operator="equal">
      <formula>0</formula>
    </cfRule>
  </conditionalFormatting>
  <conditionalFormatting sqref="M264">
    <cfRule type="expression" dxfId="664" priority="1073">
      <formula>M264&lt;&gt;M235</formula>
    </cfRule>
  </conditionalFormatting>
  <conditionalFormatting sqref="O264">
    <cfRule type="cellIs" dxfId="663" priority="1072" operator="equal">
      <formula>0</formula>
    </cfRule>
  </conditionalFormatting>
  <conditionalFormatting sqref="O264">
    <cfRule type="expression" dxfId="662" priority="1071">
      <formula>O264&lt;&gt;O235</formula>
    </cfRule>
  </conditionalFormatting>
  <conditionalFormatting sqref="Q264">
    <cfRule type="cellIs" dxfId="661" priority="1070" operator="equal">
      <formula>0</formula>
    </cfRule>
  </conditionalFormatting>
  <conditionalFormatting sqref="Q264">
    <cfRule type="expression" dxfId="660" priority="1069">
      <formula>Q264&lt;&gt;Q235</formula>
    </cfRule>
  </conditionalFormatting>
  <conditionalFormatting sqref="S264">
    <cfRule type="cellIs" dxfId="659" priority="1068" operator="equal">
      <formula>0</formula>
    </cfRule>
  </conditionalFormatting>
  <conditionalFormatting sqref="S264">
    <cfRule type="expression" dxfId="658" priority="1067">
      <formula>S264&lt;&gt;S235</formula>
    </cfRule>
  </conditionalFormatting>
  <conditionalFormatting sqref="U264">
    <cfRule type="cellIs" dxfId="657" priority="1066" operator="equal">
      <formula>0</formula>
    </cfRule>
  </conditionalFormatting>
  <conditionalFormatting sqref="U264">
    <cfRule type="expression" dxfId="656" priority="1065">
      <formula>U264&lt;&gt;U235</formula>
    </cfRule>
  </conditionalFormatting>
  <conditionalFormatting sqref="W264">
    <cfRule type="cellIs" dxfId="655" priority="1064" operator="equal">
      <formula>0</formula>
    </cfRule>
  </conditionalFormatting>
  <conditionalFormatting sqref="W264">
    <cfRule type="expression" dxfId="654" priority="1063">
      <formula>W264&lt;&gt;W235</formula>
    </cfRule>
  </conditionalFormatting>
  <conditionalFormatting sqref="Y264">
    <cfRule type="cellIs" dxfId="653" priority="1062" operator="equal">
      <formula>0</formula>
    </cfRule>
  </conditionalFormatting>
  <conditionalFormatting sqref="Y264">
    <cfRule type="expression" dxfId="652" priority="1061">
      <formula>Y264&lt;&gt;Y235</formula>
    </cfRule>
  </conditionalFormatting>
  <conditionalFormatting sqref="M235">
    <cfRule type="expression" dxfId="651" priority="1058">
      <formula>M264&lt;&gt;M235</formula>
    </cfRule>
    <cfRule type="expression" dxfId="650" priority="1059">
      <formula>M235&gt;M234</formula>
    </cfRule>
  </conditionalFormatting>
  <conditionalFormatting sqref="O235">
    <cfRule type="expression" dxfId="649" priority="1056">
      <formula>O264&lt;&gt;O235</formula>
    </cfRule>
    <cfRule type="expression" dxfId="648" priority="1057">
      <formula>O235&gt;O234</formula>
    </cfRule>
  </conditionalFormatting>
  <conditionalFormatting sqref="Q235">
    <cfRule type="expression" dxfId="647" priority="1054">
      <formula>Q264&lt;&gt;Q235</formula>
    </cfRule>
    <cfRule type="expression" dxfId="646" priority="1055">
      <formula>Q235&gt;Q234</formula>
    </cfRule>
  </conditionalFormatting>
  <conditionalFormatting sqref="S235">
    <cfRule type="expression" dxfId="645" priority="1052">
      <formula>S264&lt;&gt;S235</formula>
    </cfRule>
    <cfRule type="expression" dxfId="644" priority="1053">
      <formula>S235&gt;S234</formula>
    </cfRule>
  </conditionalFormatting>
  <conditionalFormatting sqref="U235">
    <cfRule type="expression" dxfId="643" priority="1050">
      <formula>U264&lt;&gt;U235</formula>
    </cfRule>
    <cfRule type="expression" dxfId="642" priority="1051">
      <formula>U235&gt;U234</formula>
    </cfRule>
  </conditionalFormatting>
  <conditionalFormatting sqref="W235">
    <cfRule type="expression" dxfId="641" priority="1048">
      <formula>W264&lt;&gt;W235</formula>
    </cfRule>
    <cfRule type="expression" dxfId="640" priority="1049">
      <formula>W235&gt;W234</formula>
    </cfRule>
  </conditionalFormatting>
  <conditionalFormatting sqref="Y235">
    <cfRule type="expression" dxfId="639" priority="1046">
      <formula>Y264&lt;&gt;Y235</formula>
    </cfRule>
    <cfRule type="expression" dxfId="638" priority="1047">
      <formula>Y235&gt;Y234</formula>
    </cfRule>
  </conditionalFormatting>
  <conditionalFormatting sqref="O268">
    <cfRule type="expression" dxfId="637" priority="1045">
      <formula>O268&gt;O243</formula>
    </cfRule>
  </conditionalFormatting>
  <conditionalFormatting sqref="Q268">
    <cfRule type="expression" dxfId="636" priority="1044">
      <formula>Q268&gt;Q243</formula>
    </cfRule>
  </conditionalFormatting>
  <conditionalFormatting sqref="S268">
    <cfRule type="expression" dxfId="635" priority="1043">
      <formula>S268&gt;S243</formula>
    </cfRule>
  </conditionalFormatting>
  <conditionalFormatting sqref="U268">
    <cfRule type="expression" dxfId="634" priority="1042">
      <formula>U268&gt;U243</formula>
    </cfRule>
  </conditionalFormatting>
  <conditionalFormatting sqref="W268">
    <cfRule type="expression" dxfId="633" priority="1041">
      <formula>W268&gt;W243</formula>
    </cfRule>
  </conditionalFormatting>
  <conditionalFormatting sqref="Y268">
    <cfRule type="expression" dxfId="632" priority="1040">
      <formula>Y268&gt;Y243</formula>
    </cfRule>
  </conditionalFormatting>
  <conditionalFormatting sqref="M268">
    <cfRule type="expression" dxfId="631" priority="1039">
      <formula>M268&gt;M243</formula>
    </cfRule>
  </conditionalFormatting>
  <conditionalFormatting sqref="K268">
    <cfRule type="expression" dxfId="630" priority="1038">
      <formula>K268&gt;K243</formula>
    </cfRule>
  </conditionalFormatting>
  <conditionalFormatting sqref="K243 M243 O243 Q243 S243 U243 W243 Y243">
    <cfRule type="expression" dxfId="629" priority="1033">
      <formula>K268&gt;K243</formula>
    </cfRule>
  </conditionalFormatting>
  <conditionalFormatting sqref="K243 M243 O243 Q243 S243 U243 W243 Y243">
    <cfRule type="expression" dxfId="628" priority="1034">
      <formula>K243&gt;K242</formula>
    </cfRule>
  </conditionalFormatting>
  <conditionalFormatting sqref="K269">
    <cfRule type="expression" dxfId="627" priority="1000">
      <formula>K269&gt;K245</formula>
    </cfRule>
  </conditionalFormatting>
  <conditionalFormatting sqref="Q245">
    <cfRule type="expression" dxfId="626" priority="987">
      <formula>Q269&gt;Q245</formula>
    </cfRule>
  </conditionalFormatting>
  <conditionalFormatting sqref="Q245">
    <cfRule type="expression" dxfId="625" priority="988">
      <formula>Q245&gt;Q244</formula>
    </cfRule>
  </conditionalFormatting>
  <conditionalFormatting sqref="M269">
    <cfRule type="expression" dxfId="624" priority="970">
      <formula>M269&gt;M245</formula>
    </cfRule>
  </conditionalFormatting>
  <conditionalFormatting sqref="O269">
    <cfRule type="expression" dxfId="623" priority="969">
      <formula>O269&gt;O245</formula>
    </cfRule>
  </conditionalFormatting>
  <conditionalFormatting sqref="Q269">
    <cfRule type="expression" dxfId="622" priority="968">
      <formula>Q269&gt;Q245</formula>
    </cfRule>
  </conditionalFormatting>
  <conditionalFormatting sqref="S269">
    <cfRule type="expression" dxfId="621" priority="967">
      <formula>S269&gt;S245</formula>
    </cfRule>
  </conditionalFormatting>
  <conditionalFormatting sqref="U269">
    <cfRule type="expression" dxfId="620" priority="966">
      <formula>U269&gt;U245</formula>
    </cfRule>
  </conditionalFormatting>
  <conditionalFormatting sqref="W269">
    <cfRule type="expression" dxfId="619" priority="965">
      <formula>W269&gt;W245</formula>
    </cfRule>
  </conditionalFormatting>
  <conditionalFormatting sqref="Y269">
    <cfRule type="expression" dxfId="618" priority="964">
      <formula>Y269&gt;Y245</formula>
    </cfRule>
  </conditionalFormatting>
  <conditionalFormatting sqref="D277:AA277">
    <cfRule type="expression" dxfId="617" priority="963">
      <formula>D277&gt;D287</formula>
    </cfRule>
  </conditionalFormatting>
  <conditionalFormatting sqref="D287:Y287 AB287:AH287">
    <cfRule type="expression" dxfId="616" priority="962">
      <formula>D277&gt;D287</formula>
    </cfRule>
  </conditionalFormatting>
  <conditionalFormatting sqref="D278:AA283">
    <cfRule type="expression" dxfId="615" priority="961">
      <formula>D278&gt;D288</formula>
    </cfRule>
  </conditionalFormatting>
  <conditionalFormatting sqref="D288:Y293 AB288:AG293">
    <cfRule type="expression" dxfId="614" priority="960">
      <formula>D278&gt;D288</formula>
    </cfRule>
  </conditionalFormatting>
  <conditionalFormatting sqref="D286:Y286 AB286:AG286">
    <cfRule type="expression" dxfId="613" priority="959">
      <formula>D286&gt;D287</formula>
    </cfRule>
  </conditionalFormatting>
  <conditionalFormatting sqref="AI286">
    <cfRule type="notContainsBlanks" dxfId="612" priority="957">
      <formula>LEN(TRIM(AI286))&gt;0</formula>
    </cfRule>
  </conditionalFormatting>
  <conditionalFormatting sqref="J300:Y300 AB300:AG300">
    <cfRule type="expression" dxfId="611" priority="956">
      <formula>J300&lt;&gt;J287</formula>
    </cfRule>
  </conditionalFormatting>
  <conditionalFormatting sqref="D287:Y287 AB287:AH287">
    <cfRule type="expression" dxfId="610" priority="955">
      <formula>D300&lt;&gt;D287</formula>
    </cfRule>
  </conditionalFormatting>
  <conditionalFormatting sqref="K287:Y287 AB287:AG287">
    <cfRule type="expression" dxfId="609" priority="954">
      <formula>K270&gt;K287</formula>
    </cfRule>
  </conditionalFormatting>
  <conditionalFormatting sqref="D307:AA307">
    <cfRule type="expression" dxfId="608" priority="952">
      <formula>D302&gt;D307</formula>
    </cfRule>
  </conditionalFormatting>
  <conditionalFormatting sqref="D307:AA307">
    <cfRule type="expression" dxfId="607" priority="950">
      <formula>D303&gt;D307</formula>
    </cfRule>
  </conditionalFormatting>
  <conditionalFormatting sqref="D307:AA307">
    <cfRule type="cellIs" dxfId="606" priority="949" operator="equal">
      <formula>0</formula>
    </cfRule>
  </conditionalFormatting>
  <conditionalFormatting sqref="D312:AA312">
    <cfRule type="expression" dxfId="605" priority="948">
      <formula>D312&gt;SUM(D308:D310)</formula>
    </cfRule>
  </conditionalFormatting>
  <conditionalFormatting sqref="D311:AA311">
    <cfRule type="cellIs" dxfId="604" priority="947" operator="equal">
      <formula>0</formula>
    </cfRule>
  </conditionalFormatting>
  <conditionalFormatting sqref="D311:Z311">
    <cfRule type="expression" dxfId="603" priority="946">
      <formula>E312&gt;(E308+E309+E310)</formula>
    </cfRule>
  </conditionalFormatting>
  <conditionalFormatting sqref="AI311">
    <cfRule type="notContainsBlanks" dxfId="602" priority="945">
      <formula>LEN(TRIM(AI311))&gt;0</formula>
    </cfRule>
  </conditionalFormatting>
  <conditionalFormatting sqref="D307:AA307">
    <cfRule type="expression" dxfId="601" priority="943">
      <formula>D311&gt;D307</formula>
    </cfRule>
  </conditionalFormatting>
  <conditionalFormatting sqref="AI312">
    <cfRule type="notContainsBlanks" dxfId="600" priority="942">
      <formula>LEN(TRIM(AI312))&gt;0</formula>
    </cfRule>
  </conditionalFormatting>
  <conditionalFormatting sqref="D315:AA315">
    <cfRule type="expression" dxfId="599" priority="941">
      <formula>D315&gt;D307</formula>
    </cfRule>
  </conditionalFormatting>
  <conditionalFormatting sqref="D307:AA307">
    <cfRule type="expression" dxfId="598" priority="940">
      <formula>D315&gt;D307</formula>
    </cfRule>
  </conditionalFormatting>
  <conditionalFormatting sqref="AI315">
    <cfRule type="notContainsBlanks" dxfId="597" priority="939">
      <formula>LEN(TRIM(AI315))&gt;0</formula>
    </cfRule>
  </conditionalFormatting>
  <conditionalFormatting sqref="AI315">
    <cfRule type="notContainsBlanks" dxfId="596" priority="938">
      <formula>LEN(TRIM(AI315))&gt;0</formula>
    </cfRule>
  </conditionalFormatting>
  <conditionalFormatting sqref="D287:Y287 AB287:AG287">
    <cfRule type="expression" dxfId="595" priority="935">
      <formula>D307&gt;D287</formula>
    </cfRule>
  </conditionalFormatting>
  <conditionalFormatting sqref="AI302">
    <cfRule type="notContainsBlanks" dxfId="594" priority="934">
      <formula>LEN(TRIM(AI302))&gt;0</formula>
    </cfRule>
  </conditionalFormatting>
  <conditionalFormatting sqref="D287:Y287 AB287:AG287">
    <cfRule type="expression" dxfId="593" priority="933">
      <formula>SUM(D130:D131)&gt;D287</formula>
    </cfRule>
  </conditionalFormatting>
  <conditionalFormatting sqref="K261">
    <cfRule type="expression" dxfId="592" priority="930">
      <formula>K261&gt;K277 &amp; EXACT($I$3,"1") &amp; EXACT($E$3,"1")</formula>
    </cfRule>
    <cfRule type="expression" dxfId="591" priority="24">
      <formula>K261&gt;K277</formula>
    </cfRule>
  </conditionalFormatting>
  <conditionalFormatting sqref="D317:AG317">
    <cfRule type="expression" dxfId="590" priority="928">
      <formula>D318&gt;D317</formula>
    </cfRule>
  </conditionalFormatting>
  <conditionalFormatting sqref="D339:AG345">
    <cfRule type="expression" dxfId="589" priority="927">
      <formula>D339&gt;D$333</formula>
    </cfRule>
  </conditionalFormatting>
  <conditionalFormatting sqref="D333:AG333">
    <cfRule type="expression" dxfId="588" priority="926">
      <formula>D339&gt;D$333</formula>
    </cfRule>
  </conditionalFormatting>
  <conditionalFormatting sqref="F351:AA351">
    <cfRule type="expression" dxfId="587" priority="925">
      <formula>F351&gt;F347</formula>
    </cfRule>
  </conditionalFormatting>
  <conditionalFormatting sqref="D347:AA347">
    <cfRule type="expression" dxfId="586" priority="924">
      <formula>D351&gt;D347</formula>
    </cfRule>
  </conditionalFormatting>
  <conditionalFormatting sqref="AJ347">
    <cfRule type="notContainsBlanks" dxfId="585" priority="923">
      <formula>LEN(TRIM(AJ347))&gt;0</formula>
    </cfRule>
  </conditionalFormatting>
  <conditionalFormatting sqref="F353:AA353">
    <cfRule type="expression" dxfId="584" priority="922">
      <formula>F353&gt;F351</formula>
    </cfRule>
  </conditionalFormatting>
  <conditionalFormatting sqref="F351:AA351">
    <cfRule type="expression" dxfId="583" priority="921">
      <formula>F353&gt;F351</formula>
    </cfRule>
  </conditionalFormatting>
  <conditionalFormatting sqref="F356:AA356">
    <cfRule type="expression" dxfId="582" priority="920">
      <formula>F356&lt;&gt;F348</formula>
    </cfRule>
  </conditionalFormatting>
  <conditionalFormatting sqref="D348:AA348">
    <cfRule type="expression" dxfId="581" priority="919">
      <formula>D356&lt;&gt;D348</formula>
    </cfRule>
  </conditionalFormatting>
  <conditionalFormatting sqref="F355:AA355">
    <cfRule type="expression" dxfId="580" priority="918">
      <formula>F355&gt;F353</formula>
    </cfRule>
  </conditionalFormatting>
  <conditionalFormatting sqref="F353:AA353">
    <cfRule type="expression" dxfId="579" priority="917">
      <formula>F355&gt;F353</formula>
    </cfRule>
  </conditionalFormatting>
  <conditionalFormatting sqref="AI347">
    <cfRule type="notContainsBlanks" dxfId="578" priority="915">
      <formula>LEN(TRIM(AI347))&gt;0</formula>
    </cfRule>
  </conditionalFormatting>
  <conditionalFormatting sqref="AI351">
    <cfRule type="notContainsBlanks" dxfId="577" priority="914">
      <formula>LEN(TRIM(AI351))&gt;0</formula>
    </cfRule>
  </conditionalFormatting>
  <conditionalFormatting sqref="AI352">
    <cfRule type="notContainsBlanks" dxfId="576" priority="913">
      <formula>LEN(TRIM(AI352))&gt;0</formula>
    </cfRule>
  </conditionalFormatting>
  <conditionalFormatting sqref="F352:AA352">
    <cfRule type="expression" dxfId="575" priority="912">
      <formula>F352&gt;F347</formula>
    </cfRule>
  </conditionalFormatting>
  <conditionalFormatting sqref="F350:AA350 AH350">
    <cfRule type="cellIs" dxfId="574" priority="911" operator="lessThan">
      <formula>0</formula>
    </cfRule>
  </conditionalFormatting>
  <conditionalFormatting sqref="D347:AA347">
    <cfRule type="expression" dxfId="573" priority="910">
      <formula>D352&gt;D347</formula>
    </cfRule>
  </conditionalFormatting>
  <conditionalFormatting sqref="AI353">
    <cfRule type="notContainsBlanks" dxfId="572" priority="909">
      <formula>LEN(TRIM(AI353))&gt;0</formula>
    </cfRule>
  </conditionalFormatting>
  <conditionalFormatting sqref="AK355">
    <cfRule type="notContainsBlanks" dxfId="571" priority="2019">
      <formula>LEN(TRIM(AK355))&gt;0</formula>
    </cfRule>
  </conditionalFormatting>
  <conditionalFormatting sqref="AL347">
    <cfRule type="notContainsBlanks" dxfId="570" priority="907">
      <formula>LEN(TRIM(AL347))&gt;0</formula>
    </cfRule>
  </conditionalFormatting>
  <conditionalFormatting sqref="AI355">
    <cfRule type="notContainsBlanks" dxfId="569" priority="906">
      <formula>LEN(TRIM(AI355))&gt;0</formula>
    </cfRule>
  </conditionalFormatting>
  <conditionalFormatting sqref="AI357">
    <cfRule type="notContainsBlanks" dxfId="568" priority="905">
      <formula>LEN(TRIM(AI357))&gt;0</formula>
    </cfRule>
  </conditionalFormatting>
  <conditionalFormatting sqref="AI356">
    <cfRule type="notContainsBlanks" dxfId="567" priority="904">
      <formula>LEN(TRIM(AI356))&gt;0</formula>
    </cfRule>
  </conditionalFormatting>
  <conditionalFormatting sqref="F351:AA351">
    <cfRule type="expression" dxfId="566" priority="881">
      <formula>F351&lt;F350</formula>
    </cfRule>
  </conditionalFormatting>
  <conditionalFormatting sqref="F350:AA350">
    <cfRule type="expression" dxfId="565" priority="880">
      <formula>F351&lt;F350</formula>
    </cfRule>
  </conditionalFormatting>
  <conditionalFormatting sqref="F355:AA355">
    <cfRule type="expression" dxfId="564" priority="879">
      <formula>F353&gt;F355</formula>
    </cfRule>
  </conditionalFormatting>
  <conditionalFormatting sqref="F353:AA353">
    <cfRule type="expression" dxfId="563" priority="878">
      <formula>F353&gt;F355</formula>
    </cfRule>
  </conditionalFormatting>
  <conditionalFormatting sqref="D323:AA323">
    <cfRule type="expression" dxfId="562" priority="877">
      <formula>D323&gt;D318</formula>
    </cfRule>
  </conditionalFormatting>
  <conditionalFormatting sqref="D318:AA318">
    <cfRule type="expression" dxfId="561" priority="876">
      <formula>D323&gt;D318</formula>
    </cfRule>
  </conditionalFormatting>
  <conditionalFormatting sqref="D322:AA322">
    <cfRule type="expression" dxfId="560" priority="874">
      <formula>D322&gt;SUM(D321,D320,D319)</formula>
    </cfRule>
  </conditionalFormatting>
  <conditionalFormatting sqref="D321:AA321">
    <cfRule type="expression" dxfId="559" priority="873">
      <formula>D322&gt;SUM(D321,D320,D319)</formula>
    </cfRule>
  </conditionalFormatting>
  <conditionalFormatting sqref="D320:AA320">
    <cfRule type="expression" dxfId="558" priority="872">
      <formula>D322&gt;SUM(D321,D320,D319)</formula>
    </cfRule>
  </conditionalFormatting>
  <conditionalFormatting sqref="D319:AA319">
    <cfRule type="expression" dxfId="557" priority="871">
      <formula>D322&gt;SUM(D321,D320,D319)</formula>
    </cfRule>
  </conditionalFormatting>
  <conditionalFormatting sqref="D303:AA303">
    <cfRule type="expression" dxfId="556" priority="870">
      <formula>D314&gt;D303</formula>
    </cfRule>
  </conditionalFormatting>
  <conditionalFormatting sqref="D314:AA314">
    <cfRule type="expression" dxfId="555" priority="869">
      <formula>D314&gt;D303</formula>
    </cfRule>
  </conditionalFormatting>
  <conditionalFormatting sqref="K238">
    <cfRule type="expression" dxfId="554" priority="868">
      <formula>K239&gt;K238</formula>
    </cfRule>
  </conditionalFormatting>
  <conditionalFormatting sqref="K266">
    <cfRule type="expression" dxfId="553" priority="867">
      <formula>K266&gt;K239</formula>
    </cfRule>
  </conditionalFormatting>
  <conditionalFormatting sqref="M266">
    <cfRule type="expression" dxfId="552" priority="866">
      <formula>M266&gt;M239</formula>
    </cfRule>
  </conditionalFormatting>
  <conditionalFormatting sqref="O266">
    <cfRule type="expression" dxfId="551" priority="865">
      <formula>O266&gt;O239</formula>
    </cfRule>
  </conditionalFormatting>
  <conditionalFormatting sqref="Q266">
    <cfRule type="expression" dxfId="550" priority="864">
      <formula>Q266&gt;Q239</formula>
    </cfRule>
  </conditionalFormatting>
  <conditionalFormatting sqref="S266">
    <cfRule type="expression" dxfId="549" priority="863">
      <formula>S266&gt;S239</formula>
    </cfRule>
  </conditionalFormatting>
  <conditionalFormatting sqref="U266">
    <cfRule type="expression" dxfId="548" priority="862">
      <formula>U266&gt;U239</formula>
    </cfRule>
  </conditionalFormatting>
  <conditionalFormatting sqref="W266">
    <cfRule type="expression" dxfId="547" priority="861">
      <formula>W266&gt;W239</formula>
    </cfRule>
  </conditionalFormatting>
  <conditionalFormatting sqref="Y266">
    <cfRule type="expression" dxfId="546" priority="860">
      <formula>Y266&gt;Y239</formula>
    </cfRule>
  </conditionalFormatting>
  <conditionalFormatting sqref="D18:AH18">
    <cfRule type="cellIs" dxfId="545" priority="859" operator="equal">
      <formula>0</formula>
    </cfRule>
  </conditionalFormatting>
  <conditionalFormatting sqref="AI11">
    <cfRule type="notContainsBlanks" dxfId="544" priority="858">
      <formula>LEN(TRIM(AI11))&gt;0</formula>
    </cfRule>
  </conditionalFormatting>
  <conditionalFormatting sqref="AI12">
    <cfRule type="notContainsBlanks" dxfId="543" priority="857">
      <formula>LEN(TRIM(AI12))&gt;0</formula>
    </cfRule>
  </conditionalFormatting>
  <conditionalFormatting sqref="AI16">
    <cfRule type="notContainsBlanks" dxfId="542" priority="855">
      <formula>LEN(TRIM(AI16))&gt;0</formula>
    </cfRule>
  </conditionalFormatting>
  <conditionalFormatting sqref="AI15">
    <cfRule type="notContainsBlanks" dxfId="541" priority="854">
      <formula>LEN(TRIM(AI15))&gt;0</formula>
    </cfRule>
  </conditionalFormatting>
  <conditionalFormatting sqref="D14:AG14">
    <cfRule type="cellIs" dxfId="540" priority="838" operator="equal">
      <formula>0</formula>
    </cfRule>
  </conditionalFormatting>
  <conditionalFormatting sqref="AI14">
    <cfRule type="notContainsBlanks" dxfId="539" priority="837">
      <formula>LEN(TRIM(AI14))&gt;0</formula>
    </cfRule>
  </conditionalFormatting>
  <conditionalFormatting sqref="D14:AG14">
    <cfRule type="expression" dxfId="538" priority="836">
      <formula>D52&gt;D14</formula>
    </cfRule>
  </conditionalFormatting>
  <conditionalFormatting sqref="D52:AA52">
    <cfRule type="expression" dxfId="537" priority="835">
      <formula>D52&gt;D14</formula>
    </cfRule>
  </conditionalFormatting>
  <conditionalFormatting sqref="M156">
    <cfRule type="cellIs" dxfId="536" priority="817" operator="equal">
      <formula>0</formula>
    </cfRule>
  </conditionalFormatting>
  <conditionalFormatting sqref="M150">
    <cfRule type="expression" dxfId="535" priority="372">
      <formula>M149&lt;(M150+M151+M152)</formula>
    </cfRule>
    <cfRule type="expression" dxfId="534" priority="758">
      <formula>(M152+M151+M150)&gt;M148</formula>
    </cfRule>
  </conditionalFormatting>
  <conditionalFormatting sqref="M151">
    <cfRule type="expression" dxfId="533" priority="371">
      <formula>M149&lt;(M150+M151+M152)</formula>
    </cfRule>
    <cfRule type="expression" dxfId="532" priority="757">
      <formula>(M152+M151+M150)&gt;M148</formula>
    </cfRule>
  </conditionalFormatting>
  <conditionalFormatting sqref="M152">
    <cfRule type="expression" dxfId="531" priority="370">
      <formula>M149&lt;(M150+M151+M152)</formula>
    </cfRule>
    <cfRule type="expression" dxfId="530" priority="756">
      <formula>(M152+M151+M150)&gt;M148</formula>
    </cfRule>
  </conditionalFormatting>
  <conditionalFormatting sqref="AK181:AL181">
    <cfRule type="notContainsBlanks" dxfId="529" priority="677">
      <formula>LEN(TRIM(AK181))&gt;0</formula>
    </cfRule>
  </conditionalFormatting>
  <conditionalFormatting sqref="AH182:AH207">
    <cfRule type="cellIs" dxfId="528" priority="675" operator="equal">
      <formula>0</formula>
    </cfRule>
  </conditionalFormatting>
  <conditionalFormatting sqref="AK182:AL189">
    <cfRule type="notContainsBlanks" dxfId="527" priority="673">
      <formula>LEN(TRIM(AK182))&gt;0</formula>
    </cfRule>
  </conditionalFormatting>
  <conditionalFormatting sqref="AK190:AL190">
    <cfRule type="notContainsBlanks" dxfId="526" priority="664">
      <formula>LEN(TRIM(AK190))&gt;0</formula>
    </cfRule>
  </conditionalFormatting>
  <conditionalFormatting sqref="AK191:AL198">
    <cfRule type="notContainsBlanks" dxfId="525" priority="660">
      <formula>LEN(TRIM(AK191))&gt;0</formula>
    </cfRule>
  </conditionalFormatting>
  <conditionalFormatting sqref="AK199:AL199">
    <cfRule type="notContainsBlanks" dxfId="524" priority="651">
      <formula>LEN(TRIM(AK199))&gt;0</formula>
    </cfRule>
  </conditionalFormatting>
  <conditionalFormatting sqref="AK200:AL207">
    <cfRule type="notContainsBlanks" dxfId="523" priority="647">
      <formula>LEN(TRIM(AK200))&gt;0</formula>
    </cfRule>
  </conditionalFormatting>
  <conditionalFormatting sqref="D130:AA130">
    <cfRule type="expression" dxfId="522" priority="2101">
      <formula>SUM(D130:D131)&gt;D287</formula>
    </cfRule>
  </conditionalFormatting>
  <conditionalFormatting sqref="D131:E131">
    <cfRule type="expression" dxfId="521" priority="2102">
      <formula>SUM(D130:D131)&gt;D287</formula>
    </cfRule>
  </conditionalFormatting>
  <conditionalFormatting sqref="D174:AG174">
    <cfRule type="cellIs" dxfId="520" priority="640" operator="equal">
      <formula>0</formula>
    </cfRule>
  </conditionalFormatting>
  <conditionalFormatting sqref="D208:AA209 AH210 AH208">
    <cfRule type="cellIs" dxfId="519" priority="639" operator="equal">
      <formula>0</formula>
    </cfRule>
  </conditionalFormatting>
  <conditionalFormatting sqref="D212:AA212">
    <cfRule type="expression" dxfId="518" priority="638">
      <formula>D212&gt;D208</formula>
    </cfRule>
  </conditionalFormatting>
  <conditionalFormatting sqref="D208:AA208">
    <cfRule type="expression" dxfId="517" priority="637">
      <formula>D212&gt;D208</formula>
    </cfRule>
  </conditionalFormatting>
  <conditionalFormatting sqref="AH181">
    <cfRule type="cellIs" dxfId="516" priority="636" operator="equal">
      <formula>0</formula>
    </cfRule>
  </conditionalFormatting>
  <conditionalFormatting sqref="AH12:AH13">
    <cfRule type="cellIs" dxfId="515" priority="634" operator="equal">
      <formula>0</formula>
    </cfRule>
  </conditionalFormatting>
  <conditionalFormatting sqref="AH14">
    <cfRule type="cellIs" dxfId="514" priority="633" operator="equal">
      <formula>0</formula>
    </cfRule>
  </conditionalFormatting>
  <conditionalFormatting sqref="AH15:AH17">
    <cfRule type="cellIs" dxfId="513" priority="632" operator="equal">
      <formula>0</formula>
    </cfRule>
  </conditionalFormatting>
  <conditionalFormatting sqref="D173:AG173">
    <cfRule type="expression" dxfId="512" priority="630">
      <formula>D173&gt;D172</formula>
    </cfRule>
  </conditionalFormatting>
  <conditionalFormatting sqref="D172:AG172">
    <cfRule type="expression" dxfId="511" priority="629">
      <formula>D173&gt;D172</formula>
    </cfRule>
  </conditionalFormatting>
  <conditionalFormatting sqref="D174:AG174">
    <cfRule type="expression" dxfId="510" priority="628">
      <formula>D174&gt;D173</formula>
    </cfRule>
  </conditionalFormatting>
  <conditionalFormatting sqref="D173:AG173">
    <cfRule type="expression" dxfId="509" priority="627">
      <formula>D174&gt;D173</formula>
    </cfRule>
  </conditionalFormatting>
  <conditionalFormatting sqref="D209:AA209">
    <cfRule type="expression" dxfId="508" priority="626">
      <formula>D209&gt;D208</formula>
    </cfRule>
  </conditionalFormatting>
  <conditionalFormatting sqref="D208:AA208">
    <cfRule type="expression" dxfId="507" priority="625">
      <formula>D209&gt;D208</formula>
    </cfRule>
  </conditionalFormatting>
  <conditionalFormatting sqref="AI175">
    <cfRule type="notContainsBlanks" dxfId="506" priority="624">
      <formula>LEN(TRIM(AI175))&gt;0</formula>
    </cfRule>
  </conditionalFormatting>
  <conditionalFormatting sqref="AJ181">
    <cfRule type="notContainsBlanks" dxfId="505" priority="623">
      <formula>LEN(TRIM(AJ181))&gt;0</formula>
    </cfRule>
  </conditionalFormatting>
  <conditionalFormatting sqref="AJ190">
    <cfRule type="notContainsBlanks" dxfId="504" priority="622">
      <formula>LEN(TRIM(AJ190))&gt;0</formula>
    </cfRule>
  </conditionalFormatting>
  <conditionalFormatting sqref="AJ199">
    <cfRule type="notContainsBlanks" dxfId="503" priority="621">
      <formula>LEN(TRIM(AJ199))&gt;0</formula>
    </cfRule>
  </conditionalFormatting>
  <conditionalFormatting sqref="D176:AG176">
    <cfRule type="expression" dxfId="502" priority="620">
      <formula>D176&gt;D175</formula>
    </cfRule>
  </conditionalFormatting>
  <conditionalFormatting sqref="D175:AG175">
    <cfRule type="expression" dxfId="501" priority="619">
      <formula>D176&gt;D175</formula>
    </cfRule>
  </conditionalFormatting>
  <conditionalFormatting sqref="AI172">
    <cfRule type="notContainsBlanks" dxfId="500" priority="618">
      <formula>LEN(TRIM(AI172))&gt;0</formula>
    </cfRule>
  </conditionalFormatting>
  <conditionalFormatting sqref="AI177">
    <cfRule type="notContainsBlanks" dxfId="499" priority="617">
      <formula>LEN(TRIM(AI177))&gt;0</formula>
    </cfRule>
  </conditionalFormatting>
  <conditionalFormatting sqref="D178:AG178">
    <cfRule type="expression" dxfId="498" priority="616">
      <formula>D178&gt;D177</formula>
    </cfRule>
  </conditionalFormatting>
  <conditionalFormatting sqref="D177:AG177">
    <cfRule type="expression" dxfId="497" priority="615">
      <formula>D178&gt;D177</formula>
    </cfRule>
  </conditionalFormatting>
  <conditionalFormatting sqref="AI182:AI183 AI185 AI187:AI189">
    <cfRule type="notContainsBlanks" dxfId="496" priority="614">
      <formula>LEN(TRIM(AI182))&gt;0</formula>
    </cfRule>
  </conditionalFormatting>
  <conditionalFormatting sqref="AI184">
    <cfRule type="notContainsBlanks" dxfId="495" priority="613">
      <formula>LEN(TRIM(AI184))&gt;0</formula>
    </cfRule>
  </conditionalFormatting>
  <conditionalFormatting sqref="AI181">
    <cfRule type="notContainsBlanks" dxfId="494" priority="612">
      <formula>LEN(TRIM(AI181))&gt;0</formula>
    </cfRule>
  </conditionalFormatting>
  <conditionalFormatting sqref="AI186">
    <cfRule type="notContainsBlanks" dxfId="493" priority="611">
      <formula>LEN(TRIM(AI186))&gt;0</formula>
    </cfRule>
  </conditionalFormatting>
  <conditionalFormatting sqref="AI191:AI192 AI194 AI196:AI198">
    <cfRule type="notContainsBlanks" dxfId="492" priority="610">
      <formula>LEN(TRIM(AI191))&gt;0</formula>
    </cfRule>
  </conditionalFormatting>
  <conditionalFormatting sqref="AI193">
    <cfRule type="notContainsBlanks" dxfId="491" priority="609">
      <formula>LEN(TRIM(AI193))&gt;0</formula>
    </cfRule>
  </conditionalFormatting>
  <conditionalFormatting sqref="AI190">
    <cfRule type="notContainsBlanks" dxfId="490" priority="608">
      <formula>LEN(TRIM(AI190))&gt;0</formula>
    </cfRule>
  </conditionalFormatting>
  <conditionalFormatting sqref="AI195">
    <cfRule type="notContainsBlanks" dxfId="489" priority="607">
      <formula>LEN(TRIM(AI195))&gt;0</formula>
    </cfRule>
  </conditionalFormatting>
  <conditionalFormatting sqref="AI200:AI201 AI203 AI205:AI207">
    <cfRule type="notContainsBlanks" dxfId="488" priority="606">
      <formula>LEN(TRIM(AI200))&gt;0</formula>
    </cfRule>
  </conditionalFormatting>
  <conditionalFormatting sqref="AI202">
    <cfRule type="notContainsBlanks" dxfId="487" priority="605">
      <formula>LEN(TRIM(AI202))&gt;0</formula>
    </cfRule>
  </conditionalFormatting>
  <conditionalFormatting sqref="AI199">
    <cfRule type="notContainsBlanks" dxfId="486" priority="604">
      <formula>LEN(TRIM(AI199))&gt;0</formula>
    </cfRule>
  </conditionalFormatting>
  <conditionalFormatting sqref="AI204">
    <cfRule type="notContainsBlanks" dxfId="485" priority="603">
      <formula>LEN(TRIM(AI204))&gt;0</formula>
    </cfRule>
  </conditionalFormatting>
  <conditionalFormatting sqref="D181:AG181">
    <cfRule type="cellIs" dxfId="484" priority="602" operator="equal">
      <formula>0</formula>
    </cfRule>
  </conditionalFormatting>
  <conditionalFormatting sqref="D183:AG183">
    <cfRule type="cellIs" dxfId="483" priority="601" operator="equal">
      <formula>0</formula>
    </cfRule>
  </conditionalFormatting>
  <conditionalFormatting sqref="D182:AG182">
    <cfRule type="expression" dxfId="482" priority="600">
      <formula>D182&gt;D181</formula>
    </cfRule>
  </conditionalFormatting>
  <conditionalFormatting sqref="D181:AG181">
    <cfRule type="expression" dxfId="481" priority="599">
      <formula>D182&gt;D181</formula>
    </cfRule>
  </conditionalFormatting>
  <conditionalFormatting sqref="D183:AG183">
    <cfRule type="expression" dxfId="480" priority="598">
      <formula>D183&gt;D182</formula>
    </cfRule>
  </conditionalFormatting>
  <conditionalFormatting sqref="D182:AG182">
    <cfRule type="expression" dxfId="479" priority="597">
      <formula>D183&gt;D182</formula>
    </cfRule>
  </conditionalFormatting>
  <conditionalFormatting sqref="D185:AG185">
    <cfRule type="expression" dxfId="478" priority="596">
      <formula>D185&gt;D184</formula>
    </cfRule>
  </conditionalFormatting>
  <conditionalFormatting sqref="D184:AG184">
    <cfRule type="expression" dxfId="477" priority="595">
      <formula>D185&gt;D184</formula>
    </cfRule>
  </conditionalFormatting>
  <conditionalFormatting sqref="D187:AG187">
    <cfRule type="expression" dxfId="476" priority="594">
      <formula>D187&gt;D186</formula>
    </cfRule>
  </conditionalFormatting>
  <conditionalFormatting sqref="D186:AG186">
    <cfRule type="expression" dxfId="475" priority="593">
      <formula>D187&gt;D186</formula>
    </cfRule>
  </conditionalFormatting>
  <conditionalFormatting sqref="D192:AG192">
    <cfRule type="cellIs" dxfId="474" priority="591" operator="equal">
      <formula>0</formula>
    </cfRule>
  </conditionalFormatting>
  <conditionalFormatting sqref="D191:AG191">
    <cfRule type="expression" dxfId="473" priority="590">
      <formula>D191&gt;D190</formula>
    </cfRule>
  </conditionalFormatting>
  <conditionalFormatting sqref="D190:AG190">
    <cfRule type="expression" dxfId="472" priority="589">
      <formula>D191&gt;D190</formula>
    </cfRule>
  </conditionalFormatting>
  <conditionalFormatting sqref="D192:AG192">
    <cfRule type="expression" dxfId="471" priority="588">
      <formula>D192&gt;D191</formula>
    </cfRule>
  </conditionalFormatting>
  <conditionalFormatting sqref="D191:AG191">
    <cfRule type="expression" dxfId="470" priority="587">
      <formula>D192&gt;D191</formula>
    </cfRule>
  </conditionalFormatting>
  <conditionalFormatting sqref="D194:AG194">
    <cfRule type="expression" dxfId="469" priority="586">
      <formula>D194&gt;D193</formula>
    </cfRule>
  </conditionalFormatting>
  <conditionalFormatting sqref="D193:AG193">
    <cfRule type="expression" dxfId="468" priority="585">
      <formula>D194&gt;D193</formula>
    </cfRule>
  </conditionalFormatting>
  <conditionalFormatting sqref="D196:AG196">
    <cfRule type="expression" dxfId="467" priority="584">
      <formula>D196&gt;D195</formula>
    </cfRule>
  </conditionalFormatting>
  <conditionalFormatting sqref="D195:AG195">
    <cfRule type="expression" dxfId="466" priority="583">
      <formula>D196&gt;D195</formula>
    </cfRule>
  </conditionalFormatting>
  <conditionalFormatting sqref="D199:AG199">
    <cfRule type="cellIs" dxfId="465" priority="582" operator="equal">
      <formula>0</formula>
    </cfRule>
  </conditionalFormatting>
  <conditionalFormatting sqref="D201:AG201">
    <cfRule type="cellIs" dxfId="464" priority="581" operator="equal">
      <formula>0</formula>
    </cfRule>
  </conditionalFormatting>
  <conditionalFormatting sqref="D200:AG200">
    <cfRule type="expression" dxfId="463" priority="580">
      <formula>D200&gt;D199</formula>
    </cfRule>
  </conditionalFormatting>
  <conditionalFormatting sqref="D199:AG199">
    <cfRule type="expression" dxfId="462" priority="579">
      <formula>D200&gt;D199</formula>
    </cfRule>
  </conditionalFormatting>
  <conditionalFormatting sqref="D201:AG201">
    <cfRule type="expression" dxfId="461" priority="578">
      <formula>D201&gt;D200</formula>
    </cfRule>
  </conditionalFormatting>
  <conditionalFormatting sqref="D200:AG200">
    <cfRule type="expression" dxfId="460" priority="577">
      <formula>D201&gt;D200</formula>
    </cfRule>
  </conditionalFormatting>
  <conditionalFormatting sqref="D203:AG203">
    <cfRule type="expression" dxfId="459" priority="576">
      <formula>D203&gt;D202</formula>
    </cfRule>
  </conditionalFormatting>
  <conditionalFormatting sqref="D202:AG202">
    <cfRule type="expression" dxfId="458" priority="575">
      <formula>D203&gt;D202</formula>
    </cfRule>
  </conditionalFormatting>
  <conditionalFormatting sqref="D205:AG205">
    <cfRule type="expression" dxfId="457" priority="574">
      <formula>D205&gt;D204</formula>
    </cfRule>
  </conditionalFormatting>
  <conditionalFormatting sqref="D204:AG204">
    <cfRule type="expression" dxfId="456" priority="573">
      <formula>D205&gt;D204</formula>
    </cfRule>
  </conditionalFormatting>
  <conditionalFormatting sqref="K216 M216 O216 Q216 S216 U216 W216 Y216 AA216">
    <cfRule type="expression" dxfId="455" priority="572">
      <formula>K216&gt;K215</formula>
    </cfRule>
  </conditionalFormatting>
  <conditionalFormatting sqref="D218:AA218">
    <cfRule type="expression" dxfId="454" priority="571">
      <formula>D218&gt;D217</formula>
    </cfRule>
  </conditionalFormatting>
  <conditionalFormatting sqref="K215 M215 O215 Q215 S215 U215 W215 Y215 AA215">
    <cfRule type="expression" dxfId="453" priority="570">
      <formula>K215&gt;K208</formula>
    </cfRule>
  </conditionalFormatting>
  <conditionalFormatting sqref="D208:AA208">
    <cfRule type="expression" dxfId="452" priority="569">
      <formula>D215&gt;D208</formula>
    </cfRule>
  </conditionalFormatting>
  <conditionalFormatting sqref="D311:AA311">
    <cfRule type="expression" dxfId="451" priority="568">
      <formula>D311&gt;D307</formula>
    </cfRule>
  </conditionalFormatting>
  <conditionalFormatting sqref="AJ302:AJ315">
    <cfRule type="notContainsBlanks" dxfId="450" priority="567">
      <formula>LEN(TRIM(AJ302))&gt;0</formula>
    </cfRule>
  </conditionalFormatting>
  <conditionalFormatting sqref="D315:AA315">
    <cfRule type="expression" dxfId="449" priority="566">
      <formula>D315&gt;D312</formula>
    </cfRule>
  </conditionalFormatting>
  <conditionalFormatting sqref="D312:AA312">
    <cfRule type="expression" dxfId="448" priority="565">
      <formula>D315&gt;D312</formula>
    </cfRule>
  </conditionalFormatting>
  <conditionalFormatting sqref="AJ248:AJ256">
    <cfRule type="notContainsBlanks" dxfId="447" priority="564">
      <formula>LEN(TRIM(AJ248))&gt;0</formula>
    </cfRule>
  </conditionalFormatting>
  <conditionalFormatting sqref="AL248:AL256">
    <cfRule type="notContainsBlanks" dxfId="446" priority="560">
      <formula>LEN(TRIM(AL248))&gt;0</formula>
    </cfRule>
  </conditionalFormatting>
  <conditionalFormatting sqref="AH11">
    <cfRule type="cellIs" dxfId="445" priority="555" operator="equal">
      <formula>0</formula>
    </cfRule>
  </conditionalFormatting>
  <conditionalFormatting sqref="AH11">
    <cfRule type="cellIs" dxfId="444" priority="553" operator="equal">
      <formula>0</formula>
    </cfRule>
  </conditionalFormatting>
  <conditionalFormatting sqref="D210:AA211">
    <cfRule type="cellIs" dxfId="443" priority="551" operator="equal">
      <formula>0</formula>
    </cfRule>
  </conditionalFormatting>
  <conditionalFormatting sqref="D210:AA210">
    <cfRule type="expression" dxfId="442" priority="550">
      <formula>D214&gt;D210</formula>
    </cfRule>
  </conditionalFormatting>
  <conditionalFormatting sqref="D211:AA211">
    <cfRule type="expression" dxfId="441" priority="549">
      <formula>D211&gt;D210</formula>
    </cfRule>
  </conditionalFormatting>
  <conditionalFormatting sqref="D210:AA210">
    <cfRule type="expression" dxfId="440" priority="548">
      <formula>D211&gt;D210</formula>
    </cfRule>
  </conditionalFormatting>
  <conditionalFormatting sqref="D210:AA210">
    <cfRule type="expression" dxfId="439" priority="547">
      <formula>D217&gt;D210</formula>
    </cfRule>
  </conditionalFormatting>
  <conditionalFormatting sqref="S244">
    <cfRule type="expression" dxfId="438" priority="546">
      <formula>S245&gt;S244</formula>
    </cfRule>
  </conditionalFormatting>
  <conditionalFormatting sqref="U244">
    <cfRule type="expression" dxfId="437" priority="545">
      <formula>U245&gt;U244</formula>
    </cfRule>
  </conditionalFormatting>
  <conditionalFormatting sqref="W244">
    <cfRule type="expression" dxfId="436" priority="544">
      <formula>W245&gt;W244</formula>
    </cfRule>
  </conditionalFormatting>
  <conditionalFormatting sqref="Y244">
    <cfRule type="expression" dxfId="435" priority="543">
      <formula>Y245&gt;Y244</formula>
    </cfRule>
  </conditionalFormatting>
  <conditionalFormatting sqref="O245">
    <cfRule type="expression" dxfId="434" priority="542">
      <formula>O245&gt;O244</formula>
    </cfRule>
  </conditionalFormatting>
  <conditionalFormatting sqref="O245">
    <cfRule type="expression" dxfId="433" priority="540">
      <formula>O269&gt;O245</formula>
    </cfRule>
  </conditionalFormatting>
  <conditionalFormatting sqref="O245">
    <cfRule type="expression" dxfId="432" priority="541">
      <formula>O245&gt;O244</formula>
    </cfRule>
  </conditionalFormatting>
  <conditionalFormatting sqref="M245">
    <cfRule type="expression" dxfId="431" priority="539">
      <formula>M245&gt;M244</formula>
    </cfRule>
  </conditionalFormatting>
  <conditionalFormatting sqref="M245">
    <cfRule type="expression" dxfId="430" priority="537">
      <formula>M269&gt;M245</formula>
    </cfRule>
  </conditionalFormatting>
  <conditionalFormatting sqref="M245">
    <cfRule type="expression" dxfId="429" priority="538">
      <formula>M245&gt;M244</formula>
    </cfRule>
  </conditionalFormatting>
  <conditionalFormatting sqref="K245">
    <cfRule type="expression" dxfId="428" priority="536">
      <formula>K245&gt;K244</formula>
    </cfRule>
  </conditionalFormatting>
  <conditionalFormatting sqref="K245">
    <cfRule type="expression" dxfId="427" priority="534">
      <formula>K269&gt;K245</formula>
    </cfRule>
  </conditionalFormatting>
  <conditionalFormatting sqref="K245">
    <cfRule type="expression" dxfId="426" priority="535">
      <formula>K245&gt;K244</formula>
    </cfRule>
  </conditionalFormatting>
  <conditionalFormatting sqref="S245">
    <cfRule type="expression" dxfId="425" priority="533">
      <formula>S245&gt;S244</formula>
    </cfRule>
  </conditionalFormatting>
  <conditionalFormatting sqref="S245">
    <cfRule type="expression" dxfId="424" priority="531">
      <formula>S269&gt;S245</formula>
    </cfRule>
  </conditionalFormatting>
  <conditionalFormatting sqref="S245">
    <cfRule type="expression" dxfId="423" priority="532">
      <formula>S245&gt;S244</formula>
    </cfRule>
  </conditionalFormatting>
  <conditionalFormatting sqref="U245">
    <cfRule type="expression" dxfId="422" priority="530">
      <formula>U245&gt;U244</formula>
    </cfRule>
  </conditionalFormatting>
  <conditionalFormatting sqref="U245">
    <cfRule type="expression" dxfId="421" priority="528">
      <formula>U269&gt;U245</formula>
    </cfRule>
  </conditionalFormatting>
  <conditionalFormatting sqref="U245">
    <cfRule type="expression" dxfId="420" priority="529">
      <formula>U245&gt;U244</formula>
    </cfRule>
  </conditionalFormatting>
  <conditionalFormatting sqref="W245">
    <cfRule type="expression" dxfId="419" priority="527">
      <formula>W245&gt;W244</formula>
    </cfRule>
  </conditionalFormatting>
  <conditionalFormatting sqref="W245">
    <cfRule type="expression" dxfId="418" priority="525">
      <formula>W269&gt;W245</formula>
    </cfRule>
  </conditionalFormatting>
  <conditionalFormatting sqref="W245">
    <cfRule type="expression" dxfId="417" priority="526">
      <formula>W245&gt;W244</formula>
    </cfRule>
  </conditionalFormatting>
  <conditionalFormatting sqref="Y245">
    <cfRule type="expression" dxfId="416" priority="524">
      <formula>Y245&gt;Y244</formula>
    </cfRule>
  </conditionalFormatting>
  <conditionalFormatting sqref="Y245">
    <cfRule type="expression" dxfId="415" priority="522">
      <formula>Y269&gt;Y245</formula>
    </cfRule>
  </conditionalFormatting>
  <conditionalFormatting sqref="Y245">
    <cfRule type="expression" dxfId="414" priority="523">
      <formula>Y245&gt;Y244</formula>
    </cfRule>
  </conditionalFormatting>
  <conditionalFormatting sqref="D311:AA311">
    <cfRule type="expression" dxfId="413" priority="521">
      <formula>D311&gt;D304</formula>
    </cfRule>
  </conditionalFormatting>
  <conditionalFormatting sqref="D304:AA304">
    <cfRule type="expression" dxfId="412" priority="520">
      <formula>D311&gt;D304</formula>
    </cfRule>
  </conditionalFormatting>
  <conditionalFormatting sqref="AL302:AL315">
    <cfRule type="notContainsBlanks" dxfId="411" priority="519">
      <formula>LEN(TRIM(AL302))&gt;0</formula>
    </cfRule>
  </conditionalFormatting>
  <conditionalFormatting sqref="D302:AA302">
    <cfRule type="expression" dxfId="410" priority="518">
      <formula>D302&gt;D313</formula>
    </cfRule>
  </conditionalFormatting>
  <conditionalFormatting sqref="D313:AA313">
    <cfRule type="expression" dxfId="409" priority="517">
      <formula>D302&gt;D313</formula>
    </cfRule>
  </conditionalFormatting>
  <conditionalFormatting sqref="D303:AA303">
    <cfRule type="expression" dxfId="408" priority="516">
      <formula>D303&gt;D314</formula>
    </cfRule>
  </conditionalFormatting>
  <conditionalFormatting sqref="D314:AA314">
    <cfRule type="expression" dxfId="407" priority="515">
      <formula>D303&gt;D314</formula>
    </cfRule>
  </conditionalFormatting>
  <conditionalFormatting sqref="K273">
    <cfRule type="expression" dxfId="406" priority="514">
      <formula>K273&gt;K243+K241</formula>
    </cfRule>
  </conditionalFormatting>
  <conditionalFormatting sqref="M273">
    <cfRule type="expression" dxfId="405" priority="513">
      <formula>M273&gt;M243+M241</formula>
    </cfRule>
  </conditionalFormatting>
  <conditionalFormatting sqref="O273">
    <cfRule type="expression" dxfId="404" priority="512">
      <formula>O273&gt;O243+O241</formula>
    </cfRule>
  </conditionalFormatting>
  <conditionalFormatting sqref="Q273">
    <cfRule type="expression" dxfId="403" priority="511">
      <formula>Q273&gt;Q243+Q241</formula>
    </cfRule>
  </conditionalFormatting>
  <conditionalFormatting sqref="S273">
    <cfRule type="expression" dxfId="402" priority="510">
      <formula>S273&gt;S243+S241</formula>
    </cfRule>
  </conditionalFormatting>
  <conditionalFormatting sqref="U273">
    <cfRule type="expression" dxfId="401" priority="509">
      <formula>U273&gt;U243+U241</formula>
    </cfRule>
  </conditionalFormatting>
  <conditionalFormatting sqref="W273">
    <cfRule type="expression" dxfId="400" priority="508">
      <formula>W273&gt;W243+W241</formula>
    </cfRule>
  </conditionalFormatting>
  <conditionalFormatting sqref="Y273">
    <cfRule type="expression" dxfId="399" priority="507">
      <formula>Y273&gt;Y243+Y241</formula>
    </cfRule>
  </conditionalFormatting>
  <conditionalFormatting sqref="K243">
    <cfRule type="expression" dxfId="398" priority="506">
      <formula>K273&gt;K243+K241</formula>
    </cfRule>
  </conditionalFormatting>
  <conditionalFormatting sqref="M243">
    <cfRule type="expression" dxfId="397" priority="505">
      <formula>M273&gt;M243+M241</formula>
    </cfRule>
  </conditionalFormatting>
  <conditionalFormatting sqref="O243">
    <cfRule type="expression" dxfId="396" priority="504">
      <formula>O273&gt;O243+O241</formula>
    </cfRule>
  </conditionalFormatting>
  <conditionalFormatting sqref="Q243">
    <cfRule type="expression" dxfId="395" priority="503">
      <formula>Q273&gt;Q243+Q241</formula>
    </cfRule>
  </conditionalFormatting>
  <conditionalFormatting sqref="S243">
    <cfRule type="expression" dxfId="394" priority="502">
      <formula>S273&gt;S243+S241</formula>
    </cfRule>
  </conditionalFormatting>
  <conditionalFormatting sqref="U243">
    <cfRule type="expression" dxfId="393" priority="501">
      <formula>U273&gt;U243+U241</formula>
    </cfRule>
  </conditionalFormatting>
  <conditionalFormatting sqref="W243">
    <cfRule type="expression" dxfId="392" priority="500">
      <formula>W273&gt;W243+W241</formula>
    </cfRule>
  </conditionalFormatting>
  <conditionalFormatting sqref="Y243">
    <cfRule type="expression" dxfId="391" priority="499">
      <formula>Y273&gt;Y243+Y241</formula>
    </cfRule>
  </conditionalFormatting>
  <conditionalFormatting sqref="M241">
    <cfRule type="expression" dxfId="390" priority="494">
      <formula>M273&gt;M243+M241</formula>
    </cfRule>
    <cfRule type="expression" dxfId="389" priority="497">
      <formula>M267&gt;M241</formula>
    </cfRule>
  </conditionalFormatting>
  <conditionalFormatting sqref="M241">
    <cfRule type="expression" dxfId="388" priority="496">
      <formula>M267&gt;M241</formula>
    </cfRule>
  </conditionalFormatting>
  <conditionalFormatting sqref="M241">
    <cfRule type="expression" dxfId="387" priority="495">
      <formula>M241&gt;M240</formula>
    </cfRule>
  </conditionalFormatting>
  <conditionalFormatting sqref="O241">
    <cfRule type="expression" dxfId="386" priority="490">
      <formula>O273&gt;O243+O241</formula>
    </cfRule>
    <cfRule type="expression" dxfId="385" priority="493">
      <formula>O267&gt;O241</formula>
    </cfRule>
  </conditionalFormatting>
  <conditionalFormatting sqref="O241">
    <cfRule type="expression" dxfId="384" priority="492">
      <formula>O267&gt;O241</formula>
    </cfRule>
  </conditionalFormatting>
  <conditionalFormatting sqref="O241">
    <cfRule type="expression" dxfId="383" priority="491">
      <formula>O241&gt;O240</formula>
    </cfRule>
  </conditionalFormatting>
  <conditionalFormatting sqref="Q241">
    <cfRule type="expression" dxfId="382" priority="486">
      <formula>Q273&gt;Q243+Q241</formula>
    </cfRule>
    <cfRule type="expression" dxfId="381" priority="489">
      <formula>Q267&gt;Q241</formula>
    </cfRule>
  </conditionalFormatting>
  <conditionalFormatting sqref="Q241">
    <cfRule type="expression" dxfId="380" priority="488">
      <formula>Q267&gt;Q241</formula>
    </cfRule>
  </conditionalFormatting>
  <conditionalFormatting sqref="Q241">
    <cfRule type="expression" dxfId="379" priority="487">
      <formula>Q241&gt;Q240</formula>
    </cfRule>
  </conditionalFormatting>
  <conditionalFormatting sqref="S241">
    <cfRule type="expression" dxfId="378" priority="482">
      <formula>S273&gt;S243+S241</formula>
    </cfRule>
    <cfRule type="expression" dxfId="377" priority="485">
      <formula>S267&gt;S241</formula>
    </cfRule>
  </conditionalFormatting>
  <conditionalFormatting sqref="S241">
    <cfRule type="expression" dxfId="376" priority="484">
      <formula>S267&gt;S241</formula>
    </cfRule>
  </conditionalFormatting>
  <conditionalFormatting sqref="S241">
    <cfRule type="expression" dxfId="375" priority="483">
      <formula>S241&gt;S240</formula>
    </cfRule>
  </conditionalFormatting>
  <conditionalFormatting sqref="U241">
    <cfRule type="expression" dxfId="374" priority="478">
      <formula>U273&gt;U243+U241</formula>
    </cfRule>
    <cfRule type="expression" dxfId="373" priority="481">
      <formula>U267&gt;U241</formula>
    </cfRule>
  </conditionalFormatting>
  <conditionalFormatting sqref="U241">
    <cfRule type="expression" dxfId="372" priority="480">
      <formula>U267&gt;U241</formula>
    </cfRule>
  </conditionalFormatting>
  <conditionalFormatting sqref="U241">
    <cfRule type="expression" dxfId="371" priority="479">
      <formula>U241&gt;U240</formula>
    </cfRule>
  </conditionalFormatting>
  <conditionalFormatting sqref="W241">
    <cfRule type="expression" dxfId="370" priority="474">
      <formula>W273&gt;W243+W241</formula>
    </cfRule>
    <cfRule type="expression" dxfId="369" priority="477">
      <formula>W267&gt;W241</formula>
    </cfRule>
  </conditionalFormatting>
  <conditionalFormatting sqref="W241">
    <cfRule type="expression" dxfId="368" priority="476">
      <formula>W267&gt;W241</formula>
    </cfRule>
  </conditionalFormatting>
  <conditionalFormatting sqref="W241">
    <cfRule type="expression" dxfId="367" priority="475">
      <formula>W241&gt;W240</formula>
    </cfRule>
  </conditionalFormatting>
  <conditionalFormatting sqref="Y241">
    <cfRule type="expression" dxfId="366" priority="470">
      <formula>Y273&gt;Y243+Y241</formula>
    </cfRule>
    <cfRule type="expression" dxfId="365" priority="473">
      <formula>Y267&gt;Y241</formula>
    </cfRule>
  </conditionalFormatting>
  <conditionalFormatting sqref="Y241">
    <cfRule type="expression" dxfId="364" priority="472">
      <formula>Y267&gt;Y241</formula>
    </cfRule>
  </conditionalFormatting>
  <conditionalFormatting sqref="Y241">
    <cfRule type="expression" dxfId="363" priority="471">
      <formula>Y241&gt;Y240</formula>
    </cfRule>
  </conditionalFormatting>
  <conditionalFormatting sqref="J83:AA83">
    <cfRule type="cellIs" dxfId="362" priority="469" operator="equal">
      <formula>0</formula>
    </cfRule>
  </conditionalFormatting>
  <conditionalFormatting sqref="AH10">
    <cfRule type="cellIs" dxfId="361" priority="468" operator="equal">
      <formula>0</formula>
    </cfRule>
  </conditionalFormatting>
  <conditionalFormatting sqref="AH8:AH9">
    <cfRule type="cellIs" dxfId="360" priority="467" operator="equal">
      <formula>0</formula>
    </cfRule>
  </conditionalFormatting>
  <conditionalFormatting sqref="AH359">
    <cfRule type="cellIs" dxfId="359" priority="465" operator="equal">
      <formula>0</formula>
    </cfRule>
  </conditionalFormatting>
  <conditionalFormatting sqref="J359:AG359">
    <cfRule type="expression" dxfId="358" priority="464">
      <formula>J359&gt;J357</formula>
    </cfRule>
  </conditionalFormatting>
  <conditionalFormatting sqref="AK359">
    <cfRule type="notContainsBlanks" dxfId="357" priority="466">
      <formula>LEN(TRIM(AK359))&gt;0</formula>
    </cfRule>
  </conditionalFormatting>
  <conditionalFormatting sqref="AI359">
    <cfRule type="notContainsBlanks" dxfId="356" priority="463">
      <formula>LEN(TRIM(AI359))&gt;0</formula>
    </cfRule>
  </conditionalFormatting>
  <conditionalFormatting sqref="J359:AG359">
    <cfRule type="expression" dxfId="355" priority="462">
      <formula>J357&gt;J359</formula>
    </cfRule>
  </conditionalFormatting>
  <conditionalFormatting sqref="J87:AA87">
    <cfRule type="expression" dxfId="354" priority="460">
      <formula>J88&gt;J87</formula>
    </cfRule>
  </conditionalFormatting>
  <conditionalFormatting sqref="D285:AA285">
    <cfRule type="expression" dxfId="353" priority="459">
      <formula>D285&gt;D277</formula>
    </cfRule>
  </conditionalFormatting>
  <conditionalFormatting sqref="D277:AA277">
    <cfRule type="expression" dxfId="352" priority="458">
      <formula>D285&gt;D277</formula>
    </cfRule>
  </conditionalFormatting>
  <conditionalFormatting sqref="D256:E256">
    <cfRule type="expression" dxfId="351" priority="457">
      <formula>D256&lt;&gt;D277</formula>
    </cfRule>
  </conditionalFormatting>
  <conditionalFormatting sqref="D277:E277">
    <cfRule type="expression" dxfId="350" priority="456">
      <formula>D256&lt;&gt;D277</formula>
    </cfRule>
  </conditionalFormatting>
  <conditionalFormatting sqref="J93:AA93">
    <cfRule type="expression" dxfId="349" priority="448">
      <formula>J93&gt;J92</formula>
    </cfRule>
  </conditionalFormatting>
  <conditionalFormatting sqref="J92:AA92">
    <cfRule type="expression" dxfId="348" priority="447">
      <formula>J93&gt;J92</formula>
    </cfRule>
  </conditionalFormatting>
  <conditionalFormatting sqref="J95:AA95">
    <cfRule type="expression" dxfId="347" priority="446">
      <formula>J95&gt;(J93-J94)</formula>
    </cfRule>
  </conditionalFormatting>
  <conditionalFormatting sqref="J93:AA93">
    <cfRule type="expression" dxfId="346" priority="445">
      <formula>J95&gt;(J93-J94)</formula>
    </cfRule>
  </conditionalFormatting>
  <conditionalFormatting sqref="M156">
    <cfRule type="expression" dxfId="345" priority="443">
      <formula>M157&gt;M156</formula>
    </cfRule>
  </conditionalFormatting>
  <conditionalFormatting sqref="O156">
    <cfRule type="cellIs" dxfId="344" priority="442" operator="equal">
      <formula>0</formula>
    </cfRule>
  </conditionalFormatting>
  <conditionalFormatting sqref="O156">
    <cfRule type="expression" dxfId="343" priority="440">
      <formula>O157&gt;O156</formula>
    </cfRule>
  </conditionalFormatting>
  <conditionalFormatting sqref="Q156">
    <cfRule type="cellIs" dxfId="342" priority="439" operator="equal">
      <formula>0</formula>
    </cfRule>
  </conditionalFormatting>
  <conditionalFormatting sqref="Q156">
    <cfRule type="expression" dxfId="341" priority="437">
      <formula>Q157&gt;Q156</formula>
    </cfRule>
  </conditionalFormatting>
  <conditionalFormatting sqref="S156">
    <cfRule type="cellIs" dxfId="340" priority="436" operator="equal">
      <formula>0</formula>
    </cfRule>
  </conditionalFormatting>
  <conditionalFormatting sqref="S156">
    <cfRule type="expression" dxfId="339" priority="434">
      <formula>S157&gt;S156</formula>
    </cfRule>
  </conditionalFormatting>
  <conditionalFormatting sqref="U156">
    <cfRule type="cellIs" dxfId="338" priority="433" operator="equal">
      <formula>0</formula>
    </cfRule>
  </conditionalFormatting>
  <conditionalFormatting sqref="U156">
    <cfRule type="expression" dxfId="337" priority="431">
      <formula>U157&gt;U156</formula>
    </cfRule>
  </conditionalFormatting>
  <conditionalFormatting sqref="W156">
    <cfRule type="cellIs" dxfId="336" priority="430" operator="equal">
      <formula>0</formula>
    </cfRule>
  </conditionalFormatting>
  <conditionalFormatting sqref="W156">
    <cfRule type="expression" dxfId="335" priority="428">
      <formula>W157&gt;W156</formula>
    </cfRule>
  </conditionalFormatting>
  <conditionalFormatting sqref="Y156">
    <cfRule type="cellIs" dxfId="334" priority="427" operator="equal">
      <formula>0</formula>
    </cfRule>
  </conditionalFormatting>
  <conditionalFormatting sqref="Y156">
    <cfRule type="expression" dxfId="333" priority="425">
      <formula>Y157&gt;Y156</formula>
    </cfRule>
  </conditionalFormatting>
  <conditionalFormatting sqref="AA156">
    <cfRule type="cellIs" dxfId="332" priority="424" operator="equal">
      <formula>0</formula>
    </cfRule>
  </conditionalFormatting>
  <conditionalFormatting sqref="AA156">
    <cfRule type="expression" dxfId="331" priority="422">
      <formula>AA157&gt;AA156</formula>
    </cfRule>
  </conditionalFormatting>
  <conditionalFormatting sqref="M164">
    <cfRule type="cellIs" dxfId="330" priority="421" operator="equal">
      <formula>0</formula>
    </cfRule>
  </conditionalFormatting>
  <conditionalFormatting sqref="M164">
    <cfRule type="expression" dxfId="329" priority="419">
      <formula>M165&gt;M164</formula>
    </cfRule>
  </conditionalFormatting>
  <conditionalFormatting sqref="O164">
    <cfRule type="cellIs" dxfId="328" priority="418" operator="equal">
      <formula>0</formula>
    </cfRule>
  </conditionalFormatting>
  <conditionalFormatting sqref="O164">
    <cfRule type="expression" dxfId="327" priority="416">
      <formula>O165&gt;O164</formula>
    </cfRule>
  </conditionalFormatting>
  <conditionalFormatting sqref="Q164">
    <cfRule type="cellIs" dxfId="326" priority="415" operator="equal">
      <formula>0</formula>
    </cfRule>
  </conditionalFormatting>
  <conditionalFormatting sqref="Q164">
    <cfRule type="expression" dxfId="325" priority="413">
      <formula>Q165&gt;Q164</formula>
    </cfRule>
  </conditionalFormatting>
  <conditionalFormatting sqref="S164">
    <cfRule type="cellIs" dxfId="324" priority="412" operator="equal">
      <formula>0</formula>
    </cfRule>
  </conditionalFormatting>
  <conditionalFormatting sqref="S164">
    <cfRule type="expression" dxfId="323" priority="410">
      <formula>S165&gt;S164</formula>
    </cfRule>
  </conditionalFormatting>
  <conditionalFormatting sqref="U164">
    <cfRule type="cellIs" dxfId="322" priority="409" operator="equal">
      <formula>0</formula>
    </cfRule>
  </conditionalFormatting>
  <conditionalFormatting sqref="U164">
    <cfRule type="expression" dxfId="321" priority="407">
      <formula>U165&gt;U164</formula>
    </cfRule>
  </conditionalFormatting>
  <conditionalFormatting sqref="W164">
    <cfRule type="cellIs" dxfId="320" priority="406" operator="equal">
      <formula>0</formula>
    </cfRule>
  </conditionalFormatting>
  <conditionalFormatting sqref="W164">
    <cfRule type="expression" dxfId="319" priority="404">
      <formula>W165&gt;W164</formula>
    </cfRule>
  </conditionalFormatting>
  <conditionalFormatting sqref="Y164">
    <cfRule type="cellIs" dxfId="318" priority="403" operator="equal">
      <formula>0</formula>
    </cfRule>
  </conditionalFormatting>
  <conditionalFormatting sqref="Y164">
    <cfRule type="expression" dxfId="317" priority="401">
      <formula>Y165&gt;Y164</formula>
    </cfRule>
  </conditionalFormatting>
  <conditionalFormatting sqref="AA164">
    <cfRule type="cellIs" dxfId="316" priority="400" operator="equal">
      <formula>0</formula>
    </cfRule>
  </conditionalFormatting>
  <conditionalFormatting sqref="AA164">
    <cfRule type="expression" dxfId="315" priority="398">
      <formula>AA165&gt;AA164</formula>
    </cfRule>
  </conditionalFormatting>
  <conditionalFormatting sqref="M148:M149">
    <cfRule type="cellIs" dxfId="314" priority="397" operator="equal">
      <formula>0</formula>
    </cfRule>
  </conditionalFormatting>
  <conditionalFormatting sqref="M149">
    <cfRule type="expression" dxfId="313" priority="373">
      <formula>M149&lt;(M150+M151+M152)</formula>
    </cfRule>
    <cfRule type="expression" dxfId="312" priority="396">
      <formula>M149&gt;M148</formula>
    </cfRule>
  </conditionalFormatting>
  <conditionalFormatting sqref="M148">
    <cfRule type="expression" dxfId="311" priority="395">
      <formula>M149&gt;M148</formula>
    </cfRule>
  </conditionalFormatting>
  <conditionalFormatting sqref="O148">
    <cfRule type="cellIs" dxfId="310" priority="394" operator="equal">
      <formula>0</formula>
    </cfRule>
  </conditionalFormatting>
  <conditionalFormatting sqref="O148">
    <cfRule type="expression" dxfId="309" priority="392">
      <formula>O149&gt;O148</formula>
    </cfRule>
  </conditionalFormatting>
  <conditionalFormatting sqref="Q148">
    <cfRule type="cellIs" dxfId="308" priority="391" operator="equal">
      <formula>0</formula>
    </cfRule>
  </conditionalFormatting>
  <conditionalFormatting sqref="Q148">
    <cfRule type="expression" dxfId="307" priority="389">
      <formula>Q149&gt;Q148</formula>
    </cfRule>
  </conditionalFormatting>
  <conditionalFormatting sqref="S148">
    <cfRule type="cellIs" dxfId="306" priority="388" operator="equal">
      <formula>0</formula>
    </cfRule>
  </conditionalFormatting>
  <conditionalFormatting sqref="S148">
    <cfRule type="expression" dxfId="305" priority="386">
      <formula>S149&gt;S148</formula>
    </cfRule>
  </conditionalFormatting>
  <conditionalFormatting sqref="U148">
    <cfRule type="cellIs" dxfId="304" priority="385" operator="equal">
      <formula>0</formula>
    </cfRule>
  </conditionalFormatting>
  <conditionalFormatting sqref="U148">
    <cfRule type="expression" dxfId="303" priority="383">
      <formula>U149&gt;U148</formula>
    </cfRule>
  </conditionalFormatting>
  <conditionalFormatting sqref="W148">
    <cfRule type="cellIs" dxfId="302" priority="382" operator="equal">
      <formula>0</formula>
    </cfRule>
  </conditionalFormatting>
  <conditionalFormatting sqref="W148">
    <cfRule type="expression" dxfId="301" priority="380">
      <formula>W149&gt;W148</formula>
    </cfRule>
  </conditionalFormatting>
  <conditionalFormatting sqref="Y148">
    <cfRule type="cellIs" dxfId="300" priority="379" operator="equal">
      <formula>0</formula>
    </cfRule>
  </conditionalFormatting>
  <conditionalFormatting sqref="Y148">
    <cfRule type="expression" dxfId="299" priority="377">
      <formula>Y149&gt;Y148</formula>
    </cfRule>
  </conditionalFormatting>
  <conditionalFormatting sqref="AA148">
    <cfRule type="cellIs" dxfId="298" priority="376" operator="equal">
      <formula>0</formula>
    </cfRule>
  </conditionalFormatting>
  <conditionalFormatting sqref="AA148">
    <cfRule type="expression" dxfId="297" priority="374">
      <formula>AA149&gt;AA148</formula>
    </cfRule>
  </conditionalFormatting>
  <conditionalFormatting sqref="O150">
    <cfRule type="expression" dxfId="296" priority="363">
      <formula>O149&lt;(O150+O151+O152)</formula>
    </cfRule>
    <cfRule type="expression" dxfId="295" priority="369">
      <formula>(O152+O151+O150)&gt;O148</formula>
    </cfRule>
  </conditionalFormatting>
  <conditionalFormatting sqref="O151">
    <cfRule type="expression" dxfId="294" priority="362">
      <formula>O149&lt;(O150+O151+O152)</formula>
    </cfRule>
    <cfRule type="expression" dxfId="293" priority="368">
      <formula>(O152+O151+O150)&gt;O148</formula>
    </cfRule>
  </conditionalFormatting>
  <conditionalFormatting sqref="O152">
    <cfRule type="expression" dxfId="292" priority="361">
      <formula>O149&lt;(O150+O151+O152)</formula>
    </cfRule>
    <cfRule type="expression" dxfId="291" priority="367">
      <formula>(O152+O151+O150)&gt;O148</formula>
    </cfRule>
  </conditionalFormatting>
  <conditionalFormatting sqref="O149">
    <cfRule type="cellIs" dxfId="290" priority="366" operator="equal">
      <formula>0</formula>
    </cfRule>
  </conditionalFormatting>
  <conditionalFormatting sqref="O149">
    <cfRule type="expression" dxfId="289" priority="364">
      <formula>O149&lt;(O150+O151+O152)</formula>
    </cfRule>
    <cfRule type="expression" dxfId="288" priority="365">
      <formula>O149&gt;O148</formula>
    </cfRule>
  </conditionalFormatting>
  <conditionalFormatting sqref="Q150">
    <cfRule type="expression" dxfId="287" priority="354">
      <formula>Q149&lt;(Q150+Q151+Q152)</formula>
    </cfRule>
    <cfRule type="expression" dxfId="286" priority="360">
      <formula>(Q152+Q151+Q150)&gt;Q148</formula>
    </cfRule>
  </conditionalFormatting>
  <conditionalFormatting sqref="Q151">
    <cfRule type="expression" dxfId="285" priority="353">
      <formula>Q149&lt;(Q150+Q151+Q152)</formula>
    </cfRule>
    <cfRule type="expression" dxfId="284" priority="359">
      <formula>(Q152+Q151+Q150)&gt;Q148</formula>
    </cfRule>
  </conditionalFormatting>
  <conditionalFormatting sqref="Q152">
    <cfRule type="expression" dxfId="283" priority="352">
      <formula>Q149&lt;(Q150+Q151+Q152)</formula>
    </cfRule>
    <cfRule type="expression" dxfId="282" priority="358">
      <formula>(Q152+Q151+Q150)&gt;Q148</formula>
    </cfRule>
  </conditionalFormatting>
  <conditionalFormatting sqref="Q149">
    <cfRule type="cellIs" dxfId="281" priority="357" operator="equal">
      <formula>0</formula>
    </cfRule>
  </conditionalFormatting>
  <conditionalFormatting sqref="Q149">
    <cfRule type="expression" dxfId="280" priority="355">
      <formula>Q149&lt;(Q150+Q151+Q152)</formula>
    </cfRule>
    <cfRule type="expression" dxfId="279" priority="356">
      <formula>Q149&gt;Q148</formula>
    </cfRule>
  </conditionalFormatting>
  <conditionalFormatting sqref="S150">
    <cfRule type="expression" dxfId="278" priority="345">
      <formula>S149&lt;(S150+S151+S152)</formula>
    </cfRule>
    <cfRule type="expression" dxfId="277" priority="351">
      <formula>(S152+S151+S150)&gt;S148</formula>
    </cfRule>
  </conditionalFormatting>
  <conditionalFormatting sqref="S151">
    <cfRule type="expression" dxfId="276" priority="344">
      <formula>S149&lt;(S150+S151+S152)</formula>
    </cfRule>
    <cfRule type="expression" dxfId="275" priority="350">
      <formula>(S152+S151+S150)&gt;S148</formula>
    </cfRule>
  </conditionalFormatting>
  <conditionalFormatting sqref="S152">
    <cfRule type="expression" dxfId="274" priority="343">
      <formula>S149&lt;(S150+S151+S152)</formula>
    </cfRule>
    <cfRule type="expression" dxfId="273" priority="349">
      <formula>(S152+S151+S150)&gt;S148</formula>
    </cfRule>
  </conditionalFormatting>
  <conditionalFormatting sqref="S149">
    <cfRule type="cellIs" dxfId="272" priority="348" operator="equal">
      <formula>0</formula>
    </cfRule>
  </conditionalFormatting>
  <conditionalFormatting sqref="S149">
    <cfRule type="expression" dxfId="271" priority="346">
      <formula>S149&lt;(S150+S151+S152)</formula>
    </cfRule>
    <cfRule type="expression" dxfId="270" priority="347">
      <formula>S149&gt;S148</formula>
    </cfRule>
  </conditionalFormatting>
  <conditionalFormatting sqref="U150">
    <cfRule type="expression" dxfId="269" priority="336">
      <formula>U149&lt;(U150+U151+U152)</formula>
    </cfRule>
    <cfRule type="expression" dxfId="268" priority="342">
      <formula>(U152+U151+U150)&gt;U148</formula>
    </cfRule>
  </conditionalFormatting>
  <conditionalFormatting sqref="U151">
    <cfRule type="expression" dxfId="267" priority="335">
      <formula>U149&lt;(U150+U151+U152)</formula>
    </cfRule>
    <cfRule type="expression" dxfId="266" priority="341">
      <formula>(U152+U151+U150)&gt;U148</formula>
    </cfRule>
  </conditionalFormatting>
  <conditionalFormatting sqref="U152">
    <cfRule type="expression" dxfId="265" priority="334">
      <formula>U149&lt;(U150+U151+U152)</formula>
    </cfRule>
    <cfRule type="expression" dxfId="264" priority="340">
      <formula>(U152+U151+U150)&gt;U148</formula>
    </cfRule>
  </conditionalFormatting>
  <conditionalFormatting sqref="U149">
    <cfRule type="cellIs" dxfId="263" priority="339" operator="equal">
      <formula>0</formula>
    </cfRule>
  </conditionalFormatting>
  <conditionalFormatting sqref="U149">
    <cfRule type="expression" dxfId="262" priority="337">
      <formula>U149&lt;(U150+U151+U152)</formula>
    </cfRule>
    <cfRule type="expression" dxfId="261" priority="338">
      <formula>U149&gt;U148</formula>
    </cfRule>
  </conditionalFormatting>
  <conditionalFormatting sqref="W150">
    <cfRule type="expression" dxfId="260" priority="327">
      <formula>W149&lt;(W150+W151+W152)</formula>
    </cfRule>
    <cfRule type="expression" dxfId="259" priority="333">
      <formula>(W152+W151+W150)&gt;W148</formula>
    </cfRule>
  </conditionalFormatting>
  <conditionalFormatting sqref="W151">
    <cfRule type="expression" dxfId="258" priority="326">
      <formula>W149&lt;(W150+W151+W152)</formula>
    </cfRule>
    <cfRule type="expression" dxfId="257" priority="332">
      <formula>(W152+W151+W150)&gt;W148</formula>
    </cfRule>
  </conditionalFormatting>
  <conditionalFormatting sqref="W152">
    <cfRule type="expression" dxfId="256" priority="325">
      <formula>W149&lt;(W150+W151+W152)</formula>
    </cfRule>
    <cfRule type="expression" dxfId="255" priority="331">
      <formula>(W152+W151+W150)&gt;W148</formula>
    </cfRule>
  </conditionalFormatting>
  <conditionalFormatting sqref="W149">
    <cfRule type="cellIs" dxfId="254" priority="330" operator="equal">
      <formula>0</formula>
    </cfRule>
  </conditionalFormatting>
  <conditionalFormatting sqref="W149">
    <cfRule type="expression" dxfId="253" priority="328">
      <formula>W149&lt;(W150+W151+W152)</formula>
    </cfRule>
    <cfRule type="expression" dxfId="252" priority="329">
      <formula>W149&gt;W148</formula>
    </cfRule>
  </conditionalFormatting>
  <conditionalFormatting sqref="Y150">
    <cfRule type="expression" dxfId="251" priority="318">
      <formula>Y149&lt;(Y150+Y151+Y152)</formula>
    </cfRule>
    <cfRule type="expression" dxfId="250" priority="324">
      <formula>(Y152+Y151+Y150)&gt;Y148</formula>
    </cfRule>
  </conditionalFormatting>
  <conditionalFormatting sqref="Y151">
    <cfRule type="expression" dxfId="249" priority="317">
      <formula>Y149&lt;(Y150+Y151+Y152)</formula>
    </cfRule>
    <cfRule type="expression" dxfId="248" priority="323">
      <formula>(Y152+Y151+Y150)&gt;Y148</formula>
    </cfRule>
  </conditionalFormatting>
  <conditionalFormatting sqref="Y152">
    <cfRule type="expression" dxfId="247" priority="316">
      <formula>Y149&lt;(Y150+Y151+Y152)</formula>
    </cfRule>
    <cfRule type="expression" dxfId="246" priority="322">
      <formula>(Y152+Y151+Y150)&gt;Y148</formula>
    </cfRule>
  </conditionalFormatting>
  <conditionalFormatting sqref="Y149">
    <cfRule type="cellIs" dxfId="245" priority="321" operator="equal">
      <formula>0</formula>
    </cfRule>
  </conditionalFormatting>
  <conditionalFormatting sqref="Y149">
    <cfRule type="expression" dxfId="244" priority="319">
      <formula>Y149&lt;(Y150+Y151+Y152)</formula>
    </cfRule>
    <cfRule type="expression" dxfId="243" priority="320">
      <formula>Y149&gt;Y148</formula>
    </cfRule>
  </conditionalFormatting>
  <conditionalFormatting sqref="AA150">
    <cfRule type="expression" dxfId="242" priority="309">
      <formula>AA149&lt;(AA150+AA151+AA152)</formula>
    </cfRule>
    <cfRule type="expression" dxfId="241" priority="315">
      <formula>(AA152+AA151+AA150)&gt;AA148</formula>
    </cfRule>
  </conditionalFormatting>
  <conditionalFormatting sqref="AA151">
    <cfRule type="expression" dxfId="240" priority="308">
      <formula>AA149&lt;(AA150+AA151+AA152)</formula>
    </cfRule>
    <cfRule type="expression" dxfId="239" priority="314">
      <formula>(AA152+AA151+AA150)&gt;AA148</formula>
    </cfRule>
  </conditionalFormatting>
  <conditionalFormatting sqref="AA152">
    <cfRule type="expression" dxfId="238" priority="307">
      <formula>AA149&lt;(AA150+AA151+AA152)</formula>
    </cfRule>
    <cfRule type="expression" dxfId="237" priority="313">
      <formula>(AA152+AA151+AA150)&gt;AA148</formula>
    </cfRule>
  </conditionalFormatting>
  <conditionalFormatting sqref="AA149">
    <cfRule type="cellIs" dxfId="236" priority="312" operator="equal">
      <formula>0</formula>
    </cfRule>
  </conditionalFormatting>
  <conditionalFormatting sqref="AA149">
    <cfRule type="expression" dxfId="235" priority="310">
      <formula>AA149&lt;(AA150+AA151+AA152)</formula>
    </cfRule>
    <cfRule type="expression" dxfId="234" priority="311">
      <formula>AA149&gt;AA148</formula>
    </cfRule>
  </conditionalFormatting>
  <conditionalFormatting sqref="M158">
    <cfRule type="expression" dxfId="233" priority="300">
      <formula>M157&lt;(M158+M159+M160)</formula>
    </cfRule>
    <cfRule type="expression" dxfId="232" priority="306">
      <formula>(M160+M159+M158)&gt;M156</formula>
    </cfRule>
  </conditionalFormatting>
  <conditionalFormatting sqref="M159">
    <cfRule type="expression" dxfId="231" priority="299">
      <formula>M157&lt;(M158+M159+M160)</formula>
    </cfRule>
    <cfRule type="expression" dxfId="230" priority="305">
      <formula>(M160+M159+M158)&gt;M156</formula>
    </cfRule>
  </conditionalFormatting>
  <conditionalFormatting sqref="M160">
    <cfRule type="expression" dxfId="229" priority="298">
      <formula>M157&lt;(M158+M159+M160)</formula>
    </cfRule>
    <cfRule type="expression" dxfId="228" priority="304">
      <formula>(M160+M159+M158)&gt;M156</formula>
    </cfRule>
  </conditionalFormatting>
  <conditionalFormatting sqref="M157">
    <cfRule type="cellIs" dxfId="227" priority="303" operator="equal">
      <formula>0</formula>
    </cfRule>
  </conditionalFormatting>
  <conditionalFormatting sqref="M157">
    <cfRule type="expression" dxfId="226" priority="301">
      <formula>M157&lt;(M158+M159+M160)</formula>
    </cfRule>
    <cfRule type="expression" dxfId="225" priority="302">
      <formula>M157&gt;M156</formula>
    </cfRule>
  </conditionalFormatting>
  <conditionalFormatting sqref="O158">
    <cfRule type="expression" dxfId="224" priority="291">
      <formula>O157&lt;(O158+O159+O160)</formula>
    </cfRule>
    <cfRule type="expression" dxfId="223" priority="297">
      <formula>(O160+O159+O158)&gt;O156</formula>
    </cfRule>
  </conditionalFormatting>
  <conditionalFormatting sqref="O159">
    <cfRule type="expression" dxfId="222" priority="290">
      <formula>O157&lt;(O158+O159+O160)</formula>
    </cfRule>
    <cfRule type="expression" dxfId="221" priority="296">
      <formula>(O160+O159+O158)&gt;O156</formula>
    </cfRule>
  </conditionalFormatting>
  <conditionalFormatting sqref="O160">
    <cfRule type="expression" dxfId="220" priority="289">
      <formula>O157&lt;(O158+O159+O160)</formula>
    </cfRule>
    <cfRule type="expression" dxfId="219" priority="295">
      <formula>(O160+O159+O158)&gt;O156</formula>
    </cfRule>
  </conditionalFormatting>
  <conditionalFormatting sqref="O157">
    <cfRule type="cellIs" dxfId="218" priority="294" operator="equal">
      <formula>0</formula>
    </cfRule>
  </conditionalFormatting>
  <conditionalFormatting sqref="O157">
    <cfRule type="expression" dxfId="217" priority="292">
      <formula>O157&lt;(O158+O159+O160)</formula>
    </cfRule>
    <cfRule type="expression" dxfId="216" priority="293">
      <formula>O157&gt;O156</formula>
    </cfRule>
  </conditionalFormatting>
  <conditionalFormatting sqref="Q158">
    <cfRule type="expression" dxfId="215" priority="282">
      <formula>Q157&lt;(Q158+Q159+Q160)</formula>
    </cfRule>
    <cfRule type="expression" dxfId="214" priority="288">
      <formula>(Q160+Q159+Q158)&gt;Q156</formula>
    </cfRule>
  </conditionalFormatting>
  <conditionalFormatting sqref="Q159">
    <cfRule type="expression" dxfId="213" priority="281">
      <formula>Q157&lt;(Q158+Q159+Q160)</formula>
    </cfRule>
    <cfRule type="expression" dxfId="212" priority="287">
      <formula>(Q160+Q159+Q158)&gt;Q156</formula>
    </cfRule>
  </conditionalFormatting>
  <conditionalFormatting sqref="Q160">
    <cfRule type="expression" dxfId="211" priority="280">
      <formula>Q157&lt;(Q158+Q159+Q160)</formula>
    </cfRule>
    <cfRule type="expression" dxfId="210" priority="286">
      <formula>(Q160+Q159+Q158)&gt;Q156</formula>
    </cfRule>
  </conditionalFormatting>
  <conditionalFormatting sqref="Q157">
    <cfRule type="cellIs" dxfId="209" priority="285" operator="equal">
      <formula>0</formula>
    </cfRule>
  </conditionalFormatting>
  <conditionalFormatting sqref="Q157">
    <cfRule type="expression" dxfId="208" priority="283">
      <formula>Q157&lt;(Q158+Q159+Q160)</formula>
    </cfRule>
    <cfRule type="expression" dxfId="207" priority="284">
      <formula>Q157&gt;Q156</formula>
    </cfRule>
  </conditionalFormatting>
  <conditionalFormatting sqref="S158">
    <cfRule type="expression" dxfId="206" priority="273">
      <formula>S157&lt;(S158+S159+S160)</formula>
    </cfRule>
    <cfRule type="expression" dxfId="205" priority="279">
      <formula>(S160+S159+S158)&gt;S156</formula>
    </cfRule>
  </conditionalFormatting>
  <conditionalFormatting sqref="S159">
    <cfRule type="expression" dxfId="204" priority="272">
      <formula>S157&lt;(S158+S159+S160)</formula>
    </cfRule>
    <cfRule type="expression" dxfId="203" priority="278">
      <formula>(S160+S159+S158)&gt;S156</formula>
    </cfRule>
  </conditionalFormatting>
  <conditionalFormatting sqref="S160">
    <cfRule type="expression" dxfId="202" priority="271">
      <formula>S157&lt;(S158+S159+S160)</formula>
    </cfRule>
    <cfRule type="expression" dxfId="201" priority="277">
      <formula>(S160+S159+S158)&gt;S156</formula>
    </cfRule>
  </conditionalFormatting>
  <conditionalFormatting sqref="S157">
    <cfRule type="cellIs" dxfId="200" priority="276" operator="equal">
      <formula>0</formula>
    </cfRule>
  </conditionalFormatting>
  <conditionalFormatting sqref="S157">
    <cfRule type="expression" dxfId="199" priority="274">
      <formula>S157&lt;(S158+S159+S160)</formula>
    </cfRule>
    <cfRule type="expression" dxfId="198" priority="275">
      <formula>S157&gt;S156</formula>
    </cfRule>
  </conditionalFormatting>
  <conditionalFormatting sqref="U158">
    <cfRule type="expression" dxfId="197" priority="264">
      <formula>U157&lt;(U158+U159+U160)</formula>
    </cfRule>
    <cfRule type="expression" dxfId="196" priority="270">
      <formula>(U160+U159+U158)&gt;U156</formula>
    </cfRule>
  </conditionalFormatting>
  <conditionalFormatting sqref="U159">
    <cfRule type="expression" dxfId="195" priority="263">
      <formula>U157&lt;(U158+U159+U160)</formula>
    </cfRule>
    <cfRule type="expression" dxfId="194" priority="269">
      <formula>(U160+U159+U158)&gt;U156</formula>
    </cfRule>
  </conditionalFormatting>
  <conditionalFormatting sqref="U160">
    <cfRule type="expression" dxfId="193" priority="262">
      <formula>U157&lt;(U158+U159+U160)</formula>
    </cfRule>
    <cfRule type="expression" dxfId="192" priority="268">
      <formula>(U160+U159+U158)&gt;U156</formula>
    </cfRule>
  </conditionalFormatting>
  <conditionalFormatting sqref="U157">
    <cfRule type="cellIs" dxfId="191" priority="267" operator="equal">
      <formula>0</formula>
    </cfRule>
  </conditionalFormatting>
  <conditionalFormatting sqref="U157">
    <cfRule type="expression" dxfId="190" priority="265">
      <formula>U157&lt;(U158+U159+U160)</formula>
    </cfRule>
    <cfRule type="expression" dxfId="189" priority="266">
      <formula>U157&gt;U156</formula>
    </cfRule>
  </conditionalFormatting>
  <conditionalFormatting sqref="W158">
    <cfRule type="expression" dxfId="188" priority="255">
      <formula>W157&lt;(W158+W159+W160)</formula>
    </cfRule>
    <cfRule type="expression" dxfId="187" priority="261">
      <formula>(W160+W159+W158)&gt;W156</formula>
    </cfRule>
  </conditionalFormatting>
  <conditionalFormatting sqref="W159">
    <cfRule type="expression" dxfId="186" priority="254">
      <formula>W157&lt;(W158+W159+W160)</formula>
    </cfRule>
    <cfRule type="expression" dxfId="185" priority="260">
      <formula>(W160+W159+W158)&gt;W156</formula>
    </cfRule>
  </conditionalFormatting>
  <conditionalFormatting sqref="W160">
    <cfRule type="expression" dxfId="184" priority="253">
      <formula>W157&lt;(W158+W159+W160)</formula>
    </cfRule>
    <cfRule type="expression" dxfId="183" priority="259">
      <formula>(W160+W159+W158)&gt;W156</formula>
    </cfRule>
  </conditionalFormatting>
  <conditionalFormatting sqref="W157">
    <cfRule type="cellIs" dxfId="182" priority="258" operator="equal">
      <formula>0</formula>
    </cfRule>
  </conditionalFormatting>
  <conditionalFormatting sqref="W157">
    <cfRule type="expression" dxfId="181" priority="256">
      <formula>W157&lt;(W158+W159+W160)</formula>
    </cfRule>
    <cfRule type="expression" dxfId="180" priority="257">
      <formula>W157&gt;W156</formula>
    </cfRule>
  </conditionalFormatting>
  <conditionalFormatting sqref="Y158">
    <cfRule type="expression" dxfId="179" priority="246">
      <formula>Y157&lt;(Y158+Y159+Y160)</formula>
    </cfRule>
    <cfRule type="expression" dxfId="178" priority="252">
      <formula>(Y160+Y159+Y158)&gt;Y156</formula>
    </cfRule>
  </conditionalFormatting>
  <conditionalFormatting sqref="Y159">
    <cfRule type="expression" dxfId="177" priority="245">
      <formula>Y157&lt;(Y158+Y159+Y160)</formula>
    </cfRule>
    <cfRule type="expression" dxfId="176" priority="251">
      <formula>(Y160+Y159+Y158)&gt;Y156</formula>
    </cfRule>
  </conditionalFormatting>
  <conditionalFormatting sqref="Y160">
    <cfRule type="expression" dxfId="175" priority="244">
      <formula>Y157&lt;(Y158+Y159+Y160)</formula>
    </cfRule>
    <cfRule type="expression" dxfId="174" priority="250">
      <formula>(Y160+Y159+Y158)&gt;Y156</formula>
    </cfRule>
  </conditionalFormatting>
  <conditionalFormatting sqref="Y157">
    <cfRule type="cellIs" dxfId="173" priority="249" operator="equal">
      <formula>0</formula>
    </cfRule>
  </conditionalFormatting>
  <conditionalFormatting sqref="Y157">
    <cfRule type="expression" dxfId="172" priority="247">
      <formula>Y157&lt;(Y158+Y159+Y160)</formula>
    </cfRule>
    <cfRule type="expression" dxfId="171" priority="248">
      <formula>Y157&gt;Y156</formula>
    </cfRule>
  </conditionalFormatting>
  <conditionalFormatting sqref="AA158">
    <cfRule type="expression" dxfId="170" priority="237">
      <formula>AA157&lt;(AA158+AA159+AA160)</formula>
    </cfRule>
    <cfRule type="expression" dxfId="169" priority="243">
      <formula>(AA160+AA159+AA158)&gt;AA156</formula>
    </cfRule>
  </conditionalFormatting>
  <conditionalFormatting sqref="AA159">
    <cfRule type="expression" dxfId="168" priority="236">
      <formula>AA157&lt;(AA158+AA159+AA160)</formula>
    </cfRule>
    <cfRule type="expression" dxfId="167" priority="242">
      <formula>(AA160+AA159+AA158)&gt;AA156</formula>
    </cfRule>
  </conditionalFormatting>
  <conditionalFormatting sqref="AA160">
    <cfRule type="expression" dxfId="166" priority="235">
      <formula>AA157&lt;(AA158+AA159+AA160)</formula>
    </cfRule>
    <cfRule type="expression" dxfId="165" priority="241">
      <formula>(AA160+AA159+AA158)&gt;AA156</formula>
    </cfRule>
  </conditionalFormatting>
  <conditionalFormatting sqref="AA157">
    <cfRule type="cellIs" dxfId="164" priority="240" operator="equal">
      <formula>0</formula>
    </cfRule>
  </conditionalFormatting>
  <conditionalFormatting sqref="AA157">
    <cfRule type="expression" dxfId="163" priority="238">
      <formula>AA157&lt;(AA158+AA159+AA160)</formula>
    </cfRule>
    <cfRule type="expression" dxfId="162" priority="239">
      <formula>AA157&gt;AA156</formula>
    </cfRule>
  </conditionalFormatting>
  <conditionalFormatting sqref="M166">
    <cfRule type="expression" dxfId="161" priority="228">
      <formula>M165&lt;(M166+M167+M168)</formula>
    </cfRule>
    <cfRule type="expression" dxfId="160" priority="234">
      <formula>(M168+M167+M166)&gt;M164</formula>
    </cfRule>
  </conditionalFormatting>
  <conditionalFormatting sqref="M167">
    <cfRule type="expression" dxfId="159" priority="227">
      <formula>M165&lt;(M166+M167+M168)</formula>
    </cfRule>
    <cfRule type="expression" dxfId="158" priority="233">
      <formula>(M168+M167+M166)&gt;M164</formula>
    </cfRule>
  </conditionalFormatting>
  <conditionalFormatting sqref="M168">
    <cfRule type="expression" dxfId="157" priority="226">
      <formula>M165&lt;(M166+M167+M168)</formula>
    </cfRule>
    <cfRule type="expression" dxfId="156" priority="232">
      <formula>(M168+M167+M166)&gt;M164</formula>
    </cfRule>
  </conditionalFormatting>
  <conditionalFormatting sqref="M165">
    <cfRule type="cellIs" dxfId="155" priority="231" operator="equal">
      <formula>0</formula>
    </cfRule>
  </conditionalFormatting>
  <conditionalFormatting sqref="M165">
    <cfRule type="expression" dxfId="154" priority="229">
      <formula>M165&lt;(M166+M167+M168)</formula>
    </cfRule>
    <cfRule type="expression" dxfId="153" priority="230">
      <formula>M165&gt;M164</formula>
    </cfRule>
  </conditionalFormatting>
  <conditionalFormatting sqref="O166">
    <cfRule type="expression" dxfId="152" priority="219">
      <formula>O165&lt;(O166+O167+O168)</formula>
    </cfRule>
    <cfRule type="expression" dxfId="151" priority="225">
      <formula>(O168+O167+O166)&gt;O164</formula>
    </cfRule>
  </conditionalFormatting>
  <conditionalFormatting sqref="O167">
    <cfRule type="expression" dxfId="150" priority="218">
      <formula>O165&lt;(O166+O167+O168)</formula>
    </cfRule>
    <cfRule type="expression" dxfId="149" priority="224">
      <formula>(O168+O167+O166)&gt;O164</formula>
    </cfRule>
  </conditionalFormatting>
  <conditionalFormatting sqref="O168">
    <cfRule type="expression" dxfId="148" priority="217">
      <formula>O165&lt;(O166+O167+O168)</formula>
    </cfRule>
    <cfRule type="expression" dxfId="147" priority="223">
      <formula>(O168+O167+O166)&gt;O164</formula>
    </cfRule>
  </conditionalFormatting>
  <conditionalFormatting sqref="O165">
    <cfRule type="cellIs" dxfId="146" priority="222" operator="equal">
      <formula>0</formula>
    </cfRule>
  </conditionalFormatting>
  <conditionalFormatting sqref="O165">
    <cfRule type="expression" dxfId="145" priority="220">
      <formula>O165&lt;(O166+O167+O168)</formula>
    </cfRule>
    <cfRule type="expression" dxfId="144" priority="221">
      <formula>O165&gt;O164</formula>
    </cfRule>
  </conditionalFormatting>
  <conditionalFormatting sqref="Q166">
    <cfRule type="expression" dxfId="143" priority="210">
      <formula>Q165&lt;(Q166+Q167+Q168)</formula>
    </cfRule>
    <cfRule type="expression" dxfId="142" priority="216">
      <formula>(Q168+Q167+Q166)&gt;Q164</formula>
    </cfRule>
  </conditionalFormatting>
  <conditionalFormatting sqref="Q167">
    <cfRule type="expression" dxfId="141" priority="209">
      <formula>Q165&lt;(Q166+Q167+Q168)</formula>
    </cfRule>
    <cfRule type="expression" dxfId="140" priority="215">
      <formula>(Q168+Q167+Q166)&gt;Q164</formula>
    </cfRule>
  </conditionalFormatting>
  <conditionalFormatting sqref="Q168">
    <cfRule type="expression" dxfId="139" priority="208">
      <formula>Q165&lt;(Q166+Q167+Q168)</formula>
    </cfRule>
    <cfRule type="expression" dxfId="138" priority="214">
      <formula>(Q168+Q167+Q166)&gt;Q164</formula>
    </cfRule>
  </conditionalFormatting>
  <conditionalFormatting sqref="Q165">
    <cfRule type="cellIs" dxfId="137" priority="213" operator="equal">
      <formula>0</formula>
    </cfRule>
  </conditionalFormatting>
  <conditionalFormatting sqref="Q165">
    <cfRule type="expression" dxfId="136" priority="211">
      <formula>Q165&lt;(Q166+Q167+Q168)</formula>
    </cfRule>
    <cfRule type="expression" dxfId="135" priority="212">
      <formula>Q165&gt;Q164</formula>
    </cfRule>
  </conditionalFormatting>
  <conditionalFormatting sqref="S166">
    <cfRule type="expression" dxfId="134" priority="201">
      <formula>S165&lt;(S166+S167+S168)</formula>
    </cfRule>
    <cfRule type="expression" dxfId="133" priority="207">
      <formula>(S168+S167+S166)&gt;S164</formula>
    </cfRule>
  </conditionalFormatting>
  <conditionalFormatting sqref="S167">
    <cfRule type="expression" dxfId="132" priority="200">
      <formula>S165&lt;(S166+S167+S168)</formula>
    </cfRule>
    <cfRule type="expression" dxfId="131" priority="206">
      <formula>(S168+S167+S166)&gt;S164</formula>
    </cfRule>
  </conditionalFormatting>
  <conditionalFormatting sqref="S168">
    <cfRule type="expression" dxfId="130" priority="199">
      <formula>S165&lt;(S166+S167+S168)</formula>
    </cfRule>
    <cfRule type="expression" dxfId="129" priority="205">
      <formula>(S168+S167+S166)&gt;S164</formula>
    </cfRule>
  </conditionalFormatting>
  <conditionalFormatting sqref="S165">
    <cfRule type="cellIs" dxfId="128" priority="204" operator="equal">
      <formula>0</formula>
    </cfRule>
  </conditionalFormatting>
  <conditionalFormatting sqref="S165">
    <cfRule type="expression" dxfId="127" priority="202">
      <formula>S165&lt;(S166+S167+S168)</formula>
    </cfRule>
    <cfRule type="expression" dxfId="126" priority="203">
      <formula>S165&gt;S164</formula>
    </cfRule>
  </conditionalFormatting>
  <conditionalFormatting sqref="U166">
    <cfRule type="expression" dxfId="125" priority="192">
      <formula>U165&lt;(U166+U167+U168)</formula>
    </cfRule>
    <cfRule type="expression" dxfId="124" priority="198">
      <formula>(U168+U167+U166)&gt;U164</formula>
    </cfRule>
  </conditionalFormatting>
  <conditionalFormatting sqref="U167">
    <cfRule type="expression" dxfId="123" priority="191">
      <formula>U165&lt;(U166+U167+U168)</formula>
    </cfRule>
    <cfRule type="expression" dxfId="122" priority="197">
      <formula>(U168+U167+U166)&gt;U164</formula>
    </cfRule>
  </conditionalFormatting>
  <conditionalFormatting sqref="U168">
    <cfRule type="expression" dxfId="121" priority="190">
      <formula>U165&lt;(U166+U167+U168)</formula>
    </cfRule>
    <cfRule type="expression" dxfId="120" priority="196">
      <formula>(U168+U167+U166)&gt;U164</formula>
    </cfRule>
  </conditionalFormatting>
  <conditionalFormatting sqref="U165">
    <cfRule type="cellIs" dxfId="119" priority="195" operator="equal">
      <formula>0</formula>
    </cfRule>
  </conditionalFormatting>
  <conditionalFormatting sqref="U165">
    <cfRule type="expression" dxfId="118" priority="193">
      <formula>U165&lt;(U166+U167+U168)</formula>
    </cfRule>
    <cfRule type="expression" dxfId="117" priority="194">
      <formula>U165&gt;U164</formula>
    </cfRule>
  </conditionalFormatting>
  <conditionalFormatting sqref="W166">
    <cfRule type="expression" dxfId="116" priority="183">
      <formula>W165&lt;(W166+W167+W168)</formula>
    </cfRule>
    <cfRule type="expression" dxfId="115" priority="189">
      <formula>(W168+W167+W166)&gt;W164</formula>
    </cfRule>
  </conditionalFormatting>
  <conditionalFormatting sqref="W167">
    <cfRule type="expression" dxfId="114" priority="182">
      <formula>W165&lt;(W166+W167+W168)</formula>
    </cfRule>
    <cfRule type="expression" dxfId="113" priority="188">
      <formula>(W168+W167+W166)&gt;W164</formula>
    </cfRule>
  </conditionalFormatting>
  <conditionalFormatting sqref="W168">
    <cfRule type="expression" dxfId="112" priority="181">
      <formula>W165&lt;(W166+W167+W168)</formula>
    </cfRule>
    <cfRule type="expression" dxfId="111" priority="187">
      <formula>(W168+W167+W166)&gt;W164</formula>
    </cfRule>
  </conditionalFormatting>
  <conditionalFormatting sqref="W165">
    <cfRule type="cellIs" dxfId="110" priority="186" operator="equal">
      <formula>0</formula>
    </cfRule>
  </conditionalFormatting>
  <conditionalFormatting sqref="W165">
    <cfRule type="expression" dxfId="109" priority="184">
      <formula>W165&lt;(W166+W167+W168)</formula>
    </cfRule>
    <cfRule type="expression" dxfId="108" priority="185">
      <formula>W165&gt;W164</formula>
    </cfRule>
  </conditionalFormatting>
  <conditionalFormatting sqref="Y166">
    <cfRule type="expression" dxfId="107" priority="174">
      <formula>Y165&lt;(Y166+Y167+Y168)</formula>
    </cfRule>
    <cfRule type="expression" dxfId="106" priority="180">
      <formula>(Y168+Y167+Y166)&gt;Y164</formula>
    </cfRule>
  </conditionalFormatting>
  <conditionalFormatting sqref="Y167">
    <cfRule type="expression" dxfId="105" priority="173">
      <formula>Y165&lt;(Y166+Y167+Y168)</formula>
    </cfRule>
    <cfRule type="expression" dxfId="104" priority="179">
      <formula>(Y168+Y167+Y166)&gt;Y164</formula>
    </cfRule>
  </conditionalFormatting>
  <conditionalFormatting sqref="Y168">
    <cfRule type="expression" dxfId="103" priority="172">
      <formula>Y165&lt;(Y166+Y167+Y168)</formula>
    </cfRule>
    <cfRule type="expression" dxfId="102" priority="178">
      <formula>(Y168+Y167+Y166)&gt;Y164</formula>
    </cfRule>
  </conditionalFormatting>
  <conditionalFormatting sqref="Y165">
    <cfRule type="cellIs" dxfId="101" priority="177" operator="equal">
      <formula>0</formula>
    </cfRule>
  </conditionalFormatting>
  <conditionalFormatting sqref="Y165">
    <cfRule type="expression" dxfId="100" priority="175">
      <formula>Y165&lt;(Y166+Y167+Y168)</formula>
    </cfRule>
    <cfRule type="expression" dxfId="99" priority="176">
      <formula>Y165&gt;Y164</formula>
    </cfRule>
  </conditionalFormatting>
  <conditionalFormatting sqref="AA166">
    <cfRule type="expression" dxfId="98" priority="165">
      <formula>AA165&lt;(AA166+AA167+AA168)</formula>
    </cfRule>
    <cfRule type="expression" dxfId="97" priority="171">
      <formula>(AA168+AA167+AA166)&gt;AA164</formula>
    </cfRule>
  </conditionalFormatting>
  <conditionalFormatting sqref="AA167">
    <cfRule type="expression" dxfId="96" priority="164">
      <formula>AA165&lt;(AA166+AA167+AA168)</formula>
    </cfRule>
    <cfRule type="expression" dxfId="95" priority="170">
      <formula>(AA168+AA167+AA166)&gt;AA164</formula>
    </cfRule>
  </conditionalFormatting>
  <conditionalFormatting sqref="AA168">
    <cfRule type="expression" dxfId="94" priority="163">
      <formula>AA165&lt;(AA166+AA167+AA168)</formula>
    </cfRule>
    <cfRule type="expression" dxfId="93" priority="169">
      <formula>(AA168+AA167+AA166)&gt;AA164</formula>
    </cfRule>
  </conditionalFormatting>
  <conditionalFormatting sqref="AA165">
    <cfRule type="cellIs" dxfId="92" priority="168" operator="equal">
      <formula>0</formula>
    </cfRule>
  </conditionalFormatting>
  <conditionalFormatting sqref="AA165">
    <cfRule type="expression" dxfId="91" priority="166">
      <formula>AA165&lt;(AA166+AA167+AA168)</formula>
    </cfRule>
    <cfRule type="expression" dxfId="90" priority="167">
      <formula>AA165&gt;AA164</formula>
    </cfRule>
  </conditionalFormatting>
  <conditionalFormatting sqref="F43:AA43">
    <cfRule type="cellIs" dxfId="89" priority="161" operator="equal">
      <formula>0</formula>
    </cfRule>
  </conditionalFormatting>
  <conditionalFormatting sqref="J108:AA108">
    <cfRule type="expression" dxfId="88" priority="2106">
      <formula>J106&gt;J108</formula>
    </cfRule>
  </conditionalFormatting>
  <conditionalFormatting sqref="AA311">
    <cfRule type="expression" dxfId="87" priority="2112">
      <formula>AH312&gt;(AH308+AH309+AH310)</formula>
    </cfRule>
  </conditionalFormatting>
  <conditionalFormatting sqref="AI57:AI58">
    <cfRule type="notContainsBlanks" dxfId="86" priority="159">
      <formula>LEN(TRIM(AI57))&gt;0</formula>
    </cfRule>
  </conditionalFormatting>
  <conditionalFormatting sqref="AI59:AI60">
    <cfRule type="notContainsBlanks" dxfId="85" priority="158">
      <formula>LEN(TRIM(AI59))&gt;0</formula>
    </cfRule>
  </conditionalFormatting>
  <conditionalFormatting sqref="AK59">
    <cfRule type="notContainsBlanks" dxfId="84" priority="157">
      <formula>LEN(TRIM(AK59))&gt;0</formula>
    </cfRule>
  </conditionalFormatting>
  <conditionalFormatting sqref="AK57:AK60">
    <cfRule type="notContainsBlanks" dxfId="83" priority="156">
      <formula>LEN(TRIM(AK57))&gt;0</formula>
    </cfRule>
  </conditionalFormatting>
  <conditionalFormatting sqref="AJ57">
    <cfRule type="notContainsBlanks" dxfId="82" priority="160">
      <formula>LEN(TRIM(AJ57))&gt;0</formula>
    </cfRule>
  </conditionalFormatting>
  <conditionalFormatting sqref="L59:AA59">
    <cfRule type="expression" dxfId="81" priority="151">
      <formula>L60&gt;L59</formula>
    </cfRule>
  </conditionalFormatting>
  <conditionalFormatting sqref="AH57:AH58">
    <cfRule type="cellIs" dxfId="80" priority="150" operator="equal">
      <formula>0</formula>
    </cfRule>
  </conditionalFormatting>
  <conditionalFormatting sqref="AI61:AI62">
    <cfRule type="notContainsBlanks" dxfId="79" priority="147">
      <formula>LEN(TRIM(AI61))&gt;0</formula>
    </cfRule>
  </conditionalFormatting>
  <conditionalFormatting sqref="AK61">
    <cfRule type="notContainsBlanks" dxfId="78" priority="146">
      <formula>LEN(TRIM(AK61))&gt;0</formula>
    </cfRule>
  </conditionalFormatting>
  <conditionalFormatting sqref="AK61:AK62">
    <cfRule type="notContainsBlanks" dxfId="77" priority="145">
      <formula>LEN(TRIM(AK61))&gt;0</formula>
    </cfRule>
  </conditionalFormatting>
  <conditionalFormatting sqref="L61:AA61">
    <cfRule type="expression" dxfId="76" priority="142">
      <formula>L62&gt;L61</formula>
    </cfRule>
  </conditionalFormatting>
  <conditionalFormatting sqref="AI63:AI64">
    <cfRule type="notContainsBlanks" dxfId="75" priority="139">
      <formula>LEN(TRIM(AI63))&gt;0</formula>
    </cfRule>
  </conditionalFormatting>
  <conditionalFormatting sqref="AK63">
    <cfRule type="notContainsBlanks" dxfId="74" priority="138">
      <formula>LEN(TRIM(AK63))&gt;0</formula>
    </cfRule>
  </conditionalFormatting>
  <conditionalFormatting sqref="AK63:AK64">
    <cfRule type="notContainsBlanks" dxfId="73" priority="137">
      <formula>LEN(TRIM(AK63))&gt;0</formula>
    </cfRule>
  </conditionalFormatting>
  <conditionalFormatting sqref="M63 O63 Q63 S63 U63 W63 Y63 AA63">
    <cfRule type="expression" dxfId="72" priority="134">
      <formula>M64&gt;M63</formula>
    </cfRule>
  </conditionalFormatting>
  <conditionalFormatting sqref="AI67:AI68">
    <cfRule type="notContainsBlanks" dxfId="71" priority="130">
      <formula>LEN(TRIM(AI67))&gt;0</formula>
    </cfRule>
  </conditionalFormatting>
  <conditionalFormatting sqref="AK67">
    <cfRule type="notContainsBlanks" dxfId="70" priority="129">
      <formula>LEN(TRIM(AK67))&gt;0</formula>
    </cfRule>
  </conditionalFormatting>
  <conditionalFormatting sqref="AK67:AK68">
    <cfRule type="notContainsBlanks" dxfId="69" priority="128">
      <formula>LEN(TRIM(AK67))&gt;0</formula>
    </cfRule>
  </conditionalFormatting>
  <conditionalFormatting sqref="L67:AA67">
    <cfRule type="expression" dxfId="68" priority="125">
      <formula>L68&gt;L67</formula>
    </cfRule>
  </conditionalFormatting>
  <conditionalFormatting sqref="AI69:AI70">
    <cfRule type="notContainsBlanks" dxfId="67" priority="121">
      <formula>LEN(TRIM(AI69))&gt;0</formula>
    </cfRule>
  </conditionalFormatting>
  <conditionalFormatting sqref="AK69">
    <cfRule type="notContainsBlanks" dxfId="66" priority="120">
      <formula>LEN(TRIM(AK69))&gt;0</formula>
    </cfRule>
  </conditionalFormatting>
  <conditionalFormatting sqref="AK69:AK70">
    <cfRule type="notContainsBlanks" dxfId="65" priority="119">
      <formula>LEN(TRIM(AK69))&gt;0</formula>
    </cfRule>
  </conditionalFormatting>
  <conditionalFormatting sqref="L69:AA69">
    <cfRule type="expression" dxfId="64" priority="116">
      <formula>L70&gt;L69</formula>
    </cfRule>
  </conditionalFormatting>
  <conditionalFormatting sqref="AI71:AI72">
    <cfRule type="notContainsBlanks" dxfId="63" priority="112">
      <formula>LEN(TRIM(AI71))&gt;0</formula>
    </cfRule>
  </conditionalFormatting>
  <conditionalFormatting sqref="AK71">
    <cfRule type="notContainsBlanks" dxfId="62" priority="111">
      <formula>LEN(TRIM(AK71))&gt;0</formula>
    </cfRule>
  </conditionalFormatting>
  <conditionalFormatting sqref="AK71:AK72">
    <cfRule type="notContainsBlanks" dxfId="61" priority="110">
      <formula>LEN(TRIM(AK71))&gt;0</formula>
    </cfRule>
  </conditionalFormatting>
  <conditionalFormatting sqref="L71:AA71">
    <cfRule type="expression" dxfId="60" priority="107">
      <formula>L72&gt;L71</formula>
    </cfRule>
  </conditionalFormatting>
  <conditionalFormatting sqref="AI73:AI74">
    <cfRule type="notContainsBlanks" dxfId="59" priority="103">
      <formula>LEN(TRIM(AI73))&gt;0</formula>
    </cfRule>
  </conditionalFormatting>
  <conditionalFormatting sqref="AK73">
    <cfRule type="notContainsBlanks" dxfId="58" priority="102">
      <formula>LEN(TRIM(AK73))&gt;0</formula>
    </cfRule>
  </conditionalFormatting>
  <conditionalFormatting sqref="AK73:AK74">
    <cfRule type="notContainsBlanks" dxfId="57" priority="101">
      <formula>LEN(TRIM(AK73))&gt;0</formula>
    </cfRule>
  </conditionalFormatting>
  <conditionalFormatting sqref="L73:AA73">
    <cfRule type="expression" dxfId="56" priority="98">
      <formula>L74&gt;L73</formula>
    </cfRule>
  </conditionalFormatting>
  <conditionalFormatting sqref="AI75:AI76">
    <cfRule type="notContainsBlanks" dxfId="55" priority="94">
      <formula>LEN(TRIM(AI75))&gt;0</formula>
    </cfRule>
  </conditionalFormatting>
  <conditionalFormatting sqref="AK75">
    <cfRule type="notContainsBlanks" dxfId="54" priority="93">
      <formula>LEN(TRIM(AK75))&gt;0</formula>
    </cfRule>
  </conditionalFormatting>
  <conditionalFormatting sqref="AK75:AK76">
    <cfRule type="notContainsBlanks" dxfId="53" priority="92">
      <formula>LEN(TRIM(AK75))&gt;0</formula>
    </cfRule>
  </conditionalFormatting>
  <conditionalFormatting sqref="L75:AA75">
    <cfRule type="expression" dxfId="52" priority="89">
      <formula>L76&gt;L75</formula>
    </cfRule>
  </conditionalFormatting>
  <conditionalFormatting sqref="AI65:AI66">
    <cfRule type="notContainsBlanks" dxfId="51" priority="67">
      <formula>LEN(TRIM(AI65))&gt;0</formula>
    </cfRule>
  </conditionalFormatting>
  <conditionalFormatting sqref="AK65">
    <cfRule type="notContainsBlanks" dxfId="50" priority="66">
      <formula>LEN(TRIM(AK65))&gt;0</formula>
    </cfRule>
  </conditionalFormatting>
  <conditionalFormatting sqref="AK65:AK66">
    <cfRule type="notContainsBlanks" dxfId="49" priority="65">
      <formula>LEN(TRIM(AK65))&gt;0</formula>
    </cfRule>
  </conditionalFormatting>
  <conditionalFormatting sqref="AH61:AH62">
    <cfRule type="cellIs" dxfId="48" priority="45" operator="equal">
      <formula>0</formula>
    </cfRule>
  </conditionalFormatting>
  <conditionalFormatting sqref="AH63:AH64">
    <cfRule type="cellIs" dxfId="47" priority="44" operator="equal">
      <formula>0</formula>
    </cfRule>
  </conditionalFormatting>
  <conditionalFormatting sqref="M65 O65 Q65 S65 U65 W65 Y65 AA65">
    <cfRule type="expression" dxfId="46" priority="62">
      <formula>M66&gt;M65</formula>
    </cfRule>
  </conditionalFormatting>
  <conditionalFormatting sqref="F50:AA50">
    <cfRule type="expression" dxfId="45" priority="58">
      <formula>F51&gt;F50</formula>
    </cfRule>
  </conditionalFormatting>
  <conditionalFormatting sqref="AI77:AI78">
    <cfRule type="notContainsBlanks" dxfId="44" priority="56">
      <formula>LEN(TRIM(AI77))&gt;0</formula>
    </cfRule>
  </conditionalFormatting>
  <conditionalFormatting sqref="AK77">
    <cfRule type="notContainsBlanks" dxfId="43" priority="55">
      <formula>LEN(TRIM(AK77))&gt;0</formula>
    </cfRule>
  </conditionalFormatting>
  <conditionalFormatting sqref="AK77:AK78">
    <cfRule type="notContainsBlanks" dxfId="42" priority="54">
      <formula>LEN(TRIM(AK77))&gt;0</formula>
    </cfRule>
  </conditionalFormatting>
  <conditionalFormatting sqref="AH71:AH72">
    <cfRule type="cellIs" dxfId="41" priority="40" operator="equal">
      <formula>0</formula>
    </cfRule>
  </conditionalFormatting>
  <conditionalFormatting sqref="AH73:AH78">
    <cfRule type="cellIs" dxfId="40" priority="39" operator="equal">
      <formula>0</formula>
    </cfRule>
  </conditionalFormatting>
  <conditionalFormatting sqref="L77:AA77">
    <cfRule type="expression" dxfId="39" priority="51">
      <formula>L78&gt;L77</formula>
    </cfRule>
  </conditionalFormatting>
  <conditionalFormatting sqref="AH59:AH60">
    <cfRule type="cellIs" dxfId="38" priority="46" operator="equal">
      <formula>0</formula>
    </cfRule>
  </conditionalFormatting>
  <conditionalFormatting sqref="AH65:AH66">
    <cfRule type="cellIs" dxfId="37" priority="43" operator="equal">
      <formula>0</formula>
    </cfRule>
  </conditionalFormatting>
  <conditionalFormatting sqref="AH67:AH68">
    <cfRule type="cellIs" dxfId="36" priority="42" operator="equal">
      <formula>0</formula>
    </cfRule>
  </conditionalFormatting>
  <conditionalFormatting sqref="AH69:AH70">
    <cfRule type="cellIs" dxfId="35" priority="41" operator="equal">
      <formula>0</formula>
    </cfRule>
  </conditionalFormatting>
  <conditionalFormatting sqref="Z286:AA286">
    <cfRule type="cellIs" dxfId="34" priority="25" operator="equal">
      <formula>0</formula>
    </cfRule>
  </conditionalFormatting>
  <conditionalFormatting sqref="AH50">
    <cfRule type="cellIs" dxfId="33" priority="37" operator="equal">
      <formula>0</formula>
    </cfRule>
  </conditionalFormatting>
  <conditionalFormatting sqref="AH51">
    <cfRule type="cellIs" dxfId="32" priority="36" operator="equal">
      <formula>0</formula>
    </cfRule>
  </conditionalFormatting>
  <conditionalFormatting sqref="Z288:AA301">
    <cfRule type="cellIs" dxfId="31" priority="35" operator="equal">
      <formula>0</formula>
    </cfRule>
  </conditionalFormatting>
  <conditionalFormatting sqref="Z287:AA287">
    <cfRule type="cellIs" dxfId="30" priority="33" operator="equal">
      <formula>0</formula>
    </cfRule>
  </conditionalFormatting>
  <conditionalFormatting sqref="Z287:AA287">
    <cfRule type="cellIs" dxfId="29" priority="32" operator="equal">
      <formula>0</formula>
    </cfRule>
  </conditionalFormatting>
  <conditionalFormatting sqref="Z287:AA287">
    <cfRule type="expression" dxfId="28" priority="31">
      <formula>Z286&gt;Z287</formula>
    </cfRule>
  </conditionalFormatting>
  <conditionalFormatting sqref="Z287:AA287">
    <cfRule type="expression" dxfId="27" priority="30">
      <formula>Z277&gt;Z287</formula>
    </cfRule>
  </conditionalFormatting>
  <conditionalFormatting sqref="Z287:AA287">
    <cfRule type="expression" dxfId="26" priority="29">
      <formula>Z300&lt;&gt;Z287</formula>
    </cfRule>
  </conditionalFormatting>
  <conditionalFormatting sqref="Z287:AA287">
    <cfRule type="expression" dxfId="25" priority="28">
      <formula>Z270&gt;Z287</formula>
    </cfRule>
  </conditionalFormatting>
  <conditionalFormatting sqref="Z287:AA287">
    <cfRule type="expression" dxfId="24" priority="27">
      <formula>Z307&gt;Z287</formula>
    </cfRule>
  </conditionalFormatting>
  <conditionalFormatting sqref="Z287:AA287">
    <cfRule type="expression" dxfId="23" priority="26">
      <formula>SUM(Z130:Z131)&gt;Z287</formula>
    </cfRule>
  </conditionalFormatting>
  <conditionalFormatting sqref="M261">
    <cfRule type="expression" dxfId="22" priority="22">
      <formula>M261&gt;M277</formula>
    </cfRule>
    <cfRule type="expression" dxfId="21" priority="23">
      <formula>M261&gt;M277 &amp; EXACT($I$3,"1") &amp; EXACT($E$3,"1")</formula>
    </cfRule>
  </conditionalFormatting>
  <conditionalFormatting sqref="O261">
    <cfRule type="expression" dxfId="20" priority="20">
      <formula>O261&gt;O277</formula>
    </cfRule>
    <cfRule type="expression" dxfId="19" priority="21">
      <formula>O261&gt;O277 &amp; EXACT($I$3,"1") &amp; EXACT($E$3,"1")</formula>
    </cfRule>
  </conditionalFormatting>
  <conditionalFormatting sqref="Q261">
    <cfRule type="expression" dxfId="18" priority="18">
      <formula>Q261&gt;Q277</formula>
    </cfRule>
    <cfRule type="expression" dxfId="17" priority="19">
      <formula>Q261&gt;Q277 &amp; EXACT($I$3,"1") &amp; EXACT($E$3,"1")</formula>
    </cfRule>
  </conditionalFormatting>
  <conditionalFormatting sqref="S261">
    <cfRule type="expression" dxfId="16" priority="16">
      <formula>S261&gt;S277</formula>
    </cfRule>
    <cfRule type="expression" dxfId="15" priority="17">
      <formula>S261&gt;S277 &amp; EXACT($I$3,"1") &amp; EXACT($E$3,"1")</formula>
    </cfRule>
  </conditionalFormatting>
  <conditionalFormatting sqref="U261">
    <cfRule type="expression" dxfId="14" priority="14">
      <formula>U261&gt;U277</formula>
    </cfRule>
    <cfRule type="expression" dxfId="13" priority="15">
      <formula>U261&gt;U277 &amp; EXACT($I$3,"1") &amp; EXACT($E$3,"1")</formula>
    </cfRule>
  </conditionalFormatting>
  <conditionalFormatting sqref="W261">
    <cfRule type="expression" dxfId="12" priority="12">
      <formula>W261&gt;W277</formula>
    </cfRule>
    <cfRule type="expression" dxfId="11" priority="13">
      <formula>W261&gt;W277 &amp; EXACT($I$3,"1") &amp; EXACT($E$3,"1")</formula>
    </cfRule>
  </conditionalFormatting>
  <conditionalFormatting sqref="Y261">
    <cfRule type="expression" dxfId="10" priority="10">
      <formula>Y261&gt;Y277</formula>
    </cfRule>
    <cfRule type="expression" dxfId="9" priority="11">
      <formula>Y261&gt;Y277 &amp; EXACT($I$3,"1") &amp; EXACT($E$3,"1")</formula>
    </cfRule>
  </conditionalFormatting>
  <conditionalFormatting sqref="K277">
    <cfRule type="expression" dxfId="8" priority="9">
      <formula>K261&gt;K277</formula>
    </cfRule>
  </conditionalFormatting>
  <conditionalFormatting sqref="M277">
    <cfRule type="expression" dxfId="7" priority="8">
      <formula>M261&gt;M277</formula>
    </cfRule>
  </conditionalFormatting>
  <conditionalFormatting sqref="O277">
    <cfRule type="expression" dxfId="6" priority="7">
      <formula>O261&gt;O277</formula>
    </cfRule>
  </conditionalFormatting>
  <conditionalFormatting sqref="Q277">
    <cfRule type="expression" dxfId="5" priority="6">
      <formula>Q261&gt;Q277</formula>
    </cfRule>
  </conditionalFormatting>
  <conditionalFormatting sqref="S277">
    <cfRule type="expression" dxfId="4" priority="5">
      <formula>S261&gt;S277</formula>
    </cfRule>
  </conditionalFormatting>
  <conditionalFormatting sqref="U277">
    <cfRule type="expression" dxfId="3" priority="4">
      <formula>U261&gt;U277</formula>
    </cfRule>
  </conditionalFormatting>
  <conditionalFormatting sqref="W277">
    <cfRule type="expression" dxfId="2" priority="3">
      <formula>W261&gt;W277</formula>
    </cfRule>
  </conditionalFormatting>
  <conditionalFormatting sqref="Y277">
    <cfRule type="expression" dxfId="1" priority="2">
      <formula>Y261&gt;Y277</formula>
    </cfRule>
  </conditionalFormatting>
  <conditionalFormatting sqref="AA277">
    <cfRule type="expression" dxfId="0" priority="1">
      <formula>AA261&gt;AA277</formula>
    </cfRule>
  </conditionalFormatting>
  <dataValidations count="3">
    <dataValidation type="whole" allowBlank="1" showInputMessage="1" showErrorMessage="1" errorTitle="Non-Numeric or abnormal value" error="Enter Numbers only between 0 and 99999" sqref="E339:AG345 D8:AG18 Z302:AA315 D92:AG126 AB288:AG315 AH125:AH126 E316:AH316 E338:AH338 D333:D345 AB287:AH287 D57:AG78 D130:AG141 E333:AG337 E182:AG222 AH18 AH172 D172:D222 E172:AG180 E181:AH181 E277:Y315 E317:AG323 D277:D323 D82:AG88 AH11 AH210 D359:AG359 D226:AG256 D145:AG168 D347:AG357 Z277:AA285 D260:AG273 AB277:AG286 D22:AG51">
      <formula1>0</formula1>
      <formula2>99999</formula2>
    </dataValidation>
    <dataValidation type="whole" allowBlank="1" showInputMessage="1" showErrorMessage="1" errorTitle="Numeric Characters Error" error="Enter Numeric Characters only between range 0 and 2000" sqref="D327:AG332">
      <formula1>0</formula1>
      <formula2>2000</formula2>
    </dataValidation>
    <dataValidation allowBlank="1" showInputMessage="1" showErrorMessage="1" errorTitle="Non-Numeric or abnormal value" error="Enter Numbers only between 0 and 99999" sqref="Z286:AA301"/>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41" max="16383" man="1"/>
  </rowBreaks>
  <ignoredErrors>
    <ignoredError sqref="J20 J80 J90 J128 J170 J275 J325 J258 J224"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purl.org/dc/dcmitype/"/>
    <ds:schemaRef ds:uri="http://schemas.microsoft.com/office/infopath/2007/PartnerControls"/>
    <ds:schemaRef ds:uri="1ed6e237-7a44-4d6d-bfbc-e270d277b5ad"/>
    <ds:schemaRef ds:uri="http://schemas.microsoft.com/office/2006/metadata/properties"/>
    <ds:schemaRef ds:uri="http://schemas.microsoft.com/sharepoint/v3"/>
    <ds:schemaRef ds:uri="http://purl.org/dc/elements/1.1/"/>
    <ds:schemaRef ds:uri="http://schemas.microsoft.com/office/2006/documentManagement/types"/>
    <ds:schemaRef ds:uri="http://schemas.openxmlformats.org/package/2006/metadata/core-properties"/>
    <ds:schemaRef ds:uri="dac3fa0a-9923-49c3-b4ba-df6390fa58ea"/>
    <ds:schemaRef ds:uri="http://www.w3.org/XML/1998/namespace"/>
    <ds:schemaRef ds:uri="http://purl.org/dc/terms/"/>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2022-01-18T10:18:08Z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