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28800" windowHeight="12300" activeTab="1"/>
  </bookViews>
  <sheets>
    <sheet name="InstructionsForm1A" sheetId="4" r:id="rId1"/>
    <sheet name="Jul" sheetId="1" r:id="rId2"/>
  </sheets>
  <definedNames>
    <definedName name="_xlnm._FilterDatabase" localSheetId="0" hidden="1">InstructionsForm1A!$B$2:$F$349</definedName>
    <definedName name="ART">Jul!$D$300</definedName>
    <definedName name="CXCA">Jul!$M$167</definedName>
    <definedName name="GEND_GBV">Jul!$D$230</definedName>
    <definedName name="HAART">Jul!$K$282</definedName>
    <definedName name="HIV_TEST">Jul!$F$22</definedName>
    <definedName name="HTS_SELF">Jul!$J$102</definedName>
    <definedName name="IPT">Jul!$D$152</definedName>
    <definedName name="PMTCT_TST">Jul!$K$248</definedName>
    <definedName name="PREP">Jul!$J$112</definedName>
    <definedName name="_xlnm.Print_Area" localSheetId="0">InstructionsForm1A!$B$1:$F$349</definedName>
    <definedName name="_xlnm.Print_Area" localSheetId="1">Jul!$A$1:$AJ$450</definedName>
    <definedName name="_xlnm.Print_Titles" localSheetId="1">Jul!$1:$6</definedName>
    <definedName name="TB">Jul!$D$369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40" i="1" l="1"/>
  <c r="H440" i="1"/>
  <c r="I440" i="1"/>
  <c r="J440" i="1"/>
  <c r="K440" i="1"/>
  <c r="L440" i="1"/>
  <c r="M440" i="1"/>
  <c r="N440" i="1"/>
  <c r="O440" i="1"/>
  <c r="P440" i="1"/>
  <c r="Q440" i="1"/>
  <c r="R440" i="1"/>
  <c r="S440" i="1"/>
  <c r="T440" i="1"/>
  <c r="U440" i="1"/>
  <c r="V440" i="1"/>
  <c r="W440" i="1"/>
  <c r="X440" i="1"/>
  <c r="Y440" i="1"/>
  <c r="Z440" i="1"/>
  <c r="AA440" i="1"/>
  <c r="F440" i="1"/>
  <c r="G435" i="1"/>
  <c r="H435" i="1"/>
  <c r="I435" i="1"/>
  <c r="J435" i="1"/>
  <c r="K435" i="1"/>
  <c r="L435" i="1"/>
  <c r="M435" i="1"/>
  <c r="N435" i="1"/>
  <c r="O435" i="1"/>
  <c r="P435" i="1"/>
  <c r="Q435" i="1"/>
  <c r="R435" i="1"/>
  <c r="S435" i="1"/>
  <c r="T435" i="1"/>
  <c r="U435" i="1"/>
  <c r="V435" i="1"/>
  <c r="W435" i="1"/>
  <c r="X435" i="1"/>
  <c r="Y435" i="1"/>
  <c r="Z435" i="1"/>
  <c r="AA435" i="1"/>
  <c r="F435" i="1"/>
  <c r="F385" i="1"/>
  <c r="F390" i="1"/>
  <c r="G395" i="1"/>
  <c r="H395" i="1"/>
  <c r="I395" i="1"/>
  <c r="J395" i="1"/>
  <c r="K395" i="1"/>
  <c r="L395" i="1"/>
  <c r="M395" i="1"/>
  <c r="N395" i="1"/>
  <c r="O395" i="1"/>
  <c r="P395" i="1"/>
  <c r="Q395" i="1"/>
  <c r="R395" i="1"/>
  <c r="S395" i="1"/>
  <c r="T395" i="1"/>
  <c r="U395" i="1"/>
  <c r="V395" i="1"/>
  <c r="W395" i="1"/>
  <c r="X395" i="1"/>
  <c r="Y395" i="1"/>
  <c r="Z395" i="1"/>
  <c r="AA395" i="1"/>
  <c r="F395" i="1"/>
  <c r="G400" i="1"/>
  <c r="F400" i="1"/>
  <c r="H405" i="1"/>
  <c r="I405" i="1"/>
  <c r="J405" i="1"/>
  <c r="K405" i="1"/>
  <c r="L405" i="1"/>
  <c r="M405" i="1"/>
  <c r="N405" i="1"/>
  <c r="O405" i="1"/>
  <c r="P405" i="1"/>
  <c r="Q405" i="1"/>
  <c r="R405" i="1"/>
  <c r="S405" i="1"/>
  <c r="T405" i="1"/>
  <c r="U405" i="1"/>
  <c r="V405" i="1"/>
  <c r="W405" i="1"/>
  <c r="X405" i="1"/>
  <c r="Y405" i="1"/>
  <c r="Z405" i="1"/>
  <c r="AA405" i="1"/>
  <c r="G405" i="1"/>
  <c r="F405" i="1"/>
  <c r="G410" i="1"/>
  <c r="H410" i="1"/>
  <c r="I410" i="1"/>
  <c r="J410" i="1"/>
  <c r="K410" i="1"/>
  <c r="L410" i="1"/>
  <c r="M410" i="1"/>
  <c r="N410" i="1"/>
  <c r="O410" i="1"/>
  <c r="P410" i="1"/>
  <c r="Q410" i="1"/>
  <c r="R410" i="1"/>
  <c r="S410" i="1"/>
  <c r="T410" i="1"/>
  <c r="U410" i="1"/>
  <c r="V410" i="1"/>
  <c r="W410" i="1"/>
  <c r="X410" i="1"/>
  <c r="Y410" i="1"/>
  <c r="Z410" i="1"/>
  <c r="AA410" i="1"/>
  <c r="F410" i="1"/>
  <c r="F415" i="1"/>
  <c r="G415" i="1"/>
  <c r="H415" i="1"/>
  <c r="I415" i="1"/>
  <c r="J415" i="1"/>
  <c r="K415" i="1"/>
  <c r="L415" i="1"/>
  <c r="M415" i="1"/>
  <c r="N415" i="1"/>
  <c r="O415" i="1"/>
  <c r="P415" i="1"/>
  <c r="Q415" i="1"/>
  <c r="R415" i="1"/>
  <c r="S415" i="1"/>
  <c r="T415" i="1"/>
  <c r="U415" i="1"/>
  <c r="V415" i="1"/>
  <c r="W415" i="1"/>
  <c r="X415" i="1"/>
  <c r="Y415" i="1"/>
  <c r="Z415" i="1"/>
  <c r="AA415" i="1"/>
  <c r="F430" i="1"/>
  <c r="G425" i="1"/>
  <c r="H425" i="1"/>
  <c r="I425" i="1"/>
  <c r="J425" i="1"/>
  <c r="K425" i="1"/>
  <c r="L425" i="1"/>
  <c r="M425" i="1"/>
  <c r="N425" i="1"/>
  <c r="O425" i="1"/>
  <c r="P425" i="1"/>
  <c r="Q425" i="1"/>
  <c r="R425" i="1"/>
  <c r="S425" i="1"/>
  <c r="T425" i="1"/>
  <c r="U425" i="1"/>
  <c r="V425" i="1"/>
  <c r="W425" i="1"/>
  <c r="X425" i="1"/>
  <c r="Y425" i="1"/>
  <c r="Z425" i="1"/>
  <c r="AA425" i="1"/>
  <c r="F425" i="1"/>
  <c r="G420" i="1"/>
  <c r="H420" i="1"/>
  <c r="I420" i="1"/>
  <c r="J420" i="1"/>
  <c r="K420" i="1"/>
  <c r="L420" i="1"/>
  <c r="M420" i="1"/>
  <c r="N420" i="1"/>
  <c r="O420" i="1"/>
  <c r="P420" i="1"/>
  <c r="Q420" i="1"/>
  <c r="R420" i="1"/>
  <c r="S420" i="1"/>
  <c r="T420" i="1"/>
  <c r="U420" i="1"/>
  <c r="V420" i="1"/>
  <c r="W420" i="1"/>
  <c r="X420" i="1"/>
  <c r="Y420" i="1"/>
  <c r="Z420" i="1"/>
  <c r="AA420" i="1"/>
  <c r="F420" i="1"/>
  <c r="H430" i="1"/>
  <c r="I430" i="1"/>
  <c r="J430" i="1"/>
  <c r="K430" i="1"/>
  <c r="L430" i="1"/>
  <c r="M430" i="1"/>
  <c r="N430" i="1"/>
  <c r="O430" i="1"/>
  <c r="P430" i="1"/>
  <c r="Q430" i="1"/>
  <c r="R430" i="1"/>
  <c r="S430" i="1"/>
  <c r="T430" i="1"/>
  <c r="U430" i="1"/>
  <c r="V430" i="1"/>
  <c r="W430" i="1"/>
  <c r="X430" i="1"/>
  <c r="Y430" i="1"/>
  <c r="Z430" i="1"/>
  <c r="AA430" i="1"/>
  <c r="G430" i="1"/>
  <c r="AK94" i="1"/>
  <c r="AK93" i="1"/>
  <c r="AK90" i="1"/>
  <c r="AK89" i="1"/>
  <c r="AK86" i="1"/>
  <c r="AK85" i="1"/>
  <c r="AK82" i="1"/>
  <c r="AK81" i="1"/>
  <c r="AK78" i="1"/>
  <c r="AK77" i="1"/>
  <c r="AK74" i="1"/>
  <c r="AK73" i="1"/>
  <c r="AK70" i="1"/>
  <c r="AK69" i="1"/>
  <c r="AK66" i="1"/>
  <c r="AK65" i="1"/>
  <c r="AK62" i="1"/>
  <c r="AK61" i="1"/>
  <c r="AK58" i="1"/>
  <c r="AK57" i="1"/>
  <c r="AJ64" i="1"/>
  <c r="AJ63" i="1"/>
  <c r="AJ60" i="1"/>
  <c r="AJ59" i="1"/>
  <c r="AL57" i="1" l="1"/>
  <c r="Z323" i="1"/>
  <c r="AA323" i="1"/>
  <c r="Z310" i="1"/>
  <c r="AA310" i="1"/>
  <c r="Z311" i="1"/>
  <c r="AA311" i="1"/>
  <c r="Z312" i="1"/>
  <c r="AA312" i="1"/>
  <c r="Z313" i="1"/>
  <c r="AA313" i="1"/>
  <c r="Z314" i="1"/>
  <c r="AA314" i="1"/>
  <c r="Z315" i="1"/>
  <c r="AA315" i="1"/>
  <c r="Z316" i="1"/>
  <c r="AA316" i="1"/>
  <c r="Z317" i="1"/>
  <c r="AA317" i="1"/>
  <c r="Z318" i="1"/>
  <c r="AA318" i="1"/>
  <c r="Z319" i="1"/>
  <c r="AA319" i="1"/>
  <c r="Z320" i="1"/>
  <c r="AA320" i="1"/>
  <c r="Z321" i="1"/>
  <c r="AA321" i="1"/>
  <c r="AA308" i="1"/>
  <c r="Z308" i="1"/>
  <c r="AI322" i="1"/>
  <c r="AH322" i="1"/>
  <c r="AI309" i="1"/>
  <c r="AH309" i="1"/>
  <c r="G446" i="1" l="1"/>
  <c r="H446" i="1"/>
  <c r="I446" i="1"/>
  <c r="J446" i="1"/>
  <c r="K446" i="1"/>
  <c r="L446" i="1"/>
  <c r="M446" i="1"/>
  <c r="N446" i="1"/>
  <c r="O446" i="1"/>
  <c r="P446" i="1"/>
  <c r="Q446" i="1"/>
  <c r="R446" i="1"/>
  <c r="S446" i="1"/>
  <c r="T446" i="1"/>
  <c r="U446" i="1"/>
  <c r="V446" i="1"/>
  <c r="W446" i="1"/>
  <c r="X446" i="1"/>
  <c r="Y446" i="1"/>
  <c r="Z446" i="1"/>
  <c r="AA446" i="1"/>
  <c r="G447" i="1"/>
  <c r="H447" i="1"/>
  <c r="I447" i="1"/>
  <c r="J447" i="1"/>
  <c r="K447" i="1"/>
  <c r="L447" i="1"/>
  <c r="M447" i="1"/>
  <c r="N447" i="1"/>
  <c r="O447" i="1"/>
  <c r="P447" i="1"/>
  <c r="Q447" i="1"/>
  <c r="R447" i="1"/>
  <c r="S447" i="1"/>
  <c r="T447" i="1"/>
  <c r="U447" i="1"/>
  <c r="V447" i="1"/>
  <c r="W447" i="1"/>
  <c r="X447" i="1"/>
  <c r="Y447" i="1"/>
  <c r="Z447" i="1"/>
  <c r="AA447" i="1"/>
  <c r="G448" i="1"/>
  <c r="H448" i="1"/>
  <c r="I448" i="1"/>
  <c r="J448" i="1"/>
  <c r="K448" i="1"/>
  <c r="L448" i="1"/>
  <c r="M448" i="1"/>
  <c r="N448" i="1"/>
  <c r="O448" i="1"/>
  <c r="P448" i="1"/>
  <c r="Q448" i="1"/>
  <c r="R448" i="1"/>
  <c r="S448" i="1"/>
  <c r="T448" i="1"/>
  <c r="U448" i="1"/>
  <c r="V448" i="1"/>
  <c r="W448" i="1"/>
  <c r="X448" i="1"/>
  <c r="Y448" i="1"/>
  <c r="Z448" i="1"/>
  <c r="AA448" i="1"/>
  <c r="F446" i="1"/>
  <c r="F447" i="1"/>
  <c r="F448" i="1"/>
  <c r="AM449" i="1"/>
  <c r="AM448" i="1"/>
  <c r="AM447" i="1"/>
  <c r="AM444" i="1"/>
  <c r="AM443" i="1"/>
  <c r="AJ443" i="1"/>
  <c r="AM442" i="1"/>
  <c r="AJ442" i="1"/>
  <c r="AK441" i="1"/>
  <c r="AJ441" i="1"/>
  <c r="I444" i="1"/>
  <c r="G444" i="1"/>
  <c r="AM439" i="1"/>
  <c r="AM438" i="1"/>
  <c r="AJ438" i="1"/>
  <c r="AM437" i="1"/>
  <c r="AJ437" i="1"/>
  <c r="AK436" i="1"/>
  <c r="AJ436" i="1"/>
  <c r="AA439" i="1"/>
  <c r="Y439" i="1"/>
  <c r="W439" i="1"/>
  <c r="U439" i="1"/>
  <c r="S439" i="1"/>
  <c r="Q439" i="1"/>
  <c r="O439" i="1"/>
  <c r="M439" i="1"/>
  <c r="K439" i="1"/>
  <c r="I439" i="1"/>
  <c r="G439" i="1"/>
  <c r="AM434" i="1"/>
  <c r="K434" i="1"/>
  <c r="AM433" i="1"/>
  <c r="AJ433" i="1"/>
  <c r="AM432" i="1"/>
  <c r="AJ432" i="1"/>
  <c r="AM431" i="1" s="1"/>
  <c r="AK431" i="1"/>
  <c r="AJ431" i="1"/>
  <c r="AA434" i="1"/>
  <c r="Z434" i="1"/>
  <c r="Y434" i="1"/>
  <c r="X434" i="1"/>
  <c r="W434" i="1"/>
  <c r="V434" i="1"/>
  <c r="U434" i="1"/>
  <c r="T434" i="1"/>
  <c r="S434" i="1"/>
  <c r="R434" i="1"/>
  <c r="Q434" i="1"/>
  <c r="P434" i="1"/>
  <c r="O434" i="1"/>
  <c r="N434" i="1"/>
  <c r="M434" i="1"/>
  <c r="L434" i="1"/>
  <c r="J434" i="1"/>
  <c r="I434" i="1"/>
  <c r="H434" i="1"/>
  <c r="G434" i="1"/>
  <c r="F434" i="1"/>
  <c r="AM429" i="1"/>
  <c r="AM428" i="1"/>
  <c r="AJ428" i="1"/>
  <c r="AM427" i="1"/>
  <c r="AJ427" i="1"/>
  <c r="AK426" i="1"/>
  <c r="AJ426" i="1"/>
  <c r="AA429" i="1"/>
  <c r="Z429" i="1"/>
  <c r="Y429" i="1"/>
  <c r="X429" i="1"/>
  <c r="W429" i="1"/>
  <c r="V429" i="1"/>
  <c r="U429" i="1"/>
  <c r="T429" i="1"/>
  <c r="S429" i="1"/>
  <c r="R429" i="1"/>
  <c r="Q429" i="1"/>
  <c r="P429" i="1"/>
  <c r="O429" i="1"/>
  <c r="N429" i="1"/>
  <c r="M429" i="1"/>
  <c r="L429" i="1"/>
  <c r="K429" i="1"/>
  <c r="J429" i="1"/>
  <c r="I429" i="1"/>
  <c r="H429" i="1"/>
  <c r="G429" i="1"/>
  <c r="F429" i="1"/>
  <c r="AM424" i="1"/>
  <c r="Z424" i="1"/>
  <c r="V424" i="1"/>
  <c r="N424" i="1"/>
  <c r="J424" i="1"/>
  <c r="AM423" i="1"/>
  <c r="AJ423" i="1"/>
  <c r="AM422" i="1"/>
  <c r="AJ422" i="1"/>
  <c r="AK421" i="1"/>
  <c r="AJ421" i="1"/>
  <c r="AA424" i="1"/>
  <c r="Y424" i="1"/>
  <c r="X424" i="1"/>
  <c r="W424" i="1"/>
  <c r="U424" i="1"/>
  <c r="T424" i="1"/>
  <c r="S424" i="1"/>
  <c r="R424" i="1"/>
  <c r="Q424" i="1"/>
  <c r="P424" i="1"/>
  <c r="O424" i="1"/>
  <c r="M424" i="1"/>
  <c r="L424" i="1"/>
  <c r="K424" i="1"/>
  <c r="I424" i="1"/>
  <c r="H424" i="1"/>
  <c r="G424" i="1"/>
  <c r="F424" i="1"/>
  <c r="AM419" i="1"/>
  <c r="P419" i="1"/>
  <c r="H419" i="1"/>
  <c r="AM418" i="1"/>
  <c r="AJ418" i="1"/>
  <c r="AM417" i="1"/>
  <c r="AJ417" i="1"/>
  <c r="AK416" i="1"/>
  <c r="AJ416" i="1"/>
  <c r="AA419" i="1"/>
  <c r="Z419" i="1"/>
  <c r="Y419" i="1"/>
  <c r="X419" i="1"/>
  <c r="W419" i="1"/>
  <c r="V419" i="1"/>
  <c r="U419" i="1"/>
  <c r="T419" i="1"/>
  <c r="S419" i="1"/>
  <c r="R419" i="1"/>
  <c r="Q419" i="1"/>
  <c r="O419" i="1"/>
  <c r="N419" i="1"/>
  <c r="M419" i="1"/>
  <c r="L419" i="1"/>
  <c r="K419" i="1"/>
  <c r="J419" i="1"/>
  <c r="I419" i="1"/>
  <c r="G419" i="1"/>
  <c r="F419" i="1"/>
  <c r="AM414" i="1"/>
  <c r="AM413" i="1"/>
  <c r="AJ413" i="1"/>
  <c r="AM412" i="1"/>
  <c r="AJ412" i="1"/>
  <c r="AM411" i="1"/>
  <c r="AK411" i="1"/>
  <c r="AJ411" i="1"/>
  <c r="AM409" i="1"/>
  <c r="X409" i="1"/>
  <c r="P409" i="1"/>
  <c r="H409" i="1"/>
  <c r="AM408" i="1"/>
  <c r="AJ408" i="1"/>
  <c r="AM407" i="1"/>
  <c r="AJ407" i="1"/>
  <c r="AK406" i="1"/>
  <c r="AJ406" i="1"/>
  <c r="AA409" i="1"/>
  <c r="Z409" i="1"/>
  <c r="Y409" i="1"/>
  <c r="W409" i="1"/>
  <c r="V409" i="1"/>
  <c r="U409" i="1"/>
  <c r="T409" i="1"/>
  <c r="S409" i="1"/>
  <c r="R409" i="1"/>
  <c r="Q409" i="1"/>
  <c r="O409" i="1"/>
  <c r="N409" i="1"/>
  <c r="M409" i="1"/>
  <c r="L409" i="1"/>
  <c r="K409" i="1"/>
  <c r="J409" i="1"/>
  <c r="I409" i="1"/>
  <c r="G409" i="1"/>
  <c r="F409" i="1"/>
  <c r="AM404" i="1"/>
  <c r="AM403" i="1"/>
  <c r="AJ403" i="1"/>
  <c r="AM402" i="1"/>
  <c r="AJ402" i="1"/>
  <c r="AK401" i="1"/>
  <c r="AJ401" i="1"/>
  <c r="AM399" i="1"/>
  <c r="X399" i="1"/>
  <c r="P399" i="1"/>
  <c r="H399" i="1"/>
  <c r="AM398" i="1"/>
  <c r="AJ398" i="1"/>
  <c r="AM397" i="1"/>
  <c r="AJ397" i="1"/>
  <c r="AK396" i="1"/>
  <c r="AJ396" i="1"/>
  <c r="AM396" i="1" s="1"/>
  <c r="AA399" i="1"/>
  <c r="Z399" i="1"/>
  <c r="Y399" i="1"/>
  <c r="W399" i="1"/>
  <c r="V399" i="1"/>
  <c r="U399" i="1"/>
  <c r="T399" i="1"/>
  <c r="S399" i="1"/>
  <c r="R399" i="1"/>
  <c r="Q399" i="1"/>
  <c r="O399" i="1"/>
  <c r="N399" i="1"/>
  <c r="M399" i="1"/>
  <c r="L399" i="1"/>
  <c r="K399" i="1"/>
  <c r="J399" i="1"/>
  <c r="I399" i="1"/>
  <c r="G399" i="1"/>
  <c r="F399" i="1"/>
  <c r="AM394" i="1"/>
  <c r="AM393" i="1"/>
  <c r="AJ393" i="1"/>
  <c r="AM392" i="1"/>
  <c r="AJ392" i="1"/>
  <c r="AK391" i="1"/>
  <c r="AJ391" i="1"/>
  <c r="AA390" i="1"/>
  <c r="AA394" i="1" s="1"/>
  <c r="Z390" i="1"/>
  <c r="Z394" i="1" s="1"/>
  <c r="Y390" i="1"/>
  <c r="Y394" i="1" s="1"/>
  <c r="X390" i="1"/>
  <c r="X394" i="1" s="1"/>
  <c r="W390" i="1"/>
  <c r="W394" i="1" s="1"/>
  <c r="V390" i="1"/>
  <c r="V394" i="1" s="1"/>
  <c r="U390" i="1"/>
  <c r="U394" i="1" s="1"/>
  <c r="T390" i="1"/>
  <c r="T394" i="1" s="1"/>
  <c r="S390" i="1"/>
  <c r="S394" i="1" s="1"/>
  <c r="R390" i="1"/>
  <c r="R394" i="1" s="1"/>
  <c r="Q390" i="1"/>
  <c r="Q394" i="1" s="1"/>
  <c r="P390" i="1"/>
  <c r="P394" i="1" s="1"/>
  <c r="O390" i="1"/>
  <c r="O394" i="1" s="1"/>
  <c r="N390" i="1"/>
  <c r="N394" i="1" s="1"/>
  <c r="M390" i="1"/>
  <c r="M394" i="1" s="1"/>
  <c r="L390" i="1"/>
  <c r="L394" i="1" s="1"/>
  <c r="K390" i="1"/>
  <c r="K394" i="1" s="1"/>
  <c r="J390" i="1"/>
  <c r="J394" i="1" s="1"/>
  <c r="I390" i="1"/>
  <c r="I394" i="1" s="1"/>
  <c r="H390" i="1"/>
  <c r="H394" i="1" s="1"/>
  <c r="G390" i="1"/>
  <c r="G394" i="1" s="1"/>
  <c r="F394" i="1"/>
  <c r="G385" i="1"/>
  <c r="G389" i="1" s="1"/>
  <c r="H385" i="1"/>
  <c r="I385" i="1"/>
  <c r="J385" i="1"/>
  <c r="K385" i="1"/>
  <c r="K389" i="1" s="1"/>
  <c r="L385" i="1"/>
  <c r="M385" i="1"/>
  <c r="N385" i="1"/>
  <c r="O385" i="1"/>
  <c r="O389" i="1" s="1"/>
  <c r="P385" i="1"/>
  <c r="Q385" i="1"/>
  <c r="Q389" i="1" s="1"/>
  <c r="R385" i="1"/>
  <c r="R389" i="1" s="1"/>
  <c r="S385" i="1"/>
  <c r="S389" i="1" s="1"/>
  <c r="T385" i="1"/>
  <c r="U385" i="1"/>
  <c r="V385" i="1"/>
  <c r="V389" i="1" s="1"/>
  <c r="W385" i="1"/>
  <c r="W389" i="1" s="1"/>
  <c r="X385" i="1"/>
  <c r="Y385" i="1"/>
  <c r="Z385" i="1"/>
  <c r="AA385" i="1"/>
  <c r="AA389" i="1" s="1"/>
  <c r="H389" i="1"/>
  <c r="I389" i="1"/>
  <c r="J389" i="1"/>
  <c r="L389" i="1"/>
  <c r="M389" i="1"/>
  <c r="N389" i="1"/>
  <c r="P389" i="1"/>
  <c r="T389" i="1"/>
  <c r="U389" i="1"/>
  <c r="X389" i="1"/>
  <c r="Y389" i="1"/>
  <c r="Z389" i="1"/>
  <c r="F389" i="1"/>
  <c r="AM389" i="1"/>
  <c r="AM388" i="1"/>
  <c r="AJ388" i="1"/>
  <c r="AM387" i="1"/>
  <c r="AJ387" i="1"/>
  <c r="AK386" i="1"/>
  <c r="AJ386" i="1"/>
  <c r="AM401" i="1" l="1"/>
  <c r="AM406" i="1"/>
  <c r="AM426" i="1"/>
  <c r="AM391" i="1"/>
  <c r="AM436" i="1"/>
  <c r="AM416" i="1"/>
  <c r="AM421" i="1"/>
  <c r="AJ424" i="1"/>
  <c r="AJ429" i="1"/>
  <c r="AJ434" i="1"/>
  <c r="AJ448" i="1"/>
  <c r="AJ446" i="1"/>
  <c r="AJ439" i="1"/>
  <c r="AJ447" i="1"/>
  <c r="AK446" i="1"/>
  <c r="AM441" i="1"/>
  <c r="AJ409" i="1"/>
  <c r="AJ430" i="1"/>
  <c r="AJ425" i="1"/>
  <c r="AJ435" i="1"/>
  <c r="AJ419" i="1"/>
  <c r="AJ420" i="1"/>
  <c r="AJ405" i="1"/>
  <c r="AJ415" i="1"/>
  <c r="AJ394" i="1"/>
  <c r="AJ399" i="1"/>
  <c r="AJ395" i="1"/>
  <c r="AJ390" i="1"/>
  <c r="AJ385" i="1"/>
  <c r="AJ389" i="1"/>
  <c r="AM386" i="1"/>
  <c r="AM446" i="1" l="1"/>
  <c r="AB322" i="1" l="1"/>
  <c r="AC322" i="1"/>
  <c r="AD322" i="1"/>
  <c r="AE322" i="1"/>
  <c r="AF322" i="1"/>
  <c r="AG322" i="1"/>
  <c r="AA322" i="1" l="1"/>
  <c r="Z322" i="1"/>
  <c r="E52" i="1"/>
  <c r="E53" i="1"/>
  <c r="D53" i="1"/>
  <c r="D52" i="1"/>
  <c r="AA299" i="1"/>
  <c r="Y299" i="1"/>
  <c r="W299" i="1"/>
  <c r="U299" i="1"/>
  <c r="S299" i="1"/>
  <c r="Q299" i="1"/>
  <c r="O299" i="1"/>
  <c r="M299" i="1"/>
  <c r="AB309" i="1" l="1"/>
  <c r="AC309" i="1"/>
  <c r="AD309" i="1"/>
  <c r="AE309" i="1"/>
  <c r="AF309" i="1"/>
  <c r="AG309" i="1"/>
  <c r="AK50" i="1"/>
  <c r="AJ51" i="1"/>
  <c r="AJ50" i="1"/>
  <c r="AJ93" i="1"/>
  <c r="AJ94" i="1"/>
  <c r="AJ97" i="1"/>
  <c r="AJ98" i="1"/>
  <c r="AJ90" i="1"/>
  <c r="AJ89" i="1"/>
  <c r="AJ86" i="1"/>
  <c r="AJ85" i="1"/>
  <c r="AJ82" i="1"/>
  <c r="AJ81" i="1"/>
  <c r="AJ78" i="1"/>
  <c r="AJ77" i="1"/>
  <c r="AJ74" i="1"/>
  <c r="AJ73" i="1"/>
  <c r="AJ70" i="1"/>
  <c r="AJ69" i="1"/>
  <c r="AJ66" i="1"/>
  <c r="AJ65" i="1"/>
  <c r="AJ62" i="1"/>
  <c r="AJ61" i="1"/>
  <c r="AJ58" i="1"/>
  <c r="AJ26" i="1"/>
  <c r="AA309" i="1" l="1"/>
  <c r="Z309" i="1"/>
  <c r="AJ57" i="1"/>
  <c r="AJ127" i="1"/>
  <c r="AK295" i="1" l="1"/>
  <c r="AK293" i="1"/>
  <c r="AM293" i="1"/>
  <c r="AM287" i="1"/>
  <c r="AM286" i="1"/>
  <c r="AM285" i="1"/>
  <c r="AJ371" i="1" l="1"/>
  <c r="AQ21" i="1" l="1"/>
  <c r="AQ20" i="1"/>
  <c r="AQ19" i="1"/>
  <c r="AQ4" i="1"/>
  <c r="AQ3" i="1"/>
  <c r="AP21" i="1"/>
  <c r="AP20" i="1"/>
  <c r="AP19" i="1"/>
  <c r="AP4" i="1"/>
  <c r="AP3" i="1"/>
  <c r="A3" i="1" l="1"/>
  <c r="G372" i="1" l="1"/>
  <c r="H372" i="1"/>
  <c r="I372" i="1"/>
  <c r="J372" i="1"/>
  <c r="K372" i="1"/>
  <c r="L372" i="1"/>
  <c r="M372" i="1"/>
  <c r="N372" i="1"/>
  <c r="O372" i="1"/>
  <c r="P372" i="1"/>
  <c r="Q372" i="1"/>
  <c r="R372" i="1"/>
  <c r="S372" i="1"/>
  <c r="T372" i="1"/>
  <c r="U372" i="1"/>
  <c r="V372" i="1"/>
  <c r="W372" i="1"/>
  <c r="X372" i="1"/>
  <c r="Y372" i="1"/>
  <c r="Z372" i="1"/>
  <c r="AA372" i="1"/>
  <c r="F372" i="1"/>
  <c r="AA170" i="1" l="1"/>
  <c r="Y170" i="1"/>
  <c r="W170" i="1"/>
  <c r="U170" i="1"/>
  <c r="S170" i="1"/>
  <c r="Q170" i="1"/>
  <c r="O170" i="1"/>
  <c r="M170" i="1"/>
  <c r="AA186" i="1"/>
  <c r="Y186" i="1"/>
  <c r="W186" i="1"/>
  <c r="U186" i="1"/>
  <c r="S186" i="1"/>
  <c r="Q186" i="1"/>
  <c r="O186" i="1"/>
  <c r="M186" i="1"/>
  <c r="AA178" i="1"/>
  <c r="Y178" i="1"/>
  <c r="W178" i="1"/>
  <c r="U178" i="1"/>
  <c r="S178" i="1"/>
  <c r="Q178" i="1"/>
  <c r="O178" i="1"/>
  <c r="AK115" i="1" l="1"/>
  <c r="AK113" i="1"/>
  <c r="AK114" i="1"/>
  <c r="AJ307" i="1" l="1"/>
  <c r="G43" i="1"/>
  <c r="H43" i="1"/>
  <c r="I43" i="1"/>
  <c r="J43" i="1"/>
  <c r="K43" i="1"/>
  <c r="L43" i="1"/>
  <c r="M43" i="1"/>
  <c r="N43" i="1"/>
  <c r="O43" i="1"/>
  <c r="P43" i="1"/>
  <c r="Q43" i="1"/>
  <c r="R43" i="1"/>
  <c r="S43" i="1"/>
  <c r="T43" i="1"/>
  <c r="U43" i="1"/>
  <c r="V43" i="1"/>
  <c r="W43" i="1"/>
  <c r="X43" i="1"/>
  <c r="Y43" i="1"/>
  <c r="Z43" i="1"/>
  <c r="AA43" i="1"/>
  <c r="F43" i="1"/>
  <c r="F53" i="1" l="1"/>
  <c r="F414" i="1" s="1"/>
  <c r="F404" i="1"/>
  <c r="L53" i="1"/>
  <c r="L414" i="1" s="1"/>
  <c r="L400" i="1"/>
  <c r="Y53" i="1"/>
  <c r="Y414" i="1" s="1"/>
  <c r="Y400" i="1"/>
  <c r="U53" i="1"/>
  <c r="U414" i="1" s="1"/>
  <c r="U400" i="1"/>
  <c r="Q53" i="1"/>
  <c r="Q414" i="1" s="1"/>
  <c r="Q400" i="1"/>
  <c r="M53" i="1"/>
  <c r="M414" i="1" s="1"/>
  <c r="M400" i="1"/>
  <c r="I53" i="1"/>
  <c r="I414" i="1" s="1"/>
  <c r="I400" i="1"/>
  <c r="X53" i="1"/>
  <c r="X414" i="1" s="1"/>
  <c r="X400" i="1"/>
  <c r="T53" i="1"/>
  <c r="T414" i="1" s="1"/>
  <c r="T400" i="1"/>
  <c r="P53" i="1"/>
  <c r="P414" i="1" s="1"/>
  <c r="P400" i="1"/>
  <c r="H53" i="1"/>
  <c r="H414" i="1" s="1"/>
  <c r="H400" i="1"/>
  <c r="AA53" i="1"/>
  <c r="AA414" i="1" s="1"/>
  <c r="AA400" i="1"/>
  <c r="W53" i="1"/>
  <c r="W414" i="1" s="1"/>
  <c r="W400" i="1"/>
  <c r="S53" i="1"/>
  <c r="S414" i="1" s="1"/>
  <c r="S400" i="1"/>
  <c r="O53" i="1"/>
  <c r="O414" i="1" s="1"/>
  <c r="O400" i="1"/>
  <c r="K53" i="1"/>
  <c r="K414" i="1" s="1"/>
  <c r="K400" i="1"/>
  <c r="G53" i="1"/>
  <c r="Z53" i="1"/>
  <c r="Z414" i="1" s="1"/>
  <c r="Z400" i="1"/>
  <c r="V53" i="1"/>
  <c r="V414" i="1" s="1"/>
  <c r="V400" i="1"/>
  <c r="R53" i="1"/>
  <c r="R414" i="1" s="1"/>
  <c r="R400" i="1"/>
  <c r="N53" i="1"/>
  <c r="N414" i="1" s="1"/>
  <c r="N400" i="1"/>
  <c r="J53" i="1"/>
  <c r="J414" i="1" s="1"/>
  <c r="J400" i="1"/>
  <c r="G42" i="1"/>
  <c r="G52" i="1" s="1"/>
  <c r="H42" i="1"/>
  <c r="H52" i="1" s="1"/>
  <c r="I42" i="1"/>
  <c r="I52" i="1" s="1"/>
  <c r="J42" i="1"/>
  <c r="J52" i="1" s="1"/>
  <c r="K42" i="1"/>
  <c r="K52" i="1" s="1"/>
  <c r="L42" i="1"/>
  <c r="L52" i="1" s="1"/>
  <c r="M42" i="1"/>
  <c r="M52" i="1" s="1"/>
  <c r="N42" i="1"/>
  <c r="N52" i="1" s="1"/>
  <c r="O42" i="1"/>
  <c r="O52" i="1" s="1"/>
  <c r="P42" i="1"/>
  <c r="P52" i="1" s="1"/>
  <c r="Q42" i="1"/>
  <c r="Q52" i="1" s="1"/>
  <c r="R42" i="1"/>
  <c r="R52" i="1" s="1"/>
  <c r="S42" i="1"/>
  <c r="S52" i="1" s="1"/>
  <c r="T42" i="1"/>
  <c r="T52" i="1" s="1"/>
  <c r="U42" i="1"/>
  <c r="U52" i="1" s="1"/>
  <c r="V42" i="1"/>
  <c r="V52" i="1" s="1"/>
  <c r="W42" i="1"/>
  <c r="W52" i="1" s="1"/>
  <c r="X42" i="1"/>
  <c r="X52" i="1" s="1"/>
  <c r="Y42" i="1"/>
  <c r="Y52" i="1" s="1"/>
  <c r="Z42" i="1"/>
  <c r="Z52" i="1" s="1"/>
  <c r="AA42" i="1"/>
  <c r="AA52" i="1" s="1"/>
  <c r="F42" i="1"/>
  <c r="F52" i="1" s="1"/>
  <c r="E299" i="1"/>
  <c r="E278" i="1"/>
  <c r="F445" i="1" l="1"/>
  <c r="F449" i="1" s="1"/>
  <c r="R404" i="1"/>
  <c r="R445" i="1"/>
  <c r="R449" i="1" s="1"/>
  <c r="Z404" i="1"/>
  <c r="Z445" i="1"/>
  <c r="Z449" i="1" s="1"/>
  <c r="S404" i="1"/>
  <c r="P404" i="1"/>
  <c r="P445" i="1"/>
  <c r="P449" i="1" s="1"/>
  <c r="U404" i="1"/>
  <c r="N404" i="1"/>
  <c r="N445" i="1"/>
  <c r="N449" i="1" s="1"/>
  <c r="V404" i="1"/>
  <c r="V445" i="1"/>
  <c r="V449" i="1" s="1"/>
  <c r="G404" i="1"/>
  <c r="G445" i="1"/>
  <c r="G449" i="1" s="1"/>
  <c r="AJ400" i="1"/>
  <c r="O404" i="1"/>
  <c r="W404" i="1"/>
  <c r="H404" i="1"/>
  <c r="H445" i="1"/>
  <c r="H449" i="1" s="1"/>
  <c r="T404" i="1"/>
  <c r="T445" i="1"/>
  <c r="T449" i="1" s="1"/>
  <c r="I445" i="1"/>
  <c r="I449" i="1" s="1"/>
  <c r="I404" i="1"/>
  <c r="Q404" i="1"/>
  <c r="Y404" i="1"/>
  <c r="J404" i="1"/>
  <c r="J445" i="1"/>
  <c r="J449" i="1" s="1"/>
  <c r="K404" i="1"/>
  <c r="AA404" i="1"/>
  <c r="X404" i="1"/>
  <c r="X445" i="1"/>
  <c r="X449" i="1" s="1"/>
  <c r="M404" i="1"/>
  <c r="L404" i="1"/>
  <c r="L445" i="1"/>
  <c r="L449" i="1" s="1"/>
  <c r="AJ410" i="1"/>
  <c r="G414" i="1"/>
  <c r="AJ414" i="1" s="1"/>
  <c r="AJ8" i="1"/>
  <c r="AJ404" i="1" l="1"/>
  <c r="F299" i="1"/>
  <c r="G299" i="1"/>
  <c r="H299" i="1"/>
  <c r="I299" i="1"/>
  <c r="J299" i="1"/>
  <c r="K299" i="1"/>
  <c r="L299" i="1"/>
  <c r="N299" i="1"/>
  <c r="P299" i="1"/>
  <c r="R299" i="1"/>
  <c r="T299" i="1"/>
  <c r="V299" i="1"/>
  <c r="X299" i="1"/>
  <c r="Z299" i="1"/>
  <c r="AJ381" i="1" l="1"/>
  <c r="AJ9" i="1"/>
  <c r="AJ10" i="1"/>
  <c r="K103" i="1" l="1"/>
  <c r="L103" i="1"/>
  <c r="M103" i="1"/>
  <c r="N103" i="1"/>
  <c r="O103" i="1"/>
  <c r="P103" i="1"/>
  <c r="Q103" i="1"/>
  <c r="R103" i="1"/>
  <c r="S103" i="1"/>
  <c r="T103" i="1"/>
  <c r="U103" i="1"/>
  <c r="V103" i="1"/>
  <c r="W103" i="1"/>
  <c r="X103" i="1"/>
  <c r="Y103" i="1"/>
  <c r="Z103" i="1"/>
  <c r="AA103" i="1"/>
  <c r="J103" i="1"/>
  <c r="Y444" i="1" l="1"/>
  <c r="Y445" i="1"/>
  <c r="Y449" i="1" s="1"/>
  <c r="U444" i="1"/>
  <c r="U445" i="1"/>
  <c r="U449" i="1" s="1"/>
  <c r="Q444" i="1"/>
  <c r="Q445" i="1"/>
  <c r="Q449" i="1" s="1"/>
  <c r="M444" i="1"/>
  <c r="M445" i="1"/>
  <c r="M449" i="1" s="1"/>
  <c r="AA444" i="1"/>
  <c r="AA445" i="1"/>
  <c r="AA449" i="1" s="1"/>
  <c r="W444" i="1"/>
  <c r="W445" i="1"/>
  <c r="W449" i="1" s="1"/>
  <c r="S444" i="1"/>
  <c r="S445" i="1"/>
  <c r="S449" i="1" s="1"/>
  <c r="O444" i="1"/>
  <c r="O445" i="1"/>
  <c r="O449" i="1" s="1"/>
  <c r="K444" i="1"/>
  <c r="AJ440" i="1"/>
  <c r="K445" i="1"/>
  <c r="AM325" i="1"/>
  <c r="AM324" i="1"/>
  <c r="E326" i="1"/>
  <c r="F326" i="1"/>
  <c r="G326" i="1"/>
  <c r="H326" i="1"/>
  <c r="I326" i="1"/>
  <c r="J326" i="1"/>
  <c r="K326" i="1"/>
  <c r="L326" i="1"/>
  <c r="M326" i="1"/>
  <c r="N326" i="1"/>
  <c r="O326" i="1"/>
  <c r="P326" i="1"/>
  <c r="Q326" i="1"/>
  <c r="R326" i="1"/>
  <c r="S326" i="1"/>
  <c r="T326" i="1"/>
  <c r="U326" i="1"/>
  <c r="V326" i="1"/>
  <c r="W326" i="1"/>
  <c r="X326" i="1"/>
  <c r="Y326" i="1"/>
  <c r="Z326" i="1"/>
  <c r="AA326" i="1"/>
  <c r="E333" i="1"/>
  <c r="F333" i="1"/>
  <c r="G333" i="1"/>
  <c r="H333" i="1"/>
  <c r="I333" i="1"/>
  <c r="J333" i="1"/>
  <c r="K333" i="1"/>
  <c r="L333" i="1"/>
  <c r="M333" i="1"/>
  <c r="N333" i="1"/>
  <c r="O333" i="1"/>
  <c r="P333" i="1"/>
  <c r="Q333" i="1"/>
  <c r="R333" i="1"/>
  <c r="S333" i="1"/>
  <c r="T333" i="1"/>
  <c r="U333" i="1"/>
  <c r="V333" i="1"/>
  <c r="W333" i="1"/>
  <c r="X333" i="1"/>
  <c r="Y333" i="1"/>
  <c r="Z333" i="1"/>
  <c r="AA333" i="1"/>
  <c r="K449" i="1" l="1"/>
  <c r="AJ449" i="1" s="1"/>
  <c r="AJ445" i="1"/>
  <c r="AJ444" i="1"/>
  <c r="AK8" i="1"/>
  <c r="AK9" i="1"/>
  <c r="G374" i="1" l="1"/>
  <c r="H374" i="1"/>
  <c r="I374" i="1"/>
  <c r="J374" i="1"/>
  <c r="K374" i="1"/>
  <c r="L374" i="1"/>
  <c r="M374" i="1"/>
  <c r="N374" i="1"/>
  <c r="O374" i="1"/>
  <c r="P374" i="1"/>
  <c r="Q374" i="1"/>
  <c r="R374" i="1"/>
  <c r="S374" i="1"/>
  <c r="T374" i="1"/>
  <c r="U374" i="1"/>
  <c r="V374" i="1"/>
  <c r="W374" i="1"/>
  <c r="X374" i="1"/>
  <c r="Y374" i="1"/>
  <c r="Z374" i="1"/>
  <c r="AA374" i="1"/>
  <c r="W376" i="1"/>
  <c r="AJ341" i="1"/>
  <c r="AJ342" i="1"/>
  <c r="AJ343" i="1"/>
  <c r="AJ344" i="1"/>
  <c r="AJ345" i="1"/>
  <c r="E338" i="1"/>
  <c r="F338" i="1"/>
  <c r="G338" i="1"/>
  <c r="H338" i="1"/>
  <c r="I338" i="1"/>
  <c r="J338" i="1"/>
  <c r="K338" i="1"/>
  <c r="L338" i="1"/>
  <c r="M338" i="1"/>
  <c r="N338" i="1"/>
  <c r="O338" i="1"/>
  <c r="P338" i="1"/>
  <c r="Q338" i="1"/>
  <c r="R338" i="1"/>
  <c r="S338" i="1"/>
  <c r="T338" i="1"/>
  <c r="U338" i="1"/>
  <c r="V338" i="1"/>
  <c r="W338" i="1"/>
  <c r="X338" i="1"/>
  <c r="Y338" i="1"/>
  <c r="Z338" i="1"/>
  <c r="AA338" i="1"/>
  <c r="D338" i="1"/>
  <c r="AJ288" i="1"/>
  <c r="AJ287" i="1"/>
  <c r="AJ291" i="1"/>
  <c r="AJ290" i="1"/>
  <c r="AJ285" i="1"/>
  <c r="AJ286" i="1"/>
  <c r="AJ260" i="1"/>
  <c r="AJ261" i="1"/>
  <c r="AJ131" i="1"/>
  <c r="AJ132" i="1"/>
  <c r="AJ133" i="1"/>
  <c r="AJ134" i="1"/>
  <c r="AJ130" i="1"/>
  <c r="AJ129" i="1"/>
  <c r="AJ123" i="1"/>
  <c r="AJ125" i="1"/>
  <c r="AJ126" i="1"/>
  <c r="AJ124" i="1"/>
  <c r="AJ117" i="1"/>
  <c r="AJ118" i="1"/>
  <c r="AJ119" i="1"/>
  <c r="AJ120" i="1"/>
  <c r="AJ121" i="1"/>
  <c r="AJ122" i="1"/>
  <c r="AJ114" i="1"/>
  <c r="AJ113" i="1"/>
  <c r="D278" i="1" l="1"/>
  <c r="E337" i="1"/>
  <c r="F337" i="1"/>
  <c r="G337" i="1"/>
  <c r="H337" i="1"/>
  <c r="I337" i="1"/>
  <c r="J337" i="1"/>
  <c r="K337" i="1"/>
  <c r="L337" i="1"/>
  <c r="M337" i="1"/>
  <c r="N337" i="1"/>
  <c r="O337" i="1"/>
  <c r="P337" i="1"/>
  <c r="Q337" i="1"/>
  <c r="R337" i="1"/>
  <c r="S337" i="1"/>
  <c r="T337" i="1"/>
  <c r="U337" i="1"/>
  <c r="V337" i="1"/>
  <c r="W337" i="1"/>
  <c r="X337" i="1"/>
  <c r="Y337" i="1"/>
  <c r="Z337" i="1"/>
  <c r="AA337" i="1"/>
  <c r="AN338" i="1"/>
  <c r="AL338" i="1"/>
  <c r="D333" i="1"/>
  <c r="AK237" i="1" l="1"/>
  <c r="AK238" i="1"/>
  <c r="AK235" i="1"/>
  <c r="AK226" i="1"/>
  <c r="AK217" i="1"/>
  <c r="AK215" i="1"/>
  <c r="AK212" i="1"/>
  <c r="AK208" i="1"/>
  <c r="AK206" i="1"/>
  <c r="E221" i="1"/>
  <c r="F221" i="1"/>
  <c r="G221" i="1"/>
  <c r="H221" i="1"/>
  <c r="I221" i="1"/>
  <c r="J221" i="1"/>
  <c r="K221" i="1"/>
  <c r="L221" i="1"/>
  <c r="M221" i="1"/>
  <c r="N221" i="1"/>
  <c r="O221" i="1"/>
  <c r="P221" i="1"/>
  <c r="Q221" i="1"/>
  <c r="R221" i="1"/>
  <c r="S221" i="1"/>
  <c r="T221" i="1"/>
  <c r="U221" i="1"/>
  <c r="V221" i="1"/>
  <c r="W221" i="1"/>
  <c r="X221" i="1"/>
  <c r="Y221" i="1"/>
  <c r="Z221" i="1"/>
  <c r="AA221" i="1"/>
  <c r="D221" i="1"/>
  <c r="E203" i="1"/>
  <c r="F203" i="1"/>
  <c r="G203" i="1"/>
  <c r="H203" i="1"/>
  <c r="I203" i="1"/>
  <c r="J203" i="1"/>
  <c r="K203" i="1"/>
  <c r="L203" i="1"/>
  <c r="M203" i="1"/>
  <c r="N203" i="1"/>
  <c r="O203" i="1"/>
  <c r="P203" i="1"/>
  <c r="Q203" i="1"/>
  <c r="R203" i="1"/>
  <c r="S203" i="1"/>
  <c r="T203" i="1"/>
  <c r="U203" i="1"/>
  <c r="V203" i="1"/>
  <c r="W203" i="1"/>
  <c r="X203" i="1"/>
  <c r="Y203" i="1"/>
  <c r="Z203" i="1"/>
  <c r="AA203" i="1"/>
  <c r="D203" i="1"/>
  <c r="AA223" i="1"/>
  <c r="Z223" i="1"/>
  <c r="Y223" i="1"/>
  <c r="X223" i="1"/>
  <c r="W223" i="1"/>
  <c r="V223" i="1"/>
  <c r="U223" i="1"/>
  <c r="T223" i="1"/>
  <c r="S223" i="1"/>
  <c r="R223" i="1"/>
  <c r="Q223" i="1"/>
  <c r="P223" i="1"/>
  <c r="O223" i="1"/>
  <c r="N223" i="1"/>
  <c r="M223" i="1"/>
  <c r="L223" i="1"/>
  <c r="K223" i="1"/>
  <c r="J223" i="1"/>
  <c r="I223" i="1"/>
  <c r="H223" i="1"/>
  <c r="G223" i="1"/>
  <c r="F223" i="1"/>
  <c r="E223" i="1"/>
  <c r="D223" i="1"/>
  <c r="AA214" i="1"/>
  <c r="Z214" i="1"/>
  <c r="Y214" i="1"/>
  <c r="X214" i="1"/>
  <c r="W214" i="1"/>
  <c r="V214" i="1"/>
  <c r="U214" i="1"/>
  <c r="T214" i="1"/>
  <c r="S214" i="1"/>
  <c r="R214" i="1"/>
  <c r="Q214" i="1"/>
  <c r="P214" i="1"/>
  <c r="O214" i="1"/>
  <c r="N214" i="1"/>
  <c r="M214" i="1"/>
  <c r="L214" i="1"/>
  <c r="K214" i="1"/>
  <c r="J214" i="1"/>
  <c r="I214" i="1"/>
  <c r="H214" i="1"/>
  <c r="G214" i="1"/>
  <c r="F214" i="1"/>
  <c r="E214" i="1"/>
  <c r="D214" i="1"/>
  <c r="AJ212" i="1"/>
  <c r="AA205" i="1"/>
  <c r="Z205" i="1"/>
  <c r="Y205" i="1"/>
  <c r="X205" i="1"/>
  <c r="W205" i="1"/>
  <c r="V205" i="1"/>
  <c r="U205" i="1"/>
  <c r="T205" i="1"/>
  <c r="S205" i="1"/>
  <c r="R205" i="1"/>
  <c r="Q205" i="1"/>
  <c r="P205" i="1"/>
  <c r="O205" i="1"/>
  <c r="N205" i="1"/>
  <c r="M205" i="1"/>
  <c r="L205" i="1"/>
  <c r="K205" i="1"/>
  <c r="J205" i="1"/>
  <c r="I205" i="1"/>
  <c r="H205" i="1"/>
  <c r="G205" i="1"/>
  <c r="F205" i="1"/>
  <c r="E205" i="1"/>
  <c r="D205" i="1"/>
  <c r="AK224" i="1"/>
  <c r="AK199" i="1"/>
  <c r="AK197" i="1"/>
  <c r="E196" i="1"/>
  <c r="F196" i="1"/>
  <c r="G196" i="1"/>
  <c r="H196" i="1"/>
  <c r="I196" i="1"/>
  <c r="J196" i="1"/>
  <c r="K196" i="1"/>
  <c r="L196" i="1"/>
  <c r="M196" i="1"/>
  <c r="N196" i="1"/>
  <c r="O196" i="1"/>
  <c r="P196" i="1"/>
  <c r="Q196" i="1"/>
  <c r="R196" i="1"/>
  <c r="S196" i="1"/>
  <c r="T196" i="1"/>
  <c r="U196" i="1"/>
  <c r="V196" i="1"/>
  <c r="W196" i="1"/>
  <c r="X196" i="1"/>
  <c r="Y196" i="1"/>
  <c r="Z196" i="1"/>
  <c r="AA196" i="1"/>
  <c r="E194" i="1"/>
  <c r="F194" i="1"/>
  <c r="G194" i="1"/>
  <c r="H194" i="1"/>
  <c r="I194" i="1"/>
  <c r="J194" i="1"/>
  <c r="K194" i="1"/>
  <c r="L194" i="1"/>
  <c r="M194" i="1"/>
  <c r="N194" i="1"/>
  <c r="O194" i="1"/>
  <c r="P194" i="1"/>
  <c r="Q194" i="1"/>
  <c r="R194" i="1"/>
  <c r="S194" i="1"/>
  <c r="T194" i="1"/>
  <c r="U194" i="1"/>
  <c r="V194" i="1"/>
  <c r="W194" i="1"/>
  <c r="X194" i="1"/>
  <c r="Y194" i="1"/>
  <c r="Z194" i="1"/>
  <c r="AA194" i="1"/>
  <c r="D18" i="1"/>
  <c r="E18" i="1"/>
  <c r="AJ16" i="1"/>
  <c r="AJ17" i="1"/>
  <c r="AJ15" i="1"/>
  <c r="AJ12" i="1"/>
  <c r="AJ13" i="1"/>
  <c r="AJ194" i="1"/>
  <c r="D194" i="1"/>
  <c r="D14" i="1"/>
  <c r="E14" i="1"/>
  <c r="AJ232" i="1"/>
  <c r="AJ213" i="1"/>
  <c r="AJ215" i="1"/>
  <c r="AJ216" i="1"/>
  <c r="AJ217" i="1"/>
  <c r="AJ218" i="1"/>
  <c r="AJ219" i="1"/>
  <c r="AJ220" i="1"/>
  <c r="AJ222" i="1"/>
  <c r="AJ224" i="1"/>
  <c r="AJ225" i="1"/>
  <c r="AJ226" i="1"/>
  <c r="AJ227" i="1"/>
  <c r="AJ228" i="1"/>
  <c r="AJ229" i="1"/>
  <c r="AJ211" i="1"/>
  <c r="AJ204" i="1"/>
  <c r="AJ206" i="1"/>
  <c r="AJ207" i="1"/>
  <c r="AJ208" i="1"/>
  <c r="AJ209" i="1"/>
  <c r="AJ210" i="1"/>
  <c r="AJ202" i="1"/>
  <c r="D196" i="1"/>
  <c r="AJ197" i="1"/>
  <c r="AJ198" i="1"/>
  <c r="AJ199" i="1"/>
  <c r="AJ200" i="1"/>
  <c r="AJ201" i="1"/>
  <c r="G14" i="1"/>
  <c r="H14" i="1"/>
  <c r="I14" i="1"/>
  <c r="J14" i="1"/>
  <c r="K14" i="1"/>
  <c r="L14" i="1"/>
  <c r="M14" i="1"/>
  <c r="N14" i="1"/>
  <c r="O14" i="1"/>
  <c r="P14" i="1"/>
  <c r="Q14" i="1"/>
  <c r="R14" i="1"/>
  <c r="S14" i="1"/>
  <c r="T14" i="1"/>
  <c r="U14" i="1"/>
  <c r="V14" i="1"/>
  <c r="W14" i="1"/>
  <c r="X14" i="1"/>
  <c r="Y14" i="1"/>
  <c r="Z14" i="1"/>
  <c r="AA14" i="1"/>
  <c r="M178" i="1"/>
  <c r="F14" i="1"/>
  <c r="AJ18" i="1" l="1"/>
  <c r="AJ214" i="1"/>
  <c r="AJ223" i="1"/>
  <c r="AK176" i="1"/>
  <c r="AJ205" i="1"/>
  <c r="AK221" i="1"/>
  <c r="AL221" i="1" s="1"/>
  <c r="AJ203" i="1"/>
  <c r="AJ338" i="1"/>
  <c r="AK203" i="1"/>
  <c r="AL203" i="1" s="1"/>
  <c r="AJ14" i="1"/>
  <c r="AK194" i="1"/>
  <c r="AL194" i="1" s="1"/>
  <c r="AJ221" i="1"/>
  <c r="AL212" i="1"/>
  <c r="AK232" i="1"/>
  <c r="AK230" i="1"/>
  <c r="AJ196" i="1"/>
  <c r="AK184" i="1"/>
  <c r="AK168" i="1"/>
  <c r="AJ186" i="1"/>
  <c r="AJ170" i="1"/>
  <c r="AJ178" i="1"/>
  <c r="AK16" i="1"/>
  <c r="AK15" i="1"/>
  <c r="AK12" i="1"/>
  <c r="AK11" i="1"/>
  <c r="G18" i="1"/>
  <c r="H18" i="1"/>
  <c r="I18" i="1"/>
  <c r="J18" i="1"/>
  <c r="K18" i="1"/>
  <c r="L18" i="1"/>
  <c r="M18" i="1"/>
  <c r="N18" i="1"/>
  <c r="O18" i="1"/>
  <c r="P18" i="1"/>
  <c r="Q18" i="1"/>
  <c r="R18" i="1"/>
  <c r="S18" i="1"/>
  <c r="T18" i="1"/>
  <c r="U18" i="1"/>
  <c r="V18" i="1"/>
  <c r="W18" i="1"/>
  <c r="X18" i="1"/>
  <c r="Y18" i="1"/>
  <c r="Z18" i="1"/>
  <c r="AA18" i="1"/>
  <c r="F18" i="1"/>
  <c r="AK266" i="1" l="1"/>
  <c r="AK378" i="1" l="1"/>
  <c r="AK152" i="1"/>
  <c r="AM377" i="1"/>
  <c r="AK375" i="1"/>
  <c r="AK373" i="1"/>
  <c r="AK369" i="1"/>
  <c r="AK355" i="1"/>
  <c r="F305" i="4"/>
  <c r="E309" i="1"/>
  <c r="F309" i="1"/>
  <c r="G309" i="1"/>
  <c r="H309" i="1"/>
  <c r="I309" i="1"/>
  <c r="J309" i="1"/>
  <c r="K309" i="1"/>
  <c r="L309" i="1"/>
  <c r="M309" i="1"/>
  <c r="N309" i="1"/>
  <c r="O309" i="1"/>
  <c r="P309" i="1"/>
  <c r="Q309" i="1"/>
  <c r="R309" i="1"/>
  <c r="S309" i="1"/>
  <c r="T309" i="1"/>
  <c r="U309" i="1"/>
  <c r="V309" i="1"/>
  <c r="W309" i="1"/>
  <c r="X309" i="1"/>
  <c r="Y309" i="1"/>
  <c r="AK325" i="1"/>
  <c r="AK324" i="1"/>
  <c r="AJ327" i="1" l="1"/>
  <c r="AJ328" i="1"/>
  <c r="AJ330" i="1"/>
  <c r="AJ331" i="1"/>
  <c r="AJ332" i="1"/>
  <c r="AJ334" i="1"/>
  <c r="AJ323" i="1"/>
  <c r="AJ324" i="1"/>
  <c r="AJ325" i="1"/>
  <c r="AJ333" i="1" l="1"/>
  <c r="AK333" i="1"/>
  <c r="E322" i="1" l="1"/>
  <c r="F322" i="1"/>
  <c r="G322" i="1"/>
  <c r="H322" i="1"/>
  <c r="I322" i="1"/>
  <c r="J322" i="1"/>
  <c r="K322" i="1"/>
  <c r="L322" i="1"/>
  <c r="M322" i="1"/>
  <c r="N322" i="1"/>
  <c r="O322" i="1"/>
  <c r="P322" i="1"/>
  <c r="Q322" i="1"/>
  <c r="R322" i="1"/>
  <c r="S322" i="1"/>
  <c r="T322" i="1"/>
  <c r="U322" i="1"/>
  <c r="V322" i="1"/>
  <c r="W322" i="1"/>
  <c r="X322" i="1"/>
  <c r="Y322" i="1"/>
  <c r="D309" i="1"/>
  <c r="AK156" i="1" s="1"/>
  <c r="AJ300" i="1"/>
  <c r="AJ301" i="1"/>
  <c r="AJ302" i="1"/>
  <c r="AJ303" i="1"/>
  <c r="AJ304" i="1"/>
  <c r="AJ305" i="1"/>
  <c r="AK308" i="1" l="1"/>
  <c r="AK291" i="1"/>
  <c r="AK290" i="1"/>
  <c r="AK288" i="1"/>
  <c r="AK287" i="1"/>
  <c r="AM283" i="1" l="1"/>
  <c r="AM282" i="1"/>
  <c r="AK249" i="1"/>
  <c r="D272" i="1"/>
  <c r="D275" i="1"/>
  <c r="AM274" i="1"/>
  <c r="AM273" i="1"/>
  <c r="AK273" i="1"/>
  <c r="AK274" i="1"/>
  <c r="AK271" i="1"/>
  <c r="AK270" i="1"/>
  <c r="AK268" i="1"/>
  <c r="E275" i="1"/>
  <c r="E272" i="1"/>
  <c r="AK264" i="1"/>
  <c r="AK262" i="1"/>
  <c r="AK260" i="1"/>
  <c r="AK275" i="1" l="1"/>
  <c r="AM275" i="1"/>
  <c r="AJ275" i="1"/>
  <c r="AM249" i="1" l="1"/>
  <c r="AN248" i="1" s="1"/>
  <c r="AK256" i="1"/>
  <c r="AK254" i="1"/>
  <c r="AK154" i="1"/>
  <c r="AK153" i="1"/>
  <c r="K128" i="1"/>
  <c r="L128" i="1"/>
  <c r="M128" i="1"/>
  <c r="N128" i="1"/>
  <c r="O128" i="1"/>
  <c r="P128" i="1"/>
  <c r="Q128" i="1"/>
  <c r="R128" i="1"/>
  <c r="S128" i="1"/>
  <c r="T128" i="1"/>
  <c r="U128" i="1"/>
  <c r="V128" i="1"/>
  <c r="W128" i="1"/>
  <c r="X128" i="1"/>
  <c r="Y128" i="1"/>
  <c r="Z128" i="1"/>
  <c r="AA128" i="1"/>
  <c r="J128" i="1"/>
  <c r="K116" i="1"/>
  <c r="L116" i="1"/>
  <c r="M116" i="1"/>
  <c r="N116" i="1"/>
  <c r="O116" i="1"/>
  <c r="P116" i="1"/>
  <c r="Q116" i="1"/>
  <c r="R116" i="1"/>
  <c r="S116" i="1"/>
  <c r="T116" i="1"/>
  <c r="U116" i="1"/>
  <c r="V116" i="1"/>
  <c r="W116" i="1"/>
  <c r="X116" i="1"/>
  <c r="Y116" i="1"/>
  <c r="Z116" i="1"/>
  <c r="AA116" i="1"/>
  <c r="AK112" i="1"/>
  <c r="AK48" i="1"/>
  <c r="AK46" i="1"/>
  <c r="AK44" i="1"/>
  <c r="AK42" i="1"/>
  <c r="AK40" i="1"/>
  <c r="AK38" i="1"/>
  <c r="AK36" i="1"/>
  <c r="AK34" i="1"/>
  <c r="AK27" i="1"/>
  <c r="AM24" i="1"/>
  <c r="AK22" i="1"/>
  <c r="AJ128" i="1" l="1"/>
  <c r="AK137" i="1"/>
  <c r="AJ339" i="1" l="1"/>
  <c r="D337" i="1"/>
  <c r="AK336" i="1" s="1"/>
  <c r="AJ335" i="1"/>
  <c r="E329" i="1"/>
  <c r="F329" i="1"/>
  <c r="G329" i="1"/>
  <c r="H329" i="1"/>
  <c r="J329" i="1"/>
  <c r="K329" i="1"/>
  <c r="L329" i="1"/>
  <c r="M329" i="1"/>
  <c r="N329" i="1"/>
  <c r="O329" i="1"/>
  <c r="P329" i="1"/>
  <c r="Q329" i="1"/>
  <c r="R329" i="1"/>
  <c r="S329" i="1"/>
  <c r="T329" i="1"/>
  <c r="U329" i="1"/>
  <c r="V329" i="1"/>
  <c r="W329" i="1"/>
  <c r="X329" i="1"/>
  <c r="Y329" i="1"/>
  <c r="Z329" i="1"/>
  <c r="AA329" i="1"/>
  <c r="D326" i="1"/>
  <c r="AK334" i="1" s="1"/>
  <c r="AJ336" i="1"/>
  <c r="J116" i="1"/>
  <c r="AK116" i="1" s="1"/>
  <c r="D299" i="1"/>
  <c r="AJ308" i="1"/>
  <c r="AK278" i="1" l="1"/>
  <c r="AK282" i="1"/>
  <c r="I329" i="1"/>
  <c r="D329" i="1"/>
  <c r="AJ326" i="1"/>
  <c r="AJ340" i="1"/>
  <c r="AJ337" i="1"/>
  <c r="AJ329" i="1" l="1"/>
  <c r="AK329" i="1"/>
  <c r="AK337" i="1"/>
  <c r="AM329" i="1"/>
  <c r="AN324" i="1" s="1"/>
  <c r="AJ373" i="1"/>
  <c r="AJ375" i="1"/>
  <c r="AJ377" i="1"/>
  <c r="AJ378" i="1"/>
  <c r="F379" i="1"/>
  <c r="G379" i="1"/>
  <c r="H379" i="1"/>
  <c r="I379" i="1"/>
  <c r="J379" i="1"/>
  <c r="K379" i="1"/>
  <c r="L379" i="1"/>
  <c r="M379" i="1"/>
  <c r="N379" i="1"/>
  <c r="O379" i="1"/>
  <c r="P379" i="1"/>
  <c r="Q379" i="1"/>
  <c r="R379" i="1"/>
  <c r="S379" i="1"/>
  <c r="T379" i="1"/>
  <c r="U379" i="1"/>
  <c r="V379" i="1"/>
  <c r="W379" i="1"/>
  <c r="X379" i="1"/>
  <c r="Y379" i="1"/>
  <c r="Z379" i="1"/>
  <c r="AA379" i="1"/>
  <c r="F376" i="1"/>
  <c r="G376" i="1"/>
  <c r="H376" i="1"/>
  <c r="I376" i="1"/>
  <c r="J376" i="1"/>
  <c r="K376" i="1"/>
  <c r="L376" i="1"/>
  <c r="M376" i="1"/>
  <c r="N376" i="1"/>
  <c r="O376" i="1"/>
  <c r="P376" i="1"/>
  <c r="Q376" i="1"/>
  <c r="R376" i="1"/>
  <c r="S376" i="1"/>
  <c r="T376" i="1"/>
  <c r="U376" i="1"/>
  <c r="V376" i="1"/>
  <c r="X376" i="1"/>
  <c r="Y376" i="1"/>
  <c r="Z376" i="1"/>
  <c r="AA376" i="1"/>
  <c r="F374" i="1"/>
  <c r="AK374" i="1" s="1"/>
  <c r="AM372" i="1"/>
  <c r="AJ370" i="1"/>
  <c r="AJ369" i="1"/>
  <c r="AJ195" i="1"/>
  <c r="AJ230" i="1"/>
  <c r="AJ278" i="1"/>
  <c r="AJ267" i="1"/>
  <c r="AJ268" i="1"/>
  <c r="AJ269" i="1"/>
  <c r="AJ270" i="1"/>
  <c r="AJ271" i="1"/>
  <c r="AJ273" i="1"/>
  <c r="AJ274" i="1"/>
  <c r="AJ276" i="1"/>
  <c r="AJ277" i="1"/>
  <c r="AJ256" i="1"/>
  <c r="AJ257" i="1"/>
  <c r="AJ258" i="1"/>
  <c r="AJ259" i="1"/>
  <c r="AJ262" i="1"/>
  <c r="AJ263" i="1"/>
  <c r="AJ264" i="1"/>
  <c r="AJ265" i="1"/>
  <c r="AJ266" i="1"/>
  <c r="AJ254" i="1"/>
  <c r="AJ272" i="1"/>
  <c r="AM381" i="1" l="1"/>
  <c r="AN369" i="1"/>
  <c r="AK379" i="1"/>
  <c r="AL369" i="1" s="1"/>
  <c r="AJ372" i="1"/>
  <c r="AJ374" i="1"/>
  <c r="AJ379" i="1"/>
  <c r="AJ376" i="1"/>
  <c r="Y284" i="1"/>
  <c r="W284" i="1"/>
  <c r="U284" i="1"/>
  <c r="S284" i="1"/>
  <c r="Q284" i="1"/>
  <c r="O284" i="1"/>
  <c r="M284" i="1"/>
  <c r="K284" i="1"/>
  <c r="AJ284" i="1" l="1"/>
  <c r="Y253" i="1"/>
  <c r="W253" i="1"/>
  <c r="U253" i="1"/>
  <c r="S253" i="1"/>
  <c r="Q253" i="1"/>
  <c r="O253" i="1"/>
  <c r="M253" i="1"/>
  <c r="K253" i="1"/>
  <c r="Y252" i="1"/>
  <c r="W252" i="1"/>
  <c r="U252" i="1"/>
  <c r="S252" i="1"/>
  <c r="Q252" i="1"/>
  <c r="O252" i="1"/>
  <c r="M252" i="1"/>
  <c r="K252" i="1"/>
  <c r="AJ252" i="1" l="1"/>
  <c r="AJ253" i="1"/>
  <c r="AJ356" i="1" l="1"/>
  <c r="AJ357" i="1"/>
  <c r="AJ358" i="1"/>
  <c r="AJ359" i="1"/>
  <c r="D360" i="1" l="1"/>
  <c r="E360" i="1"/>
  <c r="F360" i="1"/>
  <c r="G360" i="1"/>
  <c r="H360" i="1"/>
  <c r="I360" i="1"/>
  <c r="J360" i="1"/>
  <c r="K360" i="1"/>
  <c r="L360" i="1"/>
  <c r="M360" i="1"/>
  <c r="N360" i="1"/>
  <c r="O360" i="1"/>
  <c r="P360" i="1"/>
  <c r="Q360" i="1"/>
  <c r="R360" i="1"/>
  <c r="S360" i="1"/>
  <c r="T360" i="1"/>
  <c r="U360" i="1"/>
  <c r="V360" i="1"/>
  <c r="W360" i="1"/>
  <c r="X360" i="1"/>
  <c r="Y360" i="1"/>
  <c r="Z360" i="1"/>
  <c r="AA360" i="1"/>
  <c r="AN349" i="1" l="1"/>
  <c r="AJ306" i="1" l="1"/>
  <c r="AJ310" i="1"/>
  <c r="AJ311" i="1"/>
  <c r="AJ312" i="1"/>
  <c r="AJ313" i="1"/>
  <c r="AJ314" i="1"/>
  <c r="AJ315" i="1"/>
  <c r="AJ316" i="1"/>
  <c r="AJ317" i="1"/>
  <c r="AJ318" i="1"/>
  <c r="AJ319" i="1"/>
  <c r="AJ320" i="1"/>
  <c r="AJ321" i="1"/>
  <c r="AJ349" i="1"/>
  <c r="AJ350" i="1"/>
  <c r="AJ351" i="1"/>
  <c r="AJ352" i="1"/>
  <c r="AJ353" i="1"/>
  <c r="AJ354" i="1"/>
  <c r="AJ355" i="1"/>
  <c r="D322" i="1"/>
  <c r="AK309" i="1" l="1"/>
  <c r="AJ322" i="1"/>
  <c r="AJ309" i="1"/>
  <c r="AK328" i="1" s="1"/>
  <c r="AL324" i="1" s="1"/>
  <c r="AK299" i="1"/>
  <c r="AN102" i="1" l="1"/>
  <c r="AN152" i="1"/>
  <c r="AN167" i="1"/>
  <c r="AN194" i="1"/>
  <c r="AM35" i="1"/>
  <c r="AL102" i="1"/>
  <c r="AJ299" i="1"/>
  <c r="AJ360" i="1"/>
  <c r="AJ361" i="1"/>
  <c r="AJ362" i="1"/>
  <c r="AJ363" i="1"/>
  <c r="AJ364" i="1"/>
  <c r="AJ365" i="1"/>
  <c r="AJ366" i="1"/>
  <c r="AJ367" i="1"/>
  <c r="AJ283" i="1"/>
  <c r="AJ289" i="1"/>
  <c r="AM289" i="1" s="1"/>
  <c r="AJ292" i="1"/>
  <c r="AJ293" i="1"/>
  <c r="AJ294" i="1"/>
  <c r="AJ295" i="1"/>
  <c r="AJ282" i="1"/>
  <c r="AJ249" i="1"/>
  <c r="AJ250" i="1"/>
  <c r="AJ251" i="1"/>
  <c r="AJ255" i="1"/>
  <c r="AJ248" i="1"/>
  <c r="AJ231" i="1"/>
  <c r="AJ233" i="1"/>
  <c r="AJ234" i="1"/>
  <c r="AK234" i="1" s="1"/>
  <c r="AJ235" i="1"/>
  <c r="AJ236" i="1"/>
  <c r="AJ237" i="1"/>
  <c r="AJ238" i="1"/>
  <c r="AJ239" i="1"/>
  <c r="AJ240" i="1"/>
  <c r="AJ241" i="1"/>
  <c r="AJ242" i="1"/>
  <c r="AJ243" i="1"/>
  <c r="AJ244" i="1"/>
  <c r="AJ168" i="1"/>
  <c r="AJ169" i="1"/>
  <c r="AJ172" i="1"/>
  <c r="AJ173" i="1"/>
  <c r="AJ174" i="1"/>
  <c r="AJ175" i="1"/>
  <c r="AJ176" i="1"/>
  <c r="AJ177" i="1"/>
  <c r="AJ180" i="1"/>
  <c r="AJ181" i="1"/>
  <c r="AJ182" i="1"/>
  <c r="AJ183" i="1"/>
  <c r="AJ184" i="1"/>
  <c r="AJ185" i="1"/>
  <c r="AJ188" i="1"/>
  <c r="AJ189" i="1"/>
  <c r="AJ190" i="1"/>
  <c r="AJ167" i="1"/>
  <c r="AJ106" i="1"/>
  <c r="AJ103" i="1"/>
  <c r="AJ104" i="1"/>
  <c r="AJ105" i="1"/>
  <c r="AJ102" i="1"/>
  <c r="AJ115" i="1"/>
  <c r="AJ116" i="1"/>
  <c r="AJ135" i="1"/>
  <c r="AJ136" i="1"/>
  <c r="AJ137" i="1"/>
  <c r="AJ140" i="1"/>
  <c r="AJ141" i="1"/>
  <c r="AJ142" i="1"/>
  <c r="AJ143" i="1"/>
  <c r="AJ144" i="1"/>
  <c r="AJ145" i="1"/>
  <c r="AJ146" i="1"/>
  <c r="AJ112" i="1"/>
  <c r="AJ153" i="1"/>
  <c r="AJ154" i="1"/>
  <c r="AJ155" i="1"/>
  <c r="AJ156" i="1"/>
  <c r="AJ157" i="1"/>
  <c r="AJ158" i="1"/>
  <c r="AJ159" i="1"/>
  <c r="AJ160" i="1"/>
  <c r="AJ161" i="1"/>
  <c r="AJ162" i="1"/>
  <c r="AJ163" i="1"/>
  <c r="AJ152" i="1"/>
  <c r="AJ29" i="1"/>
  <c r="AJ30" i="1"/>
  <c r="AJ31" i="1"/>
  <c r="AJ32" i="1"/>
  <c r="AJ33" i="1"/>
  <c r="AJ34" i="1"/>
  <c r="AJ35" i="1"/>
  <c r="AJ36" i="1"/>
  <c r="AJ37" i="1"/>
  <c r="AJ38" i="1"/>
  <c r="AJ39" i="1"/>
  <c r="AJ40" i="1"/>
  <c r="AJ41" i="1"/>
  <c r="AJ42" i="1"/>
  <c r="AJ43" i="1"/>
  <c r="AJ44" i="1"/>
  <c r="AJ45" i="1"/>
  <c r="AJ46" i="1"/>
  <c r="AJ47" i="1"/>
  <c r="AJ48" i="1"/>
  <c r="AJ49" i="1"/>
  <c r="AJ22" i="1"/>
  <c r="AJ23" i="1"/>
  <c r="AJ24" i="1"/>
  <c r="AK24" i="1" s="1"/>
  <c r="AJ25" i="1"/>
  <c r="AJ27" i="1"/>
  <c r="AJ28" i="1"/>
  <c r="AM294" i="1" l="1"/>
  <c r="AK294" i="1"/>
  <c r="AK236" i="1"/>
  <c r="AM272" i="1"/>
  <c r="AN270" i="1" s="1"/>
  <c r="AL8" i="1"/>
  <c r="AL270" i="1"/>
  <c r="AK283" i="1"/>
  <c r="AK248" i="1"/>
  <c r="AM116" i="1"/>
  <c r="AN112" i="1" s="1"/>
  <c r="AK251" i="1"/>
  <c r="AK52" i="1"/>
  <c r="AK244" i="1"/>
  <c r="AM48" i="1"/>
  <c r="AK135" i="1"/>
  <c r="AL112" i="1" s="1"/>
  <c r="AM32" i="1"/>
  <c r="AK306" i="1"/>
  <c r="AL299" i="1" s="1"/>
  <c r="AM46" i="1"/>
  <c r="AM42" i="1"/>
  <c r="AM38" i="1"/>
  <c r="AK239" i="1"/>
  <c r="AK243" i="1"/>
  <c r="AK32" i="1"/>
  <c r="AL349" i="1"/>
  <c r="AM44" i="1"/>
  <c r="AM36" i="1"/>
  <c r="AJ53" i="1"/>
  <c r="AJ52" i="1"/>
  <c r="AN8" i="1" s="1"/>
  <c r="AK241" i="1"/>
  <c r="AK258" i="1"/>
  <c r="AK250" i="1"/>
  <c r="AM34" i="1"/>
  <c r="AK155" i="1"/>
  <c r="AL152" i="1" s="1"/>
  <c r="AM53" i="1"/>
  <c r="AM27" i="1"/>
  <c r="AM40" i="1"/>
  <c r="AM52" i="1"/>
  <c r="AM306" i="1"/>
  <c r="AN299" i="1" s="1"/>
  <c r="AM295" i="1"/>
  <c r="AK289" i="1"/>
  <c r="AL248" i="1" l="1"/>
  <c r="AL230" i="1"/>
  <c r="AN282" i="1"/>
  <c r="AL282" i="1"/>
  <c r="AL22" i="1"/>
  <c r="AL167" i="1"/>
  <c r="AN22" i="1"/>
  <c r="A476" i="1" l="1"/>
  <c r="AN6" i="1" s="1"/>
  <c r="A454" i="1"/>
  <c r="AL6" i="1" s="1"/>
  <c r="M454" i="1" l="1"/>
</calcChain>
</file>

<file path=xl/sharedStrings.xml><?xml version="1.0" encoding="utf-8"?>
<sst xmlns="http://schemas.openxmlformats.org/spreadsheetml/2006/main" count="2955" uniqueCount="1241">
  <si>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</si>
  <si>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</si>
  <si>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</si>
  <si>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</si>
  <si>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</si>
  <si>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</si>
  <si>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</si>
  <si>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</si>
  <si>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</si>
  <si>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</si>
  <si>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</si>
  <si>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</si>
  <si>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</si>
  <si>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</si>
  <si>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</si>
  <si>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</si>
  <si>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</si>
  <si>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</si>
  <si>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</si>
  <si>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</si>
  <si>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</si>
  <si>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</si>
  <si>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</si>
  <si>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</si>
  <si>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</si>
  <si>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</si>
  <si>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</si>
  <si>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</si>
  <si>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</si>
  <si>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</si>
  <si>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</si>
  <si>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</si>
  <si>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</si>
  <si>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</si>
  <si>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</si>
  <si>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</si>
  <si>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</si>
  <si>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</si>
  <si>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</si>
  <si>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</si>
  <si>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</si>
  <si>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</si>
  <si>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</si>
  <si>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</si>
  <si>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</si>
  <si>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</si>
  <si>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</si>
  <si>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</si>
  <si>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</si>
  <si>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</si>
  <si>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</si>
  <si>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</si>
  <si>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</si>
  <si>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</si>
  <si>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</si>
  <si>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</si>
  <si>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</si>
  <si>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</si>
  <si>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</si>
  <si>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</si>
  <si>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</si>
  <si>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</si>
  <si>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</si>
  <si>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</si>
  <si>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</si>
  <si>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</si>
  <si>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</si>
  <si>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</si>
  <si>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</si>
  <si>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</si>
  <si>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</si>
  <si>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</si>
  <si>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</si>
  <si>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</si>
  <si>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</si>
  <si>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</si>
  <si>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</si>
  <si>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</si>
  <si>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</si>
  <si>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</si>
  <si>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</si>
  <si>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</si>
  <si>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</si>
  <si>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</si>
  <si>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</si>
  <si>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</si>
  <si>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</si>
  <si>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</si>
  <si>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</si>
  <si>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</si>
  <si>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</si>
  <si>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</si>
  <si>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</si>
  <si>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</si>
  <si>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</si>
  <si>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</si>
  <si>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</si>
  <si>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</si>
  <si>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</si>
  <si>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</si>
  <si>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</si>
  <si>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</si>
  <si>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</si>
  <si>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</si>
  <si>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</si>
  <si>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</si>
  <si>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</si>
  <si>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</si>
  <si>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</si>
  <si>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</si>
  <si>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</si>
  <si>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</si>
  <si>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</si>
  <si>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</si>
  <si>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</si>
  <si>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</si>
  <si>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</si>
  <si>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</si>
  <si>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</si>
  <si>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</si>
  <si>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</si>
  <si>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</si>
  <si>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</si>
  <si>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</si>
  <si>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</si>
  <si>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</si>
  <si>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</si>
  <si>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</si>
  <si>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</si>
  <si>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</si>
  <si>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</si>
  <si>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</si>
  <si>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</si>
  <si>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</si>
  <si>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</si>
  <si>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</si>
  <si>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</si>
  <si>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</si>
  <si>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</si>
  <si>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</si>
  <si>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</si>
  <si>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</si>
  <si>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</si>
  <si>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</si>
  <si>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</si>
  <si>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</si>
  <si>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</si>
  <si>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</si>
  <si>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</si>
  <si>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</si>
  <si>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</si>
  <si>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</si>
  <si>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</si>
  <si>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</si>
  <si>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</si>
  <si>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</si>
  <si>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</si>
  <si>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</si>
  <si>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</si>
  <si>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</si>
  <si>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</si>
  <si>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</si>
  <si>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</si>
  <si>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</si>
  <si>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</si>
  <si>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</si>
  <si>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</si>
  <si>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</si>
  <si>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</si>
  <si>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</si>
  <si>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</si>
  <si>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</si>
  <si>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</si>
  <si>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</si>
  <si>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</si>
  <si>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</si>
  <si>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</si>
  <si>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</si>
  <si>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</si>
  <si>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</si>
  <si>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</si>
  <si>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</si>
  <si>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</si>
  <si>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</si>
  <si>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</si>
  <si>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</si>
  <si>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</si>
  <si>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</si>
  <si>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</si>
  <si>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</si>
  <si>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</si>
  <si>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</si>
  <si>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</si>
  <si>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</si>
  <si>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</si>
  <si>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</si>
  <si>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</si>
  <si>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</si>
  <si>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</si>
  <si>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</si>
  <si>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</si>
  <si>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</si>
  <si>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</si>
  <si>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</si>
  <si>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</si>
  <si>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</si>
  <si>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</si>
  <si>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</si>
  <si>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</si>
  <si>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</si>
  <si>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</si>
  <si>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</si>
  <si>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</si>
  <si>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</si>
  <si>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</si>
  <si>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</si>
  <si>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</si>
  <si>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</si>
  <si>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</si>
  <si>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</si>
  <si>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</si>
  <si>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</si>
  <si>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</si>
  <si>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</si>
  <si>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</si>
  <si>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</si>
  <si>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</si>
  <si>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</si>
  <si>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</si>
  <si>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</si>
  <si>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</si>
  <si>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</si>
  <si>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</si>
  <si>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</si>
  <si>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</si>
  <si>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</si>
  <si>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</si>
  <si>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</si>
  <si>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</si>
  <si>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</si>
  <si>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</si>
  <si>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</si>
  <si>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</si>
  <si>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</si>
  <si>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</si>
  <si>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</si>
  <si>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</si>
  <si>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</si>
  <si>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</si>
  <si>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</si>
  <si>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</si>
  <si>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</si>
  <si>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</si>
  <si>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</si>
  <si>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</si>
  <si>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</si>
  <si>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</si>
  <si>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</si>
  <si>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</si>
  <si>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</si>
  <si>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</si>
  <si>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</si>
  <si>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</si>
  <si>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</si>
  <si>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</si>
  <si>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</si>
  <si>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</si>
  <si>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</si>
  <si>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</si>
  <si>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</si>
  <si>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</si>
  <si>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</si>
  <si>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</si>
  <si>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</si>
  <si>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</si>
  <si>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</si>
  <si>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</si>
  <si>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</si>
  <si>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</si>
  <si>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</si>
  <si>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</si>
  <si>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</si>
  <si>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</si>
  <si>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</si>
  <si>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</si>
  <si>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</si>
  <si>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</si>
  <si>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</si>
  <si>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</si>
  <si>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</si>
  <si>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</si>
  <si>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</si>
  <si>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</si>
  <si>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</si>
  <si>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</si>
  <si>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</si>
  <si>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</si>
  <si>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</si>
  <si>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</si>
  <si>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</si>
  <si>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</si>
  <si>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</si>
  <si>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</si>
  <si>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</si>
  <si>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</si>
  <si>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</si>
  <si>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</si>
  <si>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</si>
  <si>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</si>
  <si>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</si>
  <si>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</si>
  <si>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</si>
  <si>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</si>
  <si>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</si>
  <si>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</si>
  <si>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</si>
  <si>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</si>
  <si>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</si>
  <si>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</si>
  <si>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</si>
  <si>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</si>
  <si>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</si>
  <si>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</si>
  <si>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</si>
  <si>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</si>
  <si>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</si>
  <si>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</si>
  <si>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</si>
  <si>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</si>
  <si>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</si>
  <si>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</si>
  <si>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</si>
  <si>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</si>
  <si>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</si>
  <si>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</si>
  <si>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</si>
  <si>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</si>
  <si>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</si>
  <si>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</si>
  <si>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</si>
  <si>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</si>
  <si>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</si>
  <si>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</si>
  <si>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</si>
  <si>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</si>
  <si>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</si>
  <si>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</si>
  <si>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</si>
  <si>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</si>
  <si>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</si>
  <si>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</si>
  <si>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</si>
  <si>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</si>
  <si>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</si>
  <si>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</si>
  <si>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</si>
  <si>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</si>
  <si>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</si>
  <si>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</si>
  <si>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</si>
  <si>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</si>
  <si>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</si>
  <si>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</si>
  <si>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</si>
  <si>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</si>
  <si>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</si>
  <si>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</si>
  <si>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</si>
  <si>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</si>
  <si>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</si>
  <si>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</si>
  <si>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</si>
  <si>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</si>
  <si>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</si>
  <si>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</si>
  <si>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</si>
  <si>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</si>
  <si>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</si>
  <si>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</si>
  <si>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</si>
  <si>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</si>
  <si>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</si>
  <si>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</si>
  <si>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</si>
  <si>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</si>
  <si>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</si>
  <si>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</si>
  <si>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</si>
  <si>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</si>
  <si>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</si>
  <si>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</si>
  <si>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</si>
  <si>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</si>
  <si>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</si>
  <si>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</si>
  <si>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</si>
  <si>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</si>
  <si>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</si>
  <si>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</si>
  <si>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</si>
  <si>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</si>
  <si>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</si>
  <si>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</si>
  <si>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</si>
  <si>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</si>
  <si>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</si>
  <si>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</si>
  <si>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</si>
  <si>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</si>
  <si>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</si>
  <si>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</si>
  <si>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</si>
  <si>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</si>
  <si>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</si>
  <si>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</si>
  <si>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</si>
  <si>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</si>
  <si>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</si>
  <si>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</si>
  <si>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</si>
  <si>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</si>
  <si>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</si>
  <si>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</si>
  <si>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</si>
  <si>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</si>
  <si>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</si>
  <si>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</si>
  <si>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</si>
  <si>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</si>
  <si>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</si>
  <si>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</si>
  <si>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</si>
  <si>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</si>
  <si>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</si>
  <si>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</si>
  <si>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</si>
  <si>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</si>
  <si>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</si>
  <si>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</si>
  <si>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</si>
  <si>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</si>
  <si>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</si>
  <si>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</si>
  <si>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</si>
  <si>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</si>
  <si>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</si>
  <si>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</si>
  <si>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</si>
  <si>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</si>
  <si>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</si>
  <si>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</si>
  <si>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</si>
  <si>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</si>
  <si>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</si>
  <si>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</si>
  <si>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</si>
  <si>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</si>
  <si>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</si>
  <si>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</si>
  <si>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</si>
  <si>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</si>
  <si>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</si>
  <si>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</si>
  <si>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</si>
  <si>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</si>
  <si>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</si>
  <si>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</si>
  <si>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</si>
  <si>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</si>
  <si>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</si>
  <si>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</si>
  <si>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</si>
  <si>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</si>
  <si>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</si>
  <si>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</si>
  <si>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</si>
  <si>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</si>
  <si>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</si>
  <si>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</si>
  <si>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</si>
  <si>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</si>
  <si>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</si>
  <si>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</si>
  <si>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</si>
  <si>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</si>
  <si>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</si>
  <si>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</si>
  <si>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</si>
  <si>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</si>
  <si>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</si>
  <si>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</si>
  <si>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</si>
  <si>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</si>
  <si>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</si>
  <si>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</si>
  <si>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</si>
  <si>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</si>
  <si>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</si>
  <si>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</si>
  <si>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</si>
  <si>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</si>
  <si>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</si>
  <si>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</si>
  <si>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</si>
  <si>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</si>
  <si>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</si>
  <si>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</si>
  <si>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</si>
  <si>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</si>
  <si>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</si>
  <si>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</si>
  <si>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</si>
  <si>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</si>
  <si>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</si>
  <si>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</si>
  <si>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</si>
  <si>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</si>
  <si>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</si>
  <si>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</si>
  <si>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</si>
  <si>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</si>
  <si>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</si>
  <si>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</si>
  <si>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</si>
  <si>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</si>
  <si>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</si>
  <si>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</si>
  <si>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</si>
  <si>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</si>
  <si>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</si>
  <si>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</si>
  <si>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</si>
  <si>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</si>
  <si>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</si>
  <si>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</si>
  <si>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</si>
  <si>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</si>
  <si>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</si>
  <si>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</si>
  <si>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</si>
  <si>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</si>
  <si>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</si>
  <si>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</si>
  <si>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</si>
  <si>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</si>
  <si>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</si>
  <si>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</si>
  <si>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</si>
  <si>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</si>
  <si>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</si>
  <si>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</si>
  <si>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</si>
  <si>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</si>
  <si>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</si>
  <si>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</si>
  <si>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</si>
  <si>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</si>
  <si>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</si>
  <si>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</si>
  <si>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</si>
  <si>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</si>
  <si>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</si>
  <si>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</si>
  <si>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</si>
  <si>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</si>
  <si>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</si>
  <si>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</si>
  <si>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</si>
  <si>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</si>
  <si>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</si>
  <si>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</si>
  <si>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</si>
  <si>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</si>
  <si>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</si>
  <si>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</si>
  <si>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</si>
  <si>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</si>
  <si>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</si>
  <si>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</si>
  <si>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</si>
  <si>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</si>
  <si>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</si>
  <si>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</si>
  <si>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</si>
  <si>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</si>
  <si>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</si>
  <si>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</si>
  <si>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</si>
  <si>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</si>
  <si>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</si>
  <si>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</si>
  <si>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</si>
  <si>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</si>
  <si>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</si>
  <si>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</si>
  <si>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</si>
  <si>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</si>
  <si>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</si>
  <si>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</si>
  <si>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</si>
  <si>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</si>
  <si>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</si>
  <si>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</si>
  <si>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</si>
  <si>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</si>
  <si>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</si>
  <si>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</si>
  <si>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</si>
  <si>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</si>
  <si>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</si>
  <si>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</si>
  <si>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</si>
  <si>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</si>
  <si>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</si>
  <si>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</si>
  <si>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</si>
  <si>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</si>
  <si>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</si>
  <si>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</si>
  <si>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</si>
  <si>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</si>
  <si>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</si>
  <si>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</si>
  <si>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</si>
  <si>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</si>
  <si>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</si>
  <si>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</si>
  <si>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</si>
  <si>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</si>
  <si>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</si>
  <si>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</si>
  <si>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</si>
  <si>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</si>
  <si>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</si>
  <si>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</si>
  <si>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</si>
  <si>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</si>
  <si>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</si>
  <si>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</si>
  <si>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</si>
  <si>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</si>
  <si>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</si>
  <si>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</si>
  <si>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</si>
  <si>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</si>
  <si>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</si>
  <si>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</si>
  <si>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</si>
  <si>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</si>
  <si>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</si>
  <si>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</si>
  <si>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</si>
  <si>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</si>
  <si>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</si>
  <si>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</si>
  <si>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</si>
  <si>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</si>
  <si>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</si>
  <si>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</si>
  <si>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</si>
  <si>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</si>
  <si>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</si>
  <si>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</si>
  <si>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</si>
  <si>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</si>
  <si>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</si>
  <si>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</si>
  <si>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</si>
  <si>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</si>
  <si>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</si>
  <si>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</si>
  <si>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</si>
  <si>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</si>
  <si>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</si>
  <si>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</si>
  <si>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</si>
  <si>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</si>
  <si>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</si>
  <si>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</si>
  <si>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</si>
  <si>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</si>
  <si>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</si>
  <si>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</si>
  <si>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</si>
  <si>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</si>
  <si>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</si>
  <si>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</si>
  <si>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</si>
  <si>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</si>
  <si>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</si>
  <si>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</si>
  <si>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</si>
  <si>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</si>
  <si>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</si>
  <si>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</si>
  <si>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</si>
  <si>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</si>
  <si>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</si>
  <si>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</si>
  <si>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</si>
  <si>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</si>
  <si>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</si>
  <si>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</si>
  <si>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</si>
  <si>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</si>
  <si>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</si>
  <si>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</si>
  <si>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</si>
  <si>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</si>
  <si>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</si>
  <si>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</si>
  <si>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</si>
  <si>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</si>
  <si>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</si>
  <si>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</si>
  <si>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</si>
  <si>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</si>
  <si>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</si>
  <si>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</si>
  <si>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</si>
  <si>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</si>
  <si>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</si>
  <si>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</si>
  <si>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</si>
  <si>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</si>
  <si>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</si>
  <si>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</si>
  <si>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</si>
  <si>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</si>
  <si>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</si>
  <si>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</si>
  <si>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</si>
  <si>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</si>
  <si>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</si>
  <si>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</si>
  <si>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</si>
  <si>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</si>
  <si>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</si>
  <si>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</si>
  <si>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</si>
  <si>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</si>
  <si>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</si>
  <si>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</si>
  <si>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</si>
  <si>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</si>
  <si>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</si>
  <si>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</si>
  <si>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</si>
  <si>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</si>
  <si>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</si>
  <si>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</si>
  <si>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</si>
  <si>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</si>
  <si>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</si>
  <si>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</si>
  <si>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</si>
  <si>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</si>
  <si>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</si>
  <si>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</si>
  <si>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</si>
  <si>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</si>
  <si>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</si>
  <si>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</si>
  <si>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</si>
  <si>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</si>
  <si>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</si>
  <si>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</si>
  <si>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</si>
  <si>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</si>
  <si>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</si>
  <si>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</si>
  <si>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</si>
  <si>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</si>
  <si>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</si>
  <si>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</si>
  <si>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</si>
  <si>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</si>
  <si>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</si>
  <si>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</si>
  <si>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</si>
  <si>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</si>
  <si>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</si>
  <si>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</si>
  <si>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</si>
  <si>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</si>
  <si>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</si>
  <si>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</si>
  <si>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</si>
  <si>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</si>
  <si>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</si>
  <si>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</si>
  <si>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</si>
  <si>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</si>
  <si>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</si>
  <si>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</si>
  <si>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</si>
  <si>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</si>
  <si>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</si>
  <si>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</si>
  <si>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</si>
  <si>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</si>
  <si>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</si>
  <si>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</si>
  <si>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</si>
  <si>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</si>
  <si>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</si>
  <si>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</si>
  <si>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</si>
  <si>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</si>
  <si>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</si>
  <si>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</si>
  <si>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</si>
  <si>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</si>
  <si>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</si>
  <si>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</si>
  <si>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</si>
  <si>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</si>
  <si>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</si>
  <si>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</si>
  <si>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</si>
  <si>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</si>
  <si>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</si>
  <si>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</si>
  <si>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</si>
  <si>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</si>
  <si>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</si>
  <si>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</si>
  <si>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</si>
  <si>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</si>
  <si>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</si>
  <si>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</si>
  <si>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</si>
  <si>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</si>
  <si>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</si>
  <si>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</si>
  <si>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</si>
  <si>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</si>
  <si>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</si>
  <si>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</si>
  <si>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</si>
  <si>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</si>
  <si>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</si>
  <si>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</si>
  <si>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</si>
  <si>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</si>
  <si>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</si>
  <si>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</si>
  <si>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</si>
  <si>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</si>
  <si>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</si>
  <si>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</si>
  <si>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</si>
  <si>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</si>
  <si>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</si>
  <si>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</si>
  <si>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</si>
  <si>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</si>
  <si>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</si>
  <si>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</si>
  <si>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</si>
  <si>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</si>
  <si>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</si>
  <si>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</si>
  <si>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</si>
  <si>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</si>
  <si>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</si>
  <si>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</si>
  <si>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</si>
  <si>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</si>
  <si>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</si>
  <si>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</si>
  <si>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</si>
  <si>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</si>
  <si>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</si>
  <si>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</si>
  <si>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</si>
  <si>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</si>
  <si>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</si>
  <si>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</si>
  <si>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</si>
  <si>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</si>
  <si>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</si>
  <si>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</si>
  <si>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</si>
  <si>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</si>
  <si>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</si>
  <si>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</si>
  <si>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</si>
  <si>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</si>
  <si>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</si>
  <si>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</si>
  <si>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</si>
  <si>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</si>
  <si>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</si>
  <si>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</si>
  <si>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</si>
  <si>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</si>
  <si>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</si>
  <si>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</si>
  <si>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</si>
  <si>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</si>
  <si>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</si>
  <si>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</si>
  <si>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</si>
  <si>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</si>
  <si>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</si>
  <si>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</si>
  <si>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</si>
  <si>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</si>
  <si>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</si>
  <si>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</si>
  <si>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</si>
  <si>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</si>
  <si>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</si>
  <si>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</si>
  <si>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</si>
  <si>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</si>
  <si>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</si>
  <si>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</si>
  <si>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</si>
  <si>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</si>
  <si>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</si>
  <si>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</si>
  <si>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</si>
  <si>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</si>
  <si>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</si>
  <si>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</si>
  <si>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</si>
  <si>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</si>
  <si>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</si>
  <si>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</si>
  <si>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</si>
  <si>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</si>
  <si>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</si>
  <si>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</si>
  <si>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</si>
  <si>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</si>
  <si>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</si>
  <si>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</si>
  <si>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</si>
  <si>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</si>
  <si>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</si>
  <si>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</si>
  <si>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</si>
  <si>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</si>
  <si>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</si>
  <si>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</si>
  <si>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</si>
  <si>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</si>
  <si>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</si>
  <si>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</si>
  <si>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</si>
  <si>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</si>
  <si>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</si>
  <si>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</si>
  <si>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</si>
  <si>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</si>
  <si>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</si>
  <si>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</si>
  <si>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</si>
  <si>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</si>
  <si>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</si>
  <si>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</si>
  <si>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</si>
  <si>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</si>
  <si>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</si>
  <si>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</si>
  <si>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</si>
  <si>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</si>
  <si>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</si>
  <si>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</si>
  <si>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</si>
  <si>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</si>
  <si>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</si>
  <si>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</si>
  <si>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</si>
  <si>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</si>
  <si>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</si>
  <si>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</si>
  <si>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</si>
  <si>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</si>
  <si>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</si>
  <si>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</si>
  <si>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</si>
  <si>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</si>
  <si>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</si>
  <si>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</si>
  <si>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</si>
  <si>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</si>
  <si>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</si>
  <si>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</si>
  <si>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</si>
  <si>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</si>
  <si>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</si>
  <si>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</si>
  <si>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</si>
  <si>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</si>
  <si>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</si>
  <si>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</si>
  <si>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</si>
  <si>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</si>
  <si>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</si>
  <si>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</si>
  <si>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</si>
  <si>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</si>
  <si>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</si>
  <si>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</si>
  <si>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</si>
  <si>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</si>
  <si>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</si>
  <si>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</si>
  <si>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</si>
  <si>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</si>
  <si>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</si>
  <si>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</si>
  <si>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</si>
  <si>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</si>
  <si>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</si>
  <si>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</si>
  <si>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</si>
  <si>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</si>
  <si>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</si>
  <si>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</si>
  <si>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</si>
  <si>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</si>
  <si>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</si>
  <si>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</si>
  <si>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</si>
  <si>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</si>
  <si>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</si>
  <si>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</si>
  <si>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</si>
  <si>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</si>
  <si>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</si>
  <si>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</si>
  <si>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</si>
  <si>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60+</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</si>
  <si>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</si>
  <si>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</si>
  <si>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</si>
  <si>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</si>
  <si>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</si>
  <si>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</si>
  <si>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</si>
  <si>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</si>
  <si>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</si>
  <si>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</si>
  <si>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</si>
  <si>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</si>
  <si>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</si>
  <si>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</si>
  <si>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</si>
  <si>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</si>
  <si>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</si>
  <si>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</si>
  <si>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</si>
  <si>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</si>
  <si>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</si>
  <si>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</si>
  <si>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</si>
  <si>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</si>
  <si>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</si>
  <si>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</si>
  <si>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</si>
  <si>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</si>
  <si>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</si>
  <si>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</si>
  <si>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</si>
  <si>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</si>
  <si>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</si>
  <si>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</si>
  <si>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</si>
  <si>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</si>
  <si>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</si>
  <si>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</si>
  <si>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</si>
  <si>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</si>
  <si>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</si>
  <si>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</si>
  <si>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</si>
  <si>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</si>
  <si>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</si>
  <si>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</si>
  <si>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</si>
  <si>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</si>
  <si>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</si>
  <si>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</si>
  <si>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</si>
  <si>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</si>
  <si>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</si>
  <si>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</si>
  <si>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</si>
  <si>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</si>
  <si>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</si>
  <si>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</si>
  <si>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</si>
  <si>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</si>
  <si>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</si>
  <si>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</si>
  <si>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</si>
  <si>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</si>
  <si>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</si>
  <si>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</si>
  <si>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</si>
  <si>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</si>
  <si>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</si>
  <si>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</si>
  <si>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</si>
  <si>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</si>
  <si>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</si>
  <si>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</si>
  <si>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</si>
  <si>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</si>
  <si>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</si>
  <si>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</si>
  <si>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</si>
  <si>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</si>
  <si>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</si>
  <si>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</si>
  <si>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</si>
  <si>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</si>
  <si>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</si>
  <si>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</si>
  <si>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</si>
  <si>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</si>
  <si>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</si>
  <si>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</si>
  <si>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</si>
  <si>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</si>
  <si>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</si>
  <si>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</si>
  <si>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r>
      <t xml:space="preserve">Clients that return for a followup visit or re-initiation to receive Prep during the quarter ( </t>
    </r>
    <r>
      <rPr>
        <b/>
        <sz val="20"/>
        <color rgb="FFFF0000"/>
        <rFont val="Calibri"/>
        <family val="2"/>
        <scheme val="minor"/>
      </rPr>
      <t>excluding those newly enrolled on prep within the quarter</t>
    </r>
    <r>
      <rPr>
        <sz val="20"/>
        <color rgb="FFFF0000"/>
        <rFont val="Calibri"/>
        <family val="2"/>
        <scheme val="minor"/>
      </rPr>
      <t xml:space="preserve"> )
</t>
    </r>
    <r>
      <rPr>
        <sz val="20"/>
        <color rgb="FF7030A0"/>
        <rFont val="Calibri"/>
        <family val="2"/>
        <scheme val="minor"/>
      </rPr>
      <t>Note: a client cannot be reported on both prep_new and prep_ct within the same quarter</t>
    </r>
  </si>
  <si>
    <t>Form 1A  version 5.0.1</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</si>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</sst>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right style="thin">
        <color theme="2" tint="-0.249977111117893"/>
      </right>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14999847407452621"/>
      </left>
      <right style="thin">
        <color theme="0" tint="-0.14999847407452621"/>
      </right>
      <top style="medium">
        <color theme="9"/>
      </top>
      <bottom/>
      <diagonal/>
    </border>
    <border>
      <left style="thin">
        <color theme="0" tint="-0.14999847407452621"/>
      </left>
      <right style="thin">
        <color theme="0" tint="-0.14999847407452621"/>
      </right>
      <top/>
      <bottom style="medium">
        <color theme="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medium">
        <color theme="9"/>
      </right>
      <top style="medium">
        <color theme="0" tint="-0.499984740745262"/>
      </top>
      <bottom style="thin">
        <color theme="9"/>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thin">
        <color theme="9"/>
      </left>
      <right style="medium">
        <color theme="0" tint="-0.499984740745262"/>
      </right>
      <top style="medium">
        <color theme="0" tint="-0.499984740745262"/>
      </top>
      <bottom style="thin">
        <color theme="9"/>
      </bottom>
      <diagonal/>
    </border>
    <border>
      <left style="medium">
        <color theme="0" tint="-0.499984740745262"/>
      </left>
      <right style="medium">
        <color theme="9"/>
      </right>
      <top style="thin">
        <color theme="9"/>
      </top>
      <bottom style="thin">
        <color theme="9"/>
      </bottom>
      <diagonal/>
    </border>
    <border>
      <left style="thin">
        <color theme="9"/>
      </left>
      <right style="medium">
        <color theme="0" tint="-0.499984740745262"/>
      </right>
      <top style="thin">
        <color theme="9"/>
      </top>
      <bottom style="thin">
        <color theme="9"/>
      </bottom>
      <diagonal/>
    </border>
    <border>
      <left style="medium">
        <color theme="0" tint="-0.499984740745262"/>
      </left>
      <right style="medium">
        <color theme="9"/>
      </right>
      <top style="thin">
        <color theme="9"/>
      </top>
      <bottom style="medium">
        <color theme="9"/>
      </bottom>
      <diagonal/>
    </border>
    <border>
      <left style="thin">
        <color theme="9"/>
      </left>
      <right style="medium">
        <color theme="0" tint="-0.499984740745262"/>
      </right>
      <top style="thin">
        <color theme="9"/>
      </top>
      <bottom style="medium">
        <color theme="9"/>
      </bottom>
      <diagonal/>
    </border>
    <border>
      <left style="medium">
        <color theme="0" tint="-0.499984740745262"/>
      </left>
      <right style="thin">
        <color theme="9"/>
      </right>
      <top style="medium">
        <color theme="9"/>
      </top>
      <bottom style="thin">
        <color theme="9"/>
      </bottom>
      <diagonal/>
    </border>
    <border>
      <left style="thin">
        <color theme="9"/>
      </left>
      <right style="medium">
        <color theme="0" tint="-0.499984740745262"/>
      </right>
      <top style="medium">
        <color theme="9"/>
      </top>
      <bottom style="thin">
        <color theme="9"/>
      </bottom>
      <diagonal/>
    </border>
    <border>
      <left style="medium">
        <color theme="0" tint="-0.499984740745262"/>
      </left>
      <right style="thin">
        <color theme="9"/>
      </right>
      <top style="thin">
        <color theme="9"/>
      </top>
      <bottom style="medium">
        <color theme="9"/>
      </bottom>
      <diagonal/>
    </border>
    <border>
      <left style="thin">
        <color theme="9"/>
      </left>
      <right style="medium">
        <color theme="0" tint="-0.499984740745262"/>
      </right>
      <top style="thin">
        <color theme="9"/>
      </top>
      <bottom/>
      <diagonal/>
    </border>
    <border>
      <left style="medium">
        <color theme="0" tint="-0.499984740745262"/>
      </left>
      <right style="medium">
        <color theme="9"/>
      </right>
      <top style="medium">
        <color theme="9"/>
      </top>
      <bottom style="thin">
        <color theme="2" tint="-0.249977111117893"/>
      </bottom>
      <diagonal/>
    </border>
    <border>
      <left style="medium">
        <color theme="0" tint="-0.499984740745262"/>
      </left>
      <right style="medium">
        <color theme="9"/>
      </right>
      <top style="thin">
        <color theme="2" tint="-0.249977111117893"/>
      </top>
      <bottom style="medium">
        <color theme="9"/>
      </bottom>
      <diagonal/>
    </border>
    <border>
      <left style="medium">
        <color theme="0" tint="-0.499984740745262"/>
      </left>
      <right style="thin">
        <color theme="9"/>
      </right>
      <top/>
      <bottom style="thin">
        <color theme="9"/>
      </bottom>
      <diagonal/>
    </border>
    <border>
      <left style="thin">
        <color theme="9"/>
      </left>
      <right style="medium">
        <color theme="0" tint="-0.499984740745262"/>
      </right>
      <top/>
      <bottom style="thin">
        <color theme="9"/>
      </bottom>
      <diagonal/>
    </border>
    <border>
      <left style="medium">
        <color theme="0" tint="-0.499984740745262"/>
      </left>
      <right style="thin">
        <color theme="9"/>
      </right>
      <top style="thin">
        <color theme="9"/>
      </top>
      <bottom style="thin">
        <color theme="9"/>
      </bottom>
      <diagonal/>
    </border>
    <border>
      <left style="medium">
        <color theme="0" tint="-0.499984740745262"/>
      </left>
      <right style="medium">
        <color theme="9"/>
      </right>
      <top style="medium">
        <color theme="9"/>
      </top>
      <bottom/>
      <diagonal/>
    </border>
    <border>
      <left style="medium">
        <color theme="0" tint="-0.499984740745262"/>
      </left>
      <right style="medium">
        <color theme="9"/>
      </right>
      <top/>
      <bottom/>
      <diagonal/>
    </border>
    <border>
      <left style="medium">
        <color theme="0" tint="-0.499984740745262"/>
      </left>
      <right style="medium">
        <color theme="9"/>
      </right>
      <top/>
      <bottom style="medium">
        <color theme="9"/>
      </bottom>
      <diagonal/>
    </border>
    <border>
      <left style="medium">
        <color theme="0" tint="-0.499984740745262"/>
      </left>
      <right style="medium">
        <color theme="9"/>
      </right>
      <top style="thin">
        <color theme="2" tint="-0.249977111117893"/>
      </top>
      <bottom/>
      <diagonal/>
    </border>
    <border>
      <left style="medium">
        <color theme="0" tint="-0.499984740745262"/>
      </left>
      <right/>
      <top style="medium">
        <color theme="9"/>
      </top>
      <bottom/>
      <diagonal/>
    </border>
    <border>
      <left style="medium">
        <color theme="0" tint="-0.499984740745262"/>
      </left>
      <right/>
      <top/>
      <bottom style="medium">
        <color theme="9"/>
      </bottom>
      <diagonal/>
    </border>
    <border>
      <left style="medium">
        <color theme="0" tint="-0.499984740745262"/>
      </left>
      <right/>
      <top style="thin">
        <color theme="9"/>
      </top>
      <bottom style="thin">
        <color theme="9"/>
      </bottom>
      <diagonal/>
    </border>
    <border>
      <left/>
      <right style="medium">
        <color theme="0" tint="-0.499984740745262"/>
      </right>
      <top style="thin">
        <color theme="9"/>
      </top>
      <bottom style="thin">
        <color theme="9"/>
      </bottom>
      <diagonal/>
    </border>
    <border>
      <left style="medium">
        <color theme="0" tint="-0.499984740745262"/>
      </left>
      <right style="thin">
        <color theme="2" tint="-0.249977111117893"/>
      </right>
      <top/>
      <bottom/>
      <diagonal/>
    </border>
    <border>
      <left style="thin">
        <color theme="2" tint="-0.249977111117893"/>
      </left>
      <right style="medium">
        <color theme="0" tint="-0.499984740745262"/>
      </right>
      <top/>
      <bottom/>
      <diagonal/>
    </border>
    <border>
      <left style="medium">
        <color theme="0" tint="-0.499984740745262"/>
      </left>
      <right/>
      <top style="medium">
        <color theme="9"/>
      </top>
      <bottom style="thin">
        <color theme="2" tint="-0.249977111117893"/>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style="thin">
        <color theme="0" tint="-0.34998626667073579"/>
      </left>
      <right style="thin">
        <color theme="0" tint="-0.34998626667073579"/>
      </right>
      <top style="thin">
        <color theme="0" tint="-0.34998626667073579"/>
      </top>
      <bottom style="medium">
        <color theme="0" tint="-0.499984740745262"/>
      </bottom>
      <diagonal/>
    </border>
    <border>
      <left style="thin">
        <color theme="0" tint="-0.34998626667073579"/>
      </left>
      <right/>
      <top style="thin">
        <color theme="0" tint="-0.34998626667073579"/>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024">
    <xf numFmtId="0" fontId="0" fillId="0" borderId="0" xfId="0"/>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7" fillId="0" borderId="30" xfId="0" applyFont="1" applyBorder="1" applyAlignment="1">
      <alignment horizontal="left" vertical="center" wrapText="1"/>
    </xf>
    <xf numFmtId="0" fontId="8" fillId="6" borderId="11" xfId="0" applyFont="1" applyFill="1" applyBorder="1" applyAlignment="1">
      <alignment horizontal="left" vertical="center" wrapText="1"/>
    </xf>
    <xf numFmtId="0" fontId="8" fillId="0" borderId="11" xfId="0" applyFont="1" applyBorder="1" applyAlignment="1">
      <alignment horizontal="center" vertical="center"/>
    </xf>
    <xf numFmtId="0" fontId="8" fillId="6" borderId="48"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1" xfId="0" applyFont="1" applyFill="1" applyBorder="1" applyAlignment="1">
      <alignment horizontal="center" vertical="center" wrapText="1"/>
    </xf>
    <xf numFmtId="0" fontId="8" fillId="8" borderId="21" xfId="0" applyFont="1" applyFill="1" applyBorder="1" applyAlignment="1">
      <alignment vertical="center"/>
    </xf>
    <xf numFmtId="0" fontId="10" fillId="0" borderId="49" xfId="0" applyFont="1" applyFill="1" applyBorder="1" applyAlignment="1">
      <alignment horizontal="center"/>
    </xf>
    <xf numFmtId="0" fontId="5" fillId="5" borderId="0" xfId="0" applyFont="1" applyFill="1"/>
    <xf numFmtId="49" fontId="14" fillId="4" borderId="15" xfId="1" applyNumberFormat="1" applyFont="1" applyFill="1" applyBorder="1" applyAlignment="1">
      <alignment horizontal="center" vertical="center"/>
    </xf>
    <xf numFmtId="0" fontId="12" fillId="0" borderId="26" xfId="0" applyFont="1" applyFill="1" applyBorder="1" applyAlignment="1">
      <alignment horizontal="center" vertical="center" wrapText="1"/>
    </xf>
    <xf numFmtId="0" fontId="8" fillId="0" borderId="46" xfId="0" applyFont="1" applyFill="1" applyBorder="1" applyAlignment="1">
      <alignment vertical="center"/>
    </xf>
    <xf numFmtId="0" fontId="5" fillId="0" borderId="0" xfId="0" applyFont="1"/>
    <xf numFmtId="0" fontId="7" fillId="4" borderId="140"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5" borderId="153" xfId="0" applyFont="1" applyFill="1" applyBorder="1" applyAlignment="1" applyProtection="1">
      <alignment horizontal="center" vertical="center"/>
      <protection locked="0"/>
    </xf>
    <xf numFmtId="0" fontId="7" fillId="5" borderId="154" xfId="0" applyFont="1" applyFill="1" applyBorder="1" applyAlignment="1" applyProtection="1">
      <alignment horizontal="center" vertical="center"/>
      <protection locked="0"/>
    </xf>
    <xf numFmtId="0" fontId="7" fillId="5" borderId="155" xfId="0" applyFont="1" applyFill="1" applyBorder="1" applyAlignment="1" applyProtection="1">
      <alignment horizontal="center" vertical="center"/>
      <protection locked="0"/>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51" xfId="0" applyFont="1" applyFill="1" applyBorder="1" applyAlignment="1" applyProtection="1">
      <alignment horizontal="center" vertical="center"/>
      <protection locked="0"/>
    </xf>
    <xf numFmtId="0" fontId="7" fillId="5" borderId="129" xfId="0" applyFont="1" applyFill="1" applyBorder="1" applyAlignment="1" applyProtection="1">
      <alignment horizontal="center" vertical="center"/>
      <protection locked="0"/>
    </xf>
    <xf numFmtId="0" fontId="8" fillId="6" borderId="14" xfId="0" applyFont="1" applyFill="1" applyBorder="1" applyAlignment="1">
      <alignment horizontal="center" vertical="center"/>
    </xf>
    <xf numFmtId="0" fontId="8" fillId="2" borderId="23" xfId="0" applyFont="1" applyFill="1" applyBorder="1" applyAlignment="1">
      <alignment vertical="top"/>
    </xf>
    <xf numFmtId="0" fontId="7" fillId="10" borderId="23" xfId="0" applyFont="1" applyFill="1" applyBorder="1" applyAlignment="1">
      <alignment horizontal="left" vertical="top" wrapText="1"/>
    </xf>
    <xf numFmtId="0" fontId="7" fillId="0" borderId="51" xfId="0" applyFont="1" applyBorder="1" applyAlignment="1">
      <alignment horizontal="left" vertical="center" wrapText="1"/>
    </xf>
    <xf numFmtId="0" fontId="7" fillId="5" borderId="162" xfId="0" applyFont="1" applyFill="1" applyBorder="1" applyAlignment="1" applyProtection="1">
      <alignment horizontal="center" vertical="center"/>
      <protection locked="0"/>
    </xf>
    <xf numFmtId="0" fontId="7" fillId="5" borderId="163" xfId="0" applyFont="1" applyFill="1" applyBorder="1" applyAlignment="1" applyProtection="1">
      <alignment horizontal="center" vertical="center"/>
      <protection locked="0"/>
    </xf>
    <xf numFmtId="0" fontId="7" fillId="4" borderId="156" xfId="0" applyFont="1" applyFill="1" applyBorder="1" applyAlignment="1" applyProtection="1">
      <alignment horizontal="center" vertical="center"/>
    </xf>
    <xf numFmtId="0" fontId="7" fillId="4" borderId="157" xfId="0" applyFont="1" applyFill="1" applyBorder="1" applyAlignment="1" applyProtection="1">
      <alignment horizontal="center" vertical="center"/>
    </xf>
    <xf numFmtId="0" fontId="7" fillId="5" borderId="164" xfId="0" applyFont="1" applyFill="1" applyBorder="1" applyAlignment="1" applyProtection="1">
      <alignment horizontal="center" vertical="center"/>
      <protection locked="0"/>
    </xf>
    <xf numFmtId="0" fontId="7" fillId="5" borderId="165" xfId="0" applyFont="1" applyFill="1" applyBorder="1" applyAlignment="1" applyProtection="1">
      <alignment horizontal="center" vertical="center"/>
      <protection locked="0"/>
    </xf>
    <xf numFmtId="0" fontId="7" fillId="5" borderId="166" xfId="0" applyFont="1" applyFill="1" applyBorder="1" applyAlignment="1" applyProtection="1">
      <alignment horizontal="center" vertical="center"/>
      <protection locked="0"/>
    </xf>
    <xf numFmtId="0" fontId="7" fillId="4" borderId="158" xfId="0"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4" borderId="160" xfId="0" applyFont="1" applyFill="1" applyBorder="1" applyAlignment="1" applyProtection="1">
      <alignment horizontal="center" vertical="center"/>
    </xf>
    <xf numFmtId="0" fontId="7" fillId="5" borderId="152" xfId="0" applyFont="1" applyFill="1" applyBorder="1" applyAlignment="1" applyProtection="1">
      <alignment horizontal="center" vertical="center"/>
      <protection locked="0"/>
    </xf>
    <xf numFmtId="0" fontId="7" fillId="5" borderId="137" xfId="0" applyFont="1" applyFill="1" applyBorder="1" applyAlignment="1" applyProtection="1">
      <alignment horizontal="center" vertical="center"/>
      <protection locked="0"/>
    </xf>
    <xf numFmtId="0" fontId="8" fillId="2" borderId="23" xfId="0" applyFont="1" applyFill="1" applyBorder="1" applyAlignment="1">
      <alignment horizontal="left" vertical="top"/>
    </xf>
    <xf numFmtId="0" fontId="7" fillId="4" borderId="139"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8" fillId="0" borderId="130" xfId="0" applyFont="1" applyBorder="1" applyAlignment="1" applyProtection="1">
      <alignment horizontal="center" vertical="center"/>
      <protection locked="0"/>
    </xf>
    <xf numFmtId="0" fontId="7" fillId="4" borderId="134"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6" borderId="78" xfId="0" applyFont="1" applyFill="1" applyBorder="1" applyAlignment="1">
      <alignment horizontal="center" vertical="center"/>
    </xf>
    <xf numFmtId="0" fontId="7" fillId="4" borderId="136" xfId="0" applyFont="1" applyFill="1" applyBorder="1" applyAlignment="1" applyProtection="1">
      <alignment horizontal="center" vertical="center"/>
    </xf>
    <xf numFmtId="0" fontId="7" fillId="4" borderId="137" xfId="0" applyFont="1" applyFill="1" applyBorder="1" applyAlignment="1" applyProtection="1">
      <alignment horizontal="center" vertical="center"/>
    </xf>
    <xf numFmtId="0" fontId="7" fillId="4" borderId="138" xfId="0" applyFont="1" applyFill="1" applyBorder="1" applyAlignment="1" applyProtection="1">
      <alignment horizontal="center" vertical="center"/>
    </xf>
    <xf numFmtId="0" fontId="8" fillId="6" borderId="130" xfId="0" applyFont="1" applyFill="1" applyBorder="1" applyAlignment="1">
      <alignment horizontal="center" vertical="center"/>
    </xf>
    <xf numFmtId="0" fontId="7" fillId="12" borderId="50" xfId="0" applyFont="1" applyFill="1" applyBorder="1" applyAlignment="1">
      <alignment horizontal="left" vertical="top" wrapText="1"/>
    </xf>
    <xf numFmtId="0" fontId="8" fillId="6" borderId="52" xfId="0" applyFont="1" applyFill="1" applyBorder="1" applyAlignment="1">
      <alignment horizontal="left" vertical="center" wrapText="1"/>
    </xf>
    <xf numFmtId="49" fontId="8" fillId="6" borderId="34" xfId="0" applyNumberFormat="1" applyFont="1" applyFill="1" applyBorder="1" applyAlignment="1" applyProtection="1">
      <alignment horizontal="center" vertical="center"/>
    </xf>
    <xf numFmtId="0" fontId="8" fillId="6" borderId="75" xfId="0" applyFont="1" applyFill="1" applyBorder="1" applyAlignment="1">
      <alignment horizontal="center" vertical="center"/>
    </xf>
    <xf numFmtId="0" fontId="7" fillId="10" borderId="23" xfId="0" applyFont="1" applyFill="1" applyBorder="1" applyAlignment="1">
      <alignment horizontal="left" vertical="top"/>
    </xf>
    <xf numFmtId="0" fontId="5" fillId="0" borderId="0" xfId="0" applyFont="1" applyAlignment="1"/>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7" fillId="4" borderId="133" xfId="0" applyFont="1" applyFill="1" applyBorder="1" applyAlignment="1" applyProtection="1">
      <alignment horizontal="center" vertical="center"/>
    </xf>
    <xf numFmtId="0" fontId="8" fillId="6" borderId="13" xfId="0" applyFont="1" applyFill="1" applyBorder="1" applyAlignment="1">
      <alignment horizontal="center" vertical="center"/>
    </xf>
    <xf numFmtId="0" fontId="8" fillId="6" borderId="35" xfId="0" applyFont="1" applyFill="1" applyBorder="1" applyAlignment="1">
      <alignment horizontal="center" vertical="center"/>
    </xf>
    <xf numFmtId="0" fontId="8" fillId="6" borderId="87" xfId="0" applyFont="1" applyFill="1" applyBorder="1" applyAlignment="1">
      <alignment horizontal="center" vertical="center"/>
    </xf>
    <xf numFmtId="49" fontId="18" fillId="4" borderId="15" xfId="1" applyNumberFormat="1" applyFont="1" applyFill="1" applyBorder="1" applyAlignment="1">
      <alignment horizontal="center" vertical="center"/>
    </xf>
    <xf numFmtId="0" fontId="7" fillId="0" borderId="44" xfId="0" applyFont="1" applyBorder="1" applyAlignment="1">
      <alignment horizontal="left" vertical="center" wrapText="1"/>
    </xf>
    <xf numFmtId="0" fontId="7" fillId="4" borderId="38" xfId="0" applyFont="1" applyFill="1" applyBorder="1" applyAlignment="1" applyProtection="1">
      <alignment horizontal="center" vertical="center"/>
    </xf>
    <xf numFmtId="0" fontId="7" fillId="4" borderId="10" xfId="0"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0" fontId="7" fillId="10" borderId="44"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3" xfId="0" applyFont="1" applyBorder="1" applyAlignment="1">
      <alignment horizontal="left" vertical="center" wrapText="1"/>
    </xf>
    <xf numFmtId="0" fontId="7" fillId="4" borderId="8" xfId="0" applyFont="1" applyFill="1" applyBorder="1" applyAlignment="1" applyProtection="1">
      <alignment horizontal="center" vertical="center"/>
    </xf>
    <xf numFmtId="0" fontId="7" fillId="4" borderId="7" xfId="0"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3" xfId="0" applyFont="1" applyFill="1" applyBorder="1" applyAlignment="1">
      <alignment horizontal="left" vertical="center" wrapText="1"/>
    </xf>
    <xf numFmtId="0" fontId="19"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0" fontId="7" fillId="0" borderId="53" xfId="0" applyFont="1" applyBorder="1" applyAlignment="1">
      <alignment horizontal="left" vertical="center" wrapText="1"/>
    </xf>
    <xf numFmtId="0" fontId="10" fillId="4" borderId="32" xfId="0" applyFont="1" applyFill="1" applyBorder="1" applyAlignment="1" applyProtection="1">
      <alignment horizontal="center" vertical="center"/>
    </xf>
    <xf numFmtId="0" fontId="10" fillId="4" borderId="15" xfId="0" applyFont="1" applyFill="1" applyBorder="1" applyAlignment="1" applyProtection="1">
      <alignment horizontal="center" vertical="center"/>
    </xf>
    <xf numFmtId="0" fontId="7" fillId="0" borderId="15" xfId="0" applyFont="1" applyBorder="1" applyAlignment="1" applyProtection="1">
      <alignment horizontal="center" vertical="center"/>
      <protection locked="0"/>
    </xf>
    <xf numFmtId="0" fontId="8" fillId="6" borderId="16" xfId="0" applyFont="1" applyFill="1" applyBorder="1" applyAlignment="1">
      <alignment horizontal="center" vertical="center"/>
    </xf>
    <xf numFmtId="0" fontId="7" fillId="0" borderId="54" xfId="0" applyFont="1" applyBorder="1" applyAlignment="1">
      <alignment horizontal="left" vertical="center" wrapText="1"/>
    </xf>
    <xf numFmtId="0" fontId="10" fillId="4" borderId="31"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7" fillId="0" borderId="12" xfId="0" applyFont="1" applyBorder="1" applyAlignment="1" applyProtection="1">
      <alignment horizontal="center" vertical="center"/>
      <protection locked="0"/>
    </xf>
    <xf numFmtId="0" fontId="8" fillId="0" borderId="53" xfId="0" applyFont="1" applyBorder="1" applyAlignment="1">
      <alignment horizontal="left" vertical="center" wrapText="1"/>
    </xf>
    <xf numFmtId="0" fontId="13" fillId="4" borderId="15" xfId="0" applyFont="1" applyFill="1" applyBorder="1" applyAlignment="1" applyProtection="1">
      <alignment horizontal="center" vertical="center"/>
    </xf>
    <xf numFmtId="0" fontId="11" fillId="0" borderId="15" xfId="0" applyFont="1" applyBorder="1" applyAlignment="1" applyProtection="1">
      <alignment horizontal="center" vertical="center"/>
      <protection locked="0"/>
    </xf>
    <xf numFmtId="0" fontId="7" fillId="4" borderId="31"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8" fillId="4" borderId="32" xfId="0" applyFont="1" applyFill="1" applyBorder="1" applyAlignment="1" applyProtection="1">
      <alignment horizontal="center" vertical="center"/>
    </xf>
    <xf numFmtId="0" fontId="8" fillId="4" borderId="15"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7" fillId="4" borderId="32" xfId="0" applyFont="1" applyFill="1" applyBorder="1" applyAlignment="1" applyProtection="1">
      <alignment horizontal="center" vertical="center"/>
    </xf>
    <xf numFmtId="0" fontId="7" fillId="10" borderId="12" xfId="0" applyFont="1" applyFill="1" applyBorder="1" applyAlignment="1" applyProtection="1">
      <alignment horizontal="center" vertical="center"/>
    </xf>
    <xf numFmtId="0" fontId="11" fillId="0" borderId="15" xfId="0" applyFont="1" applyBorder="1" applyAlignment="1" applyProtection="1">
      <alignment horizontal="center" vertical="center"/>
    </xf>
    <xf numFmtId="0" fontId="19" fillId="0" borderId="15" xfId="0" applyFont="1" applyBorder="1" applyAlignment="1" applyProtection="1">
      <alignment horizontal="center" vertical="center"/>
      <protection locked="0"/>
    </xf>
    <xf numFmtId="0" fontId="8" fillId="6" borderId="54" xfId="0" applyFont="1" applyFill="1" applyBorder="1" applyAlignment="1">
      <alignment horizontal="left" vertical="center" wrapText="1"/>
    </xf>
    <xf numFmtId="0" fontId="14" fillId="6" borderId="12" xfId="0" applyFont="1" applyFill="1" applyBorder="1" applyAlignment="1">
      <alignment horizontal="center" vertical="center"/>
    </xf>
    <xf numFmtId="0" fontId="8" fillId="10" borderId="23"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6" borderId="43" xfId="0" applyFont="1" applyFill="1" applyBorder="1" applyAlignment="1">
      <alignment horizontal="left" vertical="center" wrapText="1"/>
    </xf>
    <xf numFmtId="0" fontId="14" fillId="6" borderId="36" xfId="0" applyFont="1" applyFill="1" applyBorder="1" applyAlignment="1">
      <alignment horizontal="center" vertical="center"/>
    </xf>
    <xf numFmtId="0" fontId="8" fillId="2" borderId="43" xfId="0" applyFont="1" applyFill="1" applyBorder="1" applyAlignment="1">
      <alignment vertical="top"/>
    </xf>
    <xf numFmtId="0" fontId="8" fillId="10" borderId="43"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9" xfId="1" applyNumberFormat="1" applyFont="1" applyFill="1" applyBorder="1" applyAlignment="1">
      <alignment horizontal="center" vertical="center"/>
    </xf>
    <xf numFmtId="0" fontId="7" fillId="2" borderId="23" xfId="0" applyFont="1" applyFill="1" applyBorder="1" applyAlignment="1">
      <alignment horizontal="left" vertical="top"/>
    </xf>
    <xf numFmtId="0" fontId="7" fillId="6" borderId="7" xfId="0" applyFont="1" applyFill="1" applyBorder="1" applyAlignment="1" applyProtection="1">
      <alignment horizontal="center" vertical="center"/>
    </xf>
    <xf numFmtId="0" fontId="7" fillId="0" borderId="43" xfId="0" applyFont="1" applyBorder="1" applyAlignment="1">
      <alignment horizontal="left" vertical="center" wrapText="1"/>
    </xf>
    <xf numFmtId="0" fontId="7" fillId="4" borderId="74"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wrapText="1"/>
    </xf>
    <xf numFmtId="0" fontId="7" fillId="0" borderId="60" xfId="0" applyFont="1" applyBorder="1" applyAlignment="1">
      <alignment horizontal="left" vertical="top" wrapText="1"/>
    </xf>
    <xf numFmtId="0" fontId="7" fillId="2" borderId="0" xfId="0" applyFont="1" applyFill="1" applyBorder="1" applyAlignment="1">
      <alignment horizontal="left" vertical="top"/>
    </xf>
    <xf numFmtId="0" fontId="15" fillId="2" borderId="50" xfId="0" applyFont="1" applyFill="1" applyBorder="1" applyAlignment="1">
      <alignment horizontal="left" vertical="top" wrapText="1"/>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0" borderId="61" xfId="0" applyFont="1" applyBorder="1" applyAlignment="1">
      <alignment horizontal="left" vertical="top" wrapText="1"/>
    </xf>
    <xf numFmtId="0" fontId="15" fillId="2" borderId="61" xfId="0" applyFont="1" applyFill="1" applyBorder="1" applyAlignment="1">
      <alignment horizontal="left" vertical="top" wrapText="1"/>
    </xf>
    <xf numFmtId="0" fontId="7" fillId="5" borderId="10" xfId="0" applyFont="1" applyFill="1" applyBorder="1" applyAlignment="1" applyProtection="1">
      <alignment horizontal="center" vertical="center"/>
      <protection locked="0"/>
    </xf>
    <xf numFmtId="0" fontId="7" fillId="2" borderId="44" xfId="0" applyFont="1" applyFill="1" applyBorder="1" applyAlignment="1">
      <alignment vertical="top"/>
    </xf>
    <xf numFmtId="0" fontId="7" fillId="5" borderId="7" xfId="0" applyFont="1" applyFill="1" applyBorder="1" applyAlignment="1" applyProtection="1">
      <alignment horizontal="center" vertical="center"/>
      <protection locked="0"/>
    </xf>
    <xf numFmtId="0" fontId="7" fillId="2" borderId="23" xfId="0" applyFont="1" applyFill="1" applyBorder="1" applyAlignment="1">
      <alignment vertical="top"/>
    </xf>
    <xf numFmtId="0" fontId="7" fillId="5" borderId="11" xfId="0" applyFont="1" applyFill="1" applyBorder="1" applyAlignment="1">
      <alignment horizontal="left" vertical="top" wrapText="1"/>
    </xf>
    <xf numFmtId="49" fontId="8" fillId="6" borderId="54" xfId="0" applyNumberFormat="1" applyFont="1" applyFill="1" applyBorder="1" applyAlignment="1">
      <alignment horizontal="left" vertical="center" wrapText="1"/>
    </xf>
    <xf numFmtId="1" fontId="8" fillId="6" borderId="12" xfId="0" applyNumberFormat="1" applyFont="1" applyFill="1" applyBorder="1" applyAlignment="1" applyProtection="1">
      <alignment horizontal="center" vertical="center"/>
    </xf>
    <xf numFmtId="0" fontId="7" fillId="4" borderId="36"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4" borderId="73" xfId="0" applyFont="1" applyFill="1" applyBorder="1" applyAlignment="1" applyProtection="1">
      <alignment horizontal="center" vertical="center"/>
    </xf>
    <xf numFmtId="0" fontId="7" fillId="5" borderId="54" xfId="0" applyFont="1" applyFill="1" applyBorder="1" applyAlignment="1">
      <alignment horizontal="left" vertical="center" wrapText="1"/>
    </xf>
    <xf numFmtId="0" fontId="7" fillId="5" borderId="43" xfId="0" applyFont="1" applyFill="1" applyBorder="1" applyAlignment="1">
      <alignment horizontal="left" vertical="center" wrapText="1"/>
    </xf>
    <xf numFmtId="0" fontId="7" fillId="0" borderId="38" xfId="0" applyFont="1" applyBorder="1" applyAlignment="1" applyProtection="1">
      <alignment horizontal="center" vertical="center"/>
      <protection locked="0"/>
    </xf>
    <xf numFmtId="0" fontId="7" fillId="2" borderId="44" xfId="0" applyFont="1" applyFill="1" applyBorder="1" applyAlignment="1">
      <alignment horizontal="left" vertical="top"/>
    </xf>
    <xf numFmtId="0" fontId="7" fillId="10" borderId="44" xfId="0" applyFont="1" applyFill="1" applyBorder="1" applyAlignment="1">
      <alignment horizontal="left" vertical="top"/>
    </xf>
    <xf numFmtId="0" fontId="7" fillId="0" borderId="32" xfId="0" applyFont="1" applyBorder="1" applyAlignment="1" applyProtection="1">
      <alignment horizontal="center" vertical="center"/>
      <protection locked="0"/>
    </xf>
    <xf numFmtId="0" fontId="7" fillId="0" borderId="31" xfId="0" applyFont="1" applyBorder="1" applyAlignment="1" applyProtection="1">
      <alignment horizontal="center" vertical="center" wrapText="1"/>
      <protection locked="0"/>
    </xf>
    <xf numFmtId="0" fontId="7" fillId="0" borderId="12" xfId="0" applyFont="1" applyBorder="1" applyAlignment="1" applyProtection="1">
      <alignment horizontal="center" vertical="center" wrapText="1"/>
      <protection locked="0"/>
    </xf>
    <xf numFmtId="0" fontId="7" fillId="0" borderId="32"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18" fillId="5" borderId="54"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2"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3" xfId="0" applyFont="1" applyFill="1" applyBorder="1" applyAlignment="1">
      <alignment horizontal="left" vertical="center" wrapText="1"/>
    </xf>
    <xf numFmtId="0" fontId="7" fillId="5" borderId="32" xfId="0" applyFont="1" applyFill="1" applyBorder="1" applyAlignment="1" applyProtection="1">
      <alignment horizontal="center" vertical="center"/>
      <protection locked="0"/>
    </xf>
    <xf numFmtId="0" fontId="7" fillId="5" borderId="15" xfId="0" applyFont="1" applyFill="1" applyBorder="1" applyAlignment="1" applyProtection="1">
      <alignment horizontal="center" vertical="center"/>
      <protection locked="0"/>
    </xf>
    <xf numFmtId="0" fontId="18" fillId="5" borderId="44" xfId="0" applyFont="1" applyFill="1" applyBorder="1" applyAlignment="1">
      <alignment horizontal="left" vertical="center" wrapText="1"/>
    </xf>
    <xf numFmtId="0" fontId="7" fillId="5" borderId="38"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6" xfId="0" applyFont="1" applyFill="1" applyBorder="1" applyAlignment="1" applyProtection="1">
      <alignment horizontal="center" vertical="center"/>
      <protection locked="0"/>
    </xf>
    <xf numFmtId="0" fontId="7" fillId="5" borderId="9" xfId="0" applyFont="1" applyFill="1" applyBorder="1" applyAlignment="1" applyProtection="1">
      <alignment horizontal="center" vertical="center"/>
      <protection locked="0"/>
    </xf>
    <xf numFmtId="49" fontId="14" fillId="4" borderId="32" xfId="1" applyNumberFormat="1" applyFont="1" applyFill="1" applyBorder="1" applyAlignment="1">
      <alignment horizontal="center" vertical="center"/>
    </xf>
    <xf numFmtId="0" fontId="7" fillId="2" borderId="10"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8" fillId="3" borderId="23" xfId="0" applyFont="1" applyFill="1" applyBorder="1" applyAlignment="1">
      <alignment horizontal="left" vertical="center" wrapText="1"/>
    </xf>
    <xf numFmtId="0" fontId="7" fillId="3" borderId="7" xfId="0" applyFont="1" applyFill="1" applyBorder="1" applyAlignment="1" applyProtection="1">
      <alignment horizontal="center" vertical="center"/>
    </xf>
    <xf numFmtId="0" fontId="7" fillId="4" borderId="7" xfId="0" applyFont="1" applyFill="1" applyBorder="1" applyAlignment="1" applyProtection="1">
      <alignment horizontal="center" vertical="center"/>
      <protection locked="0"/>
    </xf>
    <xf numFmtId="0" fontId="8" fillId="12" borderId="23" xfId="0" applyFont="1" applyFill="1" applyBorder="1" applyAlignment="1">
      <alignment horizontal="left" vertical="center" wrapText="1"/>
    </xf>
    <xf numFmtId="0" fontId="7" fillId="0" borderId="7" xfId="0" applyFont="1" applyFill="1" applyBorder="1" applyAlignment="1" applyProtection="1">
      <alignment horizontal="center" vertical="center"/>
      <protection locked="0"/>
    </xf>
    <xf numFmtId="0" fontId="7" fillId="2" borderId="15" xfId="0" applyFont="1" applyFill="1" applyBorder="1" applyAlignment="1" applyProtection="1">
      <alignment horizontal="center" vertical="center"/>
    </xf>
    <xf numFmtId="0" fontId="7" fillId="2" borderId="12" xfId="0" applyFont="1" applyFill="1" applyBorder="1" applyAlignment="1" applyProtection="1">
      <alignment horizontal="center" vertical="center"/>
    </xf>
    <xf numFmtId="0" fontId="7" fillId="0" borderId="81" xfId="0" applyFont="1" applyBorder="1" applyAlignment="1">
      <alignment horizontal="left" vertical="center" wrapText="1"/>
    </xf>
    <xf numFmtId="1" fontId="8" fillId="6" borderId="31" xfId="0" applyNumberFormat="1" applyFont="1" applyFill="1" applyBorder="1" applyAlignment="1" applyProtection="1">
      <alignment horizontal="center" vertical="center"/>
    </xf>
    <xf numFmtId="0" fontId="7" fillId="0" borderId="82" xfId="0" applyFont="1" applyBorder="1" applyAlignment="1">
      <alignment horizontal="left" vertical="center" wrapText="1"/>
    </xf>
    <xf numFmtId="0" fontId="7" fillId="0" borderId="36" xfId="0" applyFont="1" applyBorder="1" applyAlignment="1" applyProtection="1">
      <alignment horizontal="center" vertical="center" wrapText="1"/>
      <protection locked="0"/>
    </xf>
    <xf numFmtId="0" fontId="8" fillId="6" borderId="82" xfId="0" applyFont="1" applyFill="1" applyBorder="1" applyAlignment="1">
      <alignment horizontal="left" vertical="center" wrapText="1"/>
    </xf>
    <xf numFmtId="0" fontId="8" fillId="6" borderId="86" xfId="0" applyFont="1" applyFill="1" applyBorder="1" applyAlignment="1" applyProtection="1">
      <alignment horizontal="center" vertical="center" wrapText="1"/>
    </xf>
    <xf numFmtId="0" fontId="8" fillId="6" borderId="66" xfId="0" applyFont="1" applyFill="1" applyBorder="1" applyAlignment="1">
      <alignment horizontal="center" vertical="center"/>
    </xf>
    <xf numFmtId="0" fontId="7" fillId="0" borderId="71"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69" xfId="0" applyFont="1" applyBorder="1" applyAlignment="1" applyProtection="1">
      <alignment horizontal="center" vertical="center" wrapText="1"/>
      <protection locked="0"/>
    </xf>
    <xf numFmtId="0" fontId="7" fillId="0" borderId="77" xfId="0" applyFont="1" applyBorder="1" applyAlignment="1" applyProtection="1">
      <alignment horizontal="center" vertical="center" wrapText="1"/>
      <protection locked="0"/>
    </xf>
    <xf numFmtId="0" fontId="7" fillId="0" borderId="83" xfId="0" applyFont="1" applyBorder="1" applyAlignment="1">
      <alignment horizontal="left" vertical="center" wrapText="1"/>
    </xf>
    <xf numFmtId="0" fontId="7" fillId="0" borderId="70" xfId="0" applyFont="1" applyBorder="1" applyAlignment="1" applyProtection="1">
      <alignment horizontal="center" vertical="center" wrapText="1"/>
      <protection locked="0"/>
    </xf>
    <xf numFmtId="0" fontId="7" fillId="0" borderId="79" xfId="0" applyFont="1" applyBorder="1" applyAlignment="1" applyProtection="1">
      <alignment horizontal="center" vertical="center" wrapText="1"/>
      <protection locked="0"/>
    </xf>
    <xf numFmtId="0" fontId="7" fillId="0" borderId="84" xfId="0" applyFont="1" applyBorder="1" applyAlignment="1" applyProtection="1">
      <alignment horizontal="center" vertical="center" wrapText="1"/>
      <protection locked="0"/>
    </xf>
    <xf numFmtId="1" fontId="8" fillId="0" borderId="31" xfId="0" applyNumberFormat="1" applyFont="1" applyFill="1" applyBorder="1" applyAlignment="1" applyProtection="1">
      <alignment horizontal="center" vertical="center"/>
      <protection locked="0"/>
    </xf>
    <xf numFmtId="0" fontId="7" fillId="0" borderId="85" xfId="0" applyFont="1" applyBorder="1" applyAlignment="1">
      <alignment horizontal="left" vertical="center" wrapText="1"/>
    </xf>
    <xf numFmtId="0" fontId="8" fillId="6" borderId="67" xfId="0" applyFont="1" applyFill="1" applyBorder="1" applyAlignment="1">
      <alignment horizontal="center" vertical="center"/>
    </xf>
    <xf numFmtId="0" fontId="8" fillId="5" borderId="24" xfId="0" applyFont="1" applyFill="1" applyBorder="1" applyAlignment="1">
      <alignment horizontal="left" vertical="center" wrapText="1"/>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6" borderId="65" xfId="0" applyFont="1" applyFill="1" applyBorder="1" applyAlignment="1">
      <alignment horizontal="center" vertical="center"/>
    </xf>
    <xf numFmtId="0" fontId="8" fillId="5" borderId="61" xfId="0" applyFont="1" applyFill="1" applyBorder="1" applyAlignment="1">
      <alignment horizontal="left" vertical="center" wrapText="1"/>
    </xf>
    <xf numFmtId="0" fontId="8" fillId="5" borderId="144" xfId="0" applyFont="1" applyFill="1" applyBorder="1" applyAlignment="1" applyProtection="1">
      <alignment horizontal="center" vertical="center" wrapText="1"/>
      <protection locked="0"/>
    </xf>
    <xf numFmtId="0" fontId="8" fillId="5" borderId="88" xfId="0" applyFont="1" applyFill="1" applyBorder="1" applyAlignment="1" applyProtection="1">
      <alignment horizontal="center" vertical="center" wrapText="1"/>
      <protection locked="0"/>
    </xf>
    <xf numFmtId="0" fontId="8" fillId="6" borderId="62" xfId="0" applyFont="1" applyFill="1" applyBorder="1" applyAlignment="1">
      <alignment horizontal="center" vertical="center"/>
    </xf>
    <xf numFmtId="0" fontId="8" fillId="5" borderId="148" xfId="0" applyFont="1" applyFill="1" applyBorder="1" applyAlignment="1" applyProtection="1">
      <alignment horizontal="center" vertical="center" wrapText="1"/>
      <protection locked="0"/>
    </xf>
    <xf numFmtId="0" fontId="8" fillId="5" borderId="149" xfId="0" applyFont="1" applyFill="1" applyBorder="1" applyAlignment="1" applyProtection="1">
      <alignment horizontal="center" vertical="center" wrapText="1"/>
      <protection locked="0"/>
    </xf>
    <xf numFmtId="0" fontId="8" fillId="5" borderId="146" xfId="0" applyFont="1" applyFill="1" applyBorder="1" applyAlignment="1" applyProtection="1">
      <alignment horizontal="center" vertical="center" wrapText="1"/>
      <protection locked="0"/>
    </xf>
    <xf numFmtId="0" fontId="8" fillId="5" borderId="147" xfId="0" applyFont="1" applyFill="1" applyBorder="1" applyAlignment="1" applyProtection="1">
      <alignment horizontal="center" vertical="center" wrapText="1"/>
      <protection locked="0"/>
    </xf>
    <xf numFmtId="0" fontId="7" fillId="0" borderId="38" xfId="0" applyFont="1" applyBorder="1" applyAlignment="1" applyProtection="1">
      <alignment horizontal="center" vertical="center" wrapText="1"/>
      <protection locked="0"/>
    </xf>
    <xf numFmtId="0" fontId="7" fillId="5" borderId="23" xfId="0" applyFont="1" applyFill="1" applyBorder="1" applyAlignment="1">
      <alignment horizontal="left" vertical="center" wrapText="1"/>
    </xf>
    <xf numFmtId="0" fontId="7" fillId="0" borderId="8"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xf numFmtId="0" fontId="7" fillId="5" borderId="8" xfId="0" applyFont="1" applyFill="1" applyBorder="1" applyAlignment="1" applyProtection="1">
      <alignment horizontal="center" vertical="center"/>
      <protection locked="0"/>
    </xf>
    <xf numFmtId="0" fontId="7" fillId="5" borderId="53" xfId="0" applyFont="1" applyFill="1" applyBorder="1" applyAlignment="1">
      <alignment horizontal="left" vertical="center" wrapText="1"/>
    </xf>
    <xf numFmtId="0" fontId="7" fillId="12" borderId="44" xfId="0" applyFont="1" applyFill="1" applyBorder="1" applyAlignment="1">
      <alignment horizontal="left" vertical="center" wrapText="1"/>
    </xf>
    <xf numFmtId="0" fontId="7" fillId="10" borderId="44" xfId="0" applyFont="1" applyFill="1" applyBorder="1" applyAlignment="1">
      <alignment wrapText="1"/>
    </xf>
    <xf numFmtId="0" fontId="7" fillId="12" borderId="23" xfId="0" applyFont="1" applyFill="1" applyBorder="1" applyAlignment="1">
      <alignment horizontal="left" vertical="center" wrapText="1"/>
    </xf>
    <xf numFmtId="0" fontId="11" fillId="0" borderId="7" xfId="0" applyFont="1" applyBorder="1" applyAlignment="1" applyProtection="1">
      <alignment horizontal="center" vertical="center"/>
      <protection locked="0"/>
    </xf>
    <xf numFmtId="0" fontId="11" fillId="4" borderId="7" xfId="0" applyFont="1" applyFill="1" applyBorder="1" applyAlignment="1" applyProtection="1">
      <alignment horizontal="center" vertical="center"/>
    </xf>
    <xf numFmtId="0" fontId="7" fillId="10" borderId="23" xfId="0" applyFont="1" applyFill="1" applyBorder="1" applyAlignment="1">
      <alignment wrapText="1"/>
    </xf>
    <xf numFmtId="49" fontId="7" fillId="6" borderId="23" xfId="0" applyNumberFormat="1" applyFont="1" applyFill="1" applyBorder="1" applyAlignment="1">
      <alignment horizontal="left" vertical="center" wrapText="1"/>
    </xf>
    <xf numFmtId="49" fontId="8" fillId="6" borderId="7" xfId="0" applyNumberFormat="1" applyFont="1" applyFill="1" applyBorder="1" applyAlignment="1" applyProtection="1">
      <alignment horizontal="center" vertical="center"/>
    </xf>
    <xf numFmtId="49" fontId="7" fillId="6" borderId="53" xfId="0" applyNumberFormat="1" applyFont="1" applyFill="1" applyBorder="1" applyAlignment="1">
      <alignment horizontal="left" vertical="center" wrapText="1"/>
    </xf>
    <xf numFmtId="49" fontId="8" fillId="6" borderId="15" xfId="0" applyNumberFormat="1" applyFont="1" applyFill="1" applyBorder="1" applyAlignment="1" applyProtection="1">
      <alignment horizontal="center" vertical="center"/>
    </xf>
    <xf numFmtId="0" fontId="7" fillId="12" borderId="54" xfId="0" applyFont="1" applyFill="1" applyBorder="1" applyAlignment="1">
      <alignment horizontal="left" vertical="center" wrapText="1"/>
    </xf>
    <xf numFmtId="0" fontId="8" fillId="0" borderId="23" xfId="0" applyFont="1" applyBorder="1" applyAlignment="1">
      <alignment horizontal="left" vertical="center" wrapText="1"/>
    </xf>
    <xf numFmtId="0" fontId="11" fillId="4" borderId="15" xfId="0" applyFont="1" applyFill="1" applyBorder="1" applyAlignment="1" applyProtection="1">
      <alignment horizontal="center" vertical="center"/>
    </xf>
    <xf numFmtId="0" fontId="8" fillId="4" borderId="8"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49" fontId="8" fillId="6" borderId="53" xfId="0" applyNumberFormat="1" applyFont="1" applyFill="1" applyBorder="1" applyAlignment="1">
      <alignment horizontal="left" vertical="center" wrapText="1"/>
    </xf>
    <xf numFmtId="49" fontId="8" fillId="6" borderId="32" xfId="0" applyNumberFormat="1" applyFont="1" applyFill="1" applyBorder="1" applyAlignment="1" applyProtection="1">
      <alignment horizontal="center" vertical="center"/>
    </xf>
    <xf numFmtId="0" fontId="11" fillId="5" borderId="31" xfId="0" applyFont="1" applyFill="1" applyBorder="1" applyAlignment="1" applyProtection="1">
      <alignment horizontal="center" vertical="center"/>
      <protection locked="0"/>
    </xf>
    <xf numFmtId="0" fontId="11" fillId="5" borderId="12" xfId="0" applyFont="1" applyFill="1" applyBorder="1" applyAlignment="1" applyProtection="1">
      <alignment horizontal="center" vertical="center"/>
      <protection locked="0"/>
    </xf>
    <xf numFmtId="0" fontId="11" fillId="5" borderId="8"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49" fontId="8" fillId="6" borderId="43" xfId="0" applyNumberFormat="1" applyFont="1" applyFill="1" applyBorder="1" applyAlignment="1">
      <alignment horizontal="left" vertical="center" wrapText="1"/>
    </xf>
    <xf numFmtId="49" fontId="8" fillId="6" borderId="36" xfId="0" applyNumberFormat="1" applyFont="1" applyFill="1" applyBorder="1" applyAlignment="1" applyProtection="1">
      <alignment horizontal="center" vertical="center"/>
    </xf>
    <xf numFmtId="49" fontId="8" fillId="6" borderId="9" xfId="0" applyNumberFormat="1" applyFont="1" applyFill="1" applyBorder="1" applyAlignment="1" applyProtection="1">
      <alignment horizontal="center" vertical="center"/>
    </xf>
    <xf numFmtId="0" fontId="10" fillId="2" borderId="23" xfId="0" applyFont="1" applyFill="1" applyBorder="1" applyAlignment="1">
      <alignment horizontal="left" vertical="top"/>
    </xf>
    <xf numFmtId="0" fontId="8" fillId="0" borderId="39" xfId="0" applyFont="1" applyBorder="1" applyAlignment="1">
      <alignment horizontal="left" vertical="top" wrapText="1"/>
    </xf>
    <xf numFmtId="0" fontId="7" fillId="0" borderId="39" xfId="0" applyFont="1" applyBorder="1" applyAlignment="1">
      <alignment horizontal="left" vertical="center" wrapText="1"/>
    </xf>
    <xf numFmtId="0" fontId="7" fillId="4" borderId="40" xfId="0" applyFont="1" applyFill="1" applyBorder="1" applyAlignment="1" applyProtection="1">
      <alignment horizontal="center" vertical="center"/>
    </xf>
    <xf numFmtId="0" fontId="7" fillId="4" borderId="1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0" borderId="11" xfId="0" applyFont="1" applyBorder="1" applyAlignment="1">
      <alignment horizontal="left" vertical="top" wrapText="1"/>
    </xf>
    <xf numFmtId="0" fontId="8" fillId="6" borderId="39" xfId="0" applyFont="1" applyFill="1" applyBorder="1" applyAlignment="1">
      <alignment horizontal="left" vertical="center" wrapText="1"/>
    </xf>
    <xf numFmtId="0" fontId="25" fillId="6" borderId="40" xfId="2" applyFont="1" applyFill="1" applyBorder="1" applyAlignment="1" applyProtection="1">
      <alignment horizontal="center" vertical="center" wrapText="1"/>
    </xf>
    <xf numFmtId="0" fontId="25" fillId="6" borderId="19"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1"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21" fillId="0" borderId="11"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7"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25" fillId="6" borderId="32" xfId="2" applyFont="1" applyFill="1" applyBorder="1" applyAlignment="1" applyProtection="1">
      <alignment horizontal="center" vertical="center"/>
    </xf>
    <xf numFmtId="0" fontId="25" fillId="6" borderId="15" xfId="2" applyFont="1" applyFill="1" applyBorder="1" applyAlignment="1" applyProtection="1">
      <alignment horizontal="center" vertical="center"/>
    </xf>
    <xf numFmtId="0" fontId="25" fillId="6" borderId="16" xfId="2" applyFont="1" applyFill="1" applyBorder="1" applyAlignment="1" applyProtection="1">
      <alignment horizontal="center" vertical="center"/>
    </xf>
    <xf numFmtId="0" fontId="8" fillId="6" borderId="30" xfId="0" applyFont="1" applyFill="1" applyBorder="1" applyAlignment="1">
      <alignment horizontal="left" vertical="center" wrapText="1"/>
    </xf>
    <xf numFmtId="0" fontId="7" fillId="0" borderId="40" xfId="0" applyFont="1" applyBorder="1" applyAlignment="1" applyProtection="1">
      <alignment horizontal="center" vertical="center"/>
      <protection locked="0"/>
    </xf>
    <xf numFmtId="0" fontId="7" fillId="0" borderId="45" xfId="0" applyFont="1" applyBorder="1" applyAlignment="1">
      <alignment horizontal="left" vertical="center" wrapText="1"/>
    </xf>
    <xf numFmtId="0" fontId="7" fillId="6" borderId="32" xfId="0" applyFont="1" applyFill="1" applyBorder="1" applyAlignment="1" applyProtection="1">
      <alignment horizontal="center" vertical="center"/>
    </xf>
    <xf numFmtId="0" fontId="7" fillId="6" borderId="15" xfId="0" applyFont="1" applyFill="1" applyBorder="1" applyAlignment="1" applyProtection="1">
      <alignment horizontal="center" vertical="center"/>
    </xf>
    <xf numFmtId="0" fontId="25" fillId="6" borderId="31" xfId="2" applyFont="1" applyFill="1" applyBorder="1" applyAlignment="1" applyProtection="1">
      <alignment horizontal="center" vertical="center"/>
    </xf>
    <xf numFmtId="0" fontId="7" fillId="0" borderId="36" xfId="0" applyFont="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2" xfId="1" applyNumberFormat="1" applyFont="1" applyFill="1" applyBorder="1" applyAlignment="1" applyProtection="1">
      <alignment horizontal="center" vertical="center"/>
      <protection locked="0"/>
    </xf>
    <xf numFmtId="0" fontId="8" fillId="7" borderId="23" xfId="0" applyFont="1" applyFill="1" applyBorder="1" applyAlignment="1">
      <alignment horizontal="center" vertical="center"/>
    </xf>
    <xf numFmtId="0" fontId="8" fillId="8" borderId="23" xfId="0" applyFont="1" applyFill="1" applyBorder="1" applyAlignment="1">
      <alignment horizontal="center" vertical="center"/>
    </xf>
    <xf numFmtId="1" fontId="14" fillId="5" borderId="8" xfId="1" applyNumberFormat="1" applyFont="1" applyFill="1" applyBorder="1" applyAlignment="1" applyProtection="1">
      <alignment horizontal="center" vertical="center"/>
      <protection locked="0"/>
    </xf>
    <xf numFmtId="1" fontId="14" fillId="5" borderId="7" xfId="1" applyNumberFormat="1" applyFont="1" applyFill="1" applyBorder="1" applyAlignment="1" applyProtection="1">
      <alignment horizontal="center" vertical="center"/>
      <protection locked="0"/>
    </xf>
    <xf numFmtId="1" fontId="14" fillId="5" borderId="32" xfId="1" applyNumberFormat="1" applyFont="1" applyFill="1" applyBorder="1" applyAlignment="1" applyProtection="1">
      <alignment horizontal="center" vertical="center"/>
      <protection locked="0"/>
    </xf>
    <xf numFmtId="1" fontId="14" fillId="5" borderId="15" xfId="1" applyNumberFormat="1" applyFont="1" applyFill="1" applyBorder="1" applyAlignment="1" applyProtection="1">
      <alignment horizontal="center" vertical="center"/>
      <protection locked="0"/>
    </xf>
    <xf numFmtId="0" fontId="8" fillId="3" borderId="53" xfId="0" applyFont="1" applyFill="1" applyBorder="1" applyAlignment="1">
      <alignment horizontal="left" vertical="center" wrapText="1"/>
    </xf>
    <xf numFmtId="0" fontId="7" fillId="3" borderId="32" xfId="0" applyFont="1" applyFill="1" applyBorder="1" applyAlignment="1" applyProtection="1">
      <alignment horizontal="center" vertical="center"/>
    </xf>
    <xf numFmtId="0" fontId="7" fillId="3" borderId="15" xfId="0" applyFont="1" applyFill="1" applyBorder="1" applyAlignment="1" applyProtection="1">
      <alignment horizontal="center" vertical="center"/>
    </xf>
    <xf numFmtId="0" fontId="7" fillId="3" borderId="16" xfId="0" applyFont="1" applyFill="1" applyBorder="1" applyAlignment="1" applyProtection="1">
      <alignment horizontal="center" vertical="center"/>
      <protection locked="0"/>
    </xf>
    <xf numFmtId="49" fontId="8" fillId="6" borderId="23" xfId="0" applyNumberFormat="1" applyFont="1" applyFill="1" applyBorder="1" applyAlignment="1">
      <alignment horizontal="left" vertical="center" wrapText="1"/>
    </xf>
    <xf numFmtId="49" fontId="14" fillId="4" borderId="8" xfId="1" applyNumberFormat="1" applyFont="1" applyFill="1" applyBorder="1" applyAlignment="1">
      <alignment horizontal="center" vertical="center"/>
    </xf>
    <xf numFmtId="49" fontId="14" fillId="4" borderId="7" xfId="1" applyNumberFormat="1" applyFont="1" applyFill="1" applyBorder="1" applyAlignment="1">
      <alignment horizontal="center" vertical="center"/>
    </xf>
    <xf numFmtId="0" fontId="5" fillId="5" borderId="0" xfId="0" applyFont="1" applyFill="1" applyAlignment="1"/>
    <xf numFmtId="49" fontId="14" fillId="4" borderId="36" xfId="1" applyNumberFormat="1" applyFont="1" applyFill="1" applyBorder="1" applyAlignment="1">
      <alignment horizontal="center" vertical="center"/>
    </xf>
    <xf numFmtId="0" fontId="7" fillId="3" borderId="9" xfId="0" applyFont="1" applyFill="1" applyBorder="1" applyAlignment="1" applyProtection="1">
      <alignment horizontal="center" vertical="center"/>
    </xf>
    <xf numFmtId="0" fontId="7" fillId="5" borderId="28" xfId="0" applyFont="1" applyFill="1" applyBorder="1" applyAlignment="1">
      <alignment horizontal="left" vertical="center" wrapText="1"/>
    </xf>
    <xf numFmtId="49" fontId="14" fillId="4" borderId="3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7" fillId="5" borderId="29" xfId="0" applyFont="1" applyFill="1" applyBorder="1" applyAlignment="1">
      <alignment horizontal="left" vertical="center" wrapText="1"/>
    </xf>
    <xf numFmtId="49" fontId="8" fillId="6" borderId="30" xfId="0" applyNumberFormat="1" applyFont="1" applyFill="1" applyBorder="1" applyAlignment="1">
      <alignment horizontal="left" vertical="center" wrapText="1"/>
    </xf>
    <xf numFmtId="0" fontId="8" fillId="2" borderId="23" xfId="0" applyFont="1" applyFill="1" applyBorder="1" applyAlignment="1">
      <alignment vertical="center"/>
    </xf>
    <xf numFmtId="0" fontId="7" fillId="10" borderId="23" xfId="0" applyFont="1" applyFill="1" applyBorder="1" applyAlignment="1">
      <alignment horizontal="left" vertical="center" wrapText="1"/>
    </xf>
    <xf numFmtId="0" fontId="10" fillId="0" borderId="49" xfId="0" applyFont="1" applyFill="1" applyBorder="1" applyAlignment="1">
      <alignment horizontal="center" vertical="center"/>
    </xf>
    <xf numFmtId="0" fontId="28" fillId="5" borderId="11" xfId="0" applyFont="1" applyFill="1" applyBorder="1" applyAlignment="1">
      <alignment horizontal="left" vertical="center"/>
    </xf>
    <xf numFmtId="0" fontId="8" fillId="5" borderId="48" xfId="0" applyFont="1" applyFill="1" applyBorder="1" applyAlignment="1">
      <alignment vertical="top"/>
    </xf>
    <xf numFmtId="0" fontId="9" fillId="5" borderId="145" xfId="0" applyFont="1" applyFill="1" applyBorder="1" applyAlignment="1">
      <alignment horizontal="left" vertical="center"/>
    </xf>
    <xf numFmtId="0" fontId="9" fillId="0" borderId="0" xfId="0" applyFont="1" applyAlignment="1">
      <alignment horizontal="left" vertical="top" wrapText="1"/>
    </xf>
    <xf numFmtId="0" fontId="7" fillId="0" borderId="0" xfId="0" applyFont="1"/>
    <xf numFmtId="0" fontId="10" fillId="0" borderId="0" xfId="0" applyFont="1" applyFill="1" applyBorder="1"/>
    <xf numFmtId="0" fontId="29" fillId="0" borderId="0" xfId="0" applyFont="1" applyAlignment="1">
      <alignment horizontal="left" vertical="top" wrapText="1"/>
    </xf>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top" wrapText="1"/>
    </xf>
    <xf numFmtId="0" fontId="38" fillId="0" borderId="0" xfId="0" applyFont="1" applyAlignment="1">
      <alignment horizontal="left" vertical="center" wrapText="1"/>
    </xf>
    <xf numFmtId="49" fontId="18" fillId="4" borderId="9" xfId="1" applyNumberFormat="1" applyFont="1" applyFill="1" applyBorder="1" applyAlignment="1">
      <alignment horizontal="center" vertical="center"/>
    </xf>
    <xf numFmtId="49" fontId="18" fillId="4" borderId="32" xfId="1" applyNumberFormat="1" applyFont="1" applyFill="1" applyBorder="1" applyAlignment="1">
      <alignment horizontal="center" vertical="center"/>
    </xf>
    <xf numFmtId="0" fontId="10" fillId="4" borderId="72" xfId="0" applyFont="1" applyFill="1" applyBorder="1" applyAlignment="1" applyProtection="1">
      <alignment horizontal="center" vertical="center"/>
    </xf>
    <xf numFmtId="0" fontId="13" fillId="4" borderId="74" xfId="0" applyFont="1" applyFill="1" applyBorder="1" applyAlignment="1" applyProtection="1">
      <alignment horizontal="center" vertical="center"/>
    </xf>
    <xf numFmtId="0" fontId="7" fillId="0" borderId="24" xfId="0" applyFont="1" applyBorder="1" applyAlignment="1">
      <alignment horizontal="left" vertical="center" wrapText="1"/>
    </xf>
    <xf numFmtId="0" fontId="8" fillId="0" borderId="26" xfId="0" applyFont="1" applyBorder="1" applyAlignment="1">
      <alignment horizontal="left" vertical="center" wrapText="1"/>
    </xf>
    <xf numFmtId="0" fontId="12" fillId="0" borderId="0" xfId="0" applyFont="1" applyAlignment="1">
      <alignment vertical="center"/>
    </xf>
    <xf numFmtId="0" fontId="11" fillId="6" borderId="173" xfId="3" applyFont="1" applyFill="1" applyBorder="1" applyAlignment="1">
      <alignment horizontal="left" vertical="center"/>
    </xf>
    <xf numFmtId="0" fontId="8" fillId="5" borderId="49" xfId="0" applyFont="1" applyFill="1" applyBorder="1" applyAlignment="1">
      <alignment horizontal="left"/>
    </xf>
    <xf numFmtId="0" fontId="7" fillId="6" borderId="55" xfId="0" applyFont="1" applyFill="1" applyBorder="1" applyAlignment="1">
      <alignment horizontal="left" vertical="top" wrapText="1"/>
    </xf>
    <xf numFmtId="0" fontId="8" fillId="6" borderId="174" xfId="0" applyFont="1" applyFill="1" applyBorder="1" applyAlignment="1">
      <alignment horizontal="left" vertical="center" wrapText="1"/>
    </xf>
    <xf numFmtId="0" fontId="8" fillId="2" borderId="43" xfId="0" applyFont="1" applyFill="1" applyBorder="1" applyAlignment="1">
      <alignment horizontal="left" vertical="top"/>
    </xf>
    <xf numFmtId="0" fontId="7" fillId="2" borderId="23" xfId="0" applyFont="1" applyFill="1" applyBorder="1" applyAlignment="1">
      <alignment horizontal="left" vertical="top"/>
    </xf>
    <xf numFmtId="0" fontId="8" fillId="2" borderId="23" xfId="0" applyFont="1" applyFill="1" applyBorder="1" applyAlignment="1">
      <alignment horizontal="left" vertical="top"/>
    </xf>
    <xf numFmtId="49" fontId="14" fillId="4" borderId="10" xfId="1" applyNumberFormat="1" applyFont="1" applyFill="1" applyBorder="1" applyAlignment="1">
      <alignment horizontal="center" vertical="center"/>
    </xf>
    <xf numFmtId="0" fontId="8" fillId="6" borderId="145" xfId="0" applyFont="1" applyFill="1" applyBorder="1" applyAlignment="1">
      <alignment horizontal="center" vertical="center"/>
    </xf>
    <xf numFmtId="0" fontId="7" fillId="5" borderId="61" xfId="0" applyFont="1" applyFill="1" applyBorder="1" applyAlignment="1">
      <alignment horizontal="left" vertical="top" wrapText="1"/>
    </xf>
    <xf numFmtId="0" fontId="7" fillId="4" borderId="34" xfId="0" applyFont="1" applyFill="1" applyBorder="1" applyAlignment="1" applyProtection="1">
      <alignment horizontal="center" vertical="center"/>
    </xf>
    <xf numFmtId="0" fontId="7" fillId="4" borderId="17"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7"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75" xfId="0"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19" fillId="0" borderId="22"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7" fillId="0" borderId="176" xfId="0" applyFont="1" applyBorder="1" applyAlignment="1" applyProtection="1">
      <alignment horizontal="center" vertical="center"/>
      <protection locked="0"/>
    </xf>
    <xf numFmtId="0" fontId="11" fillId="0" borderId="46" xfId="0" applyFont="1" applyBorder="1" applyAlignment="1" applyProtection="1">
      <alignment horizontal="center" vertical="center"/>
      <protection locked="0"/>
    </xf>
    <xf numFmtId="0" fontId="7" fillId="4" borderId="176" xfId="0" applyFont="1" applyFill="1" applyBorder="1" applyAlignment="1" applyProtection="1">
      <alignment horizontal="center" vertical="center"/>
    </xf>
    <xf numFmtId="0" fontId="7" fillId="4" borderId="46" xfId="0" applyFont="1" applyFill="1" applyBorder="1" applyAlignment="1" applyProtection="1">
      <alignment horizontal="center" vertical="center"/>
    </xf>
    <xf numFmtId="0" fontId="7" fillId="10" borderId="176" xfId="0" applyFont="1" applyFill="1" applyBorder="1" applyAlignment="1" applyProtection="1">
      <alignment horizontal="center" vertical="center"/>
    </xf>
    <xf numFmtId="0" fontId="11" fillId="0" borderId="46" xfId="0" applyFont="1" applyBorder="1" applyAlignment="1" applyProtection="1">
      <alignment horizontal="center" vertical="center"/>
    </xf>
    <xf numFmtId="0" fontId="19" fillId="0" borderId="46" xfId="0" applyFont="1" applyBorder="1" applyAlignment="1" applyProtection="1">
      <alignment horizontal="center" vertical="center"/>
      <protection locked="0"/>
    </xf>
    <xf numFmtId="0" fontId="7" fillId="6" borderId="22" xfId="0" applyFont="1" applyFill="1" applyBorder="1" applyAlignment="1" applyProtection="1">
      <alignment horizontal="center" vertical="center"/>
    </xf>
    <xf numFmtId="0" fontId="7" fillId="0" borderId="27" xfId="0" applyFont="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5" borderId="22" xfId="0" applyFont="1" applyFill="1" applyBorder="1" applyAlignment="1" applyProtection="1">
      <alignment horizontal="center" vertical="center"/>
      <protection locked="0"/>
    </xf>
    <xf numFmtId="1" fontId="8" fillId="6" borderId="176" xfId="0" applyNumberFormat="1" applyFont="1" applyFill="1" applyBorder="1" applyAlignment="1" applyProtection="1">
      <alignment horizontal="center" vertical="center"/>
    </xf>
    <xf numFmtId="0" fontId="7" fillId="0" borderId="33" xfId="0" applyFont="1" applyBorder="1" applyAlignment="1" applyProtection="1">
      <alignment horizontal="center" vertical="center"/>
      <protection locked="0"/>
    </xf>
    <xf numFmtId="0" fontId="7" fillId="4" borderId="27" xfId="0" applyFont="1" applyFill="1" applyBorder="1" applyAlignment="1" applyProtection="1">
      <alignment horizontal="center" vertical="center"/>
    </xf>
    <xf numFmtId="0" fontId="7" fillId="0" borderId="176" xfId="0" applyFont="1" applyBorder="1" applyAlignment="1" applyProtection="1">
      <alignment horizontal="center" vertical="center" wrapText="1"/>
      <protection locked="0"/>
    </xf>
    <xf numFmtId="0" fontId="7" fillId="0" borderId="46" xfId="0" applyFont="1" applyBorder="1" applyAlignment="1" applyProtection="1">
      <alignment horizontal="center" vertical="center" wrapText="1"/>
      <protection locked="0"/>
    </xf>
    <xf numFmtId="0" fontId="7" fillId="5" borderId="176" xfId="0" applyFont="1" applyFill="1" applyBorder="1" applyAlignment="1" applyProtection="1">
      <alignment horizontal="center" vertical="center"/>
      <protection locked="0"/>
    </xf>
    <xf numFmtId="0" fontId="7" fillId="5" borderId="46" xfId="0" applyFont="1" applyFill="1" applyBorder="1" applyAlignment="1" applyProtection="1">
      <alignment horizontal="center" vertical="center"/>
      <protection locked="0"/>
    </xf>
    <xf numFmtId="0" fontId="7" fillId="5" borderId="27" xfId="0" applyFont="1" applyFill="1" applyBorder="1" applyAlignment="1" applyProtection="1">
      <alignment horizontal="center" vertical="center"/>
      <protection locked="0"/>
    </xf>
    <xf numFmtId="0" fontId="7" fillId="3" borderId="22" xfId="0" applyFont="1" applyFill="1" applyBorder="1" applyAlignment="1" applyProtection="1">
      <alignment horizontal="center" vertical="center"/>
    </xf>
    <xf numFmtId="0" fontId="7" fillId="0" borderId="22"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4" xfId="0" applyNumberFormat="1" applyFont="1" applyFill="1" applyBorder="1" applyAlignment="1" applyProtection="1">
      <alignment horizontal="center" vertical="center"/>
      <protection locked="0"/>
    </xf>
    <xf numFmtId="1" fontId="8" fillId="6" borderId="44" xfId="0" applyNumberFormat="1" applyFont="1" applyFill="1" applyBorder="1" applyAlignment="1" applyProtection="1">
      <alignment horizontal="center" vertical="center"/>
    </xf>
    <xf numFmtId="0" fontId="8" fillId="5" borderId="178" xfId="0" applyFont="1" applyFill="1" applyBorder="1" applyAlignment="1" applyProtection="1">
      <alignment horizontal="center" vertical="center" wrapText="1"/>
      <protection locked="0"/>
    </xf>
    <xf numFmtId="0" fontId="8" fillId="5" borderId="179" xfId="0" applyFont="1" applyFill="1" applyBorder="1" applyAlignment="1" applyProtection="1">
      <alignment horizontal="center" vertical="center" wrapText="1"/>
      <protection locked="0"/>
    </xf>
    <xf numFmtId="0" fontId="7" fillId="0" borderId="44" xfId="0" applyFont="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5" borderId="23" xfId="0" applyFont="1" applyFill="1" applyBorder="1" applyAlignment="1" applyProtection="1">
      <alignment horizontal="center" vertical="center"/>
      <protection locked="0"/>
    </xf>
    <xf numFmtId="0" fontId="7" fillId="5" borderId="53" xfId="0" applyFont="1" applyFill="1" applyBorder="1" applyAlignment="1" applyProtection="1">
      <alignment horizontal="center" vertical="center"/>
      <protection locked="0"/>
    </xf>
    <xf numFmtId="0" fontId="7" fillId="4" borderId="21" xfId="0" applyFont="1" applyFill="1" applyBorder="1" applyAlignment="1" applyProtection="1">
      <alignment horizontal="center" vertical="center"/>
    </xf>
    <xf numFmtId="0" fontId="7" fillId="4" borderId="22" xfId="0" applyFont="1" applyFill="1" applyBorder="1" applyAlignment="1" applyProtection="1">
      <alignment horizontal="center" vertical="center"/>
    </xf>
    <xf numFmtId="0" fontId="11" fillId="4" borderId="46" xfId="0" applyFont="1" applyFill="1" applyBorder="1" applyAlignment="1" applyProtection="1">
      <alignment horizontal="center" vertical="center"/>
    </xf>
    <xf numFmtId="0" fontId="7" fillId="4" borderId="52"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46" xfId="2" applyFont="1" applyFill="1" applyBorder="1" applyAlignment="1" applyProtection="1">
      <alignment horizontal="center" vertical="center"/>
    </xf>
    <xf numFmtId="0" fontId="25" fillId="6" borderId="53" xfId="2" applyFont="1" applyFill="1" applyBorder="1" applyAlignment="1" applyProtection="1">
      <alignment horizontal="center" vertical="center"/>
    </xf>
    <xf numFmtId="0" fontId="7" fillId="6" borderId="46" xfId="0" applyFont="1" applyFill="1" applyBorder="1" applyAlignment="1" applyProtection="1">
      <alignment horizontal="center" vertical="center"/>
    </xf>
    <xf numFmtId="0" fontId="7" fillId="0" borderId="48" xfId="0" applyFont="1" applyBorder="1" applyAlignment="1" applyProtection="1">
      <alignment horizontal="center" vertical="center"/>
      <protection locked="0"/>
    </xf>
    <xf numFmtId="0" fontId="7" fillId="0" borderId="54" xfId="0"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1" fontId="14" fillId="5" borderId="176" xfId="1" applyNumberFormat="1" applyFont="1" applyFill="1" applyBorder="1" applyAlignment="1" applyProtection="1">
      <alignment horizontal="center" vertical="center"/>
      <protection locked="0"/>
    </xf>
    <xf numFmtId="1" fontId="14" fillId="5" borderId="22" xfId="1" applyNumberFormat="1" applyFont="1" applyFill="1" applyBorder="1" applyAlignment="1" applyProtection="1">
      <alignment horizontal="center" vertical="center"/>
      <protection locked="0"/>
    </xf>
    <xf numFmtId="1" fontId="14" fillId="5" borderId="46" xfId="1" applyNumberFormat="1" applyFont="1" applyFill="1" applyBorder="1" applyAlignment="1" applyProtection="1">
      <alignment horizontal="center" vertical="center"/>
      <protection locked="0"/>
    </xf>
    <xf numFmtId="0" fontId="7" fillId="3" borderId="46" xfId="0" applyFont="1" applyFill="1" applyBorder="1" applyAlignment="1" applyProtection="1">
      <alignment horizontal="center" vertical="center"/>
    </xf>
    <xf numFmtId="0" fontId="7" fillId="3" borderId="27"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30" xfId="0" applyFont="1" applyBorder="1" applyAlignment="1">
      <alignment horizontal="left" vertical="center" wrapText="1"/>
    </xf>
    <xf numFmtId="49" fontId="18" fillId="4" borderId="46"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80" xfId="1" applyNumberFormat="1" applyFont="1" applyFill="1" applyBorder="1" applyAlignment="1">
      <alignment horizontal="center" vertical="center"/>
    </xf>
    <xf numFmtId="49" fontId="18" fillId="4" borderId="178" xfId="1" applyNumberFormat="1" applyFont="1" applyFill="1" applyBorder="1" applyAlignment="1">
      <alignment horizontal="center" vertical="center"/>
    </xf>
    <xf numFmtId="49" fontId="18" fillId="4" borderId="130" xfId="1" applyNumberFormat="1" applyFont="1" applyFill="1" applyBorder="1" applyAlignment="1">
      <alignment horizontal="center" vertical="center"/>
    </xf>
    <xf numFmtId="0" fontId="11" fillId="6" borderId="62" xfId="0" applyFont="1" applyFill="1" applyBorder="1" applyAlignment="1">
      <alignment horizontal="center" vertical="center"/>
    </xf>
    <xf numFmtId="0" fontId="7" fillId="4" borderId="1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0" fillId="4" borderId="74" xfId="0" applyFont="1" applyFill="1" applyBorder="1" applyAlignment="1" applyProtection="1">
      <alignment horizontal="center" vertical="center"/>
    </xf>
    <xf numFmtId="3" fontId="7" fillId="0" borderId="12" xfId="0" applyNumberFormat="1" applyFont="1" applyBorder="1" applyAlignment="1" applyProtection="1">
      <alignment horizontal="center" vertical="center"/>
      <protection locked="0"/>
    </xf>
    <xf numFmtId="0" fontId="10" fillId="4" borderId="73" xfId="0" applyFont="1" applyFill="1" applyBorder="1" applyAlignment="1" applyProtection="1">
      <alignment horizontal="center" vertical="center"/>
    </xf>
    <xf numFmtId="0" fontId="11" fillId="6" borderId="66" xfId="0" applyFont="1" applyFill="1" applyBorder="1" applyAlignment="1">
      <alignment horizontal="center" vertical="center"/>
    </xf>
    <xf numFmtId="0" fontId="11" fillId="6" borderId="183" xfId="0" applyFont="1" applyFill="1" applyBorder="1" applyAlignment="1">
      <alignment horizontal="center" vertical="center"/>
    </xf>
    <xf numFmtId="0" fontId="7" fillId="4" borderId="14" xfId="0"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7" fillId="4" borderId="5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49" xfId="0" applyFont="1" applyFill="1" applyBorder="1" applyAlignment="1" applyProtection="1">
      <alignment horizontal="center" vertical="center"/>
    </xf>
    <xf numFmtId="0" fontId="7" fillId="4" borderId="80" xfId="0" applyFont="1" applyFill="1" applyBorder="1" applyAlignment="1" applyProtection="1">
      <alignment horizontal="center" vertical="center"/>
    </xf>
    <xf numFmtId="0" fontId="7" fillId="4" borderId="178" xfId="0" applyFont="1" applyFill="1" applyBorder="1" applyAlignment="1" applyProtection="1">
      <alignment horizontal="center" vertical="center"/>
    </xf>
    <xf numFmtId="0" fontId="8" fillId="6" borderId="175" xfId="0" applyFont="1" applyFill="1" applyBorder="1" applyAlignment="1">
      <alignment horizontal="center" vertical="center"/>
    </xf>
    <xf numFmtId="1" fontId="8" fillId="6" borderId="65" xfId="0" applyNumberFormat="1" applyFont="1" applyFill="1" applyBorder="1" applyAlignment="1">
      <alignment horizontal="center" vertical="center"/>
    </xf>
    <xf numFmtId="0" fontId="8" fillId="6" borderId="183" xfId="0" applyFont="1" applyFill="1" applyBorder="1" applyAlignment="1">
      <alignment horizontal="center" vertical="center"/>
    </xf>
    <xf numFmtId="0" fontId="7" fillId="5" borderId="65" xfId="0" applyFont="1" applyFill="1" applyBorder="1" applyAlignment="1" applyProtection="1">
      <alignment horizontal="center" vertical="center"/>
      <protection locked="0"/>
    </xf>
    <xf numFmtId="0" fontId="7" fillId="5" borderId="183" xfId="0" applyFont="1" applyFill="1" applyBorder="1" applyAlignment="1" applyProtection="1">
      <alignment horizontal="center" vertical="center"/>
      <protection locked="0"/>
    </xf>
    <xf numFmtId="0" fontId="8" fillId="5" borderId="184" xfId="0" applyFont="1" applyFill="1" applyBorder="1" applyAlignment="1" applyProtection="1">
      <alignment horizontal="center" vertical="center" wrapText="1"/>
      <protection locked="0"/>
    </xf>
    <xf numFmtId="0" fontId="8" fillId="5" borderId="185" xfId="0" applyFont="1" applyFill="1" applyBorder="1" applyAlignment="1" applyProtection="1">
      <alignment horizontal="center" vertical="center" wrapText="1"/>
      <protection locked="0"/>
    </xf>
    <xf numFmtId="0" fontId="8" fillId="6" borderId="145" xfId="0" applyFont="1" applyFill="1" applyBorder="1" applyAlignment="1" applyProtection="1">
      <alignment horizontal="center" vertical="center" wrapText="1"/>
    </xf>
    <xf numFmtId="49" fontId="8" fillId="6" borderId="78" xfId="0" applyNumberFormat="1" applyFont="1" applyFill="1" applyBorder="1" applyAlignment="1">
      <alignment horizontal="center" vertical="center"/>
    </xf>
    <xf numFmtId="49" fontId="8" fillId="6" borderId="66" xfId="0" applyNumberFormat="1" applyFont="1" applyFill="1" applyBorder="1" applyAlignment="1">
      <alignment horizontal="center" vertical="center"/>
    </xf>
    <xf numFmtId="49" fontId="8" fillId="6" borderId="62"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183"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49" xfId="0" applyFont="1" applyFill="1" applyBorder="1" applyAlignment="1" applyProtection="1">
      <alignment horizontal="center" vertical="center"/>
    </xf>
    <xf numFmtId="0" fontId="11" fillId="4" borderId="67" xfId="0" applyFont="1" applyFill="1" applyBorder="1" applyAlignment="1" applyProtection="1">
      <alignment horizontal="center" vertical="center"/>
    </xf>
    <xf numFmtId="0" fontId="11" fillId="0" borderId="32"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xf>
    <xf numFmtId="0" fontId="19" fillId="0" borderId="32" xfId="0" applyFont="1" applyBorder="1" applyAlignment="1" applyProtection="1">
      <alignment horizontal="center" vertical="center"/>
      <protection locked="0"/>
    </xf>
    <xf numFmtId="0" fontId="7" fillId="4" borderId="37" xfId="0" applyFont="1" applyFill="1" applyBorder="1" applyAlignment="1" applyProtection="1">
      <alignment horizontal="center" vertical="center"/>
    </xf>
    <xf numFmtId="0" fontId="16" fillId="0" borderId="23" xfId="0" applyFont="1" applyBorder="1" applyAlignment="1">
      <alignment horizontal="left" vertical="center" wrapText="1"/>
    </xf>
    <xf numFmtId="0" fontId="8" fillId="6" borderId="24" xfId="0" applyFont="1" applyFill="1" applyBorder="1" applyAlignment="1">
      <alignment horizontal="center" vertical="center"/>
    </xf>
    <xf numFmtId="0" fontId="8" fillId="6" borderId="26" xfId="0" applyFont="1" applyFill="1" applyBorder="1" applyAlignment="1">
      <alignment horizontal="center" vertical="center"/>
    </xf>
    <xf numFmtId="0" fontId="7" fillId="0" borderId="18"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74" xfId="0" applyFont="1" applyBorder="1" applyAlignment="1" applyProtection="1">
      <alignment horizontal="center" vertical="center"/>
      <protection locked="0"/>
    </xf>
    <xf numFmtId="0" fontId="25" fillId="6" borderId="74" xfId="2" applyFont="1" applyFill="1" applyBorder="1" applyAlignment="1" applyProtection="1">
      <alignment horizontal="center" vertical="center"/>
    </xf>
    <xf numFmtId="0" fontId="7" fillId="0" borderId="186" xfId="0" applyFont="1" applyBorder="1" applyAlignment="1" applyProtection="1">
      <alignment horizontal="center" vertical="center"/>
      <protection locked="0"/>
    </xf>
    <xf numFmtId="0" fontId="7" fillId="0" borderId="180" xfId="0" applyFont="1" applyBorder="1" applyAlignment="1" applyProtection="1">
      <alignment horizontal="center" vertical="center"/>
      <protection locked="0"/>
    </xf>
    <xf numFmtId="0" fontId="7" fillId="0" borderId="182" xfId="0" applyFont="1" applyBorder="1" applyAlignment="1" applyProtection="1">
      <alignment horizontal="center" vertical="center"/>
      <protection locked="0"/>
    </xf>
    <xf numFmtId="0" fontId="8" fillId="6" borderId="65" xfId="0" applyFont="1" applyFill="1" applyBorder="1" applyAlignment="1">
      <alignment horizontal="center" vertical="center" wrapText="1"/>
    </xf>
    <xf numFmtId="0" fontId="8" fillId="6" borderId="66" xfId="0" applyFont="1" applyFill="1" applyBorder="1" applyAlignment="1">
      <alignment horizontal="center" vertical="center" wrapText="1"/>
    </xf>
    <xf numFmtId="0" fontId="8" fillId="6" borderId="62" xfId="0" applyFont="1" applyFill="1" applyBorder="1" applyAlignment="1">
      <alignment horizontal="center" vertical="center" wrapText="1"/>
    </xf>
    <xf numFmtId="0" fontId="8" fillId="6" borderId="145" xfId="0" applyFont="1" applyFill="1" applyBorder="1" applyAlignment="1">
      <alignment horizontal="center" vertical="center" wrapText="1"/>
    </xf>
    <xf numFmtId="0" fontId="29" fillId="6" borderId="54" xfId="0" applyFont="1" applyFill="1" applyBorder="1" applyAlignment="1">
      <alignment horizontal="left" vertical="center" wrapText="1"/>
    </xf>
    <xf numFmtId="0" fontId="29" fillId="6" borderId="43" xfId="0" applyFont="1" applyFill="1" applyBorder="1" applyAlignment="1">
      <alignment horizontal="left" vertical="center" wrapText="1"/>
    </xf>
    <xf numFmtId="0" fontId="38" fillId="0" borderId="54" xfId="0" applyFont="1" applyBorder="1" applyAlignment="1">
      <alignment horizontal="left" vertical="center" wrapText="1"/>
    </xf>
    <xf numFmtId="0" fontId="29" fillId="0" borderId="53" xfId="0" applyFont="1" applyBorder="1" applyAlignment="1">
      <alignment horizontal="left" vertical="center" wrapText="1"/>
    </xf>
    <xf numFmtId="0" fontId="38" fillId="5" borderId="0" xfId="0" applyFont="1" applyFill="1" applyAlignment="1"/>
    <xf numFmtId="0" fontId="29" fillId="5" borderId="2" xfId="0" applyFont="1" applyFill="1" applyBorder="1" applyAlignment="1"/>
    <xf numFmtId="0" fontId="38" fillId="5" borderId="0" xfId="0" applyFont="1" applyFill="1" applyAlignment="1">
      <alignment horizontal="left"/>
    </xf>
    <xf numFmtId="0" fontId="29" fillId="5" borderId="1" xfId="0" applyFont="1" applyFill="1" applyBorder="1" applyAlignment="1">
      <alignment horizontal="left" wrapText="1"/>
    </xf>
    <xf numFmtId="0" fontId="29" fillId="5" borderId="1" xfId="0" applyFont="1" applyFill="1" applyBorder="1" applyAlignment="1">
      <alignment vertical="center" wrapText="1"/>
    </xf>
    <xf numFmtId="0" fontId="29" fillId="5" borderId="1" xfId="0" applyFont="1" applyFill="1" applyBorder="1" applyAlignment="1">
      <alignment horizontal="center" vertical="top"/>
    </xf>
    <xf numFmtId="0" fontId="29" fillId="5" borderId="1" xfId="0" applyFont="1" applyFill="1" applyBorder="1" applyAlignment="1">
      <alignment horizontal="left" vertical="top" wrapText="1"/>
    </xf>
    <xf numFmtId="0" fontId="29" fillId="5" borderId="1" xfId="0" applyFont="1" applyFill="1" applyBorder="1" applyAlignment="1">
      <alignment horizontal="left" vertical="center"/>
    </xf>
    <xf numFmtId="0" fontId="29" fillId="5" borderId="5" xfId="0" applyFont="1" applyFill="1" applyBorder="1" applyAlignment="1">
      <alignment horizontal="left" wrapText="1"/>
    </xf>
    <xf numFmtId="0" fontId="29" fillId="5" borderId="6" xfId="0" applyFont="1" applyFill="1" applyBorder="1" applyAlignment="1">
      <alignment vertical="center" wrapText="1"/>
    </xf>
    <xf numFmtId="0" fontId="29" fillId="5" borderId="6" xfId="0" applyFont="1" applyFill="1" applyBorder="1" applyAlignment="1">
      <alignment horizontal="center" vertical="top"/>
    </xf>
    <xf numFmtId="0" fontId="29" fillId="5" borderId="6" xfId="0" applyFont="1" applyFill="1" applyBorder="1" applyAlignment="1">
      <alignment horizontal="left" vertical="top" wrapText="1"/>
    </xf>
    <xf numFmtId="0" fontId="29" fillId="5" borderId="89" xfId="0" applyFont="1" applyFill="1" applyBorder="1" applyAlignment="1">
      <alignment horizontal="left" vertical="center"/>
    </xf>
    <xf numFmtId="0" fontId="38" fillId="0" borderId="102" xfId="0" applyFont="1" applyBorder="1" applyAlignment="1">
      <alignment horizontal="left" vertical="center" wrapText="1"/>
    </xf>
    <xf numFmtId="0" fontId="29" fillId="4" borderId="90" xfId="0" applyFont="1" applyFill="1" applyBorder="1" applyAlignment="1">
      <alignment horizontal="center" vertical="center"/>
    </xf>
    <xf numFmtId="0" fontId="38" fillId="5" borderId="90" xfId="0" applyFont="1" applyFill="1" applyBorder="1" applyAlignment="1">
      <alignment wrapText="1"/>
    </xf>
    <xf numFmtId="0" fontId="38" fillId="5" borderId="99" xfId="0" applyFont="1" applyFill="1" applyBorder="1" applyAlignment="1"/>
    <xf numFmtId="0" fontId="38" fillId="0" borderId="103" xfId="0" applyFont="1" applyBorder="1" applyAlignment="1">
      <alignment horizontal="left" vertical="center" wrapText="1"/>
    </xf>
    <xf numFmtId="0" fontId="29" fillId="4" borderId="76" xfId="0" applyFont="1" applyFill="1" applyBorder="1" applyAlignment="1">
      <alignment horizontal="center" vertical="center"/>
    </xf>
    <xf numFmtId="0" fontId="38" fillId="5" borderId="76" xfId="0" applyFont="1" applyFill="1" applyBorder="1" applyAlignment="1">
      <alignment wrapText="1"/>
    </xf>
    <xf numFmtId="0" fontId="38" fillId="5" borderId="95" xfId="0" applyFont="1" applyFill="1" applyBorder="1" applyAlignment="1"/>
    <xf numFmtId="0" fontId="38" fillId="0" borderId="104" xfId="0" applyFont="1" applyBorder="1" applyAlignment="1">
      <alignment horizontal="left" vertical="center" wrapText="1"/>
    </xf>
    <xf numFmtId="0" fontId="29" fillId="4" borderId="97" xfId="0" applyFont="1" applyFill="1" applyBorder="1" applyAlignment="1">
      <alignment horizontal="center" vertical="center"/>
    </xf>
    <xf numFmtId="0" fontId="38" fillId="5" borderId="97" xfId="0" applyFont="1" applyFill="1" applyBorder="1" applyAlignment="1">
      <alignment wrapText="1"/>
    </xf>
    <xf numFmtId="0" fontId="38" fillId="5" borderId="98" xfId="0" applyFont="1" applyFill="1" applyBorder="1" applyAlignment="1"/>
    <xf numFmtId="0" fontId="38" fillId="0" borderId="0" xfId="0" applyFont="1"/>
    <xf numFmtId="0" fontId="38" fillId="0" borderId="105" xfId="0" applyFont="1" applyBorder="1" applyAlignment="1">
      <alignment horizontal="left" vertical="center" wrapText="1"/>
    </xf>
    <xf numFmtId="0" fontId="29" fillId="4" borderId="92" xfId="0" applyFont="1" applyFill="1" applyBorder="1" applyAlignment="1">
      <alignment horizontal="center" vertical="center"/>
    </xf>
    <xf numFmtId="0" fontId="38" fillId="0" borderId="92"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protection locked="0"/>
    </xf>
    <xf numFmtId="0" fontId="38" fillId="0" borderId="76" xfId="0" applyFont="1" applyBorder="1" applyAlignment="1" applyProtection="1">
      <alignment horizontal="left" vertical="center" wrapText="1"/>
      <protection locked="0"/>
    </xf>
    <xf numFmtId="0" fontId="38" fillId="0" borderId="95" xfId="0" applyFont="1" applyBorder="1" applyAlignment="1" applyProtection="1">
      <alignment horizontal="left" vertical="center"/>
      <protection locked="0"/>
    </xf>
    <xf numFmtId="0" fontId="38" fillId="0" borderId="97" xfId="0" applyFont="1" applyBorder="1" applyAlignment="1" applyProtection="1">
      <alignment horizontal="left" vertical="center" wrapText="1"/>
      <protection locked="0"/>
    </xf>
    <xf numFmtId="0" fontId="38" fillId="0" borderId="98" xfId="0" applyFont="1" applyBorder="1" applyAlignment="1" applyProtection="1">
      <alignment horizontal="left" vertical="center"/>
      <protection locked="0"/>
    </xf>
    <xf numFmtId="0" fontId="38" fillId="0" borderId="92" xfId="0" applyFont="1" applyBorder="1" applyAlignment="1">
      <alignment horizontal="left" vertical="center" wrapText="1"/>
    </xf>
    <xf numFmtId="0" fontId="38" fillId="0" borderId="97" xfId="0" applyFont="1" applyBorder="1" applyAlignment="1">
      <alignment horizontal="left" vertical="center" wrapText="1"/>
    </xf>
    <xf numFmtId="0" fontId="38" fillId="12" borderId="92" xfId="0" applyFont="1" applyFill="1" applyBorder="1" applyAlignment="1">
      <alignment wrapText="1"/>
    </xf>
    <xf numFmtId="0" fontId="38" fillId="0" borderId="103" xfId="0" applyFont="1" applyBorder="1" applyAlignment="1">
      <alignment vertical="center" wrapText="1"/>
    </xf>
    <xf numFmtId="0" fontId="38" fillId="12" borderId="76" xfId="0" applyFont="1" applyFill="1" applyBorder="1" applyAlignment="1">
      <alignment wrapText="1"/>
    </xf>
    <xf numFmtId="0" fontId="29" fillId="0" borderId="103" xfId="0" applyFont="1" applyBorder="1" applyAlignment="1">
      <alignment horizontal="left" vertical="center" wrapText="1"/>
    </xf>
    <xf numFmtId="0" fontId="38" fillId="4" borderId="76" xfId="0" applyFont="1" applyFill="1" applyBorder="1" applyAlignment="1">
      <alignment horizontal="center" vertical="center"/>
    </xf>
    <xf numFmtId="0" fontId="38" fillId="12" borderId="97" xfId="0" applyFont="1" applyFill="1" applyBorder="1" applyAlignment="1">
      <alignment wrapText="1"/>
    </xf>
    <xf numFmtId="0" fontId="29" fillId="0" borderId="97" xfId="0" applyFont="1" applyBorder="1" applyAlignment="1">
      <alignment horizontal="left" vertical="center" wrapText="1"/>
    </xf>
    <xf numFmtId="0" fontId="38" fillId="5" borderId="0" xfId="0" applyFont="1" applyFill="1" applyAlignment="1">
      <alignment vertical="center"/>
    </xf>
    <xf numFmtId="0" fontId="38" fillId="12" borderId="97" xfId="0" applyFont="1" applyFill="1" applyBorder="1" applyAlignment="1">
      <alignment vertical="center" wrapText="1"/>
    </xf>
    <xf numFmtId="0" fontId="29" fillId="6" borderId="76" xfId="0" applyFont="1" applyFill="1" applyBorder="1" applyAlignment="1">
      <alignment horizontal="left" vertical="center" wrapText="1"/>
    </xf>
    <xf numFmtId="0" fontId="38" fillId="0" borderId="76" xfId="0" applyFont="1" applyBorder="1" applyAlignment="1">
      <alignment vertical="center" wrapText="1"/>
    </xf>
    <xf numFmtId="49" fontId="38" fillId="6" borderId="76" xfId="0" applyNumberFormat="1" applyFont="1" applyFill="1" applyBorder="1" applyAlignment="1">
      <alignment horizontal="left" vertical="center" wrapText="1"/>
    </xf>
    <xf numFmtId="0" fontId="38" fillId="5" borderId="76" xfId="0" applyFont="1" applyFill="1" applyBorder="1" applyAlignment="1">
      <alignment vertical="center" wrapText="1"/>
    </xf>
    <xf numFmtId="0" fontId="38" fillId="12" borderId="23" xfId="0" applyFont="1" applyFill="1" applyBorder="1" applyAlignment="1">
      <alignment horizontal="left" vertical="center" wrapText="1"/>
    </xf>
    <xf numFmtId="0" fontId="38" fillId="4" borderId="25" xfId="0" applyFont="1" applyFill="1" applyBorder="1" applyAlignment="1">
      <alignment horizontal="center" vertical="center" wrapText="1"/>
    </xf>
    <xf numFmtId="0" fontId="29" fillId="4" borderId="76" xfId="0" applyFont="1" applyFill="1" applyBorder="1" applyAlignment="1">
      <alignment horizontal="center" vertical="center" wrapText="1"/>
    </xf>
    <xf numFmtId="0" fontId="29" fillId="5" borderId="0" xfId="0" applyFont="1" applyFill="1" applyAlignment="1"/>
    <xf numFmtId="0" fontId="38" fillId="12" borderId="76" xfId="0" applyFont="1" applyFill="1" applyBorder="1" applyAlignment="1">
      <alignment horizontal="left" vertical="center" wrapText="1"/>
    </xf>
    <xf numFmtId="0" fontId="29" fillId="12" borderId="76" xfId="0" applyFont="1" applyFill="1" applyBorder="1" applyAlignment="1">
      <alignment wrapText="1"/>
    </xf>
    <xf numFmtId="0" fontId="38" fillId="12" borderId="76" xfId="0" applyFont="1" applyFill="1" applyBorder="1" applyAlignment="1">
      <alignment horizontal="left" wrapText="1"/>
    </xf>
    <xf numFmtId="49" fontId="29" fillId="6" borderId="76" xfId="0" applyNumberFormat="1" applyFont="1" applyFill="1" applyBorder="1" applyAlignment="1">
      <alignment horizontal="left" vertical="center" wrapText="1"/>
    </xf>
    <xf numFmtId="0" fontId="38" fillId="0" borderId="76" xfId="0" applyFont="1" applyFill="1" applyBorder="1" applyAlignment="1">
      <alignment horizontal="left" vertical="center" wrapText="1"/>
    </xf>
    <xf numFmtId="0" fontId="29" fillId="0" borderId="76" xfId="0" applyFont="1" applyFill="1" applyBorder="1" applyAlignment="1">
      <alignment horizontal="center" vertical="center"/>
    </xf>
    <xf numFmtId="0" fontId="38" fillId="0" borderId="76" xfId="0" applyFont="1" applyFill="1" applyBorder="1" applyAlignment="1">
      <alignment wrapText="1"/>
    </xf>
    <xf numFmtId="0" fontId="38" fillId="0" borderId="0" xfId="0" applyFont="1" applyAlignment="1"/>
    <xf numFmtId="0" fontId="38" fillId="6" borderId="76" xfId="0" applyFont="1" applyFill="1" applyBorder="1" applyAlignment="1">
      <alignment horizontal="left" vertical="center" wrapText="1"/>
    </xf>
    <xf numFmtId="0" fontId="44" fillId="0" borderId="76" xfId="0" applyFont="1" applyBorder="1" applyAlignment="1">
      <alignment horizontal="left" vertical="center" wrapText="1"/>
    </xf>
    <xf numFmtId="0" fontId="29" fillId="4" borderId="50" xfId="0" applyFont="1" applyFill="1" applyBorder="1" applyAlignment="1">
      <alignment horizontal="center" vertical="center" wrapText="1"/>
    </xf>
    <xf numFmtId="0" fontId="38" fillId="0" borderId="76" xfId="0" applyFont="1" applyBorder="1" applyAlignment="1" applyProtection="1">
      <alignment horizontal="left" vertical="center" wrapText="1"/>
    </xf>
    <xf numFmtId="0" fontId="38" fillId="13" borderId="76" xfId="0" applyFont="1" applyFill="1" applyBorder="1" applyAlignment="1">
      <alignment horizontal="left" vertical="center" wrapText="1"/>
    </xf>
    <xf numFmtId="0" fontId="29" fillId="3" borderId="76" xfId="0" applyFont="1" applyFill="1" applyBorder="1" applyAlignment="1">
      <alignment horizontal="left" vertical="center" wrapText="1"/>
    </xf>
    <xf numFmtId="0" fontId="29" fillId="3" borderId="76" xfId="0" applyFont="1" applyFill="1" applyBorder="1" applyAlignment="1">
      <alignment horizontal="center" vertical="center"/>
    </xf>
    <xf numFmtId="0" fontId="42" fillId="3" borderId="17" xfId="0" applyFont="1" applyFill="1" applyBorder="1" applyAlignment="1">
      <alignment vertical="center"/>
    </xf>
    <xf numFmtId="0" fontId="29" fillId="3" borderId="17"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horizontal="left" wrapText="1"/>
    </xf>
    <xf numFmtId="0" fontId="38" fillId="5" borderId="0" xfId="0" applyFont="1" applyFill="1" applyAlignment="1">
      <alignment vertical="center" wrapText="1"/>
    </xf>
    <xf numFmtId="0" fontId="38" fillId="5" borderId="0" xfId="0" applyFont="1" applyFill="1" applyAlignment="1">
      <alignment horizontal="center" vertical="top"/>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87" xfId="0" applyFont="1" applyFill="1" applyBorder="1" applyAlignment="1">
      <alignment wrapText="1"/>
    </xf>
    <xf numFmtId="0" fontId="42" fillId="0" borderId="76" xfId="0" applyFont="1" applyFill="1" applyBorder="1" applyAlignment="1">
      <alignment horizontal="left"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25" fillId="6" borderId="54" xfId="2" applyFont="1" applyFill="1" applyBorder="1" applyAlignment="1" applyProtection="1">
      <alignment horizontal="center" vertical="center"/>
    </xf>
    <xf numFmtId="0" fontId="7" fillId="0" borderId="0" xfId="0" applyFont="1" applyBorder="1" applyAlignment="1" applyProtection="1">
      <alignment horizontal="center" vertical="center"/>
      <protection locked="0"/>
    </xf>
    <xf numFmtId="0" fontId="25" fillId="6" borderId="0" xfId="2" applyFont="1" applyFill="1" applyBorder="1" applyAlignment="1" applyProtection="1">
      <alignment horizontal="center" vertical="center"/>
    </xf>
    <xf numFmtId="0" fontId="25" fillId="6" borderId="49" xfId="2" applyFont="1" applyFill="1" applyBorder="1" applyAlignment="1" applyProtection="1">
      <alignment horizontal="center" vertical="center"/>
    </xf>
    <xf numFmtId="0" fontId="25" fillId="6" borderId="67" xfId="2" applyFont="1" applyFill="1" applyBorder="1" applyAlignment="1" applyProtection="1">
      <alignment horizontal="center" vertical="center"/>
    </xf>
    <xf numFmtId="0" fontId="7" fillId="0" borderId="49" xfId="0" applyFont="1" applyBorder="1" applyAlignment="1" applyProtection="1">
      <alignment horizontal="center" vertical="center"/>
      <protection locked="0"/>
    </xf>
    <xf numFmtId="0" fontId="7" fillId="0" borderId="67" xfId="0" applyFont="1" applyBorder="1" applyAlignment="1" applyProtection="1">
      <alignment horizontal="center" vertical="center"/>
      <protection locked="0"/>
    </xf>
    <xf numFmtId="0" fontId="21" fillId="0" borderId="0" xfId="0" applyFont="1" applyBorder="1" applyAlignment="1">
      <alignment horizontal="left" vertical="center" wrapText="1"/>
    </xf>
    <xf numFmtId="0" fontId="7" fillId="4" borderId="50" xfId="0" applyFont="1" applyFill="1" applyBorder="1" applyAlignment="1">
      <alignment horizontal="center" vertical="center"/>
    </xf>
    <xf numFmtId="0" fontId="7" fillId="4" borderId="56" xfId="0" applyFont="1" applyFill="1" applyBorder="1" applyAlignment="1" applyProtection="1">
      <alignment horizontal="center" vertical="center"/>
    </xf>
    <xf numFmtId="0" fontId="7" fillId="4" borderId="64" xfId="0" applyFont="1" applyFill="1" applyBorder="1" applyAlignment="1" applyProtection="1">
      <alignment horizontal="center" vertical="center"/>
    </xf>
    <xf numFmtId="0" fontId="7" fillId="4" borderId="181" xfId="0" applyFont="1" applyFill="1" applyBorder="1" applyAlignment="1" applyProtection="1">
      <alignment horizontal="center" vertical="center"/>
    </xf>
    <xf numFmtId="0" fontId="8" fillId="2" borderId="23" xfId="0" applyFont="1" applyFill="1" applyBorder="1" applyAlignment="1">
      <alignment horizontal="left" vertical="top"/>
    </xf>
    <xf numFmtId="0" fontId="10" fillId="0" borderId="0" xfId="0" applyFont="1" applyFill="1" applyBorder="1" applyAlignment="1">
      <alignment horizontal="center"/>
    </xf>
    <xf numFmtId="0" fontId="12" fillId="7" borderId="0"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8" fillId="4" borderId="188" xfId="0" applyFont="1" applyFill="1" applyBorder="1" applyAlignment="1" applyProtection="1">
      <alignment horizontal="center" vertical="center"/>
    </xf>
    <xf numFmtId="0" fontId="7" fillId="0" borderId="188" xfId="0" applyFont="1" applyBorder="1" applyAlignment="1">
      <alignment horizontal="left" vertical="center" wrapText="1"/>
    </xf>
    <xf numFmtId="0" fontId="7" fillId="4" borderId="188" xfId="0" applyFont="1" applyFill="1" applyBorder="1" applyAlignment="1" applyProtection="1">
      <alignment horizontal="center" vertical="center"/>
    </xf>
    <xf numFmtId="0" fontId="8" fillId="0" borderId="178" xfId="0" applyFont="1" applyBorder="1" applyAlignment="1" applyProtection="1">
      <alignment horizontal="left" vertical="center" wrapText="1"/>
      <protection locked="0"/>
    </xf>
    <xf numFmtId="0" fontId="8" fillId="2" borderId="189" xfId="0" applyFont="1" applyFill="1" applyBorder="1" applyAlignment="1">
      <alignment horizontal="left" vertical="center" wrapText="1"/>
    </xf>
    <xf numFmtId="0" fontId="8" fillId="4" borderId="189" xfId="0" applyFont="1" applyFill="1" applyBorder="1" applyAlignment="1" applyProtection="1">
      <alignment horizontal="center" vertical="center"/>
    </xf>
    <xf numFmtId="0" fontId="7" fillId="2" borderId="191" xfId="0" applyFont="1" applyFill="1" applyBorder="1" applyAlignment="1">
      <alignment horizontal="left" vertical="center" wrapText="1"/>
    </xf>
    <xf numFmtId="0" fontId="8" fillId="4" borderId="191" xfId="0" applyFont="1" applyFill="1" applyBorder="1" applyAlignment="1" applyProtection="1">
      <alignment horizontal="center" vertical="center"/>
    </xf>
    <xf numFmtId="0" fontId="11" fillId="6" borderId="192" xfId="0" applyFont="1" applyFill="1" applyBorder="1" applyAlignment="1">
      <alignment horizontal="center" vertical="center"/>
    </xf>
    <xf numFmtId="0" fontId="8" fillId="6" borderId="193" xfId="0" applyFont="1" applyFill="1" applyBorder="1" applyAlignment="1">
      <alignment horizontal="center" vertical="center"/>
    </xf>
    <xf numFmtId="0" fontId="11" fillId="6" borderId="193" xfId="0" applyFont="1" applyFill="1" applyBorder="1" applyAlignment="1">
      <alignment horizontal="center" vertical="center"/>
    </xf>
    <xf numFmtId="0" fontId="11" fillId="6" borderId="194" xfId="0" applyFont="1" applyFill="1" applyBorder="1" applyAlignment="1">
      <alignment horizontal="center" vertical="center"/>
    </xf>
    <xf numFmtId="0" fontId="13"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8" fillId="4" borderId="196" xfId="0" applyFont="1" applyFill="1" applyBorder="1" applyAlignment="1" applyProtection="1">
      <alignment horizontal="center" vertical="center"/>
    </xf>
    <xf numFmtId="0" fontId="8" fillId="4" borderId="197" xfId="0" applyFont="1" applyFill="1" applyBorder="1" applyAlignment="1" applyProtection="1">
      <alignment horizontal="center" vertical="center"/>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190" xfId="0" applyFont="1" applyBorder="1" applyAlignment="1" applyProtection="1">
      <alignment horizontal="center" vertical="center"/>
      <protection locked="0"/>
    </xf>
    <xf numFmtId="0" fontId="8" fillId="15" borderId="198" xfId="0" applyFont="1" applyFill="1" applyBorder="1" applyAlignment="1" applyProtection="1">
      <alignment horizontal="center" vertical="center"/>
    </xf>
    <xf numFmtId="0" fontId="9" fillId="15" borderId="198" xfId="0" applyFont="1" applyFill="1" applyBorder="1" applyAlignment="1" applyProtection="1">
      <alignment horizontal="center" vertical="center"/>
    </xf>
    <xf numFmtId="0" fontId="38" fillId="0" borderId="76" xfId="0" applyFont="1" applyBorder="1" applyAlignment="1">
      <alignment horizontal="left" vertical="center" wrapText="1"/>
    </xf>
    <xf numFmtId="0" fontId="38" fillId="5" borderId="76" xfId="0" applyFont="1" applyFill="1" applyBorder="1" applyAlignment="1">
      <alignment horizontal="left" vertical="center" wrapText="1"/>
    </xf>
    <xf numFmtId="49" fontId="14" fillId="4" borderId="10" xfId="1" applyNumberFormat="1" applyFont="1" applyFill="1" applyBorder="1" applyAlignment="1">
      <alignment horizontal="center" vertical="center"/>
    </xf>
    <xf numFmtId="0" fontId="7" fillId="2" borderId="23" xfId="0" applyFont="1" applyFill="1" applyBorder="1" applyAlignment="1">
      <alignment horizontal="left" vertical="top"/>
    </xf>
    <xf numFmtId="0" fontId="8" fillId="6" borderId="145" xfId="0" applyFont="1" applyFill="1" applyBorder="1" applyAlignment="1">
      <alignment horizontal="center" vertical="center"/>
    </xf>
    <xf numFmtId="0" fontId="7" fillId="0" borderId="24" xfId="0" applyFont="1" applyBorder="1" applyAlignment="1">
      <alignment horizontal="left" vertical="top" wrapText="1"/>
    </xf>
    <xf numFmtId="0" fontId="7" fillId="0" borderId="26" xfId="0" applyFont="1" applyBorder="1" applyAlignment="1">
      <alignment horizontal="left" vertical="top" wrapText="1"/>
    </xf>
    <xf numFmtId="0" fontId="38" fillId="5" borderId="0" xfId="0" applyFont="1" applyFill="1" applyAlignment="1">
      <alignment horizontal="center" wrapText="1"/>
    </xf>
    <xf numFmtId="0" fontId="42" fillId="3" borderId="47"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101" xfId="0" applyFont="1" applyFill="1" applyBorder="1" applyAlignment="1">
      <alignment horizontal="lef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59" xfId="0" applyFont="1" applyFill="1" applyBorder="1" applyAlignment="1">
      <alignment vertical="center"/>
    </xf>
    <xf numFmtId="0" fontId="42" fillId="3" borderId="106" xfId="0" applyFont="1" applyFill="1" applyBorder="1" applyAlignment="1">
      <alignment horizontal="left" vertical="center"/>
    </xf>
    <xf numFmtId="0" fontId="38" fillId="12" borderId="91" xfId="0" applyFont="1" applyFill="1" applyBorder="1" applyAlignment="1">
      <alignment vertical="center"/>
    </xf>
    <xf numFmtId="0" fontId="38" fillId="12" borderId="94" xfId="0" applyFont="1" applyFill="1" applyBorder="1" applyAlignment="1">
      <alignment vertical="center"/>
    </xf>
    <xf numFmtId="0" fontId="38" fillId="12" borderId="96" xfId="0" applyFont="1" applyFill="1" applyBorder="1" applyAlignment="1">
      <alignment vertical="center"/>
    </xf>
    <xf numFmtId="0" fontId="16" fillId="0" borderId="24" xfId="0" applyFont="1" applyBorder="1" applyAlignment="1">
      <alignment horizontal="left" vertical="top" wrapText="1"/>
    </xf>
    <xf numFmtId="0" fontId="16" fillId="0" borderId="26" xfId="0" applyFont="1" applyBorder="1" applyAlignment="1">
      <alignment horizontal="left" vertical="top" wrapText="1"/>
    </xf>
    <xf numFmtId="0" fontId="42" fillId="3" borderId="76" xfId="0" applyFont="1" applyFill="1" applyBorder="1" applyAlignment="1">
      <alignment horizontal="left" vertical="center"/>
    </xf>
    <xf numFmtId="0" fontId="42" fillId="3" borderId="150" xfId="0" applyFont="1" applyFill="1" applyBorder="1" applyAlignment="1">
      <alignment horizontal="left" vertical="center"/>
    </xf>
    <xf numFmtId="0" fontId="29" fillId="5" borderId="3" xfId="0" applyFont="1" applyFill="1" applyBorder="1" applyAlignment="1">
      <alignment horizontal="center"/>
    </xf>
    <xf numFmtId="0" fontId="29" fillId="5" borderId="4" xfId="0" applyFont="1" applyFill="1" applyBorder="1" applyAlignment="1">
      <alignment horizontal="center"/>
    </xf>
    <xf numFmtId="0" fontId="18" fillId="5" borderId="24" xfId="0" applyFont="1" applyFill="1" applyBorder="1" applyAlignment="1">
      <alignment horizontal="left" vertical="top" wrapText="1"/>
    </xf>
    <xf numFmtId="0" fontId="18" fillId="5" borderId="42" xfId="0" applyFont="1" applyFill="1" applyBorder="1" applyAlignment="1">
      <alignment horizontal="left" vertical="top" wrapText="1"/>
    </xf>
    <xf numFmtId="49" fontId="18" fillId="4" borderId="12" xfId="1" applyNumberFormat="1" applyFont="1" applyFill="1" applyBorder="1" applyAlignment="1">
      <alignment horizontal="center" vertical="center"/>
    </xf>
    <xf numFmtId="0" fontId="8" fillId="5" borderId="41"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6" xfId="0" applyFont="1" applyFill="1" applyBorder="1" applyAlignment="1">
      <alignment horizontal="left" vertical="top" wrapText="1"/>
    </xf>
    <xf numFmtId="0" fontId="18" fillId="5" borderId="26" xfId="0" applyFont="1" applyFill="1" applyBorder="1" applyAlignment="1">
      <alignment horizontal="left" vertical="top" wrapText="1"/>
    </xf>
    <xf numFmtId="0" fontId="8" fillId="10" borderId="45"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0" borderId="51" xfId="0" applyFont="1" applyFill="1" applyBorder="1" applyAlignment="1">
      <alignment horizontal="left" vertical="top" wrapText="1"/>
    </xf>
    <xf numFmtId="49" fontId="18" fillId="4" borderId="10" xfId="1" applyNumberFormat="1" applyFont="1" applyFill="1" applyBorder="1" applyAlignment="1">
      <alignment horizontal="center" vertical="center"/>
    </xf>
    <xf numFmtId="0" fontId="16" fillId="2" borderId="10"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8" fillId="2" borderId="24" xfId="0" applyFont="1" applyFill="1" applyBorder="1" applyAlignment="1">
      <alignment horizontal="left" vertical="top" wrapText="1"/>
    </xf>
    <xf numFmtId="0" fontId="8" fillId="2" borderId="26" xfId="0" applyFont="1" applyFill="1" applyBorder="1" applyAlignment="1">
      <alignment horizontal="left" vertical="top" wrapText="1"/>
    </xf>
    <xf numFmtId="0" fontId="8" fillId="8" borderId="28" xfId="0" applyFont="1" applyFill="1" applyBorder="1" applyAlignment="1">
      <alignment horizontal="center" vertical="center" wrapText="1"/>
    </xf>
    <xf numFmtId="0" fontId="8" fillId="8" borderId="30" xfId="0" applyFont="1" applyFill="1" applyBorder="1" applyAlignment="1">
      <alignment horizontal="center" vertical="center" wrapText="1"/>
    </xf>
    <xf numFmtId="0" fontId="15" fillId="2" borderId="60" xfId="0" applyFont="1" applyFill="1" applyBorder="1" applyAlignment="1">
      <alignment horizontal="center" vertical="top" wrapText="1"/>
    </xf>
    <xf numFmtId="0" fontId="15" fillId="2" borderId="50" xfId="0" applyFont="1" applyFill="1" applyBorder="1" applyAlignment="1">
      <alignment horizontal="center" vertical="top" wrapText="1"/>
    </xf>
    <xf numFmtId="0" fontId="15" fillId="2" borderId="61" xfId="0" applyFont="1" applyFill="1" applyBorder="1" applyAlignment="1">
      <alignment horizontal="center" vertical="top" wrapText="1"/>
    </xf>
    <xf numFmtId="49" fontId="18" fillId="4" borderId="176" xfId="1" applyNumberFormat="1" applyFont="1" applyFill="1" applyBorder="1" applyAlignment="1">
      <alignment horizontal="center" vertical="center"/>
    </xf>
    <xf numFmtId="49" fontId="18" fillId="4" borderId="55" xfId="1" applyNumberFormat="1" applyFont="1" applyFill="1" applyBorder="1" applyAlignment="1">
      <alignment horizontal="center" vertical="center"/>
    </xf>
    <xf numFmtId="49" fontId="18" fillId="4" borderId="177" xfId="1" applyNumberFormat="1" applyFont="1" applyFill="1" applyBorder="1" applyAlignment="1">
      <alignment horizontal="center" vertical="center"/>
    </xf>
    <xf numFmtId="49" fontId="18" fillId="4" borderId="175" xfId="1" applyNumberFormat="1" applyFont="1" applyFill="1" applyBorder="1" applyAlignment="1">
      <alignment horizontal="center" vertical="center"/>
    </xf>
    <xf numFmtId="0" fontId="7" fillId="4" borderId="31" xfId="0" applyFont="1" applyFill="1" applyBorder="1" applyAlignment="1">
      <alignment horizontal="center" vertical="center" wrapText="1"/>
    </xf>
    <xf numFmtId="0" fontId="7" fillId="4" borderId="32" xfId="0" applyFont="1" applyFill="1" applyBorder="1" applyAlignment="1">
      <alignment horizontal="center" vertical="center" wrapText="1"/>
    </xf>
    <xf numFmtId="0" fontId="8" fillId="7" borderId="12" xfId="0" applyFont="1" applyFill="1" applyBorder="1" applyAlignment="1">
      <alignment horizontal="center" vertical="center"/>
    </xf>
    <xf numFmtId="0" fontId="8" fillId="7" borderId="15" xfId="0" applyFont="1" applyFill="1" applyBorder="1" applyAlignment="1">
      <alignment horizontal="center" vertical="center"/>
    </xf>
    <xf numFmtId="0" fontId="12" fillId="7" borderId="24" xfId="0" applyFont="1" applyFill="1" applyBorder="1" applyAlignment="1">
      <alignment horizontal="center" vertical="center" wrapText="1"/>
    </xf>
    <xf numFmtId="0" fontId="12" fillId="7" borderId="42" xfId="0" applyFont="1" applyFill="1" applyBorder="1" applyAlignment="1">
      <alignment horizontal="center" vertical="center" wrapText="1"/>
    </xf>
    <xf numFmtId="0" fontId="7" fillId="0" borderId="41" xfId="0" applyFont="1" applyBorder="1" applyAlignment="1">
      <alignment horizontal="left" vertical="top" wrapText="1"/>
    </xf>
    <xf numFmtId="0" fontId="7" fillId="0" borderId="25" xfId="0" applyFont="1" applyBorder="1" applyAlignment="1">
      <alignment horizontal="left" vertical="top" wrapText="1"/>
    </xf>
    <xf numFmtId="0" fontId="15" fillId="2" borderId="60" xfId="0" applyFont="1" applyFill="1" applyBorder="1" applyAlignment="1">
      <alignment horizontal="center" vertical="center" wrapText="1"/>
    </xf>
    <xf numFmtId="0" fontId="15" fillId="2" borderId="50" xfId="0" applyFont="1" applyFill="1" applyBorder="1" applyAlignment="1">
      <alignment horizontal="center" vertical="center" wrapText="1"/>
    </xf>
    <xf numFmtId="0" fontId="12" fillId="7" borderId="41" xfId="0" applyFont="1" applyFill="1" applyBorder="1" applyAlignment="1">
      <alignment horizontal="center" vertical="center" wrapText="1"/>
    </xf>
    <xf numFmtId="0" fontId="12" fillId="7" borderId="26" xfId="0" applyFont="1" applyFill="1" applyBorder="1" applyAlignment="1">
      <alignment horizontal="center" vertical="center" wrapText="1"/>
    </xf>
    <xf numFmtId="0" fontId="9" fillId="3" borderId="18" xfId="0" applyFont="1" applyFill="1" applyBorder="1" applyAlignment="1">
      <alignment horizontal="left" vertical="center"/>
    </xf>
    <xf numFmtId="0" fontId="9" fillId="3" borderId="19" xfId="0" applyFont="1" applyFill="1" applyBorder="1" applyAlignment="1">
      <alignment horizontal="left" vertical="center"/>
    </xf>
    <xf numFmtId="0" fontId="9" fillId="3" borderId="180" xfId="0" applyFont="1" applyFill="1" applyBorder="1" applyAlignment="1">
      <alignment horizontal="left" vertical="center"/>
    </xf>
    <xf numFmtId="0" fontId="9" fillId="3" borderId="52" xfId="0" applyFont="1" applyFill="1" applyBorder="1" applyAlignment="1">
      <alignment horizontal="left" vertical="center"/>
    </xf>
    <xf numFmtId="0" fontId="8" fillId="2" borderId="24" xfId="0" applyFont="1" applyFill="1" applyBorder="1" applyAlignment="1">
      <alignment horizontal="left" vertical="center" wrapText="1"/>
    </xf>
    <xf numFmtId="0" fontId="8" fillId="2" borderId="26" xfId="0" applyFont="1" applyFill="1" applyBorder="1" applyAlignment="1">
      <alignment horizontal="left" vertical="center" wrapText="1"/>
    </xf>
    <xf numFmtId="0" fontId="7" fillId="0" borderId="42" xfId="0" applyFont="1" applyBorder="1" applyAlignment="1">
      <alignment horizontal="left" vertical="top" wrapText="1"/>
    </xf>
    <xf numFmtId="49" fontId="18" fillId="4" borderId="31" xfId="1" applyNumberFormat="1" applyFont="1" applyFill="1" applyBorder="1" applyAlignment="1">
      <alignment horizontal="center" vertical="center"/>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6"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25" xfId="0" applyFont="1" applyFill="1" applyBorder="1" applyAlignment="1">
      <alignment horizontal="left" vertical="top" wrapText="1"/>
    </xf>
    <xf numFmtId="0" fontId="15" fillId="2" borderId="42" xfId="0" applyFont="1" applyFill="1" applyBorder="1" applyAlignment="1">
      <alignment horizontal="left" vertical="top" wrapText="1"/>
    </xf>
    <xf numFmtId="0" fontId="8" fillId="8" borderId="45" xfId="0" applyFont="1" applyFill="1" applyBorder="1" applyAlignment="1">
      <alignment horizontal="center" vertical="center" wrapText="1"/>
    </xf>
    <xf numFmtId="0" fontId="8" fillId="8" borderId="55" xfId="0" applyFont="1" applyFill="1" applyBorder="1" applyAlignment="1">
      <alignment horizontal="center" vertical="center" wrapText="1"/>
    </xf>
    <xf numFmtId="0" fontId="8" fillId="8" borderId="49" xfId="0" applyFont="1" applyFill="1" applyBorder="1" applyAlignment="1">
      <alignment horizontal="center" vertical="center" wrapText="1"/>
    </xf>
    <xf numFmtId="0" fontId="8" fillId="7" borderId="21" xfId="0" applyFont="1" applyFill="1" applyBorder="1" applyAlignment="1">
      <alignment horizontal="center" vertical="center"/>
    </xf>
    <xf numFmtId="0" fontId="8" fillId="7" borderId="46" xfId="0" applyFont="1" applyFill="1" applyBorder="1" applyAlignment="1">
      <alignment horizontal="center" vertical="center"/>
    </xf>
    <xf numFmtId="0" fontId="8" fillId="8" borderId="44" xfId="0" applyFont="1" applyFill="1" applyBorder="1" applyAlignment="1">
      <alignment horizontal="center" vertical="center"/>
    </xf>
    <xf numFmtId="0" fontId="8" fillId="8" borderId="23" xfId="0" applyFont="1" applyFill="1" applyBorder="1" applyAlignment="1">
      <alignment horizontal="center" vertical="center"/>
    </xf>
    <xf numFmtId="0" fontId="7" fillId="4" borderId="10" xfId="0" applyFont="1" applyFill="1" applyBorder="1" applyAlignment="1">
      <alignment horizontal="center" wrapText="1"/>
    </xf>
    <xf numFmtId="0" fontId="7" fillId="4" borderId="15" xfId="0" applyFont="1" applyFill="1" applyBorder="1" applyAlignment="1">
      <alignment horizontal="center" wrapText="1"/>
    </xf>
    <xf numFmtId="0" fontId="26" fillId="2" borderId="42" xfId="0" applyFont="1" applyFill="1" applyBorder="1" applyAlignment="1">
      <alignment horizontal="center" vertical="top" wrapText="1"/>
    </xf>
    <xf numFmtId="0" fontId="26" fillId="2" borderId="50" xfId="0" applyFont="1" applyFill="1" applyBorder="1" applyAlignment="1">
      <alignment horizontal="center" vertical="top" wrapText="1"/>
    </xf>
    <xf numFmtId="0" fontId="26" fillId="2" borderId="61" xfId="0" applyFont="1" applyFill="1" applyBorder="1" applyAlignment="1">
      <alignment horizontal="center" vertical="top" wrapText="1"/>
    </xf>
    <xf numFmtId="0" fontId="8" fillId="7" borderId="181" xfId="0" applyFont="1" applyFill="1" applyBorder="1" applyAlignment="1">
      <alignment horizontal="center" vertical="center"/>
    </xf>
    <xf numFmtId="0" fontId="8" fillId="7" borderId="35" xfId="0" applyFont="1" applyFill="1" applyBorder="1" applyAlignment="1">
      <alignment horizontal="center" vertical="center"/>
    </xf>
    <xf numFmtId="0" fontId="8" fillId="4" borderId="10"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7" fillId="10" borderId="51"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80" xfId="0" applyFont="1" applyFill="1" applyBorder="1" applyAlignment="1">
      <alignment horizontal="center" vertical="top" wrapText="1"/>
    </xf>
    <xf numFmtId="0" fontId="9" fillId="3" borderId="33" xfId="0" applyFont="1" applyFill="1" applyBorder="1" applyAlignment="1">
      <alignment horizontal="left" vertical="center"/>
    </xf>
    <xf numFmtId="0" fontId="9" fillId="3" borderId="0" xfId="0" applyFont="1" applyFill="1" applyBorder="1" applyAlignment="1">
      <alignment horizontal="left" vertical="center"/>
    </xf>
    <xf numFmtId="0" fontId="9" fillId="3" borderId="67" xfId="0" applyFont="1" applyFill="1" applyBorder="1" applyAlignment="1">
      <alignment horizontal="left" vertical="center"/>
    </xf>
    <xf numFmtId="0" fontId="9" fillId="5" borderId="60" xfId="0" applyFont="1" applyFill="1" applyBorder="1" applyAlignment="1">
      <alignment horizontal="left" vertical="top" wrapText="1"/>
    </xf>
    <xf numFmtId="0" fontId="9" fillId="5" borderId="50" xfId="0" applyFont="1" applyFill="1" applyBorder="1" applyAlignment="1">
      <alignment horizontal="left" vertical="top" wrapText="1"/>
    </xf>
    <xf numFmtId="0" fontId="9" fillId="5" borderId="61" xfId="0" applyFont="1" applyFill="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7" fillId="0" borderId="30" xfId="0" applyFont="1" applyBorder="1" applyAlignment="1">
      <alignment horizontal="left" vertical="top" wrapText="1"/>
    </xf>
    <xf numFmtId="0" fontId="8" fillId="8" borderId="45" xfId="0" applyFont="1" applyFill="1" applyBorder="1" applyAlignment="1">
      <alignment horizontal="center" vertical="center"/>
    </xf>
    <xf numFmtId="0" fontId="8" fillId="8" borderId="30" xfId="0" applyFont="1" applyFill="1" applyBorder="1" applyAlignment="1">
      <alignment horizontal="center" vertical="center"/>
    </xf>
    <xf numFmtId="0" fontId="8" fillId="2" borderId="28"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8" fillId="2" borderId="42" xfId="0" applyFont="1" applyFill="1" applyBorder="1" applyAlignment="1">
      <alignment horizontal="left" vertical="top" wrapText="1"/>
    </xf>
    <xf numFmtId="0" fontId="7" fillId="2" borderId="23" xfId="0" applyFont="1" applyFill="1" applyBorder="1" applyAlignment="1">
      <alignment horizontal="left" vertical="top"/>
    </xf>
    <xf numFmtId="0" fontId="8" fillId="5" borderId="39" xfId="0" applyFont="1" applyFill="1" applyBorder="1" applyAlignment="1">
      <alignment horizontal="center" vertical="center"/>
    </xf>
    <xf numFmtId="0" fontId="8" fillId="5" borderId="14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3" xfId="0" applyFont="1" applyFill="1" applyBorder="1" applyAlignment="1">
      <alignment horizontal="left" vertical="top"/>
    </xf>
    <xf numFmtId="0" fontId="7" fillId="4" borderId="10"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8" fillId="7" borderId="22" xfId="0" applyFont="1" applyFill="1" applyBorder="1" applyAlignment="1">
      <alignment horizontal="center" vertical="center"/>
    </xf>
    <xf numFmtId="0" fontId="9" fillId="9" borderId="39"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8" fillId="8" borderId="53" xfId="0" applyFont="1" applyFill="1" applyBorder="1" applyAlignment="1">
      <alignment horizontal="center" vertical="center"/>
    </xf>
    <xf numFmtId="0" fontId="7" fillId="10" borderId="55" xfId="0" applyFont="1" applyFill="1" applyBorder="1" applyAlignment="1">
      <alignment horizontal="left" vertical="top" wrapText="1"/>
    </xf>
    <xf numFmtId="0" fontId="7" fillId="10" borderId="49" xfId="0" applyFont="1" applyFill="1" applyBorder="1" applyAlignment="1">
      <alignment horizontal="left" vertical="top" wrapText="1"/>
    </xf>
    <xf numFmtId="0" fontId="7" fillId="10" borderId="80" xfId="0" applyFont="1" applyFill="1" applyBorder="1" applyAlignment="1">
      <alignment horizontal="left" vertical="top" wrapText="1"/>
    </xf>
    <xf numFmtId="0" fontId="7" fillId="0" borderId="60" xfId="0" applyFont="1" applyBorder="1" applyAlignment="1">
      <alignment horizontal="left" vertical="top" wrapText="1"/>
    </xf>
    <xf numFmtId="0" fontId="7" fillId="0" borderId="50" xfId="0" applyFont="1" applyBorder="1" applyAlignment="1">
      <alignment horizontal="left" vertical="top" wrapText="1"/>
    </xf>
    <xf numFmtId="0" fontId="7" fillId="0" borderId="61" xfId="0" applyFont="1" applyBorder="1" applyAlignment="1">
      <alignment horizontal="left" vertical="top" wrapText="1"/>
    </xf>
    <xf numFmtId="0" fontId="15" fillId="2" borderId="41" xfId="0" applyFont="1" applyFill="1" applyBorder="1" applyAlignment="1">
      <alignment horizontal="left" vertical="top" wrapText="1"/>
    </xf>
    <xf numFmtId="0" fontId="15" fillId="2" borderId="41" xfId="0" applyFont="1" applyFill="1" applyBorder="1" applyAlignment="1">
      <alignment horizontal="center" vertical="top" wrapText="1"/>
    </xf>
    <xf numFmtId="49" fontId="14" fillId="4" borderId="10" xfId="1" applyNumberFormat="1" applyFont="1" applyFill="1" applyBorder="1" applyAlignment="1">
      <alignment horizontal="center" vertical="center"/>
    </xf>
    <xf numFmtId="0" fontId="8" fillId="10" borderId="28" xfId="0" applyFont="1" applyFill="1" applyBorder="1" applyAlignment="1">
      <alignment horizontal="left" vertical="top" wrapText="1"/>
    </xf>
    <xf numFmtId="0" fontId="8" fillId="0" borderId="39" xfId="0" applyFont="1" applyBorder="1" applyAlignment="1">
      <alignment horizontal="center" vertical="center" wrapText="1"/>
    </xf>
    <xf numFmtId="0" fontId="8" fillId="0" borderId="145" xfId="0" applyFont="1" applyBorder="1" applyAlignment="1">
      <alignment horizontal="center" vertical="center" wrapText="1"/>
    </xf>
    <xf numFmtId="0" fontId="8" fillId="2" borderId="44" xfId="0" applyFont="1" applyFill="1" applyBorder="1" applyAlignment="1">
      <alignment horizontal="left" vertical="top"/>
    </xf>
    <xf numFmtId="0" fontId="9" fillId="3" borderId="20" xfId="0" applyFont="1" applyFill="1" applyBorder="1" applyAlignment="1">
      <alignment horizontal="left" vertical="center"/>
    </xf>
    <xf numFmtId="0" fontId="8" fillId="6" borderId="24" xfId="0" applyFont="1" applyFill="1" applyBorder="1" applyAlignment="1">
      <alignment horizontal="left" vertical="top" wrapText="1"/>
    </xf>
    <xf numFmtId="0" fontId="8" fillId="6" borderId="42" xfId="0" applyFont="1" applyFill="1" applyBorder="1" applyAlignment="1">
      <alignment horizontal="left" vertical="top" wrapText="1"/>
    </xf>
    <xf numFmtId="0" fontId="8" fillId="8" borderId="38" xfId="0" applyFont="1" applyFill="1" applyBorder="1" applyAlignment="1">
      <alignment horizontal="center" vertical="center"/>
    </xf>
    <xf numFmtId="0" fontId="8" fillId="8" borderId="32" xfId="0" applyFont="1" applyFill="1" applyBorder="1" applyAlignment="1">
      <alignment horizontal="center" vertical="center"/>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0" fontId="7" fillId="12" borderId="59" xfId="0" applyFont="1" applyFill="1" applyBorder="1" applyAlignment="1">
      <alignment horizontal="left" vertical="top" wrapText="1"/>
    </xf>
    <xf numFmtId="0" fontId="12" fillId="10" borderId="45" xfId="0" applyFont="1" applyFill="1" applyBorder="1" applyAlignment="1">
      <alignment horizontal="left" vertical="top" wrapText="1"/>
    </xf>
    <xf numFmtId="0" fontId="12" fillId="10" borderId="29" xfId="0" applyFont="1" applyFill="1" applyBorder="1" applyAlignment="1">
      <alignment horizontal="left" vertical="top" wrapText="1"/>
    </xf>
    <xf numFmtId="0" fontId="12" fillId="10" borderId="51" xfId="0" applyFont="1" applyFill="1" applyBorder="1" applyAlignment="1">
      <alignment horizontal="left" vertical="top" wrapText="1"/>
    </xf>
    <xf numFmtId="0" fontId="8" fillId="8" borderId="24" xfId="0" applyFont="1" applyFill="1" applyBorder="1" applyAlignment="1">
      <alignment horizontal="center" vertical="center" wrapText="1"/>
    </xf>
    <xf numFmtId="0" fontId="8" fillId="8" borderId="26" xfId="0" applyFont="1" applyFill="1" applyBorder="1" applyAlignment="1">
      <alignment horizontal="center" vertical="center" wrapText="1"/>
    </xf>
    <xf numFmtId="0" fontId="16" fillId="2" borderId="72"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7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0" borderId="42" xfId="0" applyFont="1" applyBorder="1" applyAlignment="1">
      <alignment horizontal="left" vertical="top" wrapText="1"/>
    </xf>
    <xf numFmtId="0" fontId="7" fillId="12" borderId="63" xfId="0" applyFont="1" applyFill="1" applyBorder="1" applyAlignment="1">
      <alignment horizontal="left" vertical="top" wrapText="1"/>
    </xf>
    <xf numFmtId="0" fontId="7" fillId="5" borderId="41" xfId="0" applyFont="1" applyFill="1" applyBorder="1" applyAlignment="1">
      <alignment horizontal="left" vertical="top" wrapText="1"/>
    </xf>
    <xf numFmtId="0" fontId="8" fillId="7" borderId="10" xfId="0" applyFont="1" applyFill="1" applyBorder="1" applyAlignment="1">
      <alignment horizontal="center" vertical="center"/>
    </xf>
    <xf numFmtId="0" fontId="8" fillId="7" borderId="7" xfId="0" applyFont="1" applyFill="1" applyBorder="1" applyAlignment="1">
      <alignment horizontal="center" vertical="center"/>
    </xf>
    <xf numFmtId="0" fontId="9" fillId="3" borderId="17" xfId="0" applyFont="1" applyFill="1" applyBorder="1" applyAlignment="1">
      <alignment horizontal="left" vertical="center"/>
    </xf>
    <xf numFmtId="0" fontId="7" fillId="10" borderId="45" xfId="0" applyFont="1" applyFill="1" applyBorder="1" applyAlignment="1">
      <alignment horizontal="left" vertical="top" wrapText="1"/>
    </xf>
    <xf numFmtId="0" fontId="7" fillId="10" borderId="29" xfId="0" applyFont="1" applyFill="1" applyBorder="1" applyAlignment="1">
      <alignment horizontal="left" vertical="top" wrapText="1"/>
    </xf>
    <xf numFmtId="0" fontId="7" fillId="10" borderId="51"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42" xfId="0" applyFont="1" applyFill="1" applyBorder="1" applyAlignment="1">
      <alignment horizontal="left" vertical="top" wrapText="1"/>
    </xf>
    <xf numFmtId="0" fontId="8" fillId="0" borderId="26" xfId="0" applyFont="1" applyBorder="1" applyAlignment="1">
      <alignment horizontal="left" vertical="top"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8" fillId="0" borderId="27" xfId="0" applyFont="1" applyBorder="1" applyAlignment="1">
      <alignment horizontal="left" vertical="top" wrapText="1"/>
    </xf>
    <xf numFmtId="0" fontId="8" fillId="6" borderId="39" xfId="0" applyFont="1" applyFill="1" applyBorder="1" applyAlignment="1">
      <alignment horizontal="center" vertical="center"/>
    </xf>
    <xf numFmtId="0" fontId="8" fillId="6" borderId="145" xfId="0" applyFont="1" applyFill="1" applyBorder="1" applyAlignment="1">
      <alignment horizontal="center" vertical="center"/>
    </xf>
    <xf numFmtId="0" fontId="8" fillId="0" borderId="39" xfId="0" applyFont="1" applyBorder="1" applyAlignment="1">
      <alignment horizontal="center" vertical="center"/>
    </xf>
    <xf numFmtId="0" fontId="8" fillId="0" borderId="145" xfId="0" applyFont="1" applyBorder="1" applyAlignment="1">
      <alignment horizontal="center" vertical="center"/>
    </xf>
    <xf numFmtId="0" fontId="8" fillId="6" borderId="48" xfId="0" applyFont="1" applyFill="1" applyBorder="1" applyAlignment="1">
      <alignment horizontal="center" vertical="center"/>
    </xf>
    <xf numFmtId="0" fontId="9" fillId="3" borderId="56" xfId="0" applyFont="1" applyFill="1" applyBorder="1" applyAlignment="1">
      <alignment horizontal="left" vertical="center"/>
    </xf>
    <xf numFmtId="0" fontId="9" fillId="3" borderId="64" xfId="0" applyFont="1" applyFill="1" applyBorder="1" applyAlignment="1">
      <alignment horizontal="left" vertical="center"/>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22" fillId="2" borderId="41"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42" xfId="0" applyFont="1" applyFill="1" applyBorder="1" applyAlignment="1">
      <alignment horizontal="left" vertical="top" wrapText="1"/>
    </xf>
    <xf numFmtId="0" fontId="9" fillId="0" borderId="48" xfId="0" applyFont="1" applyBorder="1" applyAlignment="1">
      <alignment horizontal="center" vertical="center" wrapText="1"/>
    </xf>
    <xf numFmtId="0" fontId="8" fillId="0" borderId="48" xfId="0" applyFont="1" applyBorder="1" applyAlignment="1">
      <alignment horizontal="center" vertical="center"/>
    </xf>
    <xf numFmtId="0" fontId="9" fillId="0" borderId="39" xfId="0" applyFont="1" applyBorder="1" applyAlignment="1">
      <alignment horizontal="left" vertical="center" wrapText="1"/>
    </xf>
    <xf numFmtId="0" fontId="9" fillId="0" borderId="48" xfId="0" applyFont="1" applyBorder="1" applyAlignment="1">
      <alignment horizontal="left" vertical="center" wrapText="1"/>
    </xf>
    <xf numFmtId="0" fontId="9" fillId="0" borderId="145" xfId="0" applyFont="1" applyBorder="1" applyAlignment="1">
      <alignment horizontal="left" vertical="center" wrapText="1"/>
    </xf>
    <xf numFmtId="0" fontId="22" fillId="2" borderId="60" xfId="0" applyFont="1" applyFill="1" applyBorder="1" applyAlignment="1">
      <alignment horizontal="center" vertical="top" wrapText="1"/>
    </xf>
    <xf numFmtId="0" fontId="22" fillId="2" borderId="50" xfId="0" applyFont="1" applyFill="1" applyBorder="1" applyAlignment="1">
      <alignment horizontal="center" vertical="top" wrapText="1"/>
    </xf>
    <xf numFmtId="0" fontId="22" fillId="2" borderId="61"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61" xfId="0" applyFont="1" applyFill="1" applyBorder="1" applyAlignment="1">
      <alignment horizontal="center" vertical="top" wrapText="1"/>
    </xf>
    <xf numFmtId="0" fontId="7" fillId="10" borderId="28" xfId="0" applyFont="1" applyFill="1" applyBorder="1" applyAlignment="1">
      <alignment horizontal="center" vertical="top" wrapText="1"/>
    </xf>
    <xf numFmtId="0" fontId="7" fillId="10" borderId="29" xfId="0" applyFont="1" applyFill="1" applyBorder="1" applyAlignment="1">
      <alignment horizontal="center" vertical="top" wrapText="1"/>
    </xf>
    <xf numFmtId="0" fontId="7" fillId="10" borderId="30" xfId="0" applyFont="1" applyFill="1" applyBorder="1" applyAlignment="1">
      <alignment horizontal="center" vertical="top" wrapText="1"/>
    </xf>
    <xf numFmtId="0" fontId="8" fillId="2" borderId="42" xfId="0" applyFont="1" applyFill="1" applyBorder="1" applyAlignment="1">
      <alignment horizontal="left" vertical="center" wrapText="1"/>
    </xf>
    <xf numFmtId="0" fontId="7" fillId="0" borderId="45" xfId="0" applyFont="1" applyBorder="1" applyAlignment="1">
      <alignment horizontal="left" vertical="top" wrapText="1"/>
    </xf>
    <xf numFmtId="0" fontId="16" fillId="4" borderId="167" xfId="0" applyFont="1" applyFill="1" applyBorder="1" applyAlignment="1">
      <alignment horizontal="center" vertical="center" wrapText="1"/>
    </xf>
    <xf numFmtId="0" fontId="16" fillId="4" borderId="168" xfId="0" applyFont="1" applyFill="1" applyBorder="1" applyAlignment="1">
      <alignment horizontal="center" vertical="center" wrapText="1"/>
    </xf>
    <xf numFmtId="0" fontId="16" fillId="4" borderId="169" xfId="0" applyFont="1" applyFill="1" applyBorder="1" applyAlignment="1">
      <alignment horizontal="center" vertical="center" wrapText="1"/>
    </xf>
    <xf numFmtId="0" fontId="16" fillId="4" borderId="170" xfId="0" applyFont="1" applyFill="1" applyBorder="1" applyAlignment="1">
      <alignment horizontal="center" vertical="center" wrapText="1"/>
    </xf>
    <xf numFmtId="0" fontId="16" fillId="4" borderId="171" xfId="0" applyFont="1" applyFill="1" applyBorder="1" applyAlignment="1">
      <alignment horizontal="center" vertical="center" wrapText="1"/>
    </xf>
    <xf numFmtId="0" fontId="16" fillId="4" borderId="172" xfId="0" applyFont="1" applyFill="1" applyBorder="1" applyAlignment="1">
      <alignment horizontal="center" vertical="center" wrapText="1"/>
    </xf>
    <xf numFmtId="0" fontId="22" fillId="2" borderId="24" xfId="0" applyFont="1" applyFill="1" applyBorder="1" applyAlignment="1">
      <alignment horizontal="center" vertical="top" wrapText="1"/>
    </xf>
    <xf numFmtId="0" fontId="22" fillId="2" borderId="25" xfId="0" applyFont="1" applyFill="1" applyBorder="1" applyAlignment="1">
      <alignment horizontal="center" vertical="top" wrapText="1"/>
    </xf>
    <xf numFmtId="0" fontId="22" fillId="2" borderId="26" xfId="0" applyFont="1" applyFill="1" applyBorder="1" applyAlignment="1">
      <alignment horizontal="center" vertical="top" wrapText="1"/>
    </xf>
    <xf numFmtId="0" fontId="8" fillId="0" borderId="41" xfId="0" applyFont="1" applyBorder="1" applyAlignment="1">
      <alignment horizontal="left" vertical="top" wrapText="1"/>
    </xf>
    <xf numFmtId="0" fontId="7" fillId="4" borderId="64" xfId="0" applyFont="1" applyFill="1" applyBorder="1" applyAlignment="1">
      <alignment horizontal="center" vertical="center" wrapText="1"/>
    </xf>
    <xf numFmtId="0" fontId="7" fillId="4" borderId="180" xfId="0" applyFont="1" applyFill="1" applyBorder="1" applyAlignment="1">
      <alignment horizontal="center" vertical="center"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4" fillId="0" borderId="111" xfId="0" applyFont="1" applyBorder="1" applyAlignment="1">
      <alignment horizontal="left" vertical="top" wrapText="1"/>
    </xf>
    <xf numFmtId="0" fontId="4" fillId="0" borderId="112" xfId="0" applyFont="1" applyBorder="1" applyAlignment="1">
      <alignment horizontal="left" vertical="top" wrapText="1"/>
    </xf>
    <xf numFmtId="0" fontId="4" fillId="0" borderId="0" xfId="0" applyFont="1" applyBorder="1" applyAlignment="1">
      <alignment horizontal="left" vertical="top" wrapText="1"/>
    </xf>
    <xf numFmtId="0" fontId="4" fillId="0" borderId="113" xfId="0" applyFont="1" applyBorder="1" applyAlignment="1">
      <alignment horizontal="left" vertical="top" wrapText="1"/>
    </xf>
    <xf numFmtId="0" fontId="4" fillId="0" borderId="114" xfId="0" applyFont="1" applyBorder="1" applyAlignment="1">
      <alignment horizontal="left" vertical="top" wrapText="1"/>
    </xf>
    <xf numFmtId="0" fontId="4" fillId="0" borderId="115" xfId="0" applyFont="1" applyBorder="1" applyAlignment="1">
      <alignment horizontal="left" vertical="top" wrapText="1"/>
    </xf>
    <xf numFmtId="0" fontId="4" fillId="0" borderId="116" xfId="0" applyFont="1" applyBorder="1" applyAlignment="1">
      <alignment horizontal="left" vertical="top" wrapText="1"/>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7" fillId="0" borderId="111" xfId="0" applyFont="1" applyBorder="1" applyAlignment="1" applyProtection="1">
      <alignment horizontal="left" vertical="top"/>
      <protection locked="0"/>
    </xf>
    <xf numFmtId="0" fontId="37" fillId="0" borderId="112"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13" xfId="0" applyFont="1" applyBorder="1" applyAlignment="1" applyProtection="1">
      <alignment horizontal="left" vertical="top"/>
      <protection locked="0"/>
    </xf>
    <xf numFmtId="0" fontId="37" fillId="0" borderId="114" xfId="0" applyFont="1" applyBorder="1" applyAlignment="1" applyProtection="1">
      <alignment horizontal="left" vertical="top"/>
      <protection locked="0"/>
    </xf>
    <xf numFmtId="0" fontId="37" fillId="0" borderId="115" xfId="0" applyFont="1" applyBorder="1" applyAlignment="1" applyProtection="1">
      <alignment horizontal="left" vertical="top"/>
      <protection locked="0"/>
    </xf>
    <xf numFmtId="0" fontId="37" fillId="0" borderId="116" xfId="0" applyFont="1" applyBorder="1" applyAlignment="1" applyProtection="1">
      <alignment horizontal="left" vertical="top"/>
      <protection locked="0"/>
    </xf>
    <xf numFmtId="0" fontId="34" fillId="13" borderId="107"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8"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7" xfId="0" applyFont="1" applyFill="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12" fillId="0" borderId="119" xfId="0" applyFont="1" applyBorder="1" applyAlignment="1">
      <alignment horizontal="left" vertical="top" wrapText="1"/>
    </xf>
    <xf numFmtId="0" fontId="12" fillId="0" borderId="120" xfId="0" applyFont="1" applyBorder="1" applyAlignment="1">
      <alignment horizontal="left" vertical="top" wrapText="1"/>
    </xf>
    <xf numFmtId="0" fontId="12" fillId="0" borderId="0" xfId="0" applyFont="1" applyBorder="1" applyAlignment="1">
      <alignment horizontal="left" vertical="top" wrapText="1"/>
    </xf>
    <xf numFmtId="0" fontId="12" fillId="0" borderId="121" xfId="0" applyFont="1" applyBorder="1" applyAlignment="1">
      <alignment horizontal="left" vertical="top" wrapText="1"/>
    </xf>
    <xf numFmtId="0" fontId="12" fillId="0" borderId="122" xfId="0" applyFont="1" applyBorder="1" applyAlignment="1">
      <alignment horizontal="left" vertical="top" wrapText="1"/>
    </xf>
    <xf numFmtId="0" fontId="12" fillId="0" borderId="123" xfId="0" applyFont="1" applyBorder="1" applyAlignment="1">
      <alignment horizontal="left" vertical="top" wrapText="1"/>
    </xf>
    <xf numFmtId="0" fontId="12" fillId="0" borderId="124" xfId="0" applyFont="1" applyBorder="1" applyAlignment="1">
      <alignment horizontal="left" vertical="top" wrapText="1"/>
    </xf>
    <xf numFmtId="0" fontId="30" fillId="14" borderId="125" xfId="0" applyFont="1" applyFill="1" applyBorder="1" applyAlignment="1">
      <alignment horizontal="center" vertical="center" wrapText="1"/>
    </xf>
    <xf numFmtId="0" fontId="30" fillId="14" borderId="126" xfId="0" applyFont="1" applyFill="1" applyBorder="1" applyAlignment="1">
      <alignment horizontal="center" vertical="center" wrapText="1"/>
    </xf>
    <xf numFmtId="0" fontId="30" fillId="14" borderId="128" xfId="0" applyFont="1" applyFill="1" applyBorder="1" applyAlignment="1">
      <alignment horizontal="center" vertical="center" wrapText="1"/>
    </xf>
    <xf numFmtId="0" fontId="30" fillId="14" borderId="127" xfId="0" applyFont="1" applyFill="1" applyBorder="1" applyAlignment="1">
      <alignment horizontal="center" vertical="center" wrapText="1"/>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33" fillId="0" borderId="119" xfId="0" applyFont="1" applyBorder="1" applyAlignment="1" applyProtection="1">
      <alignment horizontal="left" vertical="top" wrapText="1"/>
      <protection locked="0"/>
    </xf>
    <xf numFmtId="0" fontId="33" fillId="0" borderId="120"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21" xfId="0" applyFont="1" applyBorder="1" applyAlignment="1" applyProtection="1">
      <alignment horizontal="left" vertical="top" wrapText="1"/>
      <protection locked="0"/>
    </xf>
    <xf numFmtId="0" fontId="33" fillId="0" borderId="122" xfId="0" applyFont="1" applyBorder="1" applyAlignment="1" applyProtection="1">
      <alignment horizontal="left" vertical="top" wrapText="1"/>
      <protection locked="0"/>
    </xf>
    <xf numFmtId="0" fontId="33" fillId="0" borderId="123" xfId="0" applyFont="1" applyBorder="1" applyAlignment="1" applyProtection="1">
      <alignment horizontal="left" vertical="top" wrapText="1"/>
      <protection locked="0"/>
    </xf>
    <xf numFmtId="0" fontId="33" fillId="0" borderId="124" xfId="0" applyFont="1" applyBorder="1" applyAlignment="1" applyProtection="1">
      <alignment horizontal="left" vertical="top" wrapText="1"/>
      <protection locked="0"/>
    </xf>
    <xf numFmtId="0" fontId="8" fillId="0" borderId="39" xfId="0" applyFont="1" applyBorder="1" applyAlignment="1">
      <alignment horizontal="center" wrapText="1"/>
    </xf>
    <xf numFmtId="0" fontId="8" fillId="0" borderId="48" xfId="0" applyFont="1" applyBorder="1" applyAlignment="1">
      <alignment horizontal="center" wrapText="1"/>
    </xf>
    <xf numFmtId="0" fontId="8" fillId="0" borderId="145" xfId="0" applyFont="1" applyBorder="1" applyAlignment="1">
      <alignment horizontal="center" wrapText="1"/>
    </xf>
    <xf numFmtId="0" fontId="39" fillId="0" borderId="39" xfId="0" applyFont="1" applyBorder="1" applyAlignment="1">
      <alignment horizontal="left" vertical="center" wrapText="1"/>
    </xf>
    <xf numFmtId="0" fontId="39" fillId="0" borderId="48" xfId="0" applyFont="1" applyBorder="1" applyAlignment="1">
      <alignment horizontal="left" vertical="center" wrapText="1"/>
    </xf>
    <xf numFmtId="0" fontId="39" fillId="0" borderId="145" xfId="0" applyFont="1" applyBorder="1" applyAlignment="1">
      <alignment horizontal="left" vertical="center" wrapText="1"/>
    </xf>
    <xf numFmtId="0" fontId="22" fillId="2" borderId="41" xfId="0" applyFont="1" applyFill="1" applyBorder="1" applyAlignment="1">
      <alignment horizontal="center" vertical="top" wrapText="1"/>
    </xf>
    <xf numFmtId="0" fontId="15" fillId="2" borderId="42" xfId="0" applyFont="1" applyFill="1" applyBorder="1" applyAlignment="1">
      <alignment horizontal="center" vertical="top" wrapText="1"/>
    </xf>
    <xf numFmtId="0" fontId="8" fillId="4" borderId="10" xfId="0" applyFont="1" applyFill="1" applyBorder="1" applyAlignment="1">
      <alignment horizontal="center" wrapText="1"/>
    </xf>
    <xf numFmtId="0" fontId="8" fillId="4" borderId="15" xfId="0" applyFont="1" applyFill="1" applyBorder="1" applyAlignment="1">
      <alignment horizontal="center" wrapText="1"/>
    </xf>
    <xf numFmtId="0" fontId="40" fillId="0" borderId="39" xfId="0" applyFont="1" applyBorder="1" applyAlignment="1">
      <alignment horizontal="center" vertical="center" wrapText="1"/>
    </xf>
    <xf numFmtId="0" fontId="40" fillId="0" borderId="48" xfId="0" applyFont="1" applyBorder="1" applyAlignment="1">
      <alignment horizontal="center" vertical="center" wrapText="1"/>
    </xf>
    <xf numFmtId="0" fontId="22" fillId="2" borderId="42" xfId="0" applyFont="1" applyFill="1" applyBorder="1" applyAlignment="1">
      <alignment horizontal="center" vertical="top" wrapText="1"/>
    </xf>
    <xf numFmtId="0" fontId="7" fillId="10" borderId="55" xfId="0" applyFont="1" applyFill="1" applyBorder="1" applyAlignment="1">
      <alignment horizontal="center" vertical="top" wrapText="1"/>
    </xf>
    <xf numFmtId="0" fontId="7" fillId="10" borderId="45" xfId="0" applyFont="1" applyFill="1" applyBorder="1" applyAlignment="1">
      <alignment horizontal="center" vertical="top" wrapText="1"/>
    </xf>
    <xf numFmtId="0" fontId="7" fillId="5" borderId="42" xfId="0" applyFont="1" applyFill="1" applyBorder="1" applyAlignment="1">
      <alignment horizontal="left" vertical="top" wrapText="1"/>
    </xf>
    <xf numFmtId="0" fontId="9" fillId="3" borderId="7" xfId="0" applyFont="1" applyFill="1" applyBorder="1" applyAlignment="1">
      <alignment horizontal="left" vertical="center"/>
    </xf>
    <xf numFmtId="0" fontId="9" fillId="3" borderId="9" xfId="0" applyFont="1" applyFill="1" applyBorder="1" applyAlignment="1">
      <alignment horizontal="left" vertical="center"/>
    </xf>
    <xf numFmtId="0" fontId="26" fillId="2" borderId="60" xfId="0" applyFont="1" applyFill="1" applyBorder="1" applyAlignment="1">
      <alignment horizontal="center" vertical="top" wrapText="1"/>
    </xf>
    <xf numFmtId="0" fontId="26" fillId="2" borderId="41" xfId="0" applyFont="1" applyFill="1" applyBorder="1" applyAlignment="1">
      <alignment horizontal="center" vertical="top" wrapText="1"/>
    </xf>
    <xf numFmtId="0" fontId="7" fillId="0" borderId="55" xfId="0" applyFont="1" applyBorder="1" applyAlignment="1">
      <alignment horizontal="left" vertical="center" wrapText="1"/>
    </xf>
    <xf numFmtId="0" fontId="7" fillId="0" borderId="49" xfId="0" applyFont="1" applyBorder="1" applyAlignment="1">
      <alignment horizontal="left" vertical="center" wrapText="1"/>
    </xf>
    <xf numFmtId="0" fontId="7" fillId="0" borderId="80" xfId="0" applyFont="1" applyBorder="1" applyAlignment="1">
      <alignment horizontal="left" vertical="center" wrapText="1"/>
    </xf>
    <xf numFmtId="0" fontId="7" fillId="4" borderId="9" xfId="0" applyFont="1" applyFill="1" applyBorder="1" applyAlignment="1">
      <alignment horizontal="center" wrapText="1"/>
    </xf>
    <xf numFmtId="0" fontId="8" fillId="4" borderId="199" xfId="0" applyFont="1" applyFill="1" applyBorder="1" applyAlignment="1" applyProtection="1">
      <alignment horizontal="center" vertical="center"/>
    </xf>
    <xf numFmtId="0" fontId="8" fillId="4" borderId="203" xfId="0" applyFont="1" applyFill="1" applyBorder="1" applyAlignment="1" applyProtection="1">
      <alignment horizontal="center" vertical="center"/>
    </xf>
    <xf numFmtId="0" fontId="8" fillId="0" borderId="71" xfId="0" applyFont="1" applyBorder="1" applyAlignment="1" applyProtection="1">
      <alignment horizontal="center" vertical="center"/>
      <protection locked="0"/>
    </xf>
    <xf numFmtId="0" fontId="8" fillId="0" borderId="204" xfId="0" applyFont="1" applyBorder="1" applyAlignment="1" applyProtection="1">
      <alignment horizontal="center" vertical="center"/>
      <protection locked="0"/>
    </xf>
    <xf numFmtId="0" fontId="11" fillId="4" borderId="205" xfId="0" applyFont="1" applyFill="1" applyBorder="1" applyAlignment="1" applyProtection="1">
      <alignment horizontal="center" vertical="center"/>
    </xf>
    <xf numFmtId="0" fontId="11" fillId="2" borderId="205" xfId="0" applyFont="1" applyFill="1" applyBorder="1" applyAlignment="1" applyProtection="1">
      <alignment horizontal="center" vertical="center"/>
    </xf>
    <xf numFmtId="0" fontId="9" fillId="4" borderId="205" xfId="0" applyFont="1" applyFill="1" applyBorder="1" applyAlignment="1" applyProtection="1">
      <alignment horizontal="center" vertical="center"/>
    </xf>
    <xf numFmtId="0" fontId="9" fillId="2" borderId="205" xfId="0" applyFont="1" applyFill="1" applyBorder="1" applyAlignment="1" applyProtection="1">
      <alignment horizontal="center" vertical="center"/>
    </xf>
    <xf numFmtId="0" fontId="8" fillId="4" borderId="200" xfId="0" applyFont="1" applyFill="1" applyBorder="1" applyAlignment="1" applyProtection="1">
      <alignment horizontal="center" vertical="center"/>
    </xf>
    <xf numFmtId="0" fontId="8" fillId="0" borderId="201" xfId="0" applyFont="1" applyBorder="1" applyAlignment="1" applyProtection="1">
      <alignment horizontal="center" vertical="center"/>
      <protection locked="0"/>
    </xf>
    <xf numFmtId="0" fontId="8" fillId="0" borderId="202" xfId="0" applyFont="1" applyBorder="1" applyAlignment="1" applyProtection="1">
      <alignment horizontal="center" vertical="center"/>
      <protection locked="0"/>
    </xf>
    <xf numFmtId="0" fontId="8" fillId="15" borderId="203" xfId="0" applyFont="1" applyFill="1" applyBorder="1" applyAlignment="1" applyProtection="1">
      <alignment horizontal="center" vertical="center"/>
    </xf>
    <xf numFmtId="0" fontId="9" fillId="4" borderId="39" xfId="0" applyFont="1" applyFill="1" applyBorder="1" applyAlignment="1" applyProtection="1">
      <alignment horizontal="center" vertical="center"/>
    </xf>
    <xf numFmtId="0" fontId="11" fillId="2" borderId="48" xfId="0" applyFont="1" applyFill="1" applyBorder="1" applyAlignment="1" applyProtection="1">
      <alignment horizontal="center" vertical="center"/>
    </xf>
    <xf numFmtId="0" fontId="9" fillId="4" borderId="48" xfId="0" applyFont="1" applyFill="1" applyBorder="1" applyAlignment="1" applyProtection="1">
      <alignment horizontal="center" vertical="center"/>
    </xf>
    <xf numFmtId="0" fontId="11" fillId="2" borderId="145"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8" fillId="6" borderId="188" xfId="0"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27" xfId="1" applyNumberFormat="1" applyFont="1" applyFill="1" applyBorder="1" applyAlignment="1">
      <alignment horizontal="center" vertical="center"/>
    </xf>
    <xf numFmtId="0" fontId="7" fillId="4" borderId="36" xfId="0" applyFont="1" applyFill="1" applyBorder="1" applyAlignment="1">
      <alignment horizontal="center" vertical="center" wrapText="1"/>
    </xf>
    <xf numFmtId="1" fontId="8" fillId="6" borderId="38" xfId="0" applyNumberFormat="1" applyFont="1" applyFill="1" applyBorder="1" applyAlignment="1" applyProtection="1">
      <alignment horizontal="center" vertical="center"/>
    </xf>
    <xf numFmtId="49" fontId="18" fillId="4" borderId="49" xfId="1" applyNumberFormat="1" applyFont="1" applyFill="1" applyBorder="1" applyAlignment="1">
      <alignment horizontal="center" vertical="center"/>
    </xf>
    <xf numFmtId="49" fontId="18" fillId="4" borderId="67" xfId="1" applyNumberFormat="1" applyFont="1" applyFill="1" applyBorder="1" applyAlignment="1">
      <alignment horizontal="center" vertical="center"/>
    </xf>
    <xf numFmtId="0" fontId="14" fillId="6" borderId="176" xfId="0" applyFont="1" applyFill="1" applyBorder="1" applyAlignment="1">
      <alignment horizontal="center" vertical="center"/>
    </xf>
    <xf numFmtId="0" fontId="14" fillId="6" borderId="43" xfId="0" applyFont="1" applyFill="1" applyBorder="1" applyAlignment="1">
      <alignment horizontal="center" vertical="center"/>
    </xf>
    <xf numFmtId="0" fontId="16" fillId="0" borderId="54" xfId="0" applyFont="1" applyBorder="1" applyAlignment="1">
      <alignment horizontal="left" vertical="center" wrapText="1"/>
    </xf>
    <xf numFmtId="0" fontId="7" fillId="0" borderId="60" xfId="0" applyFont="1" applyBorder="1" applyAlignment="1">
      <alignment horizontal="left" vertical="center" wrapText="1"/>
    </xf>
    <xf numFmtId="0" fontId="7" fillId="0" borderId="50" xfId="0" applyFont="1" applyBorder="1" applyAlignment="1">
      <alignment horizontal="left" vertical="center" wrapText="1"/>
    </xf>
    <xf numFmtId="0" fontId="7" fillId="0" borderId="61" xfId="0" applyFont="1" applyBorder="1" applyAlignment="1">
      <alignment horizontal="left" vertical="center" wrapText="1"/>
    </xf>
    <xf numFmtId="0" fontId="7" fillId="4" borderId="207"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0" borderId="65"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7" fillId="4" borderId="41" xfId="0" applyFont="1" applyFill="1" applyBorder="1" applyAlignment="1">
      <alignment horizontal="left" vertical="center"/>
    </xf>
    <xf numFmtId="0" fontId="7" fillId="4" borderId="26" xfId="0" applyFont="1" applyFill="1" applyBorder="1" applyAlignment="1">
      <alignment horizontal="left" vertical="center"/>
    </xf>
    <xf numFmtId="0" fontId="7" fillId="4" borderId="60" xfId="0" applyFont="1" applyFill="1" applyBorder="1" applyAlignment="1">
      <alignment horizontal="left" vertical="center"/>
    </xf>
    <xf numFmtId="0" fontId="16" fillId="4" borderId="50" xfId="0" applyFont="1" applyFill="1" applyBorder="1" applyAlignment="1">
      <alignment horizontal="left" vertical="center"/>
    </xf>
    <xf numFmtId="0" fontId="16" fillId="4" borderId="61" xfId="0" applyFont="1" applyFill="1" applyBorder="1" applyAlignment="1">
      <alignment horizontal="left" vertical="center"/>
    </xf>
    <xf numFmtId="0" fontId="16" fillId="4" borderId="60" xfId="0" applyFont="1" applyFill="1" applyBorder="1" applyAlignment="1">
      <alignment horizontal="left" vertical="center"/>
    </xf>
    <xf numFmtId="0" fontId="7" fillId="4" borderId="24" xfId="0" applyFont="1" applyFill="1" applyBorder="1" applyAlignment="1">
      <alignment horizontal="left" vertical="center"/>
    </xf>
    <xf numFmtId="0" fontId="7" fillId="4" borderId="24" xfId="0" applyFont="1" applyFill="1" applyBorder="1" applyAlignment="1">
      <alignment horizontal="left" vertical="center"/>
    </xf>
    <xf numFmtId="0" fontId="7" fillId="4" borderId="25" xfId="0" applyFont="1" applyFill="1" applyBorder="1" applyAlignment="1">
      <alignment horizontal="left" vertical="center"/>
    </xf>
    <xf numFmtId="0" fontId="16" fillId="4" borderId="25" xfId="0" applyFont="1" applyFill="1" applyBorder="1" applyAlignment="1">
      <alignment horizontal="left" vertical="center"/>
    </xf>
    <xf numFmtId="0" fontId="7" fillId="4" borderId="26" xfId="0" applyFont="1" applyFill="1" applyBorder="1" applyAlignment="1">
      <alignment horizontal="left" vertical="center"/>
    </xf>
    <xf numFmtId="0" fontId="7" fillId="4" borderId="42" xfId="0" applyFont="1" applyFill="1" applyBorder="1" applyAlignment="1">
      <alignment horizontal="left" vertical="center"/>
    </xf>
    <xf numFmtId="0" fontId="16" fillId="4" borderId="57" xfId="0" applyFont="1" applyFill="1" applyBorder="1" applyAlignment="1">
      <alignment horizontal="left" vertical="center"/>
    </xf>
    <xf numFmtId="0" fontId="16" fillId="4" borderId="58" xfId="0" applyFont="1" applyFill="1" applyBorder="1" applyAlignment="1">
      <alignment horizontal="left" vertical="center"/>
    </xf>
    <xf numFmtId="0" fontId="16" fillId="4" borderId="206" xfId="0" applyFont="1" applyFill="1" applyBorder="1" applyAlignment="1">
      <alignment horizontal="left" vertical="center"/>
    </xf>
    <xf numFmtId="0" fontId="16" fillId="4" borderId="59" xfId="0" applyFont="1" applyFill="1" applyBorder="1" applyAlignment="1">
      <alignment horizontal="left" vertical="center"/>
    </xf>
    <xf numFmtId="0" fontId="16" fillId="4" borderId="63" xfId="0" applyFont="1" applyFill="1" applyBorder="1" applyAlignment="1">
      <alignment horizontal="left" vertical="center"/>
    </xf>
    <xf numFmtId="0" fontId="16" fillId="4" borderId="24" xfId="0" applyFont="1" applyFill="1" applyBorder="1" applyAlignment="1">
      <alignment horizontal="left" vertical="center"/>
    </xf>
    <xf numFmtId="0" fontId="18" fillId="4" borderId="24" xfId="0" applyFont="1" applyFill="1" applyBorder="1" applyAlignment="1">
      <alignment horizontal="left" vertical="center"/>
    </xf>
    <xf numFmtId="0" fontId="18" fillId="4" borderId="26" xfId="0" applyFont="1" applyFill="1" applyBorder="1" applyAlignment="1">
      <alignment horizontal="left" vertical="center"/>
    </xf>
    <xf numFmtId="0" fontId="18" fillId="4" borderId="41" xfId="0" applyFont="1" applyFill="1" applyBorder="1" applyAlignment="1">
      <alignment horizontal="left" vertical="center"/>
    </xf>
    <xf numFmtId="0" fontId="7" fillId="4" borderId="28" xfId="0" applyFont="1" applyFill="1" applyBorder="1" applyAlignment="1">
      <alignment horizontal="left" vertical="center"/>
    </xf>
    <xf numFmtId="0" fontId="7" fillId="4" borderId="30" xfId="0" applyFont="1" applyFill="1" applyBorder="1" applyAlignment="1">
      <alignment horizontal="left" vertical="center"/>
    </xf>
    <xf numFmtId="0" fontId="7" fillId="4" borderId="41" xfId="0" applyFont="1" applyFill="1" applyBorder="1" applyAlignment="1">
      <alignment horizontal="left" vertical="center"/>
    </xf>
    <xf numFmtId="0" fontId="7" fillId="4" borderId="61" xfId="0" applyFont="1" applyFill="1" applyBorder="1" applyAlignment="1">
      <alignment horizontal="left" vertical="center"/>
    </xf>
    <xf numFmtId="0" fontId="7" fillId="4" borderId="42" xfId="0" applyFont="1" applyFill="1" applyBorder="1" applyAlignment="1">
      <alignment horizontal="left" vertical="center"/>
    </xf>
    <xf numFmtId="0" fontId="7" fillId="4" borderId="11" xfId="0" applyFont="1" applyFill="1" applyBorder="1" applyAlignment="1">
      <alignment horizontal="left" vertical="center"/>
    </xf>
    <xf numFmtId="0" fontId="7" fillId="4" borderId="50" xfId="0" applyFont="1" applyFill="1" applyBorder="1" applyAlignment="1">
      <alignment horizontal="left" vertical="center"/>
    </xf>
    <xf numFmtId="0" fontId="27" fillId="3" borderId="26" xfId="0" applyFont="1" applyFill="1" applyBorder="1" applyAlignment="1">
      <alignment horizontal="left" vertical="center"/>
    </xf>
    <xf numFmtId="0" fontId="7" fillId="4" borderId="189" xfId="0" applyFont="1" applyFill="1" applyBorder="1" applyAlignment="1">
      <alignment horizontal="left" vertical="center"/>
    </xf>
    <xf numFmtId="0" fontId="7" fillId="4" borderId="188" xfId="0" applyFont="1" applyFill="1" applyBorder="1" applyAlignment="1">
      <alignment horizontal="left" vertical="center"/>
    </xf>
    <xf numFmtId="0" fontId="7" fillId="4" borderId="191" xfId="0" applyFont="1" applyFill="1" applyBorder="1" applyAlignment="1">
      <alignment horizontal="left" vertical="center"/>
    </xf>
    <xf numFmtId="0" fontId="15" fillId="2" borderId="60" xfId="0" applyFont="1" applyFill="1" applyBorder="1" applyAlignment="1">
      <alignment horizontal="left" vertical="top" wrapText="1"/>
    </xf>
    <xf numFmtId="0" fontId="15" fillId="2" borderId="50" xfId="0" applyFont="1" applyFill="1" applyBorder="1" applyAlignment="1">
      <alignment horizontal="left" vertical="top" wrapText="1"/>
    </xf>
    <xf numFmtId="0" fontId="15" fillId="2" borderId="61" xfId="0" applyFont="1" applyFill="1" applyBorder="1" applyAlignment="1">
      <alignment horizontal="left" vertical="top" wrapText="1"/>
    </xf>
    <xf numFmtId="0" fontId="7" fillId="0" borderId="0" xfId="0" applyFont="1" applyBorder="1" applyAlignment="1">
      <alignment horizontal="left" vertical="center" wrapText="1"/>
    </xf>
    <xf numFmtId="0" fontId="7" fillId="0" borderId="55" xfId="0" applyFont="1" applyBorder="1" applyAlignment="1">
      <alignment horizontal="left" vertical="top" wrapText="1"/>
    </xf>
    <xf numFmtId="0" fontId="7" fillId="0" borderId="76" xfId="0" applyFont="1" applyBorder="1" applyAlignment="1">
      <alignment horizontal="left" vertical="center" wrapText="1"/>
    </xf>
    <xf numFmtId="0" fontId="8" fillId="0" borderId="77" xfId="0" applyFont="1" applyBorder="1" applyAlignment="1" applyProtection="1">
      <alignment horizontal="center" vertical="center"/>
      <protection locked="0"/>
    </xf>
    <xf numFmtId="0" fontId="11" fillId="4" borderId="209" xfId="0" applyFont="1" applyFill="1" applyBorder="1" applyAlignment="1" applyProtection="1">
      <alignment horizontal="center" vertical="center"/>
    </xf>
    <xf numFmtId="0" fontId="11" fillId="2" borderId="209" xfId="0" applyFont="1" applyFill="1" applyBorder="1" applyAlignment="1" applyProtection="1">
      <alignment horizontal="center" vertical="center"/>
    </xf>
    <xf numFmtId="0" fontId="9" fillId="4" borderId="210" xfId="0" applyFont="1" applyFill="1" applyBorder="1" applyAlignment="1" applyProtection="1">
      <alignment horizontal="center" vertical="center"/>
    </xf>
    <xf numFmtId="0" fontId="9" fillId="2" borderId="210" xfId="0" applyFont="1" applyFill="1" applyBorder="1" applyAlignment="1" applyProtection="1">
      <alignment horizontal="center" vertical="center"/>
    </xf>
    <xf numFmtId="0" fontId="8" fillId="4" borderId="211"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9" fillId="2" borderId="209" xfId="0" applyFont="1" applyFill="1" applyBorder="1" applyAlignment="1" applyProtection="1">
      <alignment horizontal="center" vertical="center"/>
    </xf>
    <xf numFmtId="0" fontId="7" fillId="4" borderId="195" xfId="0" applyFont="1" applyFill="1" applyBorder="1" applyAlignment="1">
      <alignment horizontal="left" vertical="center"/>
    </xf>
    <xf numFmtId="0" fontId="7" fillId="4" borderId="196" xfId="0" applyFont="1" applyFill="1" applyBorder="1" applyAlignment="1">
      <alignment horizontal="left" vertical="center"/>
    </xf>
    <xf numFmtId="0" fontId="7" fillId="4" borderId="197" xfId="0" applyFont="1" applyFill="1" applyBorder="1" applyAlignment="1">
      <alignment horizontal="left" vertical="center"/>
    </xf>
    <xf numFmtId="0" fontId="38" fillId="5" borderId="187" xfId="0" applyFont="1" applyFill="1" applyBorder="1" applyAlignment="1">
      <alignment wrapText="1"/>
    </xf>
    <xf numFmtId="0" fontId="38" fillId="5" borderId="211" xfId="0" applyFont="1" applyFill="1" applyBorder="1" applyAlignment="1">
      <alignment vertical="top" wrapText="1"/>
    </xf>
    <xf numFmtId="0" fontId="38" fillId="12" borderId="103" xfId="0" applyFont="1" applyFill="1" applyBorder="1" applyAlignment="1">
      <alignment wrapText="1"/>
    </xf>
    <xf numFmtId="0" fontId="38" fillId="5" borderId="90" xfId="0" applyFont="1" applyFill="1" applyBorder="1" applyAlignment="1">
      <alignment horizontal="left" vertical="center" wrapText="1"/>
    </xf>
    <xf numFmtId="0" fontId="7" fillId="4" borderId="183" xfId="0" applyFont="1" applyFill="1" applyBorder="1" applyAlignment="1">
      <alignment horizontal="left" vertical="center"/>
    </xf>
    <xf numFmtId="0" fontId="7" fillId="0" borderId="187" xfId="0" applyFont="1" applyBorder="1" applyAlignment="1">
      <alignment horizontal="left" vertical="center" wrapText="1"/>
    </xf>
    <xf numFmtId="0" fontId="7" fillId="0" borderId="211" xfId="0" applyFont="1" applyBorder="1" applyAlignment="1">
      <alignment horizontal="left" vertical="center" wrapText="1"/>
    </xf>
    <xf numFmtId="0" fontId="7" fillId="4" borderId="49" xfId="0" applyFont="1" applyFill="1" applyBorder="1" applyAlignment="1">
      <alignment horizontal="center" vertical="center"/>
    </xf>
    <xf numFmtId="0" fontId="7" fillId="4" borderId="57" xfId="0" applyFont="1" applyFill="1" applyBorder="1" applyAlignment="1">
      <alignment horizontal="left" vertical="center"/>
    </xf>
    <xf numFmtId="0" fontId="7" fillId="4" borderId="58" xfId="0" applyFont="1" applyFill="1" applyBorder="1" applyAlignment="1">
      <alignment horizontal="left" vertical="center"/>
    </xf>
    <xf numFmtId="0" fontId="7" fillId="4" borderId="206" xfId="0" applyFont="1" applyFill="1" applyBorder="1" applyAlignment="1">
      <alignment horizontal="left" vertical="center"/>
    </xf>
    <xf numFmtId="0" fontId="7" fillId="4" borderId="59" xfId="0" applyFont="1" applyFill="1" applyBorder="1" applyAlignment="1">
      <alignment horizontal="left" vertical="center"/>
    </xf>
    <xf numFmtId="0" fontId="7" fillId="4" borderId="63" xfId="0" applyFont="1" applyFill="1" applyBorder="1" applyAlignment="1">
      <alignment horizontal="left" vertical="center"/>
    </xf>
    <xf numFmtId="0" fontId="44" fillId="0" borderId="0" xfId="0" applyFont="1" applyBorder="1" applyAlignment="1">
      <alignment horizontal="left" vertical="center" wrapText="1"/>
    </xf>
    <xf numFmtId="0" fontId="38" fillId="5" borderId="0" xfId="0" applyFont="1" applyFill="1" applyBorder="1" applyAlignment="1">
      <alignment horizontal="center" wrapText="1"/>
    </xf>
    <xf numFmtId="0" fontId="38" fillId="0" borderId="212" xfId="0" applyFont="1" applyBorder="1" applyAlignment="1">
      <alignment horizontal="left" vertical="center" wrapText="1"/>
    </xf>
    <xf numFmtId="0" fontId="7" fillId="0" borderId="213" xfId="0" applyFont="1" applyBorder="1" applyAlignment="1">
      <alignment horizontal="left" vertical="center" wrapText="1"/>
    </xf>
    <xf numFmtId="0" fontId="29" fillId="4" borderId="214" xfId="0" applyFont="1" applyFill="1" applyBorder="1" applyAlignment="1">
      <alignment horizontal="center" vertical="center"/>
    </xf>
    <xf numFmtId="0" fontId="38" fillId="12" borderId="214" xfId="0" applyFont="1" applyFill="1" applyBorder="1" applyAlignment="1">
      <alignment wrapText="1"/>
    </xf>
    <xf numFmtId="0" fontId="38" fillId="12" borderId="215" xfId="0" applyFont="1" applyFill="1" applyBorder="1" applyAlignment="1"/>
    <xf numFmtId="0" fontId="38" fillId="0" borderId="216" xfId="0" applyFont="1" applyBorder="1" applyAlignment="1">
      <alignment horizontal="left" vertical="center" wrapText="1"/>
    </xf>
    <xf numFmtId="0" fontId="38" fillId="12" borderId="217" xfId="0" applyFont="1" applyFill="1" applyBorder="1" applyAlignment="1"/>
    <xf numFmtId="0" fontId="38" fillId="0" borderId="218" xfId="0" applyFont="1" applyBorder="1" applyAlignment="1">
      <alignment horizontal="left" vertical="center" wrapText="1"/>
    </xf>
    <xf numFmtId="0" fontId="38" fillId="12" borderId="219" xfId="0" applyFont="1" applyFill="1" applyBorder="1" applyAlignment="1"/>
    <xf numFmtId="0" fontId="38" fillId="0" borderId="220" xfId="0" applyFont="1" applyBorder="1" applyAlignment="1">
      <alignment horizontal="left" vertical="center" wrapText="1"/>
    </xf>
    <xf numFmtId="0" fontId="38" fillId="12" borderId="221" xfId="0" applyFont="1" applyFill="1" applyBorder="1" applyAlignment="1"/>
    <xf numFmtId="0" fontId="38" fillId="0" borderId="222" xfId="0" applyFont="1" applyBorder="1" applyAlignment="1">
      <alignment horizontal="left" vertical="center" wrapText="1"/>
    </xf>
    <xf numFmtId="0" fontId="38" fillId="12" borderId="219" xfId="0" applyFont="1" applyFill="1" applyBorder="1" applyAlignment="1">
      <alignment vertical="center"/>
    </xf>
    <xf numFmtId="0" fontId="38" fillId="12" borderId="223" xfId="0" applyFont="1" applyFill="1" applyBorder="1" applyAlignment="1"/>
    <xf numFmtId="0" fontId="16" fillId="0" borderId="224" xfId="0" applyFont="1" applyBorder="1" applyAlignment="1">
      <alignment horizontal="left" vertical="top" wrapText="1"/>
    </xf>
    <xf numFmtId="0" fontId="16" fillId="0" borderId="225" xfId="0" applyFont="1" applyBorder="1" applyAlignment="1">
      <alignment horizontal="left" vertical="top" wrapText="1"/>
    </xf>
    <xf numFmtId="0" fontId="29" fillId="6" borderId="226" xfId="0" applyFont="1" applyFill="1" applyBorder="1" applyAlignment="1">
      <alignment horizontal="left" vertical="center" wrapText="1"/>
    </xf>
    <xf numFmtId="0" fontId="38" fillId="5" borderId="227" xfId="0" applyFont="1" applyFill="1" applyBorder="1" applyAlignment="1"/>
    <xf numFmtId="0" fontId="29" fillId="6" borderId="228" xfId="0" applyFont="1" applyFill="1" applyBorder="1" applyAlignment="1">
      <alignment horizontal="left" vertical="center" wrapText="1"/>
    </xf>
    <xf numFmtId="0" fontId="38" fillId="5" borderId="217" xfId="0" applyFont="1" applyFill="1" applyBorder="1" applyAlignment="1"/>
    <xf numFmtId="0" fontId="42" fillId="3" borderId="228" xfId="0" applyFont="1" applyFill="1" applyBorder="1" applyAlignment="1">
      <alignment horizontal="left" vertical="center"/>
    </xf>
    <xf numFmtId="0" fontId="42" fillId="3" borderId="217" xfId="0" applyFont="1" applyFill="1" applyBorder="1" applyAlignment="1">
      <alignment horizontal="left" vertical="center"/>
    </xf>
    <xf numFmtId="0" fontId="7" fillId="0" borderId="229" xfId="0" applyFont="1" applyBorder="1" applyAlignment="1">
      <alignment horizontal="left" vertical="center" wrapText="1"/>
    </xf>
    <xf numFmtId="0" fontId="42" fillId="0" borderId="217" xfId="0" applyFont="1" applyFill="1" applyBorder="1" applyAlignment="1">
      <alignment horizontal="left" vertical="center"/>
    </xf>
    <xf numFmtId="0" fontId="7" fillId="0" borderId="230" xfId="0" applyFont="1" applyBorder="1" applyAlignment="1">
      <alignment horizontal="left" vertical="center" wrapText="1"/>
    </xf>
    <xf numFmtId="0" fontId="7" fillId="0" borderId="231" xfId="0" applyFont="1" applyBorder="1" applyAlignment="1">
      <alignment horizontal="left" vertical="center" wrapText="1"/>
    </xf>
    <xf numFmtId="0" fontId="7" fillId="0" borderId="229" xfId="0" applyFont="1" applyBorder="1" applyAlignment="1">
      <alignment horizontal="left" vertical="top" wrapText="1"/>
    </xf>
    <xf numFmtId="0" fontId="7" fillId="0" borderId="230" xfId="0" applyFont="1" applyBorder="1" applyAlignment="1">
      <alignment horizontal="left" vertical="top" wrapText="1"/>
    </xf>
    <xf numFmtId="0" fontId="7" fillId="0" borderId="231" xfId="0" applyFont="1" applyBorder="1" applyAlignment="1">
      <alignment horizontal="left" vertical="top" wrapText="1"/>
    </xf>
    <xf numFmtId="0" fontId="38" fillId="0" borderId="228" xfId="0" applyFont="1" applyBorder="1" applyAlignment="1">
      <alignment horizontal="left" vertical="center" wrapText="1"/>
    </xf>
    <xf numFmtId="0" fontId="38" fillId="0" borderId="229" xfId="0" applyFont="1" applyBorder="1" applyAlignment="1">
      <alignment horizontal="left" vertical="center" wrapText="1"/>
    </xf>
    <xf numFmtId="0" fontId="38" fillId="0" borderId="231" xfId="0" applyFont="1" applyBorder="1" applyAlignment="1">
      <alignment horizontal="left" vertical="center" wrapText="1"/>
    </xf>
    <xf numFmtId="0" fontId="38" fillId="5" borderId="228" xfId="0" applyFont="1" applyFill="1" applyBorder="1" applyAlignment="1">
      <alignment horizontal="left" vertical="center" wrapText="1"/>
    </xf>
    <xf numFmtId="0" fontId="38" fillId="5" borderId="228" xfId="0" applyFont="1" applyFill="1" applyBorder="1" applyAlignment="1">
      <alignment horizontal="left" vertical="center" wrapText="1"/>
    </xf>
    <xf numFmtId="0" fontId="7" fillId="5" borderId="231" xfId="0" applyFont="1" applyFill="1" applyBorder="1" applyAlignment="1">
      <alignment horizontal="left" vertical="top" wrapText="1"/>
    </xf>
    <xf numFmtId="0" fontId="7" fillId="0" borderId="224" xfId="0" applyFont="1" applyBorder="1" applyAlignment="1">
      <alignment horizontal="left" vertical="top" wrapText="1"/>
    </xf>
    <xf numFmtId="0" fontId="7" fillId="0" borderId="232" xfId="0" applyFont="1" applyBorder="1" applyAlignment="1">
      <alignment horizontal="left" vertical="top" wrapText="1"/>
    </xf>
    <xf numFmtId="0" fontId="7" fillId="0" borderId="233" xfId="0" applyFont="1" applyBorder="1" applyAlignment="1">
      <alignment horizontal="left" vertical="top" wrapText="1"/>
    </xf>
    <xf numFmtId="0" fontId="7" fillId="0" borderId="234" xfId="0" applyFont="1" applyBorder="1" applyAlignment="1">
      <alignment horizontal="left" vertical="top" wrapText="1"/>
    </xf>
    <xf numFmtId="0" fontId="38" fillId="0" borderId="226" xfId="0" applyFont="1" applyBorder="1" applyAlignment="1">
      <alignment horizontal="left" vertical="center" wrapText="1"/>
    </xf>
    <xf numFmtId="0" fontId="38" fillId="0" borderId="228" xfId="0" applyFont="1" applyBorder="1" applyAlignment="1">
      <alignment horizontal="center" vertical="center" wrapText="1"/>
    </xf>
    <xf numFmtId="49" fontId="29" fillId="6" borderId="217" xfId="0" applyNumberFormat="1" applyFont="1" applyFill="1" applyBorder="1" applyAlignment="1">
      <alignment horizontal="center" vertical="center"/>
    </xf>
    <xf numFmtId="0" fontId="38" fillId="12" borderId="217" xfId="0" applyFont="1" applyFill="1" applyBorder="1"/>
    <xf numFmtId="0" fontId="29" fillId="12" borderId="217" xfId="0" applyFont="1" applyFill="1" applyBorder="1" applyAlignment="1"/>
    <xf numFmtId="0" fontId="29" fillId="5" borderId="228" xfId="0" applyFont="1" applyFill="1" applyBorder="1" applyAlignment="1">
      <alignment horizontal="left" vertical="center" wrapText="1"/>
    </xf>
    <xf numFmtId="0" fontId="29" fillId="0" borderId="228" xfId="0" applyFont="1" applyBorder="1" applyAlignment="1">
      <alignment horizontal="left" vertical="center" wrapText="1"/>
    </xf>
    <xf numFmtId="0" fontId="29" fillId="0" borderId="228" xfId="0" applyFont="1" applyFill="1" applyBorder="1" applyAlignment="1">
      <alignment horizontal="left" vertical="center" wrapText="1"/>
    </xf>
    <xf numFmtId="0" fontId="38" fillId="13" borderId="217" xfId="0" applyFont="1" applyFill="1" applyBorder="1" applyAlignment="1"/>
    <xf numFmtId="0" fontId="38" fillId="0" borderId="228" xfId="0" applyFont="1" applyBorder="1" applyAlignment="1">
      <alignment horizontal="left" vertical="center" wrapText="1"/>
    </xf>
    <xf numFmtId="0" fontId="38" fillId="0" borderId="229" xfId="0" applyFont="1" applyBorder="1" applyAlignment="1">
      <alignment vertical="top" wrapText="1"/>
    </xf>
    <xf numFmtId="0" fontId="29" fillId="0" borderId="228" xfId="0" applyFont="1" applyBorder="1" applyAlignment="1">
      <alignment horizontal="center" vertical="center" wrapText="1"/>
    </xf>
    <xf numFmtId="0" fontId="38" fillId="5" borderId="217" xfId="0" applyFont="1" applyFill="1" applyBorder="1" applyAlignment="1">
      <alignment horizontal="left" vertical="center"/>
    </xf>
    <xf numFmtId="0" fontId="38" fillId="0" borderId="217" xfId="0" applyFont="1" applyBorder="1" applyAlignment="1" applyProtection="1">
      <alignment horizontal="center" vertical="center"/>
    </xf>
    <xf numFmtId="0" fontId="42" fillId="3" borderId="235" xfId="0" applyFont="1" applyFill="1" applyBorder="1" applyAlignment="1">
      <alignment horizontal="left" vertical="center"/>
    </xf>
    <xf numFmtId="0" fontId="42" fillId="3" borderId="236" xfId="0" applyFont="1" applyFill="1" applyBorder="1" applyAlignment="1">
      <alignment horizontal="left" vertical="center"/>
    </xf>
    <xf numFmtId="0" fontId="42" fillId="5" borderId="228" xfId="0" applyFont="1" applyFill="1" applyBorder="1" applyAlignment="1">
      <alignment horizontal="left" vertical="center" wrapText="1"/>
    </xf>
    <xf numFmtId="0" fontId="42" fillId="3" borderId="237" xfId="0" applyFont="1" applyFill="1" applyBorder="1" applyAlignment="1">
      <alignment vertical="center"/>
    </xf>
    <xf numFmtId="0" fontId="42" fillId="3" borderId="238" xfId="0" applyFont="1" applyFill="1" applyBorder="1" applyAlignment="1">
      <alignment vertical="center"/>
    </xf>
    <xf numFmtId="0" fontId="42" fillId="5" borderId="239" xfId="0" applyFont="1" applyFill="1" applyBorder="1" applyAlignment="1">
      <alignment horizontal="left" vertical="center" wrapText="1"/>
    </xf>
    <xf numFmtId="0" fontId="38" fillId="5" borderId="223" xfId="0" applyFont="1" applyFill="1" applyBorder="1" applyAlignment="1"/>
    <xf numFmtId="0" fontId="7" fillId="0" borderId="233" xfId="0" applyFont="1" applyBorder="1" applyAlignment="1">
      <alignment horizontal="left" vertical="center" wrapText="1"/>
    </xf>
    <xf numFmtId="0" fontId="38" fillId="5" borderId="240" xfId="0" applyFont="1" applyFill="1" applyBorder="1" applyAlignment="1">
      <alignment horizontal="left" vertical="center"/>
    </xf>
    <xf numFmtId="0" fontId="7" fillId="0" borderId="241" xfId="0" applyFont="1" applyBorder="1" applyAlignment="1">
      <alignment horizontal="left" vertical="center" wrapText="1"/>
    </xf>
    <xf numFmtId="0" fontId="7" fillId="0" borderId="234" xfId="0" applyFont="1" applyBorder="1" applyAlignment="1">
      <alignment horizontal="left" vertical="center" wrapText="1"/>
    </xf>
    <xf numFmtId="0" fontId="7" fillId="0" borderId="242" xfId="0" applyFont="1" applyBorder="1" applyAlignment="1">
      <alignment horizontal="left" vertical="center" wrapText="1"/>
    </xf>
    <xf numFmtId="0" fontId="7" fillId="2" borderId="243" xfId="0" applyFont="1" applyFill="1" applyBorder="1" applyAlignment="1">
      <alignment horizontal="left" vertical="center" wrapText="1"/>
    </xf>
    <xf numFmtId="0" fontId="7" fillId="4" borderId="244" xfId="0" applyFont="1" applyFill="1" applyBorder="1" applyAlignment="1">
      <alignment horizontal="left" vertical="center"/>
    </xf>
    <xf numFmtId="0" fontId="38" fillId="5" borderId="245" xfId="0" applyFont="1" applyFill="1" applyBorder="1" applyAlignment="1">
      <alignment vertical="top" wrapText="1"/>
    </xf>
    <xf numFmtId="0" fontId="38" fillId="5" borderId="246" xfId="0" applyFont="1" applyFill="1" applyBorder="1" applyAlignment="1">
      <alignment horizontal="left" vertical="center"/>
    </xf>
  </cellXfs>
  <cellStyles count="4">
    <cellStyle name="Hyperlink" xfId="3" builtinId="8"/>
    <cellStyle name="Neutral" xfId="2" builtinId="28"/>
    <cellStyle name="Normal" xfId="0" builtinId="0"/>
    <cellStyle name="Normal 3" xfId="1"/>
  </cellStyles>
  <dxfs count="3214">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213"/>
      <tableStyleElement type="headerRow" dxfId="32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131600</xdr:colOff>
      <xdr:row>1</xdr:row>
      <xdr:rowOff>169333</xdr:rowOff>
    </xdr:from>
    <xdr:to>
      <xdr:col>33</xdr:col>
      <xdr:colOff>10582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654209" y="169333"/>
          <a:ext cx="2280938"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16"/>
  <sheetViews>
    <sheetView showGridLines="0" showWhiteSpace="0" zoomScale="50" zoomScaleNormal="50" zoomScalePageLayoutView="30" workbookViewId="0">
      <pane xSplit="4" ySplit="2" topLeftCell="E29" activePane="bottomRight" state="frozen"/>
      <selection pane="topRight" activeCell="D1" sqref="D1"/>
      <selection pane="bottomLeft" activeCell="A3" sqref="A3"/>
      <selection pane="bottomRight" activeCell="E16" sqref="E16"/>
    </sheetView>
  </sheetViews>
  <sheetFormatPr defaultColWidth="9" defaultRowHeight="28.5" x14ac:dyDescent="0.85"/>
  <cols>
    <col min="1" max="1" width="6.3984375" style="456" customWidth="1"/>
    <col min="2" max="2" width="66.3984375" style="532" customWidth="1" collapsed="1"/>
    <col min="3" max="3" width="79.59765625" style="533" customWidth="1" collapsed="1"/>
    <col min="4" max="4" width="20.1328125" style="534" bestFit="1" customWidth="1" collapsed="1"/>
    <col min="5" max="5" width="116.1328125" style="535" customWidth="1" collapsed="1"/>
    <col min="6" max="6" width="86" style="536" customWidth="1" collapsed="1"/>
    <col min="7" max="35" width="9" style="456"/>
    <col min="36" max="16384" width="9" style="456" collapsed="1"/>
  </cols>
  <sheetData>
    <row r="1" spans="2:6" ht="79.5" customHeight="1" x14ac:dyDescent="0.85">
      <c r="B1" s="602" t="s">
        <v>110</v>
      </c>
      <c r="C1" s="603"/>
      <c r="D1" s="603"/>
      <c r="E1" s="603"/>
      <c r="F1" s="457"/>
    </row>
    <row r="2" spans="2:6" s="458" customFormat="1" x14ac:dyDescent="0.85">
      <c r="B2" s="459" t="s">
        <v>37</v>
      </c>
      <c r="C2" s="460" t="s">
        <v>38</v>
      </c>
      <c r="D2" s="461" t="s">
        <v>144</v>
      </c>
      <c r="E2" s="462" t="s">
        <v>36</v>
      </c>
      <c r="F2" s="463" t="s">
        <v>133</v>
      </c>
    </row>
    <row r="3" spans="2:6" s="458" customFormat="1" ht="7.5" customHeight="1" x14ac:dyDescent="0.85">
      <c r="B3" s="464"/>
      <c r="C3" s="465"/>
      <c r="D3" s="466"/>
      <c r="E3" s="467"/>
      <c r="F3" s="468"/>
    </row>
    <row r="4" spans="2:6" s="458" customFormat="1" ht="28.9" hidden="1" thickBot="1" x14ac:dyDescent="0.9">
      <c r="B4" s="588" t="s">
        <v>470</v>
      </c>
      <c r="C4" s="589"/>
      <c r="D4" s="589"/>
      <c r="E4" s="589"/>
      <c r="F4" s="590"/>
    </row>
    <row r="5" spans="2:6" hidden="1" x14ac:dyDescent="0.85">
      <c r="B5" s="591" t="s">
        <v>853</v>
      </c>
      <c r="C5" s="469" t="s">
        <v>713</v>
      </c>
      <c r="D5" s="470" t="s">
        <v>472</v>
      </c>
      <c r="E5" s="471" t="s">
        <v>714</v>
      </c>
      <c r="F5" s="472" t="s">
        <v>973</v>
      </c>
    </row>
    <row r="6" spans="2:6" ht="57" hidden="1" x14ac:dyDescent="0.85">
      <c r="B6" s="592"/>
      <c r="C6" s="473" t="s">
        <v>716</v>
      </c>
      <c r="D6" s="474" t="s">
        <v>473</v>
      </c>
      <c r="E6" s="475" t="s">
        <v>717</v>
      </c>
      <c r="F6" s="476" t="s">
        <v>718</v>
      </c>
    </row>
    <row r="7" spans="2:6" ht="57.4" hidden="1" thickBot="1" x14ac:dyDescent="0.9">
      <c r="B7" s="593"/>
      <c r="C7" s="477" t="s">
        <v>719</v>
      </c>
      <c r="D7" s="478" t="s">
        <v>474</v>
      </c>
      <c r="E7" s="479" t="s">
        <v>720</v>
      </c>
      <c r="F7" s="480" t="s">
        <v>718</v>
      </c>
    </row>
    <row r="8" spans="2:6" s="481" customFormat="1" hidden="1" x14ac:dyDescent="0.85">
      <c r="B8" s="591" t="s">
        <v>854</v>
      </c>
      <c r="C8" s="482" t="s">
        <v>863</v>
      </c>
      <c r="D8" s="483" t="s">
        <v>856</v>
      </c>
      <c r="E8" s="484" t="s">
        <v>714</v>
      </c>
      <c r="F8" s="485" t="s">
        <v>973</v>
      </c>
    </row>
    <row r="9" spans="2:6" s="481" customFormat="1" ht="57" hidden="1" x14ac:dyDescent="0.85">
      <c r="B9" s="592"/>
      <c r="C9" s="473" t="s">
        <v>649</v>
      </c>
      <c r="D9" s="474" t="s">
        <v>857</v>
      </c>
      <c r="E9" s="486" t="s">
        <v>717</v>
      </c>
      <c r="F9" s="487" t="s">
        <v>718</v>
      </c>
    </row>
    <row r="10" spans="2:6" s="481" customFormat="1" ht="57.4" hidden="1" thickBot="1" x14ac:dyDescent="0.9">
      <c r="B10" s="593"/>
      <c r="C10" s="477" t="s">
        <v>471</v>
      </c>
      <c r="D10" s="478" t="s">
        <v>858</v>
      </c>
      <c r="E10" s="488" t="s">
        <v>720</v>
      </c>
      <c r="F10" s="489" t="s">
        <v>718</v>
      </c>
    </row>
    <row r="11" spans="2:6" s="481" customFormat="1" hidden="1" x14ac:dyDescent="0.85">
      <c r="B11" s="595" t="s">
        <v>855</v>
      </c>
      <c r="C11" s="490" t="s">
        <v>864</v>
      </c>
      <c r="D11" s="483" t="s">
        <v>860</v>
      </c>
      <c r="E11" s="484" t="s">
        <v>714</v>
      </c>
      <c r="F11" s="485" t="s">
        <v>715</v>
      </c>
    </row>
    <row r="12" spans="2:6" s="481" customFormat="1" ht="57" hidden="1" x14ac:dyDescent="0.85">
      <c r="B12" s="596"/>
      <c r="C12" s="580" t="s">
        <v>649</v>
      </c>
      <c r="D12" s="474" t="s">
        <v>861</v>
      </c>
      <c r="E12" s="486" t="s">
        <v>717</v>
      </c>
      <c r="F12" s="487" t="s">
        <v>718</v>
      </c>
    </row>
    <row r="13" spans="2:6" s="481" customFormat="1" ht="57.4" hidden="1" thickBot="1" x14ac:dyDescent="0.9">
      <c r="B13" s="597"/>
      <c r="C13" s="491" t="s">
        <v>471</v>
      </c>
      <c r="D13" s="478" t="s">
        <v>862</v>
      </c>
      <c r="E13" s="488" t="s">
        <v>720</v>
      </c>
      <c r="F13" s="489" t="s">
        <v>718</v>
      </c>
    </row>
    <row r="14" spans="2:6" ht="28.9" thickBot="1" x14ac:dyDescent="0.9">
      <c r="B14" s="594" t="s">
        <v>12</v>
      </c>
      <c r="C14" s="594"/>
      <c r="D14" s="594"/>
      <c r="E14" s="594"/>
      <c r="F14" s="594"/>
    </row>
    <row r="15" spans="2:6" ht="114" x14ac:dyDescent="0.85">
      <c r="B15" s="955" t="s">
        <v>121</v>
      </c>
      <c r="C15" s="956" t="s">
        <v>1030</v>
      </c>
      <c r="D15" s="957" t="s">
        <v>143</v>
      </c>
      <c r="E15" s="958" t="s">
        <v>92</v>
      </c>
      <c r="F15" s="959" t="s">
        <v>630</v>
      </c>
    </row>
    <row r="16" spans="2:6" ht="114" x14ac:dyDescent="0.85">
      <c r="B16" s="960"/>
      <c r="C16" s="78" t="s">
        <v>1031</v>
      </c>
      <c r="D16" s="474" t="s">
        <v>145</v>
      </c>
      <c r="E16" s="494" t="s">
        <v>93</v>
      </c>
      <c r="F16" s="961" t="s">
        <v>631</v>
      </c>
    </row>
    <row r="17" spans="2:6" ht="114" x14ac:dyDescent="0.85">
      <c r="B17" s="960"/>
      <c r="C17" s="493" t="s">
        <v>146</v>
      </c>
      <c r="D17" s="474" t="s">
        <v>347</v>
      </c>
      <c r="E17" s="494" t="s">
        <v>623</v>
      </c>
      <c r="F17" s="961" t="s">
        <v>632</v>
      </c>
    </row>
    <row r="18" spans="2:6" x14ac:dyDescent="0.85">
      <c r="B18" s="960"/>
      <c r="C18" s="493" t="s">
        <v>1074</v>
      </c>
      <c r="D18" s="474" t="s">
        <v>1073</v>
      </c>
      <c r="E18" s="494"/>
      <c r="F18" s="961"/>
    </row>
    <row r="19" spans="2:6" ht="57" x14ac:dyDescent="0.85">
      <c r="B19" s="960"/>
      <c r="C19" s="473" t="s">
        <v>147</v>
      </c>
      <c r="D19" s="474" t="s">
        <v>148</v>
      </c>
      <c r="E19" s="494" t="s">
        <v>43</v>
      </c>
      <c r="F19" s="961" t="s">
        <v>633</v>
      </c>
    </row>
    <row r="20" spans="2:6" ht="57" x14ac:dyDescent="0.85">
      <c r="B20" s="960"/>
      <c r="C20" s="473" t="s">
        <v>160</v>
      </c>
      <c r="D20" s="474" t="s">
        <v>149</v>
      </c>
      <c r="E20" s="494" t="s">
        <v>150</v>
      </c>
      <c r="F20" s="961" t="s">
        <v>634</v>
      </c>
    </row>
    <row r="21" spans="2:6" ht="57" x14ac:dyDescent="0.85">
      <c r="B21" s="960"/>
      <c r="C21" s="495" t="s">
        <v>152</v>
      </c>
      <c r="D21" s="496" t="s">
        <v>151</v>
      </c>
      <c r="E21" s="494" t="s">
        <v>39</v>
      </c>
      <c r="F21" s="961" t="s">
        <v>326</v>
      </c>
    </row>
    <row r="22" spans="2:6" ht="57" x14ac:dyDescent="0.85">
      <c r="B22" s="960"/>
      <c r="C22" s="473" t="s">
        <v>153</v>
      </c>
      <c r="D22" s="474" t="s">
        <v>154</v>
      </c>
      <c r="E22" s="494" t="s">
        <v>40</v>
      </c>
      <c r="F22" s="961" t="s">
        <v>635</v>
      </c>
    </row>
    <row r="23" spans="2:6" ht="57" x14ac:dyDescent="0.85">
      <c r="B23" s="960"/>
      <c r="C23" s="473" t="s">
        <v>640</v>
      </c>
      <c r="D23" s="474" t="s">
        <v>155</v>
      </c>
      <c r="E23" s="494" t="s">
        <v>41</v>
      </c>
      <c r="F23" s="961" t="s">
        <v>636</v>
      </c>
    </row>
    <row r="24" spans="2:6" ht="57.4" thickBot="1" x14ac:dyDescent="0.9">
      <c r="B24" s="962"/>
      <c r="C24" s="477" t="s">
        <v>156</v>
      </c>
      <c r="D24" s="478" t="s">
        <v>157</v>
      </c>
      <c r="E24" s="497" t="s">
        <v>42</v>
      </c>
      <c r="F24" s="963" t="s">
        <v>158</v>
      </c>
    </row>
    <row r="25" spans="2:6" ht="85.5" x14ac:dyDescent="0.85">
      <c r="B25" s="964" t="s">
        <v>13</v>
      </c>
      <c r="C25" s="490" t="s">
        <v>160</v>
      </c>
      <c r="D25" s="483" t="s">
        <v>159</v>
      </c>
      <c r="E25" s="492" t="s">
        <v>94</v>
      </c>
      <c r="F25" s="965" t="s">
        <v>637</v>
      </c>
    </row>
    <row r="26" spans="2:6" ht="85.9" thickBot="1" x14ac:dyDescent="0.9">
      <c r="B26" s="966"/>
      <c r="C26" s="498" t="s">
        <v>152</v>
      </c>
      <c r="D26" s="478" t="s">
        <v>161</v>
      </c>
      <c r="E26" s="497" t="s">
        <v>102</v>
      </c>
      <c r="F26" s="963" t="s">
        <v>637</v>
      </c>
    </row>
    <row r="27" spans="2:6" ht="57" x14ac:dyDescent="0.85">
      <c r="B27" s="964" t="s">
        <v>14</v>
      </c>
      <c r="C27" s="490" t="s">
        <v>1078</v>
      </c>
      <c r="D27" s="483" t="s">
        <v>162</v>
      </c>
      <c r="E27" s="492" t="s">
        <v>95</v>
      </c>
      <c r="F27" s="965" t="s">
        <v>637</v>
      </c>
    </row>
    <row r="28" spans="2:6" ht="57.4" thickBot="1" x14ac:dyDescent="0.9">
      <c r="B28" s="966"/>
      <c r="C28" s="498" t="s">
        <v>462</v>
      </c>
      <c r="D28" s="478" t="s">
        <v>163</v>
      </c>
      <c r="E28" s="497" t="s">
        <v>103</v>
      </c>
      <c r="F28" s="963" t="s">
        <v>637</v>
      </c>
    </row>
    <row r="29" spans="2:6" ht="57" x14ac:dyDescent="0.85">
      <c r="B29" s="964" t="s">
        <v>15</v>
      </c>
      <c r="C29" s="490" t="s">
        <v>1078</v>
      </c>
      <c r="D29" s="483" t="s">
        <v>164</v>
      </c>
      <c r="E29" s="492" t="s">
        <v>96</v>
      </c>
      <c r="F29" s="965" t="s">
        <v>637</v>
      </c>
    </row>
    <row r="30" spans="2:6" ht="85.9" thickBot="1" x14ac:dyDescent="0.9">
      <c r="B30" s="966"/>
      <c r="C30" s="498" t="s">
        <v>462</v>
      </c>
      <c r="D30" s="478" t="s">
        <v>165</v>
      </c>
      <c r="E30" s="497" t="s">
        <v>104</v>
      </c>
      <c r="F30" s="963" t="s">
        <v>637</v>
      </c>
    </row>
    <row r="31" spans="2:6" ht="57" x14ac:dyDescent="0.85">
      <c r="B31" s="964" t="s">
        <v>442</v>
      </c>
      <c r="C31" s="490" t="s">
        <v>1079</v>
      </c>
      <c r="D31" s="483" t="s">
        <v>166</v>
      </c>
      <c r="E31" s="492" t="s">
        <v>97</v>
      </c>
      <c r="F31" s="965" t="s">
        <v>637</v>
      </c>
    </row>
    <row r="32" spans="2:6" ht="57.4" thickBot="1" x14ac:dyDescent="0.9">
      <c r="B32" s="966"/>
      <c r="C32" s="498" t="s">
        <v>462</v>
      </c>
      <c r="D32" s="478" t="s">
        <v>167</v>
      </c>
      <c r="E32" s="497" t="s">
        <v>105</v>
      </c>
      <c r="F32" s="963" t="s">
        <v>637</v>
      </c>
    </row>
    <row r="33" spans="2:6" ht="57" x14ac:dyDescent="0.85">
      <c r="B33" s="964" t="s">
        <v>16</v>
      </c>
      <c r="C33" s="490" t="s">
        <v>1079</v>
      </c>
      <c r="D33" s="483" t="s">
        <v>168</v>
      </c>
      <c r="E33" s="492" t="s">
        <v>98</v>
      </c>
      <c r="F33" s="965" t="s">
        <v>637</v>
      </c>
    </row>
    <row r="34" spans="2:6" ht="57.4" thickBot="1" x14ac:dyDescent="0.9">
      <c r="B34" s="966"/>
      <c r="C34" s="498" t="s">
        <v>462</v>
      </c>
      <c r="D34" s="478" t="s">
        <v>169</v>
      </c>
      <c r="E34" s="497" t="s">
        <v>106</v>
      </c>
      <c r="F34" s="963" t="s">
        <v>637</v>
      </c>
    </row>
    <row r="35" spans="2:6" ht="57" x14ac:dyDescent="0.85">
      <c r="B35" s="964" t="s">
        <v>17</v>
      </c>
      <c r="C35" s="490" t="s">
        <v>1079</v>
      </c>
      <c r="D35" s="483" t="s">
        <v>348</v>
      </c>
      <c r="E35" s="492" t="s">
        <v>99</v>
      </c>
      <c r="F35" s="965" t="s">
        <v>637</v>
      </c>
    </row>
    <row r="36" spans="2:6" s="499" customFormat="1" ht="57.4" thickBot="1" x14ac:dyDescent="0.5">
      <c r="B36" s="966"/>
      <c r="C36" s="498" t="s">
        <v>462</v>
      </c>
      <c r="D36" s="478" t="s">
        <v>170</v>
      </c>
      <c r="E36" s="500" t="s">
        <v>107</v>
      </c>
      <c r="F36" s="967" t="s">
        <v>637</v>
      </c>
    </row>
    <row r="37" spans="2:6" ht="85.5" x14ac:dyDescent="0.85">
      <c r="B37" s="964" t="s">
        <v>22</v>
      </c>
      <c r="C37" s="490" t="s">
        <v>1079</v>
      </c>
      <c r="D37" s="483" t="s">
        <v>171</v>
      </c>
      <c r="E37" s="492" t="s">
        <v>100</v>
      </c>
      <c r="F37" s="965" t="s">
        <v>637</v>
      </c>
    </row>
    <row r="38" spans="2:6" ht="114.4" thickBot="1" x14ac:dyDescent="0.9">
      <c r="B38" s="966"/>
      <c r="C38" s="498" t="s">
        <v>462</v>
      </c>
      <c r="D38" s="478" t="s">
        <v>172</v>
      </c>
      <c r="E38" s="497" t="s">
        <v>108</v>
      </c>
      <c r="F38" s="963" t="s">
        <v>637</v>
      </c>
    </row>
    <row r="39" spans="2:6" ht="57" x14ac:dyDescent="0.85">
      <c r="B39" s="964" t="s">
        <v>18</v>
      </c>
      <c r="C39" s="490" t="s">
        <v>1079</v>
      </c>
      <c r="D39" s="483" t="s">
        <v>173</v>
      </c>
      <c r="E39" s="492" t="s">
        <v>101</v>
      </c>
      <c r="F39" s="965" t="s">
        <v>637</v>
      </c>
    </row>
    <row r="40" spans="2:6" ht="85.9" thickBot="1" x14ac:dyDescent="0.9">
      <c r="B40" s="966"/>
      <c r="C40" s="498" t="s">
        <v>462</v>
      </c>
      <c r="D40" s="478" t="s">
        <v>174</v>
      </c>
      <c r="E40" s="497" t="s">
        <v>109</v>
      </c>
      <c r="F40" s="963" t="s">
        <v>637</v>
      </c>
    </row>
    <row r="41" spans="2:6" ht="57" x14ac:dyDescent="0.85">
      <c r="B41" s="964" t="s">
        <v>113</v>
      </c>
      <c r="C41" s="490" t="s">
        <v>1079</v>
      </c>
      <c r="D41" s="483" t="s">
        <v>349</v>
      </c>
      <c r="E41" s="492" t="s">
        <v>135</v>
      </c>
      <c r="F41" s="965" t="s">
        <v>637</v>
      </c>
    </row>
    <row r="42" spans="2:6" ht="57.4" thickBot="1" x14ac:dyDescent="0.9">
      <c r="B42" s="966"/>
      <c r="C42" s="498" t="s">
        <v>462</v>
      </c>
      <c r="D42" s="478" t="s">
        <v>175</v>
      </c>
      <c r="E42" s="537" t="s">
        <v>624</v>
      </c>
      <c r="F42" s="968" t="s">
        <v>637</v>
      </c>
    </row>
    <row r="43" spans="2:6" x14ac:dyDescent="0.85">
      <c r="B43" s="969" t="s">
        <v>1070</v>
      </c>
      <c r="C43" s="94" t="s">
        <v>160</v>
      </c>
      <c r="D43" s="947" t="s">
        <v>1071</v>
      </c>
      <c r="E43" s="494"/>
      <c r="F43" s="961"/>
    </row>
    <row r="44" spans="2:6" ht="28.9" thickBot="1" x14ac:dyDescent="0.9">
      <c r="B44" s="970"/>
      <c r="C44" s="98" t="s">
        <v>152</v>
      </c>
      <c r="D44" s="947" t="s">
        <v>1072</v>
      </c>
      <c r="E44" s="494"/>
      <c r="F44" s="961"/>
    </row>
    <row r="45" spans="2:6" ht="57" x14ac:dyDescent="0.85">
      <c r="B45" s="971" t="s">
        <v>131</v>
      </c>
      <c r="C45" s="452" t="s">
        <v>642</v>
      </c>
      <c r="D45" s="470" t="s">
        <v>350</v>
      </c>
      <c r="E45" s="471" t="s">
        <v>951</v>
      </c>
      <c r="F45" s="972"/>
    </row>
    <row r="46" spans="2:6" ht="57" x14ac:dyDescent="0.85">
      <c r="B46" s="973"/>
      <c r="C46" s="453" t="s">
        <v>651</v>
      </c>
      <c r="D46" s="474" t="s">
        <v>351</v>
      </c>
      <c r="E46" s="475" t="s">
        <v>952</v>
      </c>
      <c r="F46" s="974"/>
    </row>
    <row r="47" spans="2:6" ht="28.9" thickBot="1" x14ac:dyDescent="0.9">
      <c r="B47" s="975" t="s">
        <v>1037</v>
      </c>
      <c r="C47" s="600"/>
      <c r="D47" s="600"/>
      <c r="E47" s="600"/>
      <c r="F47" s="976"/>
    </row>
    <row r="48" spans="2:6" x14ac:dyDescent="0.85">
      <c r="B48" s="977" t="s">
        <v>1050</v>
      </c>
      <c r="C48" s="1" t="s">
        <v>1213</v>
      </c>
      <c r="D48" s="948" t="s">
        <v>1038</v>
      </c>
      <c r="E48" s="538"/>
      <c r="F48" s="978"/>
    </row>
    <row r="49" spans="2:6" ht="28.9" thickBot="1" x14ac:dyDescent="0.9">
      <c r="B49" s="979"/>
      <c r="C49" s="394" t="s">
        <v>1214</v>
      </c>
      <c r="D49" s="949" t="s">
        <v>1039</v>
      </c>
      <c r="E49" s="538"/>
      <c r="F49" s="978"/>
    </row>
    <row r="50" spans="2:6" x14ac:dyDescent="0.85">
      <c r="B50" s="979"/>
      <c r="C50" s="1" t="s">
        <v>1215</v>
      </c>
      <c r="D50" s="948" t="s">
        <v>1217</v>
      </c>
      <c r="E50" s="538"/>
      <c r="F50" s="978"/>
    </row>
    <row r="51" spans="2:6" ht="28.9" thickBot="1" x14ac:dyDescent="0.9">
      <c r="B51" s="980"/>
      <c r="C51" s="394" t="s">
        <v>1216</v>
      </c>
      <c r="D51" s="950" t="s">
        <v>1218</v>
      </c>
      <c r="E51" s="538"/>
      <c r="F51" s="978"/>
    </row>
    <row r="52" spans="2:6" x14ac:dyDescent="0.85">
      <c r="B52" s="981" t="s">
        <v>1051</v>
      </c>
      <c r="C52" s="1" t="s">
        <v>1213</v>
      </c>
      <c r="D52" s="948" t="s">
        <v>1040</v>
      </c>
      <c r="E52" s="538"/>
      <c r="F52" s="978"/>
    </row>
    <row r="53" spans="2:6" ht="28.9" thickBot="1" x14ac:dyDescent="0.9">
      <c r="B53" s="982"/>
      <c r="C53" s="394" t="s">
        <v>1214</v>
      </c>
      <c r="D53" s="949" t="s">
        <v>1041</v>
      </c>
      <c r="E53" s="538"/>
      <c r="F53" s="978"/>
    </row>
    <row r="54" spans="2:6" x14ac:dyDescent="0.85">
      <c r="B54" s="982"/>
      <c r="C54" s="1" t="s">
        <v>1215</v>
      </c>
      <c r="D54" s="949" t="s">
        <v>1219</v>
      </c>
      <c r="E54" s="538"/>
      <c r="F54" s="978"/>
    </row>
    <row r="55" spans="2:6" ht="28.9" thickBot="1" x14ac:dyDescent="0.9">
      <c r="B55" s="983"/>
      <c r="C55" s="394" t="s">
        <v>1216</v>
      </c>
      <c r="D55" s="951" t="s">
        <v>1220</v>
      </c>
      <c r="E55" s="538"/>
      <c r="F55" s="978"/>
    </row>
    <row r="56" spans="2:6" x14ac:dyDescent="0.85">
      <c r="B56" s="977" t="s">
        <v>1052</v>
      </c>
      <c r="C56" s="1" t="s">
        <v>1213</v>
      </c>
      <c r="D56" s="948" t="s">
        <v>1042</v>
      </c>
      <c r="E56" s="538"/>
      <c r="F56" s="978"/>
    </row>
    <row r="57" spans="2:6" ht="28.9" thickBot="1" x14ac:dyDescent="0.9">
      <c r="B57" s="979"/>
      <c r="C57" s="394" t="s">
        <v>1214</v>
      </c>
      <c r="D57" s="949" t="s">
        <v>1043</v>
      </c>
      <c r="E57" s="538"/>
      <c r="F57" s="978"/>
    </row>
    <row r="58" spans="2:6" x14ac:dyDescent="0.85">
      <c r="B58" s="979"/>
      <c r="C58" s="1" t="s">
        <v>1215</v>
      </c>
      <c r="D58" s="949" t="s">
        <v>1042</v>
      </c>
      <c r="E58" s="538"/>
      <c r="F58" s="978"/>
    </row>
    <row r="59" spans="2:6" ht="28.9" thickBot="1" x14ac:dyDescent="0.9">
      <c r="B59" s="980"/>
      <c r="C59" s="394" t="s">
        <v>1216</v>
      </c>
      <c r="D59" s="951" t="s">
        <v>1043</v>
      </c>
      <c r="E59" s="538"/>
      <c r="F59" s="978"/>
    </row>
    <row r="60" spans="2:6" x14ac:dyDescent="0.85">
      <c r="B60" s="981" t="s">
        <v>1053</v>
      </c>
      <c r="C60" s="1" t="s">
        <v>1213</v>
      </c>
      <c r="D60" s="948" t="s">
        <v>1044</v>
      </c>
      <c r="E60" s="538"/>
      <c r="F60" s="978"/>
    </row>
    <row r="61" spans="2:6" ht="28.9" thickBot="1" x14ac:dyDescent="0.9">
      <c r="B61" s="982"/>
      <c r="C61" s="394" t="s">
        <v>1214</v>
      </c>
      <c r="D61" s="949" t="s">
        <v>1045</v>
      </c>
      <c r="E61" s="538"/>
      <c r="F61" s="978"/>
    </row>
    <row r="62" spans="2:6" x14ac:dyDescent="0.85">
      <c r="B62" s="982"/>
      <c r="C62" s="1" t="s">
        <v>1215</v>
      </c>
      <c r="D62" s="949" t="s">
        <v>1221</v>
      </c>
      <c r="E62" s="538"/>
      <c r="F62" s="978"/>
    </row>
    <row r="63" spans="2:6" ht="28.9" thickBot="1" x14ac:dyDescent="0.9">
      <c r="B63" s="983"/>
      <c r="C63" s="394" t="s">
        <v>1216</v>
      </c>
      <c r="D63" s="951" t="s">
        <v>1222</v>
      </c>
      <c r="E63" s="538"/>
      <c r="F63" s="978"/>
    </row>
    <row r="64" spans="2:6" x14ac:dyDescent="0.85">
      <c r="B64" s="981" t="s">
        <v>1061</v>
      </c>
      <c r="C64" s="1" t="s">
        <v>1213</v>
      </c>
      <c r="D64" s="952" t="s">
        <v>1046</v>
      </c>
      <c r="E64" s="538"/>
      <c r="F64" s="978"/>
    </row>
    <row r="65" spans="2:6" ht="28.9" thickBot="1" x14ac:dyDescent="0.9">
      <c r="B65" s="982"/>
      <c r="C65" s="394" t="s">
        <v>1214</v>
      </c>
      <c r="D65" s="949" t="s">
        <v>1047</v>
      </c>
      <c r="E65" s="538"/>
      <c r="F65" s="978"/>
    </row>
    <row r="66" spans="2:6" x14ac:dyDescent="0.85">
      <c r="B66" s="982"/>
      <c r="C66" s="1" t="s">
        <v>1215</v>
      </c>
      <c r="D66" s="949" t="s">
        <v>1223</v>
      </c>
      <c r="E66" s="538"/>
      <c r="F66" s="978"/>
    </row>
    <row r="67" spans="2:6" ht="28.9" thickBot="1" x14ac:dyDescent="0.9">
      <c r="B67" s="983"/>
      <c r="C67" s="394" t="s">
        <v>1216</v>
      </c>
      <c r="D67" s="949" t="s">
        <v>1224</v>
      </c>
      <c r="E67" s="538"/>
      <c r="F67" s="978"/>
    </row>
    <row r="68" spans="2:6" ht="28.5" customHeight="1" x14ac:dyDescent="0.85">
      <c r="B68" s="981" t="s">
        <v>1054</v>
      </c>
      <c r="C68" s="1" t="s">
        <v>1213</v>
      </c>
      <c r="D68" s="949" t="s">
        <v>1048</v>
      </c>
      <c r="E68" s="538"/>
      <c r="F68" s="978"/>
    </row>
    <row r="69" spans="2:6" ht="28.9" thickBot="1" x14ac:dyDescent="0.9">
      <c r="B69" s="982"/>
      <c r="C69" s="394" t="s">
        <v>1214</v>
      </c>
      <c r="D69" s="949" t="s">
        <v>1049</v>
      </c>
      <c r="E69" s="538"/>
      <c r="F69" s="978"/>
    </row>
    <row r="70" spans="2:6" x14ac:dyDescent="0.85">
      <c r="B70" s="982"/>
      <c r="C70" s="1" t="s">
        <v>1215</v>
      </c>
      <c r="D70" s="949" t="s">
        <v>1225</v>
      </c>
      <c r="E70" s="538"/>
      <c r="F70" s="978"/>
    </row>
    <row r="71" spans="2:6" ht="28.9" thickBot="1" x14ac:dyDescent="0.9">
      <c r="B71" s="983"/>
      <c r="C71" s="394" t="s">
        <v>1216</v>
      </c>
      <c r="D71" s="949" t="s">
        <v>1226</v>
      </c>
      <c r="E71" s="538"/>
      <c r="F71" s="978"/>
    </row>
    <row r="72" spans="2:6" x14ac:dyDescent="0.85">
      <c r="B72" s="981" t="s">
        <v>1055</v>
      </c>
      <c r="C72" s="1" t="s">
        <v>1213</v>
      </c>
      <c r="D72" s="949" t="s">
        <v>1062</v>
      </c>
      <c r="E72" s="538"/>
      <c r="F72" s="978"/>
    </row>
    <row r="73" spans="2:6" ht="28.9" thickBot="1" x14ac:dyDescent="0.9">
      <c r="B73" s="982"/>
      <c r="C73" s="394" t="s">
        <v>1214</v>
      </c>
      <c r="D73" s="951" t="s">
        <v>1063</v>
      </c>
      <c r="E73" s="538"/>
      <c r="F73" s="978"/>
    </row>
    <row r="74" spans="2:6" ht="28.5" customHeight="1" x14ac:dyDescent="0.85">
      <c r="B74" s="982"/>
      <c r="C74" s="1" t="s">
        <v>1215</v>
      </c>
      <c r="D74" s="949" t="s">
        <v>1227</v>
      </c>
      <c r="E74" s="538"/>
      <c r="F74" s="978"/>
    </row>
    <row r="75" spans="2:6" ht="28.9" thickBot="1" x14ac:dyDescent="0.9">
      <c r="B75" s="983"/>
      <c r="C75" s="394" t="s">
        <v>1216</v>
      </c>
      <c r="D75" s="951" t="s">
        <v>1228</v>
      </c>
      <c r="E75" s="538"/>
      <c r="F75" s="978"/>
    </row>
    <row r="76" spans="2:6" ht="28.5" customHeight="1" x14ac:dyDescent="0.85">
      <c r="B76" s="981" t="s">
        <v>1056</v>
      </c>
      <c r="C76" s="1" t="s">
        <v>1213</v>
      </c>
      <c r="D76" s="949" t="s">
        <v>1064</v>
      </c>
      <c r="E76" s="538"/>
      <c r="F76" s="978"/>
    </row>
    <row r="77" spans="2:6" ht="28.9" thickBot="1" x14ac:dyDescent="0.9">
      <c r="B77" s="982"/>
      <c r="C77" s="394" t="s">
        <v>1214</v>
      </c>
      <c r="D77" s="951" t="s">
        <v>1065</v>
      </c>
      <c r="E77" s="538"/>
      <c r="F77" s="978"/>
    </row>
    <row r="78" spans="2:6" ht="28.5" customHeight="1" x14ac:dyDescent="0.85">
      <c r="B78" s="982"/>
      <c r="C78" s="1" t="s">
        <v>1215</v>
      </c>
      <c r="D78" s="949" t="s">
        <v>1229</v>
      </c>
      <c r="E78" s="538"/>
      <c r="F78" s="978"/>
    </row>
    <row r="79" spans="2:6" ht="28.9" thickBot="1" x14ac:dyDescent="0.9">
      <c r="B79" s="983"/>
      <c r="C79" s="394" t="s">
        <v>1216</v>
      </c>
      <c r="D79" s="951" t="s">
        <v>1230</v>
      </c>
      <c r="E79" s="538"/>
      <c r="F79" s="978"/>
    </row>
    <row r="80" spans="2:6" ht="28.5" customHeight="1" x14ac:dyDescent="0.85">
      <c r="B80" s="981" t="s">
        <v>1057</v>
      </c>
      <c r="C80" s="1" t="s">
        <v>1213</v>
      </c>
      <c r="D80" s="949" t="s">
        <v>1066</v>
      </c>
      <c r="E80" s="538"/>
      <c r="F80" s="978"/>
    </row>
    <row r="81" spans="2:6" ht="28.9" thickBot="1" x14ac:dyDescent="0.9">
      <c r="B81" s="982"/>
      <c r="C81" s="394" t="s">
        <v>1214</v>
      </c>
      <c r="D81" s="951" t="s">
        <v>1067</v>
      </c>
      <c r="E81" s="538"/>
      <c r="F81" s="978"/>
    </row>
    <row r="82" spans="2:6" ht="28.5" customHeight="1" x14ac:dyDescent="0.85">
      <c r="B82" s="982"/>
      <c r="C82" s="1" t="s">
        <v>1215</v>
      </c>
      <c r="D82" s="949" t="s">
        <v>1231</v>
      </c>
      <c r="E82" s="538"/>
      <c r="F82" s="978"/>
    </row>
    <row r="83" spans="2:6" ht="28.9" thickBot="1" x14ac:dyDescent="0.9">
      <c r="B83" s="983"/>
      <c r="C83" s="394" t="s">
        <v>1216</v>
      </c>
      <c r="D83" s="951" t="s">
        <v>1232</v>
      </c>
      <c r="E83" s="538"/>
      <c r="F83" s="978"/>
    </row>
    <row r="84" spans="2:6" s="527" customFormat="1" ht="28.5" customHeight="1" x14ac:dyDescent="0.85">
      <c r="B84" s="981" t="s">
        <v>1075</v>
      </c>
      <c r="C84" s="1" t="s">
        <v>1213</v>
      </c>
      <c r="D84" s="949" t="s">
        <v>1068</v>
      </c>
      <c r="E84" s="538"/>
      <c r="F84" s="978"/>
    </row>
    <row r="85" spans="2:6" s="527" customFormat="1" ht="28.9" thickBot="1" x14ac:dyDescent="0.9">
      <c r="B85" s="982"/>
      <c r="C85" s="394" t="s">
        <v>1214</v>
      </c>
      <c r="D85" s="951" t="s">
        <v>1069</v>
      </c>
      <c r="E85" s="538"/>
      <c r="F85" s="978"/>
    </row>
    <row r="86" spans="2:6" s="527" customFormat="1" ht="28.5" customHeight="1" x14ac:dyDescent="0.85">
      <c r="B86" s="982"/>
      <c r="C86" s="1" t="s">
        <v>1215</v>
      </c>
      <c r="D86" s="949" t="s">
        <v>1233</v>
      </c>
      <c r="E86" s="538"/>
      <c r="F86" s="978"/>
    </row>
    <row r="87" spans="2:6" s="527" customFormat="1" ht="28.9" thickBot="1" x14ac:dyDescent="0.9">
      <c r="B87" s="983"/>
      <c r="C87" s="394" t="s">
        <v>1216</v>
      </c>
      <c r="D87" s="951" t="s">
        <v>1234</v>
      </c>
      <c r="E87" s="538"/>
      <c r="F87" s="978"/>
    </row>
    <row r="88" spans="2:6" x14ac:dyDescent="0.85">
      <c r="B88" s="975" t="s">
        <v>112</v>
      </c>
      <c r="C88" s="600"/>
      <c r="D88" s="600"/>
      <c r="E88" s="600"/>
      <c r="F88" s="976"/>
    </row>
    <row r="89" spans="2:6" ht="85.5" x14ac:dyDescent="0.85">
      <c r="B89" s="984" t="s">
        <v>20</v>
      </c>
      <c r="C89" s="580" t="s">
        <v>1080</v>
      </c>
      <c r="D89" s="474" t="s">
        <v>176</v>
      </c>
      <c r="E89" s="494" t="s">
        <v>44</v>
      </c>
      <c r="F89" s="961" t="s">
        <v>182</v>
      </c>
    </row>
    <row r="90" spans="2:6" ht="57" x14ac:dyDescent="0.85">
      <c r="B90" s="984"/>
      <c r="C90" s="580" t="s">
        <v>177</v>
      </c>
      <c r="D90" s="474" t="s">
        <v>178</v>
      </c>
      <c r="E90" s="494" t="s">
        <v>122</v>
      </c>
      <c r="F90" s="961"/>
    </row>
    <row r="91" spans="2:6" ht="57" x14ac:dyDescent="0.85">
      <c r="B91" s="984"/>
      <c r="C91" s="580" t="s">
        <v>328</v>
      </c>
      <c r="D91" s="474" t="s">
        <v>179</v>
      </c>
      <c r="E91" s="494" t="s">
        <v>45</v>
      </c>
      <c r="F91" s="961"/>
    </row>
    <row r="92" spans="2:6" ht="57" x14ac:dyDescent="0.85">
      <c r="B92" s="984"/>
      <c r="C92" s="502" t="s">
        <v>1081</v>
      </c>
      <c r="D92" s="474" t="s">
        <v>180</v>
      </c>
      <c r="E92" s="494" t="s">
        <v>46</v>
      </c>
      <c r="F92" s="961"/>
    </row>
    <row r="93" spans="2:6" ht="85.9" thickBot="1" x14ac:dyDescent="0.9">
      <c r="B93" s="984"/>
      <c r="C93" s="502" t="s">
        <v>329</v>
      </c>
      <c r="D93" s="474" t="s">
        <v>181</v>
      </c>
      <c r="E93" s="494" t="s">
        <v>47</v>
      </c>
      <c r="F93" s="961"/>
    </row>
    <row r="94" spans="2:6" ht="57" x14ac:dyDescent="0.85">
      <c r="B94" s="985" t="s">
        <v>986</v>
      </c>
      <c r="C94" s="454" t="s">
        <v>160</v>
      </c>
      <c r="D94" s="474" t="s">
        <v>989</v>
      </c>
      <c r="E94" s="494" t="s">
        <v>995</v>
      </c>
      <c r="F94" s="961" t="s">
        <v>996</v>
      </c>
    </row>
    <row r="95" spans="2:6" ht="57.4" thickBot="1" x14ac:dyDescent="0.9">
      <c r="B95" s="986"/>
      <c r="C95" s="455" t="s">
        <v>152</v>
      </c>
      <c r="D95" s="474" t="s">
        <v>990</v>
      </c>
      <c r="E95" s="494" t="s">
        <v>997</v>
      </c>
      <c r="F95" s="961" t="s">
        <v>996</v>
      </c>
    </row>
    <row r="96" spans="2:6" x14ac:dyDescent="0.85">
      <c r="B96" s="975" t="s">
        <v>124</v>
      </c>
      <c r="C96" s="600"/>
      <c r="D96" s="600"/>
      <c r="E96" s="600"/>
      <c r="F96" s="976"/>
    </row>
    <row r="97" spans="2:6" ht="85.5" x14ac:dyDescent="0.85">
      <c r="B97" s="987" t="s">
        <v>589</v>
      </c>
      <c r="C97" s="580" t="s">
        <v>1082</v>
      </c>
      <c r="D97" s="474" t="s">
        <v>186</v>
      </c>
      <c r="E97" s="494" t="s">
        <v>49</v>
      </c>
      <c r="F97" s="961" t="s">
        <v>199</v>
      </c>
    </row>
    <row r="98" spans="2:6" ht="57" x14ac:dyDescent="0.85">
      <c r="B98" s="987"/>
      <c r="C98" s="580" t="s">
        <v>721</v>
      </c>
      <c r="D98" s="474" t="s">
        <v>563</v>
      </c>
      <c r="E98" s="475" t="s">
        <v>722</v>
      </c>
      <c r="F98" s="974" t="s">
        <v>723</v>
      </c>
    </row>
    <row r="99" spans="2:6" ht="57" x14ac:dyDescent="0.85">
      <c r="B99" s="987"/>
      <c r="C99" s="580" t="s">
        <v>724</v>
      </c>
      <c r="D99" s="474" t="s">
        <v>564</v>
      </c>
      <c r="E99" s="475" t="s">
        <v>725</v>
      </c>
      <c r="F99" s="974" t="s">
        <v>723</v>
      </c>
    </row>
    <row r="100" spans="2:6" ht="142.5" x14ac:dyDescent="0.85">
      <c r="B100" s="987"/>
      <c r="C100" s="580" t="s">
        <v>1083</v>
      </c>
      <c r="D100" s="474" t="s">
        <v>187</v>
      </c>
      <c r="E100" s="494" t="s">
        <v>48</v>
      </c>
      <c r="F100" s="961" t="s">
        <v>200</v>
      </c>
    </row>
    <row r="101" spans="2:6" ht="85.5" x14ac:dyDescent="0.85">
      <c r="B101" s="988" t="s">
        <v>590</v>
      </c>
      <c r="C101" s="503" t="s">
        <v>641</v>
      </c>
      <c r="D101" s="474" t="s">
        <v>188</v>
      </c>
      <c r="E101" s="494" t="s">
        <v>120</v>
      </c>
      <c r="F101" s="961" t="s">
        <v>201</v>
      </c>
    </row>
    <row r="102" spans="2:6" ht="57" x14ac:dyDescent="0.85">
      <c r="B102" s="987" t="s">
        <v>582</v>
      </c>
      <c r="C102" s="502" t="s">
        <v>395</v>
      </c>
      <c r="D102" s="474" t="s">
        <v>583</v>
      </c>
      <c r="E102" s="475" t="s">
        <v>726</v>
      </c>
      <c r="F102" s="974" t="s">
        <v>727</v>
      </c>
    </row>
    <row r="103" spans="2:6" ht="57" x14ac:dyDescent="0.85">
      <c r="B103" s="987"/>
      <c r="C103" s="502" t="s">
        <v>390</v>
      </c>
      <c r="D103" s="474" t="s">
        <v>584</v>
      </c>
      <c r="E103" s="475" t="s">
        <v>728</v>
      </c>
      <c r="F103" s="974" t="s">
        <v>727</v>
      </c>
    </row>
    <row r="104" spans="2:6" ht="57" x14ac:dyDescent="0.85">
      <c r="B104" s="987"/>
      <c r="C104" s="580" t="s">
        <v>391</v>
      </c>
      <c r="D104" s="474" t="s">
        <v>585</v>
      </c>
      <c r="E104" s="475" t="s">
        <v>729</v>
      </c>
      <c r="F104" s="974" t="s">
        <v>727</v>
      </c>
    </row>
    <row r="105" spans="2:6" ht="57" x14ac:dyDescent="0.85">
      <c r="B105" s="987"/>
      <c r="C105" s="580" t="s">
        <v>392</v>
      </c>
      <c r="D105" s="474" t="s">
        <v>586</v>
      </c>
      <c r="E105" s="475" t="s">
        <v>730</v>
      </c>
      <c r="F105" s="974" t="s">
        <v>727</v>
      </c>
    </row>
    <row r="106" spans="2:6" ht="57" x14ac:dyDescent="0.85">
      <c r="B106" s="987"/>
      <c r="C106" s="580" t="s">
        <v>393</v>
      </c>
      <c r="D106" s="474" t="s">
        <v>587</v>
      </c>
      <c r="E106" s="475" t="s">
        <v>731</v>
      </c>
      <c r="F106" s="974" t="s">
        <v>727</v>
      </c>
    </row>
    <row r="107" spans="2:6" ht="57" x14ac:dyDescent="0.85">
      <c r="B107" s="987"/>
      <c r="C107" s="580" t="s">
        <v>394</v>
      </c>
      <c r="D107" s="474" t="s">
        <v>588</v>
      </c>
      <c r="E107" s="475" t="s">
        <v>732</v>
      </c>
      <c r="F107" s="974" t="s">
        <v>727</v>
      </c>
    </row>
    <row r="108" spans="2:6" ht="57" x14ac:dyDescent="0.85">
      <c r="B108" s="987" t="s">
        <v>1129</v>
      </c>
      <c r="C108" s="580" t="s">
        <v>561</v>
      </c>
      <c r="D108" s="474" t="s">
        <v>352</v>
      </c>
      <c r="E108" s="494" t="s">
        <v>733</v>
      </c>
      <c r="F108" s="961" t="s">
        <v>734</v>
      </c>
    </row>
    <row r="109" spans="2:6" ht="57" x14ac:dyDescent="0.85">
      <c r="B109" s="987"/>
      <c r="C109" s="580" t="s">
        <v>735</v>
      </c>
      <c r="D109" s="474" t="s">
        <v>567</v>
      </c>
      <c r="E109" s="475" t="s">
        <v>736</v>
      </c>
      <c r="F109" s="974" t="s">
        <v>737</v>
      </c>
    </row>
    <row r="110" spans="2:6" ht="57" x14ac:dyDescent="0.85">
      <c r="B110" s="987"/>
      <c r="C110" s="580" t="s">
        <v>738</v>
      </c>
      <c r="D110" s="474" t="s">
        <v>568</v>
      </c>
      <c r="E110" s="475" t="s">
        <v>739</v>
      </c>
      <c r="F110" s="974" t="s">
        <v>740</v>
      </c>
    </row>
    <row r="111" spans="2:6" ht="85.5" x14ac:dyDescent="0.85">
      <c r="B111" s="987"/>
      <c r="C111" s="580" t="s">
        <v>1084</v>
      </c>
      <c r="D111" s="474" t="s">
        <v>189</v>
      </c>
      <c r="E111" s="494" t="s">
        <v>50</v>
      </c>
      <c r="F111" s="961" t="s">
        <v>202</v>
      </c>
    </row>
    <row r="112" spans="2:6" ht="85.5" hidden="1" x14ac:dyDescent="0.85">
      <c r="B112" s="987"/>
      <c r="C112" s="503" t="s">
        <v>569</v>
      </c>
      <c r="D112" s="474" t="s">
        <v>570</v>
      </c>
      <c r="E112" s="475" t="s">
        <v>741</v>
      </c>
      <c r="F112" s="974" t="s">
        <v>742</v>
      </c>
    </row>
    <row r="113" spans="2:6" ht="85.5" hidden="1" x14ac:dyDescent="0.85">
      <c r="B113" s="987" t="s">
        <v>581</v>
      </c>
      <c r="C113" s="580" t="s">
        <v>395</v>
      </c>
      <c r="D113" s="474" t="s">
        <v>591</v>
      </c>
      <c r="E113" s="475" t="s">
        <v>743</v>
      </c>
      <c r="F113" s="974"/>
    </row>
    <row r="114" spans="2:6" ht="85.5" hidden="1" x14ac:dyDescent="0.85">
      <c r="B114" s="987"/>
      <c r="C114" s="580" t="s">
        <v>390</v>
      </c>
      <c r="D114" s="474" t="s">
        <v>592</v>
      </c>
      <c r="E114" s="475" t="s">
        <v>744</v>
      </c>
      <c r="F114" s="974"/>
    </row>
    <row r="115" spans="2:6" ht="85.5" hidden="1" x14ac:dyDescent="0.85">
      <c r="B115" s="987"/>
      <c r="C115" s="580" t="s">
        <v>391</v>
      </c>
      <c r="D115" s="474" t="s">
        <v>593</v>
      </c>
      <c r="E115" s="475" t="s">
        <v>745</v>
      </c>
      <c r="F115" s="974"/>
    </row>
    <row r="116" spans="2:6" ht="85.5" hidden="1" x14ac:dyDescent="0.85">
      <c r="B116" s="987"/>
      <c r="C116" s="580" t="s">
        <v>392</v>
      </c>
      <c r="D116" s="474" t="s">
        <v>594</v>
      </c>
      <c r="E116" s="475" t="s">
        <v>746</v>
      </c>
      <c r="F116" s="974"/>
    </row>
    <row r="117" spans="2:6" ht="85.5" hidden="1" x14ac:dyDescent="0.85">
      <c r="B117" s="987"/>
      <c r="C117" s="580" t="s">
        <v>393</v>
      </c>
      <c r="D117" s="474" t="s">
        <v>595</v>
      </c>
      <c r="E117" s="475" t="s">
        <v>747</v>
      </c>
      <c r="F117" s="974"/>
    </row>
    <row r="118" spans="2:6" ht="85.5" hidden="1" x14ac:dyDescent="0.85">
      <c r="B118" s="987"/>
      <c r="C118" s="580" t="s">
        <v>394</v>
      </c>
      <c r="D118" s="474" t="s">
        <v>596</v>
      </c>
      <c r="E118" s="475" t="s">
        <v>748</v>
      </c>
      <c r="F118" s="974"/>
    </row>
    <row r="119" spans="2:6" ht="57" hidden="1" x14ac:dyDescent="0.85">
      <c r="B119" s="984" t="s">
        <v>28</v>
      </c>
      <c r="C119" s="580" t="s">
        <v>190</v>
      </c>
      <c r="D119" s="474" t="s">
        <v>191</v>
      </c>
      <c r="E119" s="494" t="s">
        <v>51</v>
      </c>
      <c r="F119" s="961" t="s">
        <v>202</v>
      </c>
    </row>
    <row r="120" spans="2:6" ht="57" hidden="1" x14ac:dyDescent="0.85">
      <c r="B120" s="984"/>
      <c r="C120" s="580" t="s">
        <v>330</v>
      </c>
      <c r="D120" s="474" t="s">
        <v>192</v>
      </c>
      <c r="E120" s="494" t="s">
        <v>52</v>
      </c>
      <c r="F120" s="961" t="s">
        <v>202</v>
      </c>
    </row>
    <row r="121" spans="2:6" ht="85.5" hidden="1" x14ac:dyDescent="0.85">
      <c r="B121" s="984"/>
      <c r="C121" s="580" t="s">
        <v>331</v>
      </c>
      <c r="D121" s="474" t="s">
        <v>353</v>
      </c>
      <c r="E121" s="494" t="s">
        <v>53</v>
      </c>
      <c r="F121" s="961" t="s">
        <v>206</v>
      </c>
    </row>
    <row r="122" spans="2:6" ht="57" x14ac:dyDescent="0.85">
      <c r="B122" s="984" t="s">
        <v>21</v>
      </c>
      <c r="C122" s="580" t="s">
        <v>1085</v>
      </c>
      <c r="D122" s="474" t="s">
        <v>354</v>
      </c>
      <c r="E122" s="494" t="s">
        <v>54</v>
      </c>
      <c r="F122" s="961" t="s">
        <v>203</v>
      </c>
    </row>
    <row r="123" spans="2:6" ht="57" x14ac:dyDescent="0.85">
      <c r="B123" s="984"/>
      <c r="C123" s="580" t="s">
        <v>1086</v>
      </c>
      <c r="D123" s="474" t="s">
        <v>355</v>
      </c>
      <c r="E123" s="494" t="s">
        <v>86</v>
      </c>
      <c r="F123" s="961" t="s">
        <v>204</v>
      </c>
    </row>
    <row r="124" spans="2:6" ht="57" x14ac:dyDescent="0.85">
      <c r="B124" s="984"/>
      <c r="C124" s="580" t="s">
        <v>193</v>
      </c>
      <c r="D124" s="474" t="s">
        <v>194</v>
      </c>
      <c r="E124" s="494" t="s">
        <v>87</v>
      </c>
      <c r="F124" s="961" t="s">
        <v>205</v>
      </c>
    </row>
    <row r="125" spans="2:6" ht="57" x14ac:dyDescent="0.85">
      <c r="B125" s="984"/>
      <c r="C125" s="580" t="s">
        <v>1087</v>
      </c>
      <c r="D125" s="474" t="s">
        <v>195</v>
      </c>
      <c r="E125" s="494" t="s">
        <v>88</v>
      </c>
      <c r="F125" s="961" t="s">
        <v>205</v>
      </c>
    </row>
    <row r="126" spans="2:6" ht="57" x14ac:dyDescent="0.85">
      <c r="B126" s="984"/>
      <c r="C126" s="580" t="s">
        <v>1088</v>
      </c>
      <c r="D126" s="474" t="s">
        <v>196</v>
      </c>
      <c r="E126" s="494" t="s">
        <v>89</v>
      </c>
      <c r="F126" s="961" t="s">
        <v>638</v>
      </c>
    </row>
    <row r="127" spans="2:6" ht="57" x14ac:dyDescent="0.85">
      <c r="B127" s="984"/>
      <c r="C127" s="580" t="s">
        <v>332</v>
      </c>
      <c r="D127" s="474" t="s">
        <v>197</v>
      </c>
      <c r="E127" s="494" t="s">
        <v>90</v>
      </c>
      <c r="F127" s="961" t="s">
        <v>207</v>
      </c>
    </row>
    <row r="128" spans="2:6" x14ac:dyDescent="0.85">
      <c r="B128" s="984"/>
      <c r="C128" s="580" t="s">
        <v>1089</v>
      </c>
      <c r="D128" s="474" t="s">
        <v>198</v>
      </c>
      <c r="E128" s="494" t="s">
        <v>91</v>
      </c>
      <c r="F128" s="961" t="s">
        <v>639</v>
      </c>
    </row>
    <row r="129" spans="2:14" ht="51.4" thickBot="1" x14ac:dyDescent="0.9">
      <c r="B129" s="989" t="s">
        <v>1032</v>
      </c>
      <c r="C129" s="926" t="s">
        <v>1240</v>
      </c>
      <c r="D129" s="549" t="s">
        <v>1033</v>
      </c>
      <c r="E129" s="494"/>
      <c r="F129" s="961"/>
    </row>
    <row r="130" spans="2:14" x14ac:dyDescent="0.85">
      <c r="B130" s="990" t="s">
        <v>1210</v>
      </c>
      <c r="C130" s="94" t="s">
        <v>1211</v>
      </c>
      <c r="D130" s="898" t="s">
        <v>191</v>
      </c>
      <c r="E130" s="494"/>
      <c r="F130" s="961"/>
    </row>
    <row r="131" spans="2:14" ht="28.9" thickBot="1" x14ac:dyDescent="0.9">
      <c r="B131" s="991"/>
      <c r="C131" s="124" t="s">
        <v>1212</v>
      </c>
      <c r="D131" s="916" t="s">
        <v>192</v>
      </c>
      <c r="E131" s="494"/>
      <c r="F131" s="961"/>
    </row>
    <row r="132" spans="2:14" x14ac:dyDescent="0.85">
      <c r="B132" s="992" t="s">
        <v>1237</v>
      </c>
      <c r="C132" s="945" t="s">
        <v>1235</v>
      </c>
      <c r="D132" s="916" t="s">
        <v>1238</v>
      </c>
      <c r="E132" s="942"/>
      <c r="F132" s="961"/>
    </row>
    <row r="133" spans="2:14" ht="28.9" thickBot="1" x14ac:dyDescent="0.9">
      <c r="B133" s="993"/>
      <c r="C133" s="946" t="s">
        <v>1236</v>
      </c>
      <c r="D133" s="944" t="s">
        <v>1239</v>
      </c>
      <c r="E133" s="942"/>
      <c r="F133" s="961"/>
    </row>
    <row r="134" spans="2:14" ht="142.5" x14ac:dyDescent="0.85">
      <c r="B134" s="994" t="s">
        <v>114</v>
      </c>
      <c r="C134" s="943" t="s">
        <v>1090</v>
      </c>
      <c r="D134" s="470" t="s">
        <v>356</v>
      </c>
      <c r="E134" s="494" t="s">
        <v>137</v>
      </c>
      <c r="F134" s="961" t="s">
        <v>208</v>
      </c>
    </row>
    <row r="135" spans="2:14" ht="114" x14ac:dyDescent="0.85">
      <c r="B135" s="984"/>
      <c r="C135" s="581" t="s">
        <v>333</v>
      </c>
      <c r="D135" s="474" t="s">
        <v>357</v>
      </c>
      <c r="E135" s="494" t="s">
        <v>136</v>
      </c>
      <c r="F135" s="961" t="s">
        <v>209</v>
      </c>
    </row>
    <row r="136" spans="2:14" x14ac:dyDescent="0.85">
      <c r="B136" s="975" t="s">
        <v>125</v>
      </c>
      <c r="C136" s="600"/>
      <c r="D136" s="600"/>
      <c r="E136" s="600"/>
      <c r="F136" s="976"/>
    </row>
    <row r="137" spans="2:14" ht="85.5" x14ac:dyDescent="0.85">
      <c r="B137" s="984" t="s">
        <v>960</v>
      </c>
      <c r="C137" s="580" t="s">
        <v>1091</v>
      </c>
      <c r="D137" s="474" t="s">
        <v>212</v>
      </c>
      <c r="E137" s="494" t="s">
        <v>81</v>
      </c>
      <c r="F137" s="961" t="s">
        <v>210</v>
      </c>
    </row>
    <row r="138" spans="2:14" ht="85.5" x14ac:dyDescent="0.85">
      <c r="B138" s="984"/>
      <c r="C138" s="580" t="s">
        <v>1092</v>
      </c>
      <c r="D138" s="474" t="s">
        <v>213</v>
      </c>
      <c r="E138" s="494" t="s">
        <v>962</v>
      </c>
      <c r="F138" s="961" t="s">
        <v>210</v>
      </c>
      <c r="G138" s="954"/>
      <c r="H138" s="587"/>
      <c r="I138" s="587"/>
      <c r="J138" s="587"/>
      <c r="K138" s="587"/>
      <c r="L138" s="587"/>
      <c r="M138" s="587"/>
      <c r="N138" s="587"/>
    </row>
    <row r="139" spans="2:14" ht="57" x14ac:dyDescent="0.85">
      <c r="B139" s="984" t="s">
        <v>961</v>
      </c>
      <c r="C139" s="580" t="s">
        <v>1093</v>
      </c>
      <c r="D139" s="474" t="s">
        <v>214</v>
      </c>
      <c r="E139" s="494" t="s">
        <v>964</v>
      </c>
      <c r="F139" s="961" t="s">
        <v>210</v>
      </c>
    </row>
    <row r="140" spans="2:14" ht="85.5" x14ac:dyDescent="0.85">
      <c r="B140" s="984"/>
      <c r="C140" s="580" t="s">
        <v>1092</v>
      </c>
      <c r="D140" s="474" t="s">
        <v>215</v>
      </c>
      <c r="E140" s="494" t="s">
        <v>965</v>
      </c>
      <c r="F140" s="961" t="s">
        <v>210</v>
      </c>
    </row>
    <row r="141" spans="2:14" ht="85.5" x14ac:dyDescent="0.85">
      <c r="B141" s="984" t="s">
        <v>29</v>
      </c>
      <c r="C141" s="581" t="s">
        <v>334</v>
      </c>
      <c r="D141" s="474" t="s">
        <v>216</v>
      </c>
      <c r="E141" s="494" t="s">
        <v>82</v>
      </c>
      <c r="F141" s="961" t="s">
        <v>210</v>
      </c>
    </row>
    <row r="142" spans="2:14" ht="85.5" x14ac:dyDescent="0.85">
      <c r="B142" s="984"/>
      <c r="C142" s="581" t="s">
        <v>335</v>
      </c>
      <c r="D142" s="474" t="s">
        <v>217</v>
      </c>
      <c r="E142" s="494" t="s">
        <v>211</v>
      </c>
      <c r="F142" s="961" t="s">
        <v>210</v>
      </c>
    </row>
    <row r="143" spans="2:14" ht="85.5" x14ac:dyDescent="0.85">
      <c r="B143" s="984" t="s">
        <v>30</v>
      </c>
      <c r="C143" s="581" t="s">
        <v>334</v>
      </c>
      <c r="D143" s="474" t="s">
        <v>218</v>
      </c>
      <c r="E143" s="494" t="s">
        <v>83</v>
      </c>
      <c r="F143" s="961" t="s">
        <v>210</v>
      </c>
    </row>
    <row r="144" spans="2:14" ht="85.5" x14ac:dyDescent="0.85">
      <c r="B144" s="984"/>
      <c r="C144" s="504" t="s">
        <v>1094</v>
      </c>
      <c r="D144" s="474" t="s">
        <v>219</v>
      </c>
      <c r="E144" s="494" t="s">
        <v>211</v>
      </c>
      <c r="F144" s="961" t="s">
        <v>210</v>
      </c>
    </row>
    <row r="145" spans="2:6" ht="57" x14ac:dyDescent="0.85">
      <c r="B145" s="984" t="s">
        <v>31</v>
      </c>
      <c r="C145" s="504" t="s">
        <v>334</v>
      </c>
      <c r="D145" s="474" t="s">
        <v>220</v>
      </c>
      <c r="E145" s="494" t="s">
        <v>84</v>
      </c>
      <c r="F145" s="961" t="s">
        <v>210</v>
      </c>
    </row>
    <row r="146" spans="2:6" ht="85.5" x14ac:dyDescent="0.85">
      <c r="B146" s="984"/>
      <c r="C146" s="581" t="s">
        <v>1095</v>
      </c>
      <c r="D146" s="474" t="s">
        <v>221</v>
      </c>
      <c r="E146" s="494" t="s">
        <v>211</v>
      </c>
      <c r="F146" s="961" t="s">
        <v>210</v>
      </c>
    </row>
    <row r="147" spans="2:6" ht="85.5" x14ac:dyDescent="0.85">
      <c r="B147" s="984" t="s">
        <v>32</v>
      </c>
      <c r="C147" s="581" t="s">
        <v>334</v>
      </c>
      <c r="D147" s="474" t="s">
        <v>222</v>
      </c>
      <c r="E147" s="494" t="s">
        <v>85</v>
      </c>
      <c r="F147" s="961" t="s">
        <v>210</v>
      </c>
    </row>
    <row r="148" spans="2:6" ht="85.5" x14ac:dyDescent="0.85">
      <c r="B148" s="984"/>
      <c r="C148" s="581" t="s">
        <v>336</v>
      </c>
      <c r="D148" s="474" t="s">
        <v>223</v>
      </c>
      <c r="E148" s="494" t="s">
        <v>211</v>
      </c>
      <c r="F148" s="961" t="s">
        <v>210</v>
      </c>
    </row>
    <row r="149" spans="2:6" x14ac:dyDescent="0.85">
      <c r="B149" s="975" t="s">
        <v>126</v>
      </c>
      <c r="C149" s="600"/>
      <c r="D149" s="600"/>
      <c r="E149" s="600"/>
      <c r="F149" s="976"/>
    </row>
    <row r="150" spans="2:6" ht="85.5" x14ac:dyDescent="0.85">
      <c r="B150" s="984" t="s">
        <v>33</v>
      </c>
      <c r="C150" s="580" t="s">
        <v>1096</v>
      </c>
      <c r="D150" s="474" t="s">
        <v>358</v>
      </c>
      <c r="E150" s="494" t="s">
        <v>55</v>
      </c>
      <c r="F150" s="961" t="s">
        <v>226</v>
      </c>
    </row>
    <row r="151" spans="2:6" ht="85.5" x14ac:dyDescent="0.85">
      <c r="B151" s="984"/>
      <c r="C151" s="580" t="s">
        <v>225</v>
      </c>
      <c r="D151" s="474" t="s">
        <v>224</v>
      </c>
      <c r="E151" s="494" t="s">
        <v>57</v>
      </c>
      <c r="F151" s="961" t="s">
        <v>227</v>
      </c>
    </row>
    <row r="152" spans="2:6" ht="57" customHeight="1" x14ac:dyDescent="0.85">
      <c r="B152" s="984"/>
      <c r="C152" s="505" t="s">
        <v>1006</v>
      </c>
      <c r="D152" s="506" t="s">
        <v>1003</v>
      </c>
      <c r="E152" s="494"/>
      <c r="F152" s="961"/>
    </row>
    <row r="153" spans="2:6" ht="85.5" x14ac:dyDescent="0.85">
      <c r="B153" s="984"/>
      <c r="C153" s="580" t="s">
        <v>1097</v>
      </c>
      <c r="D153" s="474" t="s">
        <v>359</v>
      </c>
      <c r="E153" s="494" t="s">
        <v>56</v>
      </c>
      <c r="F153" s="961" t="s">
        <v>228</v>
      </c>
    </row>
    <row r="154" spans="2:6" ht="57" x14ac:dyDescent="0.85">
      <c r="B154" s="984"/>
      <c r="C154" s="580" t="s">
        <v>1098</v>
      </c>
      <c r="D154" s="474" t="s">
        <v>229</v>
      </c>
      <c r="E154" s="494" t="s">
        <v>58</v>
      </c>
      <c r="F154" s="961" t="s">
        <v>232</v>
      </c>
    </row>
    <row r="155" spans="2:6" ht="85.5" x14ac:dyDescent="0.85">
      <c r="B155" s="984"/>
      <c r="C155" s="580" t="s">
        <v>1099</v>
      </c>
      <c r="D155" s="474" t="s">
        <v>230</v>
      </c>
      <c r="E155" s="494" t="s">
        <v>59</v>
      </c>
      <c r="F155" s="961" t="s">
        <v>233</v>
      </c>
    </row>
    <row r="156" spans="2:6" ht="114" x14ac:dyDescent="0.85">
      <c r="B156" s="984"/>
      <c r="C156" s="580" t="s">
        <v>1100</v>
      </c>
      <c r="D156" s="474" t="s">
        <v>231</v>
      </c>
      <c r="E156" s="494" t="s">
        <v>60</v>
      </c>
      <c r="F156" s="961" t="s">
        <v>233</v>
      </c>
    </row>
    <row r="157" spans="2:6" ht="85.5" x14ac:dyDescent="0.85">
      <c r="B157" s="984" t="s">
        <v>468</v>
      </c>
      <c r="C157" s="580" t="s">
        <v>237</v>
      </c>
      <c r="D157" s="474" t="s">
        <v>360</v>
      </c>
      <c r="E157" s="494" t="s">
        <v>55</v>
      </c>
      <c r="F157" s="961" t="s">
        <v>234</v>
      </c>
    </row>
    <row r="158" spans="2:6" ht="85.5" x14ac:dyDescent="0.85">
      <c r="B158" s="984"/>
      <c r="C158" s="580" t="s">
        <v>1101</v>
      </c>
      <c r="D158" s="474" t="s">
        <v>361</v>
      </c>
      <c r="E158" s="494" t="s">
        <v>57</v>
      </c>
      <c r="F158" s="961" t="s">
        <v>235</v>
      </c>
    </row>
    <row r="159" spans="2:6" ht="85.5" x14ac:dyDescent="0.85">
      <c r="B159" s="984"/>
      <c r="C159" s="580" t="s">
        <v>238</v>
      </c>
      <c r="D159" s="474" t="s">
        <v>239</v>
      </c>
      <c r="E159" s="494" t="s">
        <v>56</v>
      </c>
      <c r="F159" s="961" t="s">
        <v>236</v>
      </c>
    </row>
    <row r="160" spans="2:6" x14ac:dyDescent="0.85">
      <c r="B160" s="984"/>
      <c r="C160" s="505" t="s">
        <v>1006</v>
      </c>
      <c r="D160" s="506" t="s">
        <v>1003</v>
      </c>
      <c r="E160" s="494"/>
      <c r="F160" s="961"/>
    </row>
    <row r="161" spans="2:6" ht="57" x14ac:dyDescent="0.85">
      <c r="B161" s="984"/>
      <c r="C161" s="502" t="s">
        <v>337</v>
      </c>
      <c r="D161" s="474" t="s">
        <v>240</v>
      </c>
      <c r="E161" s="494" t="s">
        <v>58</v>
      </c>
      <c r="F161" s="961" t="s">
        <v>243</v>
      </c>
    </row>
    <row r="162" spans="2:6" ht="85.5" x14ac:dyDescent="0.85">
      <c r="B162" s="984"/>
      <c r="C162" s="502" t="s">
        <v>1099</v>
      </c>
      <c r="D162" s="474" t="s">
        <v>362</v>
      </c>
      <c r="E162" s="494" t="s">
        <v>59</v>
      </c>
      <c r="F162" s="961" t="s">
        <v>244</v>
      </c>
    </row>
    <row r="163" spans="2:6" ht="114" x14ac:dyDescent="0.85">
      <c r="B163" s="984"/>
      <c r="C163" s="580" t="s">
        <v>241</v>
      </c>
      <c r="D163" s="474" t="s">
        <v>242</v>
      </c>
      <c r="E163" s="494" t="s">
        <v>60</v>
      </c>
      <c r="F163" s="961" t="s">
        <v>244</v>
      </c>
    </row>
    <row r="164" spans="2:6" ht="85.5" x14ac:dyDescent="0.85">
      <c r="B164" s="984" t="s">
        <v>25</v>
      </c>
      <c r="C164" s="580" t="s">
        <v>1102</v>
      </c>
      <c r="D164" s="474" t="s">
        <v>363</v>
      </c>
      <c r="E164" s="494" t="s">
        <v>55</v>
      </c>
      <c r="F164" s="961" t="s">
        <v>245</v>
      </c>
    </row>
    <row r="165" spans="2:6" ht="85.5" x14ac:dyDescent="0.85">
      <c r="B165" s="984"/>
      <c r="C165" s="502" t="s">
        <v>225</v>
      </c>
      <c r="D165" s="474" t="s">
        <v>364</v>
      </c>
      <c r="E165" s="494" t="s">
        <v>57</v>
      </c>
      <c r="F165" s="961" t="s">
        <v>246</v>
      </c>
    </row>
    <row r="166" spans="2:6" ht="85.5" x14ac:dyDescent="0.85">
      <c r="B166" s="984"/>
      <c r="C166" s="580" t="s">
        <v>238</v>
      </c>
      <c r="D166" s="474" t="s">
        <v>365</v>
      </c>
      <c r="E166" s="494" t="s">
        <v>56</v>
      </c>
      <c r="F166" s="961" t="s">
        <v>247</v>
      </c>
    </row>
    <row r="167" spans="2:6" x14ac:dyDescent="0.85">
      <c r="B167" s="984"/>
      <c r="C167" s="505" t="s">
        <v>1006</v>
      </c>
      <c r="D167" s="506" t="s">
        <v>1003</v>
      </c>
      <c r="E167" s="494"/>
      <c r="F167" s="961"/>
    </row>
    <row r="168" spans="2:6" ht="57" x14ac:dyDescent="0.85">
      <c r="B168" s="984"/>
      <c r="C168" s="580" t="s">
        <v>1098</v>
      </c>
      <c r="D168" s="474" t="s">
        <v>250</v>
      </c>
      <c r="E168" s="494" t="s">
        <v>58</v>
      </c>
      <c r="F168" s="961" t="s">
        <v>249</v>
      </c>
    </row>
    <row r="169" spans="2:6" ht="85.5" x14ac:dyDescent="0.85">
      <c r="B169" s="984"/>
      <c r="C169" s="580" t="s">
        <v>1099</v>
      </c>
      <c r="D169" s="474" t="s">
        <v>366</v>
      </c>
      <c r="E169" s="494" t="s">
        <v>59</v>
      </c>
      <c r="F169" s="961" t="s">
        <v>248</v>
      </c>
    </row>
    <row r="170" spans="2:6" ht="114" x14ac:dyDescent="0.85">
      <c r="B170" s="984"/>
      <c r="C170" s="580" t="s">
        <v>241</v>
      </c>
      <c r="D170" s="474" t="s">
        <v>367</v>
      </c>
      <c r="E170" s="494" t="s">
        <v>60</v>
      </c>
      <c r="F170" s="961" t="s">
        <v>248</v>
      </c>
    </row>
    <row r="171" spans="2:6" x14ac:dyDescent="0.85">
      <c r="B171" s="975" t="s">
        <v>127</v>
      </c>
      <c r="C171" s="600"/>
      <c r="D171" s="600"/>
      <c r="E171" s="600"/>
      <c r="F171" s="976"/>
    </row>
    <row r="172" spans="2:6" hidden="1" x14ac:dyDescent="0.85">
      <c r="B172" s="995" t="s">
        <v>875</v>
      </c>
      <c r="C172" s="580" t="s">
        <v>677</v>
      </c>
      <c r="D172" s="507" t="s">
        <v>522</v>
      </c>
      <c r="E172" s="494" t="s">
        <v>714</v>
      </c>
      <c r="F172" s="996" t="s">
        <v>749</v>
      </c>
    </row>
    <row r="173" spans="2:6" ht="57" hidden="1" x14ac:dyDescent="0.85">
      <c r="B173" s="995"/>
      <c r="C173" s="580" t="s">
        <v>914</v>
      </c>
      <c r="D173" s="507" t="s">
        <v>523</v>
      </c>
      <c r="E173" s="494" t="s">
        <v>750</v>
      </c>
      <c r="F173" s="997" t="s">
        <v>751</v>
      </c>
    </row>
    <row r="174" spans="2:6" hidden="1" x14ac:dyDescent="0.85">
      <c r="B174" s="995"/>
      <c r="C174" s="501" t="s">
        <v>918</v>
      </c>
      <c r="D174" s="507" t="s">
        <v>879</v>
      </c>
      <c r="E174" s="494" t="s">
        <v>929</v>
      </c>
      <c r="F174" s="997" t="s">
        <v>930</v>
      </c>
    </row>
    <row r="175" spans="2:6" ht="57" hidden="1" x14ac:dyDescent="0.85">
      <c r="B175" s="995"/>
      <c r="C175" s="580" t="s">
        <v>870</v>
      </c>
      <c r="D175" s="507" t="s">
        <v>880</v>
      </c>
      <c r="E175" s="494" t="s">
        <v>931</v>
      </c>
      <c r="F175" s="997" t="s">
        <v>930</v>
      </c>
    </row>
    <row r="176" spans="2:6" s="508" customFormat="1" ht="57" hidden="1" x14ac:dyDescent="0.85">
      <c r="B176" s="995"/>
      <c r="C176" s="580" t="s">
        <v>871</v>
      </c>
      <c r="D176" s="507" t="s">
        <v>881</v>
      </c>
      <c r="E176" s="494" t="s">
        <v>932</v>
      </c>
      <c r="F176" s="997" t="s">
        <v>933</v>
      </c>
    </row>
    <row r="177" spans="2:6" ht="57" hidden="1" x14ac:dyDescent="0.85">
      <c r="B177" s="995"/>
      <c r="C177" s="580" t="s">
        <v>872</v>
      </c>
      <c r="D177" s="507" t="s">
        <v>882</v>
      </c>
      <c r="E177" s="494" t="s">
        <v>934</v>
      </c>
      <c r="F177" s="997" t="s">
        <v>930</v>
      </c>
    </row>
    <row r="178" spans="2:6" ht="57" hidden="1" x14ac:dyDescent="0.85">
      <c r="B178" s="995"/>
      <c r="C178" s="580" t="s">
        <v>873</v>
      </c>
      <c r="D178" s="507" t="s">
        <v>883</v>
      </c>
      <c r="E178" s="494" t="s">
        <v>935</v>
      </c>
      <c r="F178" s="997" t="s">
        <v>933</v>
      </c>
    </row>
    <row r="179" spans="2:6" ht="57" hidden="1" x14ac:dyDescent="0.85">
      <c r="B179" s="995"/>
      <c r="C179" s="580" t="s">
        <v>874</v>
      </c>
      <c r="D179" s="507" t="s">
        <v>884</v>
      </c>
      <c r="E179" s="494" t="s">
        <v>936</v>
      </c>
      <c r="F179" s="997" t="s">
        <v>930</v>
      </c>
    </row>
    <row r="180" spans="2:6" ht="57" hidden="1" x14ac:dyDescent="0.85">
      <c r="B180" s="995"/>
      <c r="C180" s="580" t="s">
        <v>909</v>
      </c>
      <c r="D180" s="507" t="s">
        <v>885</v>
      </c>
      <c r="E180" s="494" t="s">
        <v>940</v>
      </c>
      <c r="F180" s="997" t="s">
        <v>930</v>
      </c>
    </row>
    <row r="181" spans="2:6" hidden="1" x14ac:dyDescent="0.85">
      <c r="B181" s="995" t="s">
        <v>876</v>
      </c>
      <c r="C181" s="580" t="s">
        <v>920</v>
      </c>
      <c r="D181" s="507" t="s">
        <v>886</v>
      </c>
      <c r="E181" s="494" t="s">
        <v>937</v>
      </c>
      <c r="F181" s="997" t="s">
        <v>938</v>
      </c>
    </row>
    <row r="182" spans="2:6" ht="57" hidden="1" x14ac:dyDescent="0.85">
      <c r="B182" s="995"/>
      <c r="C182" s="580" t="s">
        <v>915</v>
      </c>
      <c r="D182" s="507" t="s">
        <v>887</v>
      </c>
      <c r="E182" s="494" t="s">
        <v>939</v>
      </c>
      <c r="F182" s="997" t="s">
        <v>751</v>
      </c>
    </row>
    <row r="183" spans="2:6" hidden="1" x14ac:dyDescent="0.85">
      <c r="B183" s="995"/>
      <c r="C183" s="501" t="s">
        <v>923</v>
      </c>
      <c r="D183" s="507" t="s">
        <v>888</v>
      </c>
      <c r="E183" s="494" t="s">
        <v>929</v>
      </c>
      <c r="F183" s="997" t="s">
        <v>930</v>
      </c>
    </row>
    <row r="184" spans="2:6" ht="57" hidden="1" x14ac:dyDescent="0.85">
      <c r="B184" s="995"/>
      <c r="C184" s="580" t="s">
        <v>870</v>
      </c>
      <c r="D184" s="507" t="s">
        <v>889</v>
      </c>
      <c r="E184" s="494" t="s">
        <v>931</v>
      </c>
      <c r="F184" s="997" t="s">
        <v>930</v>
      </c>
    </row>
    <row r="185" spans="2:6" ht="57" hidden="1" x14ac:dyDescent="0.85">
      <c r="B185" s="995"/>
      <c r="C185" s="580" t="s">
        <v>871</v>
      </c>
      <c r="D185" s="507" t="s">
        <v>890</v>
      </c>
      <c r="E185" s="494" t="s">
        <v>932</v>
      </c>
      <c r="F185" s="997" t="s">
        <v>933</v>
      </c>
    </row>
    <row r="186" spans="2:6" ht="57" hidden="1" x14ac:dyDescent="0.85">
      <c r="B186" s="995"/>
      <c r="C186" s="580" t="s">
        <v>872</v>
      </c>
      <c r="D186" s="507" t="s">
        <v>891</v>
      </c>
      <c r="E186" s="494" t="s">
        <v>934</v>
      </c>
      <c r="F186" s="997" t="s">
        <v>930</v>
      </c>
    </row>
    <row r="187" spans="2:6" ht="57" hidden="1" x14ac:dyDescent="0.85">
      <c r="B187" s="995"/>
      <c r="C187" s="580" t="s">
        <v>873</v>
      </c>
      <c r="D187" s="507" t="s">
        <v>892</v>
      </c>
      <c r="E187" s="494" t="s">
        <v>935</v>
      </c>
      <c r="F187" s="997" t="s">
        <v>933</v>
      </c>
    </row>
    <row r="188" spans="2:6" ht="57" hidden="1" x14ac:dyDescent="0.85">
      <c r="B188" s="995"/>
      <c r="C188" s="580" t="s">
        <v>874</v>
      </c>
      <c r="D188" s="507" t="s">
        <v>893</v>
      </c>
      <c r="E188" s="494" t="s">
        <v>936</v>
      </c>
      <c r="F188" s="997" t="s">
        <v>930</v>
      </c>
    </row>
    <row r="189" spans="2:6" ht="57" hidden="1" x14ac:dyDescent="0.85">
      <c r="B189" s="995"/>
      <c r="C189" s="580" t="s">
        <v>909</v>
      </c>
      <c r="D189" s="507" t="s">
        <v>894</v>
      </c>
      <c r="E189" s="494" t="s">
        <v>940</v>
      </c>
      <c r="F189" s="997" t="s">
        <v>930</v>
      </c>
    </row>
    <row r="190" spans="2:6" hidden="1" x14ac:dyDescent="0.85">
      <c r="B190" s="995" t="s">
        <v>878</v>
      </c>
      <c r="C190" s="580" t="s">
        <v>921</v>
      </c>
      <c r="D190" s="507" t="s">
        <v>895</v>
      </c>
      <c r="E190" s="494" t="s">
        <v>941</v>
      </c>
      <c r="F190" s="997" t="s">
        <v>942</v>
      </c>
    </row>
    <row r="191" spans="2:6" ht="57" hidden="1" x14ac:dyDescent="0.85">
      <c r="B191" s="995"/>
      <c r="C191" s="580" t="s">
        <v>916</v>
      </c>
      <c r="D191" s="507" t="s">
        <v>896</v>
      </c>
      <c r="E191" s="494" t="s">
        <v>943</v>
      </c>
      <c r="F191" s="997" t="s">
        <v>751</v>
      </c>
    </row>
    <row r="192" spans="2:6" hidden="1" x14ac:dyDescent="0.85">
      <c r="B192" s="995"/>
      <c r="C192" s="501" t="s">
        <v>924</v>
      </c>
      <c r="D192" s="507" t="s">
        <v>897</v>
      </c>
      <c r="E192" s="494" t="s">
        <v>929</v>
      </c>
      <c r="F192" s="997" t="s">
        <v>930</v>
      </c>
    </row>
    <row r="193" spans="2:6" ht="57" hidden="1" x14ac:dyDescent="0.85">
      <c r="B193" s="995"/>
      <c r="C193" s="580" t="s">
        <v>870</v>
      </c>
      <c r="D193" s="507" t="s">
        <v>898</v>
      </c>
      <c r="E193" s="494" t="s">
        <v>944</v>
      </c>
      <c r="F193" s="997" t="s">
        <v>930</v>
      </c>
    </row>
    <row r="194" spans="2:6" ht="57" hidden="1" x14ac:dyDescent="0.85">
      <c r="B194" s="995"/>
      <c r="C194" s="580" t="s">
        <v>871</v>
      </c>
      <c r="D194" s="507" t="s">
        <v>899</v>
      </c>
      <c r="E194" s="494" t="s">
        <v>945</v>
      </c>
      <c r="F194" s="997" t="s">
        <v>933</v>
      </c>
    </row>
    <row r="195" spans="2:6" ht="57" hidden="1" x14ac:dyDescent="0.85">
      <c r="B195" s="995"/>
      <c r="C195" s="580" t="s">
        <v>872</v>
      </c>
      <c r="D195" s="507" t="s">
        <v>900</v>
      </c>
      <c r="E195" s="494" t="s">
        <v>946</v>
      </c>
      <c r="F195" s="997" t="s">
        <v>930</v>
      </c>
    </row>
    <row r="196" spans="2:6" ht="57" hidden="1" x14ac:dyDescent="0.85">
      <c r="B196" s="995"/>
      <c r="C196" s="580" t="s">
        <v>873</v>
      </c>
      <c r="D196" s="507" t="s">
        <v>901</v>
      </c>
      <c r="E196" s="494" t="s">
        <v>947</v>
      </c>
      <c r="F196" s="997" t="s">
        <v>933</v>
      </c>
    </row>
    <row r="197" spans="2:6" ht="57" hidden="1" x14ac:dyDescent="0.85">
      <c r="B197" s="995"/>
      <c r="C197" s="580" t="s">
        <v>874</v>
      </c>
      <c r="D197" s="507" t="s">
        <v>902</v>
      </c>
      <c r="E197" s="494" t="s">
        <v>936</v>
      </c>
      <c r="F197" s="997" t="s">
        <v>930</v>
      </c>
    </row>
    <row r="198" spans="2:6" ht="57" hidden="1" x14ac:dyDescent="0.85">
      <c r="B198" s="995"/>
      <c r="C198" s="580" t="s">
        <v>909</v>
      </c>
      <c r="D198" s="507" t="s">
        <v>903</v>
      </c>
      <c r="E198" s="494" t="s">
        <v>940</v>
      </c>
      <c r="F198" s="997" t="s">
        <v>930</v>
      </c>
    </row>
    <row r="199" spans="2:6" hidden="1" x14ac:dyDescent="0.85">
      <c r="B199" s="995" t="s">
        <v>877</v>
      </c>
      <c r="C199" s="580" t="s">
        <v>922</v>
      </c>
      <c r="D199" s="507" t="s">
        <v>904</v>
      </c>
      <c r="E199" s="494" t="s">
        <v>714</v>
      </c>
      <c r="F199" s="997" t="s">
        <v>948</v>
      </c>
    </row>
    <row r="200" spans="2:6" ht="57" hidden="1" x14ac:dyDescent="0.85">
      <c r="B200" s="995"/>
      <c r="C200" s="580" t="s">
        <v>917</v>
      </c>
      <c r="D200" s="507" t="s">
        <v>905</v>
      </c>
      <c r="E200" s="494" t="s">
        <v>750</v>
      </c>
      <c r="F200" s="997" t="s">
        <v>751</v>
      </c>
    </row>
    <row r="201" spans="2:6" hidden="1" x14ac:dyDescent="0.85">
      <c r="B201" s="995"/>
      <c r="C201" s="501" t="s">
        <v>925</v>
      </c>
      <c r="D201" s="507" t="s">
        <v>906</v>
      </c>
      <c r="E201" s="494" t="s">
        <v>929</v>
      </c>
      <c r="F201" s="997" t="s">
        <v>930</v>
      </c>
    </row>
    <row r="202" spans="2:6" ht="57" hidden="1" x14ac:dyDescent="0.85">
      <c r="B202" s="995"/>
      <c r="C202" s="580" t="s">
        <v>870</v>
      </c>
      <c r="D202" s="507" t="s">
        <v>907</v>
      </c>
      <c r="E202" s="494" t="s">
        <v>931</v>
      </c>
      <c r="F202" s="997" t="s">
        <v>930</v>
      </c>
    </row>
    <row r="203" spans="2:6" ht="57" hidden="1" x14ac:dyDescent="0.85">
      <c r="B203" s="995"/>
      <c r="C203" s="580" t="s">
        <v>871</v>
      </c>
      <c r="D203" s="507" t="s">
        <v>908</v>
      </c>
      <c r="E203" s="494" t="s">
        <v>932</v>
      </c>
      <c r="F203" s="997" t="s">
        <v>933</v>
      </c>
    </row>
    <row r="204" spans="2:6" ht="57" hidden="1" x14ac:dyDescent="0.85">
      <c r="B204" s="995"/>
      <c r="C204" s="580" t="s">
        <v>872</v>
      </c>
      <c r="D204" s="507" t="s">
        <v>910</v>
      </c>
      <c r="E204" s="494" t="s">
        <v>934</v>
      </c>
      <c r="F204" s="997" t="s">
        <v>930</v>
      </c>
    </row>
    <row r="205" spans="2:6" ht="57" hidden="1" x14ac:dyDescent="0.85">
      <c r="B205" s="995"/>
      <c r="C205" s="580" t="s">
        <v>873</v>
      </c>
      <c r="D205" s="507" t="s">
        <v>911</v>
      </c>
      <c r="E205" s="494" t="s">
        <v>935</v>
      </c>
      <c r="F205" s="997" t="s">
        <v>933</v>
      </c>
    </row>
    <row r="206" spans="2:6" ht="57" hidden="1" x14ac:dyDescent="0.85">
      <c r="B206" s="995"/>
      <c r="C206" s="580" t="s">
        <v>874</v>
      </c>
      <c r="D206" s="507" t="s">
        <v>912</v>
      </c>
      <c r="E206" s="494" t="s">
        <v>936</v>
      </c>
      <c r="F206" s="997" t="s">
        <v>930</v>
      </c>
    </row>
    <row r="207" spans="2:6" ht="57" hidden="1" x14ac:dyDescent="0.85">
      <c r="B207" s="995"/>
      <c r="C207" s="580" t="s">
        <v>909</v>
      </c>
      <c r="D207" s="507" t="s">
        <v>913</v>
      </c>
      <c r="E207" s="494" t="s">
        <v>940</v>
      </c>
      <c r="F207" s="997" t="s">
        <v>930</v>
      </c>
    </row>
    <row r="208" spans="2:6" ht="57" x14ac:dyDescent="0.85">
      <c r="B208" s="984" t="s">
        <v>34</v>
      </c>
      <c r="C208" s="580" t="s">
        <v>183</v>
      </c>
      <c r="D208" s="474" t="s">
        <v>185</v>
      </c>
      <c r="E208" s="494" t="s">
        <v>274</v>
      </c>
      <c r="F208" s="961" t="s">
        <v>252</v>
      </c>
    </row>
    <row r="209" spans="2:6" ht="57" x14ac:dyDescent="0.85">
      <c r="B209" s="984"/>
      <c r="C209" s="580" t="s">
        <v>1103</v>
      </c>
      <c r="D209" s="474" t="s">
        <v>184</v>
      </c>
      <c r="E209" s="494" t="s">
        <v>64</v>
      </c>
      <c r="F209" s="961" t="s">
        <v>253</v>
      </c>
    </row>
    <row r="210" spans="2:6" ht="57" x14ac:dyDescent="0.85">
      <c r="B210" s="984" t="s">
        <v>35</v>
      </c>
      <c r="C210" s="509" t="s">
        <v>1104</v>
      </c>
      <c r="D210" s="474" t="s">
        <v>251</v>
      </c>
      <c r="E210" s="510" t="s">
        <v>320</v>
      </c>
      <c r="F210" s="998" t="s">
        <v>252</v>
      </c>
    </row>
    <row r="211" spans="2:6" ht="57" x14ac:dyDescent="0.85">
      <c r="B211" s="984"/>
      <c r="C211" s="502" t="s">
        <v>254</v>
      </c>
      <c r="D211" s="474" t="s">
        <v>255</v>
      </c>
      <c r="E211" s="494" t="s">
        <v>61</v>
      </c>
      <c r="F211" s="961" t="s">
        <v>253</v>
      </c>
    </row>
    <row r="212" spans="2:6" x14ac:dyDescent="0.85">
      <c r="B212" s="987" t="s">
        <v>26</v>
      </c>
      <c r="C212" s="581" t="s">
        <v>1105</v>
      </c>
      <c r="D212" s="474" t="s">
        <v>256</v>
      </c>
      <c r="E212" s="494" t="s">
        <v>62</v>
      </c>
      <c r="F212" s="961" t="s">
        <v>265</v>
      </c>
    </row>
    <row r="213" spans="2:6" x14ac:dyDescent="0.85">
      <c r="B213" s="987"/>
      <c r="C213" s="581" t="s">
        <v>338</v>
      </c>
      <c r="D213" s="474" t="s">
        <v>257</v>
      </c>
      <c r="E213" s="494" t="s">
        <v>65</v>
      </c>
      <c r="F213" s="961" t="s">
        <v>265</v>
      </c>
    </row>
    <row r="214" spans="2:6" ht="57" x14ac:dyDescent="0.85">
      <c r="B214" s="987"/>
      <c r="C214" s="581" t="s">
        <v>1106</v>
      </c>
      <c r="D214" s="474" t="s">
        <v>258</v>
      </c>
      <c r="E214" s="494" t="s">
        <v>63</v>
      </c>
      <c r="F214" s="961" t="s">
        <v>266</v>
      </c>
    </row>
    <row r="215" spans="2:6" ht="85.5" x14ac:dyDescent="0.85">
      <c r="B215" s="987"/>
      <c r="C215" s="581" t="s">
        <v>339</v>
      </c>
      <c r="D215" s="474" t="s">
        <v>259</v>
      </c>
      <c r="E215" s="494" t="s">
        <v>269</v>
      </c>
      <c r="F215" s="961" t="s">
        <v>268</v>
      </c>
    </row>
    <row r="216" spans="2:6" ht="57" x14ac:dyDescent="0.85">
      <c r="B216" s="987"/>
      <c r="C216" s="581" t="s">
        <v>340</v>
      </c>
      <c r="D216" s="474" t="s">
        <v>260</v>
      </c>
      <c r="E216" s="494" t="s">
        <v>270</v>
      </c>
      <c r="F216" s="961" t="s">
        <v>267</v>
      </c>
    </row>
    <row r="217" spans="2:6" ht="57" x14ac:dyDescent="0.85">
      <c r="B217" s="987"/>
      <c r="C217" s="504" t="s">
        <v>1107</v>
      </c>
      <c r="D217" s="474" t="s">
        <v>261</v>
      </c>
      <c r="E217" s="494" t="s">
        <v>66</v>
      </c>
      <c r="F217" s="961" t="s">
        <v>271</v>
      </c>
    </row>
    <row r="218" spans="2:6" ht="57" x14ac:dyDescent="0.85">
      <c r="B218" s="987"/>
      <c r="C218" s="504" t="s">
        <v>1108</v>
      </c>
      <c r="D218" s="474" t="s">
        <v>262</v>
      </c>
      <c r="E218" s="494" t="s">
        <v>67</v>
      </c>
      <c r="F218" s="961" t="s">
        <v>271</v>
      </c>
    </row>
    <row r="219" spans="2:6" ht="57" x14ac:dyDescent="0.85">
      <c r="B219" s="987" t="s">
        <v>111</v>
      </c>
      <c r="C219" s="581" t="s">
        <v>272</v>
      </c>
      <c r="D219" s="474" t="s">
        <v>263</v>
      </c>
      <c r="E219" s="494" t="s">
        <v>138</v>
      </c>
      <c r="F219" s="961" t="s">
        <v>253</v>
      </c>
    </row>
    <row r="220" spans="2:6" ht="57" x14ac:dyDescent="0.85">
      <c r="B220" s="987"/>
      <c r="C220" s="504" t="s">
        <v>273</v>
      </c>
      <c r="D220" s="474" t="s">
        <v>264</v>
      </c>
      <c r="E220" s="494" t="s">
        <v>625</v>
      </c>
      <c r="F220" s="961" t="s">
        <v>253</v>
      </c>
    </row>
    <row r="221" spans="2:6" ht="57" x14ac:dyDescent="0.85">
      <c r="B221" s="987"/>
      <c r="C221" s="581" t="s">
        <v>1109</v>
      </c>
      <c r="D221" s="474" t="s">
        <v>321</v>
      </c>
      <c r="E221" s="494" t="s">
        <v>323</v>
      </c>
      <c r="F221" s="961" t="s">
        <v>324</v>
      </c>
    </row>
    <row r="222" spans="2:6" ht="85.5" x14ac:dyDescent="0.85">
      <c r="B222" s="987"/>
      <c r="C222" s="581" t="s">
        <v>1110</v>
      </c>
      <c r="D222" s="474" t="s">
        <v>322</v>
      </c>
      <c r="E222" s="494" t="s">
        <v>325</v>
      </c>
      <c r="F222" s="961" t="s">
        <v>324</v>
      </c>
    </row>
    <row r="223" spans="2:6" x14ac:dyDescent="0.85">
      <c r="B223" s="975" t="s">
        <v>129</v>
      </c>
      <c r="C223" s="600"/>
      <c r="D223" s="600"/>
      <c r="E223" s="600"/>
      <c r="F223" s="976"/>
    </row>
    <row r="224" spans="2:6" ht="57" x14ac:dyDescent="0.85">
      <c r="B224" s="999" t="s">
        <v>115</v>
      </c>
      <c r="C224" s="509" t="s">
        <v>1111</v>
      </c>
      <c r="D224" s="474" t="s">
        <v>368</v>
      </c>
      <c r="E224" s="494" t="s">
        <v>69</v>
      </c>
      <c r="F224" s="961" t="s">
        <v>277</v>
      </c>
    </row>
    <row r="225" spans="2:6" ht="85.5" x14ac:dyDescent="0.85">
      <c r="B225" s="999"/>
      <c r="C225" s="509" t="s">
        <v>475</v>
      </c>
      <c r="D225" s="474" t="s">
        <v>275</v>
      </c>
      <c r="E225" s="494" t="s">
        <v>68</v>
      </c>
      <c r="F225" s="961" t="s">
        <v>278</v>
      </c>
    </row>
    <row r="226" spans="2:6" ht="85.5" x14ac:dyDescent="0.85">
      <c r="B226" s="999"/>
      <c r="C226" s="580" t="s">
        <v>1112</v>
      </c>
      <c r="D226" s="474" t="s">
        <v>276</v>
      </c>
      <c r="E226" s="494" t="s">
        <v>117</v>
      </c>
      <c r="F226" s="961" t="s">
        <v>279</v>
      </c>
    </row>
    <row r="227" spans="2:6" ht="57" x14ac:dyDescent="0.85">
      <c r="B227" s="999"/>
      <c r="C227" s="509" t="s">
        <v>477</v>
      </c>
      <c r="D227" s="474" t="s">
        <v>369</v>
      </c>
      <c r="E227" s="494" t="s">
        <v>116</v>
      </c>
      <c r="F227" s="961" t="s">
        <v>280</v>
      </c>
    </row>
    <row r="228" spans="2:6" ht="114" x14ac:dyDescent="0.85">
      <c r="B228" s="999"/>
      <c r="C228" s="503" t="s">
        <v>476</v>
      </c>
      <c r="D228" s="474" t="s">
        <v>480</v>
      </c>
      <c r="E228" s="475" t="s">
        <v>752</v>
      </c>
      <c r="F228" s="974"/>
    </row>
    <row r="229" spans="2:6" ht="114" x14ac:dyDescent="0.85">
      <c r="B229" s="999"/>
      <c r="C229" s="503" t="s">
        <v>481</v>
      </c>
      <c r="D229" s="474" t="s">
        <v>497</v>
      </c>
      <c r="E229" s="494" t="s">
        <v>753</v>
      </c>
      <c r="F229" s="974"/>
    </row>
    <row r="230" spans="2:6" ht="114" x14ac:dyDescent="0.85">
      <c r="B230" s="984" t="s">
        <v>1113</v>
      </c>
      <c r="C230" s="511" t="s">
        <v>1114</v>
      </c>
      <c r="D230" s="474" t="s">
        <v>281</v>
      </c>
      <c r="E230" s="494" t="s">
        <v>626</v>
      </c>
      <c r="F230" s="961" t="s">
        <v>280</v>
      </c>
    </row>
    <row r="231" spans="2:6" ht="171" x14ac:dyDescent="0.85">
      <c r="B231" s="984"/>
      <c r="C231" s="580" t="s">
        <v>478</v>
      </c>
      <c r="D231" s="474" t="s">
        <v>282</v>
      </c>
      <c r="E231" s="494" t="s">
        <v>627</v>
      </c>
      <c r="F231" s="961" t="s">
        <v>280</v>
      </c>
    </row>
    <row r="232" spans="2:6" ht="57" x14ac:dyDescent="0.85">
      <c r="B232" s="984"/>
      <c r="C232" s="580" t="s">
        <v>483</v>
      </c>
      <c r="D232" s="474" t="s">
        <v>485</v>
      </c>
      <c r="E232" s="475" t="s">
        <v>754</v>
      </c>
      <c r="F232" s="974" t="s">
        <v>755</v>
      </c>
    </row>
    <row r="233" spans="2:6" ht="85.5" x14ac:dyDescent="0.85">
      <c r="B233" s="984"/>
      <c r="C233" s="580" t="s">
        <v>484</v>
      </c>
      <c r="D233" s="474" t="s">
        <v>486</v>
      </c>
      <c r="E233" s="475" t="s">
        <v>756</v>
      </c>
      <c r="F233" s="974" t="s">
        <v>755</v>
      </c>
    </row>
    <row r="234" spans="2:6" ht="114" x14ac:dyDescent="0.85">
      <c r="B234" s="1000" t="s">
        <v>487</v>
      </c>
      <c r="C234" s="580" t="s">
        <v>341</v>
      </c>
      <c r="D234" s="474" t="s">
        <v>370</v>
      </c>
      <c r="E234" s="494" t="s">
        <v>118</v>
      </c>
      <c r="F234" s="961" t="s">
        <v>757</v>
      </c>
    </row>
    <row r="235" spans="2:6" ht="57" x14ac:dyDescent="0.85">
      <c r="B235" s="1000"/>
      <c r="C235" s="580" t="s">
        <v>1115</v>
      </c>
      <c r="D235" s="474" t="s">
        <v>371</v>
      </c>
      <c r="E235" s="475" t="s">
        <v>758</v>
      </c>
      <c r="F235" s="974" t="s">
        <v>759</v>
      </c>
    </row>
    <row r="236" spans="2:6" x14ac:dyDescent="0.85">
      <c r="B236" s="1000"/>
      <c r="C236" s="502" t="s">
        <v>645</v>
      </c>
      <c r="D236" s="474" t="s">
        <v>646</v>
      </c>
      <c r="E236" s="494" t="s">
        <v>760</v>
      </c>
      <c r="F236" s="961" t="s">
        <v>757</v>
      </c>
    </row>
    <row r="237" spans="2:6" ht="57" x14ac:dyDescent="0.85">
      <c r="B237" s="1000"/>
      <c r="C237" s="502" t="s">
        <v>1116</v>
      </c>
      <c r="D237" s="474" t="s">
        <v>647</v>
      </c>
      <c r="E237" s="475" t="s">
        <v>761</v>
      </c>
      <c r="F237" s="961" t="s">
        <v>759</v>
      </c>
    </row>
    <row r="238" spans="2:6" ht="85.5" x14ac:dyDescent="0.85">
      <c r="B238" s="1000" t="s">
        <v>492</v>
      </c>
      <c r="C238" s="580" t="s">
        <v>479</v>
      </c>
      <c r="D238" s="474" t="s">
        <v>283</v>
      </c>
      <c r="E238" s="494" t="s">
        <v>119</v>
      </c>
      <c r="F238" s="961" t="s">
        <v>284</v>
      </c>
    </row>
    <row r="239" spans="2:6" ht="142.5" x14ac:dyDescent="0.85">
      <c r="B239" s="1000"/>
      <c r="C239" s="502" t="s">
        <v>1117</v>
      </c>
      <c r="D239" s="474" t="s">
        <v>285</v>
      </c>
      <c r="E239" s="494" t="s">
        <v>628</v>
      </c>
      <c r="F239" s="961" t="s">
        <v>284</v>
      </c>
    </row>
    <row r="240" spans="2:6" ht="85.5" x14ac:dyDescent="0.85">
      <c r="B240" s="1000"/>
      <c r="C240" s="502" t="s">
        <v>488</v>
      </c>
      <c r="D240" s="474" t="s">
        <v>493</v>
      </c>
      <c r="E240" s="475" t="s">
        <v>762</v>
      </c>
      <c r="F240" s="961" t="s">
        <v>763</v>
      </c>
    </row>
    <row r="241" spans="2:6" ht="85.5" x14ac:dyDescent="0.85">
      <c r="B241" s="1000"/>
      <c r="C241" s="580" t="s">
        <v>489</v>
      </c>
      <c r="D241" s="474" t="s">
        <v>494</v>
      </c>
      <c r="E241" s="475" t="s">
        <v>764</v>
      </c>
      <c r="F241" s="974" t="s">
        <v>765</v>
      </c>
    </row>
    <row r="242" spans="2:6" ht="57" x14ac:dyDescent="0.85">
      <c r="B242" s="1000"/>
      <c r="C242" s="580" t="s">
        <v>490</v>
      </c>
      <c r="D242" s="474" t="s">
        <v>495</v>
      </c>
      <c r="E242" s="475" t="s">
        <v>766</v>
      </c>
      <c r="F242" s="974" t="s">
        <v>767</v>
      </c>
    </row>
    <row r="243" spans="2:6" ht="57" x14ac:dyDescent="0.85">
      <c r="B243" s="1000"/>
      <c r="C243" s="580" t="s">
        <v>491</v>
      </c>
      <c r="D243" s="474" t="s">
        <v>496</v>
      </c>
      <c r="E243" s="475" t="s">
        <v>768</v>
      </c>
      <c r="F243" s="974" t="s">
        <v>767</v>
      </c>
    </row>
    <row r="244" spans="2:6" ht="114" x14ac:dyDescent="0.85">
      <c r="B244" s="999" t="s">
        <v>123</v>
      </c>
      <c r="C244" s="580" t="s">
        <v>1118</v>
      </c>
      <c r="D244" s="474" t="s">
        <v>286</v>
      </c>
      <c r="E244" s="494" t="s">
        <v>134</v>
      </c>
      <c r="F244" s="961" t="s">
        <v>288</v>
      </c>
    </row>
    <row r="245" spans="2:6" ht="85.5" x14ac:dyDescent="0.85">
      <c r="B245" s="999"/>
      <c r="C245" s="580" t="s">
        <v>342</v>
      </c>
      <c r="D245" s="474" t="s">
        <v>287</v>
      </c>
      <c r="E245" s="494" t="s">
        <v>629</v>
      </c>
      <c r="F245" s="961" t="s">
        <v>288</v>
      </c>
    </row>
    <row r="246" spans="2:6" ht="57" x14ac:dyDescent="0.85">
      <c r="B246" s="999" t="s">
        <v>512</v>
      </c>
      <c r="C246" s="580" t="s">
        <v>519</v>
      </c>
      <c r="D246" s="474" t="s">
        <v>529</v>
      </c>
      <c r="E246" s="475" t="s">
        <v>769</v>
      </c>
      <c r="F246" s="974" t="s">
        <v>770</v>
      </c>
    </row>
    <row r="247" spans="2:6" ht="57" x14ac:dyDescent="0.85">
      <c r="B247" s="999"/>
      <c r="C247" s="580" t="s">
        <v>514</v>
      </c>
      <c r="D247" s="474" t="s">
        <v>530</v>
      </c>
      <c r="E247" s="475" t="s">
        <v>771</v>
      </c>
      <c r="F247" s="974" t="s">
        <v>770</v>
      </c>
    </row>
    <row r="248" spans="2:6" ht="57" x14ac:dyDescent="0.85">
      <c r="B248" s="999"/>
      <c r="C248" s="503" t="s">
        <v>515</v>
      </c>
      <c r="D248" s="474" t="s">
        <v>531</v>
      </c>
      <c r="E248" s="475" t="s">
        <v>772</v>
      </c>
      <c r="F248" s="974"/>
    </row>
    <row r="249" spans="2:6" ht="57" x14ac:dyDescent="0.85">
      <c r="B249" s="999" t="s">
        <v>516</v>
      </c>
      <c r="C249" s="580" t="s">
        <v>520</v>
      </c>
      <c r="D249" s="474" t="s">
        <v>532</v>
      </c>
      <c r="E249" s="475" t="s">
        <v>773</v>
      </c>
      <c r="F249" s="974" t="s">
        <v>774</v>
      </c>
    </row>
    <row r="250" spans="2:6" ht="57" x14ac:dyDescent="0.85">
      <c r="B250" s="999"/>
      <c r="C250" s="580" t="s">
        <v>517</v>
      </c>
      <c r="D250" s="474" t="s">
        <v>533</v>
      </c>
      <c r="E250" s="475" t="s">
        <v>775</v>
      </c>
      <c r="F250" s="974" t="s">
        <v>774</v>
      </c>
    </row>
    <row r="251" spans="2:6" ht="57" x14ac:dyDescent="0.85">
      <c r="B251" s="999"/>
      <c r="C251" s="503" t="s">
        <v>518</v>
      </c>
      <c r="D251" s="474" t="s">
        <v>534</v>
      </c>
      <c r="E251" s="475" t="s">
        <v>776</v>
      </c>
      <c r="F251" s="974"/>
    </row>
    <row r="252" spans="2:6" ht="57" x14ac:dyDescent="0.85">
      <c r="B252" s="999" t="s">
        <v>513</v>
      </c>
      <c r="C252" s="580" t="s">
        <v>927</v>
      </c>
      <c r="D252" s="474" t="s">
        <v>535</v>
      </c>
      <c r="E252" s="475" t="s">
        <v>777</v>
      </c>
      <c r="F252" s="974" t="s">
        <v>778</v>
      </c>
    </row>
    <row r="253" spans="2:6" ht="57" x14ac:dyDescent="0.85">
      <c r="B253" s="999"/>
      <c r="C253" s="580" t="s">
        <v>928</v>
      </c>
      <c r="D253" s="474" t="s">
        <v>536</v>
      </c>
      <c r="E253" s="475" t="s">
        <v>779</v>
      </c>
      <c r="F253" s="974" t="s">
        <v>778</v>
      </c>
    </row>
    <row r="254" spans="2:6" ht="57" x14ac:dyDescent="0.85">
      <c r="B254" s="999"/>
      <c r="C254" s="512" t="s">
        <v>949</v>
      </c>
      <c r="D254" s="474" t="s">
        <v>537</v>
      </c>
      <c r="E254" s="475" t="s">
        <v>780</v>
      </c>
      <c r="F254" s="974"/>
    </row>
    <row r="255" spans="2:6" x14ac:dyDescent="0.85">
      <c r="B255" s="975" t="s">
        <v>128</v>
      </c>
      <c r="C255" s="600"/>
      <c r="D255" s="600"/>
      <c r="E255" s="600"/>
      <c r="F255" s="976"/>
    </row>
    <row r="256" spans="2:6" ht="114" x14ac:dyDescent="0.85">
      <c r="B256" s="1000" t="s">
        <v>482</v>
      </c>
      <c r="C256" s="580" t="s">
        <v>498</v>
      </c>
      <c r="D256" s="474" t="s">
        <v>372</v>
      </c>
      <c r="E256" s="494" t="s">
        <v>70</v>
      </c>
      <c r="F256" s="961" t="s">
        <v>781</v>
      </c>
    </row>
    <row r="257" spans="2:6" ht="57" x14ac:dyDescent="0.85">
      <c r="B257" s="1000"/>
      <c r="C257" s="580" t="s">
        <v>499</v>
      </c>
      <c r="D257" s="474" t="s">
        <v>373</v>
      </c>
      <c r="E257" s="494" t="s">
        <v>71</v>
      </c>
      <c r="F257" s="961" t="s">
        <v>781</v>
      </c>
    </row>
    <row r="258" spans="2:6" x14ac:dyDescent="0.85">
      <c r="B258" s="1000"/>
      <c r="C258" s="503" t="s">
        <v>500</v>
      </c>
      <c r="D258" s="474" t="s">
        <v>507</v>
      </c>
      <c r="E258" s="475"/>
      <c r="F258" s="974"/>
    </row>
    <row r="259" spans="2:6" ht="85.5" x14ac:dyDescent="0.85">
      <c r="B259" s="984" t="s">
        <v>1119</v>
      </c>
      <c r="C259" s="580" t="s">
        <v>501</v>
      </c>
      <c r="D259" s="474" t="s">
        <v>508</v>
      </c>
      <c r="E259" s="475" t="s">
        <v>782</v>
      </c>
      <c r="F259" s="961" t="s">
        <v>781</v>
      </c>
    </row>
    <row r="260" spans="2:6" ht="57" x14ac:dyDescent="0.85">
      <c r="B260" s="984"/>
      <c r="C260" s="580" t="s">
        <v>502</v>
      </c>
      <c r="D260" s="474" t="s">
        <v>509</v>
      </c>
      <c r="E260" s="475" t="s">
        <v>783</v>
      </c>
      <c r="F260" s="961" t="s">
        <v>781</v>
      </c>
    </row>
    <row r="261" spans="2:6" ht="57" x14ac:dyDescent="0.85">
      <c r="B261" s="1001" t="s">
        <v>487</v>
      </c>
      <c r="C261" s="513" t="s">
        <v>503</v>
      </c>
      <c r="D261" s="514" t="s">
        <v>374</v>
      </c>
      <c r="E261" s="515" t="s">
        <v>139</v>
      </c>
      <c r="F261" s="1002" t="s">
        <v>295</v>
      </c>
    </row>
    <row r="262" spans="2:6" ht="57" x14ac:dyDescent="0.85">
      <c r="B262" s="1001"/>
      <c r="C262" s="513" t="s">
        <v>643</v>
      </c>
      <c r="D262" s="514" t="s">
        <v>644</v>
      </c>
      <c r="E262" s="515" t="s">
        <v>784</v>
      </c>
      <c r="F262" s="1002" t="s">
        <v>295</v>
      </c>
    </row>
    <row r="263" spans="2:6" ht="57" x14ac:dyDescent="0.85">
      <c r="B263" s="1000" t="s">
        <v>492</v>
      </c>
      <c r="C263" s="580" t="s">
        <v>505</v>
      </c>
      <c r="D263" s="474" t="s">
        <v>375</v>
      </c>
      <c r="E263" s="494" t="s">
        <v>785</v>
      </c>
      <c r="F263" s="961" t="s">
        <v>786</v>
      </c>
    </row>
    <row r="264" spans="2:6" ht="57" x14ac:dyDescent="0.85">
      <c r="B264" s="1000"/>
      <c r="C264" s="580" t="s">
        <v>506</v>
      </c>
      <c r="D264" s="474" t="s">
        <v>510</v>
      </c>
      <c r="E264" s="475" t="s">
        <v>787</v>
      </c>
      <c r="F264" s="961" t="s">
        <v>786</v>
      </c>
    </row>
    <row r="265" spans="2:6" ht="57" x14ac:dyDescent="0.85">
      <c r="B265" s="1000"/>
      <c r="C265" s="580" t="s">
        <v>504</v>
      </c>
      <c r="D265" s="474" t="s">
        <v>511</v>
      </c>
      <c r="E265" s="475" t="s">
        <v>788</v>
      </c>
      <c r="F265" s="961" t="s">
        <v>789</v>
      </c>
    </row>
    <row r="266" spans="2:6" ht="57" x14ac:dyDescent="0.85">
      <c r="B266" s="1003" t="s">
        <v>289</v>
      </c>
      <c r="C266" s="580" t="s">
        <v>1120</v>
      </c>
      <c r="D266" s="474" t="s">
        <v>376</v>
      </c>
      <c r="E266" s="494" t="s">
        <v>290</v>
      </c>
      <c r="F266" s="961" t="s">
        <v>291</v>
      </c>
    </row>
    <row r="267" spans="2:6" ht="85.5" x14ac:dyDescent="0.85">
      <c r="B267" s="1000" t="s">
        <v>1121</v>
      </c>
      <c r="C267" s="580" t="s">
        <v>292</v>
      </c>
      <c r="D267" s="474" t="s">
        <v>377</v>
      </c>
      <c r="E267" s="494" t="s">
        <v>293</v>
      </c>
      <c r="F267" s="961" t="s">
        <v>294</v>
      </c>
    </row>
    <row r="268" spans="2:6" s="516" customFormat="1" ht="171" x14ac:dyDescent="0.85">
      <c r="B268" s="1000"/>
      <c r="C268" s="580" t="s">
        <v>343</v>
      </c>
      <c r="D268" s="474" t="s">
        <v>378</v>
      </c>
      <c r="E268" s="494" t="s">
        <v>140</v>
      </c>
      <c r="F268" s="961" t="s">
        <v>295</v>
      </c>
    </row>
    <row r="269" spans="2:6" ht="142.5" x14ac:dyDescent="0.85">
      <c r="B269" s="1000"/>
      <c r="C269" s="580" t="s">
        <v>1122</v>
      </c>
      <c r="D269" s="474" t="s">
        <v>379</v>
      </c>
      <c r="E269" s="494" t="s">
        <v>141</v>
      </c>
      <c r="F269" s="961" t="s">
        <v>296</v>
      </c>
    </row>
    <row r="270" spans="2:6" x14ac:dyDescent="0.85">
      <c r="B270" s="975" t="s">
        <v>130</v>
      </c>
      <c r="C270" s="600"/>
      <c r="D270" s="600"/>
      <c r="E270" s="600"/>
      <c r="F270" s="976"/>
    </row>
    <row r="271" spans="2:6" ht="57" x14ac:dyDescent="0.85">
      <c r="B271" s="1003" t="s">
        <v>297</v>
      </c>
      <c r="C271" s="517" t="s">
        <v>1123</v>
      </c>
      <c r="D271" s="474" t="s">
        <v>298</v>
      </c>
      <c r="E271" s="494" t="s">
        <v>790</v>
      </c>
      <c r="F271" s="961" t="s">
        <v>791</v>
      </c>
    </row>
    <row r="272" spans="2:6" ht="85.5" x14ac:dyDescent="0.85">
      <c r="B272" s="984" t="s">
        <v>577</v>
      </c>
      <c r="C272" s="502" t="s">
        <v>395</v>
      </c>
      <c r="D272" s="474" t="s">
        <v>571</v>
      </c>
      <c r="E272" s="475" t="s">
        <v>792</v>
      </c>
      <c r="F272" s="961" t="s">
        <v>791</v>
      </c>
    </row>
    <row r="273" spans="2:6" ht="85.5" x14ac:dyDescent="0.85">
      <c r="B273" s="984"/>
      <c r="C273" s="502" t="s">
        <v>390</v>
      </c>
      <c r="D273" s="474" t="s">
        <v>572</v>
      </c>
      <c r="E273" s="475" t="s">
        <v>793</v>
      </c>
      <c r="F273" s="961" t="s">
        <v>791</v>
      </c>
    </row>
    <row r="274" spans="2:6" ht="85.5" x14ac:dyDescent="0.85">
      <c r="B274" s="984"/>
      <c r="C274" s="580" t="s">
        <v>391</v>
      </c>
      <c r="D274" s="474" t="s">
        <v>573</v>
      </c>
      <c r="E274" s="475" t="s">
        <v>794</v>
      </c>
      <c r="F274" s="961" t="s">
        <v>791</v>
      </c>
    </row>
    <row r="275" spans="2:6" ht="85.5" x14ac:dyDescent="0.85">
      <c r="B275" s="984"/>
      <c r="C275" s="580" t="s">
        <v>392</v>
      </c>
      <c r="D275" s="474" t="s">
        <v>574</v>
      </c>
      <c r="E275" s="475" t="s">
        <v>795</v>
      </c>
      <c r="F275" s="961" t="s">
        <v>791</v>
      </c>
    </row>
    <row r="276" spans="2:6" ht="85.5" x14ac:dyDescent="0.85">
      <c r="B276" s="984"/>
      <c r="C276" s="580" t="s">
        <v>393</v>
      </c>
      <c r="D276" s="474" t="s">
        <v>575</v>
      </c>
      <c r="E276" s="475" t="s">
        <v>796</v>
      </c>
      <c r="F276" s="961" t="s">
        <v>791</v>
      </c>
    </row>
    <row r="277" spans="2:6" ht="85.5" x14ac:dyDescent="0.85">
      <c r="B277" s="984"/>
      <c r="C277" s="580" t="s">
        <v>394</v>
      </c>
      <c r="D277" s="474" t="s">
        <v>576</v>
      </c>
      <c r="E277" s="475" t="s">
        <v>797</v>
      </c>
      <c r="F277" s="961" t="s">
        <v>791</v>
      </c>
    </row>
    <row r="278" spans="2:6" ht="57.4" thickBot="1" x14ac:dyDescent="0.9">
      <c r="B278" s="1003" t="s">
        <v>578</v>
      </c>
      <c r="C278" s="518" t="s">
        <v>950</v>
      </c>
      <c r="D278" s="474" t="s">
        <v>299</v>
      </c>
      <c r="E278" s="494" t="s">
        <v>72</v>
      </c>
      <c r="F278" s="961" t="s">
        <v>791</v>
      </c>
    </row>
    <row r="279" spans="2:6" ht="85.5" x14ac:dyDescent="0.85">
      <c r="B279" s="1004" t="s">
        <v>983</v>
      </c>
      <c r="C279" s="953" t="s">
        <v>984</v>
      </c>
      <c r="D279" s="519" t="s">
        <v>985</v>
      </c>
      <c r="E279" s="494" t="s">
        <v>993</v>
      </c>
      <c r="F279" s="961" t="s">
        <v>994</v>
      </c>
    </row>
    <row r="280" spans="2:6" ht="57" x14ac:dyDescent="0.85">
      <c r="B280" s="984" t="s">
        <v>579</v>
      </c>
      <c r="C280" s="580" t="s">
        <v>987</v>
      </c>
      <c r="D280" s="474" t="s">
        <v>560</v>
      </c>
      <c r="E280" s="475" t="s">
        <v>988</v>
      </c>
      <c r="F280" s="974" t="s">
        <v>798</v>
      </c>
    </row>
    <row r="281" spans="2:6" ht="57" x14ac:dyDescent="0.85">
      <c r="B281" s="984"/>
      <c r="C281" s="517" t="s">
        <v>1124</v>
      </c>
      <c r="D281" s="474" t="s">
        <v>301</v>
      </c>
      <c r="E281" s="494" t="s">
        <v>300</v>
      </c>
      <c r="F281" s="961" t="s">
        <v>302</v>
      </c>
    </row>
    <row r="282" spans="2:6" ht="57" x14ac:dyDescent="0.85">
      <c r="B282" s="984" t="s">
        <v>440</v>
      </c>
      <c r="C282" s="580" t="s">
        <v>395</v>
      </c>
      <c r="D282" s="474" t="s">
        <v>409</v>
      </c>
      <c r="E282" s="494" t="s">
        <v>426</v>
      </c>
      <c r="F282" s="961" t="s">
        <v>302</v>
      </c>
    </row>
    <row r="283" spans="2:6" ht="57" x14ac:dyDescent="0.85">
      <c r="B283" s="984"/>
      <c r="C283" s="580" t="s">
        <v>390</v>
      </c>
      <c r="D283" s="474" t="s">
        <v>410</v>
      </c>
      <c r="E283" s="494" t="s">
        <v>427</v>
      </c>
      <c r="F283" s="961" t="s">
        <v>302</v>
      </c>
    </row>
    <row r="284" spans="2:6" ht="57" x14ac:dyDescent="0.85">
      <c r="B284" s="984"/>
      <c r="C284" s="580" t="s">
        <v>391</v>
      </c>
      <c r="D284" s="474" t="s">
        <v>411</v>
      </c>
      <c r="E284" s="494" t="s">
        <v>428</v>
      </c>
      <c r="F284" s="961" t="s">
        <v>302</v>
      </c>
    </row>
    <row r="285" spans="2:6" ht="57" x14ac:dyDescent="0.85">
      <c r="B285" s="984"/>
      <c r="C285" s="580" t="s">
        <v>392</v>
      </c>
      <c r="D285" s="474" t="s">
        <v>412</v>
      </c>
      <c r="E285" s="494" t="s">
        <v>429</v>
      </c>
      <c r="F285" s="961" t="s">
        <v>302</v>
      </c>
    </row>
    <row r="286" spans="2:6" ht="57" x14ac:dyDescent="0.85">
      <c r="B286" s="984"/>
      <c r="C286" s="580" t="s">
        <v>393</v>
      </c>
      <c r="D286" s="474" t="s">
        <v>413</v>
      </c>
      <c r="E286" s="494" t="s">
        <v>430</v>
      </c>
      <c r="F286" s="961" t="s">
        <v>302</v>
      </c>
    </row>
    <row r="287" spans="2:6" ht="57" x14ac:dyDescent="0.85">
      <c r="B287" s="984"/>
      <c r="C287" s="580" t="s">
        <v>394</v>
      </c>
      <c r="D287" s="474" t="s">
        <v>414</v>
      </c>
      <c r="E287" s="494" t="s">
        <v>431</v>
      </c>
      <c r="F287" s="961" t="s">
        <v>302</v>
      </c>
    </row>
    <row r="288" spans="2:6" x14ac:dyDescent="0.85">
      <c r="B288" s="984" t="s">
        <v>441</v>
      </c>
      <c r="C288" s="580" t="s">
        <v>444</v>
      </c>
      <c r="D288" s="474" t="s">
        <v>420</v>
      </c>
      <c r="E288" s="494" t="s">
        <v>432</v>
      </c>
      <c r="F288" s="961" t="s">
        <v>438</v>
      </c>
    </row>
    <row r="289" spans="2:6" x14ac:dyDescent="0.85">
      <c r="B289" s="984"/>
      <c r="C289" s="502" t="s">
        <v>415</v>
      </c>
      <c r="D289" s="474" t="s">
        <v>421</v>
      </c>
      <c r="E289" s="494" t="s">
        <v>433</v>
      </c>
      <c r="F289" s="961" t="s">
        <v>438</v>
      </c>
    </row>
    <row r="290" spans="2:6" x14ac:dyDescent="0.85">
      <c r="B290" s="984"/>
      <c r="C290" s="502" t="s">
        <v>416</v>
      </c>
      <c r="D290" s="474" t="s">
        <v>422</v>
      </c>
      <c r="E290" s="494" t="s">
        <v>434</v>
      </c>
      <c r="F290" s="961" t="s">
        <v>438</v>
      </c>
    </row>
    <row r="291" spans="2:6" x14ac:dyDescent="0.85">
      <c r="B291" s="984"/>
      <c r="C291" s="580" t="s">
        <v>417</v>
      </c>
      <c r="D291" s="474" t="s">
        <v>423</v>
      </c>
      <c r="E291" s="494" t="s">
        <v>435</v>
      </c>
      <c r="F291" s="961" t="s">
        <v>438</v>
      </c>
    </row>
    <row r="292" spans="2:6" x14ac:dyDescent="0.85">
      <c r="B292" s="984"/>
      <c r="C292" s="580" t="s">
        <v>418</v>
      </c>
      <c r="D292" s="474" t="s">
        <v>424</v>
      </c>
      <c r="E292" s="494" t="s">
        <v>436</v>
      </c>
      <c r="F292" s="961" t="s">
        <v>438</v>
      </c>
    </row>
    <row r="293" spans="2:6" x14ac:dyDescent="0.85">
      <c r="B293" s="984"/>
      <c r="C293" s="580" t="s">
        <v>419</v>
      </c>
      <c r="D293" s="474" t="s">
        <v>425</v>
      </c>
      <c r="E293" s="494" t="s">
        <v>437</v>
      </c>
      <c r="F293" s="961" t="s">
        <v>438</v>
      </c>
    </row>
    <row r="294" spans="2:6" x14ac:dyDescent="0.85">
      <c r="B294" s="984"/>
      <c r="C294" s="501" t="s">
        <v>439</v>
      </c>
      <c r="D294" s="474" t="s">
        <v>443</v>
      </c>
      <c r="E294" s="475"/>
      <c r="F294" s="974"/>
    </row>
    <row r="295" spans="2:6" ht="57" x14ac:dyDescent="0.85">
      <c r="B295" s="984"/>
      <c r="C295" s="580" t="s">
        <v>461</v>
      </c>
      <c r="D295" s="474" t="s">
        <v>445</v>
      </c>
      <c r="E295" s="494" t="s">
        <v>459</v>
      </c>
      <c r="F295" s="961" t="s">
        <v>438</v>
      </c>
    </row>
    <row r="296" spans="2:6" ht="85.5" x14ac:dyDescent="0.85">
      <c r="B296" s="1005" t="s">
        <v>611</v>
      </c>
      <c r="C296" s="580" t="s">
        <v>603</v>
      </c>
      <c r="D296" s="474" t="s">
        <v>557</v>
      </c>
      <c r="E296" s="475" t="s">
        <v>800</v>
      </c>
      <c r="F296" s="974" t="s">
        <v>801</v>
      </c>
    </row>
    <row r="297" spans="2:6" ht="85.5" x14ac:dyDescent="0.85">
      <c r="B297" s="1005"/>
      <c r="C297" s="580" t="s">
        <v>604</v>
      </c>
      <c r="D297" s="474" t="s">
        <v>558</v>
      </c>
      <c r="E297" s="475" t="s">
        <v>802</v>
      </c>
      <c r="F297" s="974" t="s">
        <v>801</v>
      </c>
    </row>
    <row r="298" spans="2:6" ht="57" x14ac:dyDescent="0.85">
      <c r="B298" s="1005"/>
      <c r="C298" s="501" t="s">
        <v>841</v>
      </c>
      <c r="D298" s="474" t="s">
        <v>556</v>
      </c>
      <c r="E298" s="475"/>
      <c r="F298" s="1006"/>
    </row>
    <row r="299" spans="2:6" ht="85.5" x14ac:dyDescent="0.85">
      <c r="B299" s="1005"/>
      <c r="C299" s="580" t="s">
        <v>605</v>
      </c>
      <c r="D299" s="474" t="s">
        <v>559</v>
      </c>
      <c r="E299" s="475" t="s">
        <v>803</v>
      </c>
      <c r="F299" s="974" t="s">
        <v>801</v>
      </c>
    </row>
    <row r="300" spans="2:6" ht="85.5" x14ac:dyDescent="0.85">
      <c r="B300" s="1005"/>
      <c r="C300" s="580" t="s">
        <v>606</v>
      </c>
      <c r="D300" s="474" t="s">
        <v>599</v>
      </c>
      <c r="E300" s="475" t="s">
        <v>804</v>
      </c>
      <c r="F300" s="974" t="s">
        <v>801</v>
      </c>
    </row>
    <row r="301" spans="2:6" ht="114" x14ac:dyDescent="0.85">
      <c r="B301" s="1005"/>
      <c r="C301" s="501" t="s">
        <v>842</v>
      </c>
      <c r="D301" s="474" t="s">
        <v>303</v>
      </c>
      <c r="E301" s="494" t="s">
        <v>799</v>
      </c>
      <c r="F301" s="961" t="s">
        <v>302</v>
      </c>
    </row>
    <row r="302" spans="2:6" ht="57" x14ac:dyDescent="0.85">
      <c r="B302" s="1005"/>
      <c r="C302" s="580" t="s">
        <v>1125</v>
      </c>
      <c r="D302" s="474" t="s">
        <v>600</v>
      </c>
      <c r="E302" s="475" t="s">
        <v>805</v>
      </c>
      <c r="F302" s="974" t="s">
        <v>806</v>
      </c>
    </row>
    <row r="303" spans="2:6" ht="57" x14ac:dyDescent="0.85">
      <c r="B303" s="1005"/>
      <c r="C303" s="580" t="s">
        <v>1126</v>
      </c>
      <c r="D303" s="474" t="s">
        <v>601</v>
      </c>
      <c r="E303" s="475" t="s">
        <v>807</v>
      </c>
      <c r="F303" s="974" t="s">
        <v>808</v>
      </c>
    </row>
    <row r="304" spans="2:6" ht="57" x14ac:dyDescent="0.85">
      <c r="B304" s="1005"/>
      <c r="C304" s="580" t="s">
        <v>1127</v>
      </c>
      <c r="D304" s="474" t="s">
        <v>602</v>
      </c>
      <c r="E304" s="475" t="s">
        <v>809</v>
      </c>
      <c r="F304" s="974" t="s">
        <v>810</v>
      </c>
    </row>
    <row r="305" spans="2:6" ht="57" x14ac:dyDescent="0.85">
      <c r="B305" s="1005"/>
      <c r="C305" s="501" t="s">
        <v>843</v>
      </c>
      <c r="D305" s="474" t="s">
        <v>609</v>
      </c>
      <c r="E305" s="520" t="s">
        <v>849</v>
      </c>
      <c r="F305" s="1007">
        <f t="shared" ref="F305" si="0">SUM(F302:F304)</f>
        <v>0</v>
      </c>
    </row>
    <row r="306" spans="2:6" ht="85.5" x14ac:dyDescent="0.85">
      <c r="B306" s="1005"/>
      <c r="C306" s="580" t="s">
        <v>607</v>
      </c>
      <c r="D306" s="474" t="s">
        <v>610</v>
      </c>
      <c r="E306" s="475" t="s">
        <v>811</v>
      </c>
      <c r="F306" s="974" t="s">
        <v>812</v>
      </c>
    </row>
    <row r="307" spans="2:6" ht="57" x14ac:dyDescent="0.85">
      <c r="B307" s="1005"/>
      <c r="C307" s="501" t="s">
        <v>844</v>
      </c>
      <c r="D307" s="474" t="s">
        <v>613</v>
      </c>
      <c r="E307" s="475" t="s">
        <v>813</v>
      </c>
      <c r="F307" s="974" t="s">
        <v>814</v>
      </c>
    </row>
    <row r="308" spans="2:6" ht="57" x14ac:dyDescent="0.85">
      <c r="B308" s="1005"/>
      <c r="C308" s="580" t="s">
        <v>815</v>
      </c>
      <c r="D308" s="474" t="s">
        <v>614</v>
      </c>
      <c r="E308" s="475" t="s">
        <v>816</v>
      </c>
      <c r="F308" s="974" t="s">
        <v>817</v>
      </c>
    </row>
    <row r="309" spans="2:6" ht="57" x14ac:dyDescent="0.85">
      <c r="B309" s="1005"/>
      <c r="C309" s="580" t="s">
        <v>818</v>
      </c>
      <c r="D309" s="474" t="s">
        <v>615</v>
      </c>
      <c r="E309" s="475" t="s">
        <v>819</v>
      </c>
      <c r="F309" s="974" t="s">
        <v>817</v>
      </c>
    </row>
    <row r="310" spans="2:6" x14ac:dyDescent="0.85">
      <c r="B310" s="1000" t="s">
        <v>612</v>
      </c>
      <c r="C310" s="501" t="s">
        <v>521</v>
      </c>
      <c r="D310" s="474" t="s">
        <v>616</v>
      </c>
      <c r="E310" s="475" t="s">
        <v>714</v>
      </c>
      <c r="F310" s="974" t="s">
        <v>820</v>
      </c>
    </row>
    <row r="311" spans="2:6" x14ac:dyDescent="0.85">
      <c r="B311" s="1000"/>
      <c r="C311" s="521" t="s">
        <v>966</v>
      </c>
      <c r="D311" s="474" t="s">
        <v>616</v>
      </c>
      <c r="E311" s="475"/>
      <c r="F311" s="974"/>
    </row>
    <row r="312" spans="2:6" ht="57" x14ac:dyDescent="0.85">
      <c r="B312" s="1000"/>
      <c r="C312" s="580" t="s">
        <v>598</v>
      </c>
      <c r="D312" s="474" t="s">
        <v>617</v>
      </c>
      <c r="E312" s="580" t="s">
        <v>821</v>
      </c>
      <c r="F312" s="974" t="s">
        <v>822</v>
      </c>
    </row>
    <row r="313" spans="2:6" ht="57" x14ac:dyDescent="0.85">
      <c r="B313" s="1000"/>
      <c r="C313" s="580" t="s">
        <v>1125</v>
      </c>
      <c r="D313" s="474" t="s">
        <v>618</v>
      </c>
      <c r="E313" s="475" t="s">
        <v>823</v>
      </c>
      <c r="F313" s="974" t="s">
        <v>806</v>
      </c>
    </row>
    <row r="314" spans="2:6" ht="57" x14ac:dyDescent="0.85">
      <c r="B314" s="1000"/>
      <c r="C314" s="580" t="s">
        <v>1126</v>
      </c>
      <c r="D314" s="474" t="s">
        <v>619</v>
      </c>
      <c r="E314" s="475" t="s">
        <v>824</v>
      </c>
      <c r="F314" s="974" t="s">
        <v>808</v>
      </c>
    </row>
    <row r="315" spans="2:6" ht="57" x14ac:dyDescent="0.85">
      <c r="B315" s="1000"/>
      <c r="C315" s="580" t="s">
        <v>1127</v>
      </c>
      <c r="D315" s="474" t="s">
        <v>620</v>
      </c>
      <c r="E315" s="475" t="s">
        <v>825</v>
      </c>
      <c r="F315" s="974" t="s">
        <v>810</v>
      </c>
    </row>
    <row r="316" spans="2:6" ht="85.5" x14ac:dyDescent="0.85">
      <c r="B316" s="1000"/>
      <c r="C316" s="580" t="s">
        <v>607</v>
      </c>
      <c r="D316" s="474" t="s">
        <v>621</v>
      </c>
      <c r="E316" s="475" t="s">
        <v>826</v>
      </c>
      <c r="F316" s="974" t="s">
        <v>812</v>
      </c>
    </row>
    <row r="317" spans="2:6" ht="57" x14ac:dyDescent="0.85">
      <c r="B317" s="1000"/>
      <c r="C317" s="501" t="s">
        <v>972</v>
      </c>
      <c r="D317" s="474" t="s">
        <v>622</v>
      </c>
      <c r="E317" s="475" t="s">
        <v>827</v>
      </c>
      <c r="F317" s="974" t="s">
        <v>814</v>
      </c>
    </row>
    <row r="318" spans="2:6" hidden="1" x14ac:dyDescent="0.85">
      <c r="B318" s="1008" t="s">
        <v>132</v>
      </c>
      <c r="C318" s="601"/>
      <c r="D318" s="601"/>
      <c r="E318" s="601"/>
      <c r="F318" s="1009"/>
    </row>
    <row r="319" spans="2:6" ht="85.5" hidden="1" x14ac:dyDescent="0.85">
      <c r="B319" s="987" t="s">
        <v>389</v>
      </c>
      <c r="C319" s="580" t="s">
        <v>395</v>
      </c>
      <c r="D319" s="496" t="s">
        <v>396</v>
      </c>
      <c r="E319" s="494" t="s">
        <v>402</v>
      </c>
      <c r="F319" s="961" t="s">
        <v>408</v>
      </c>
    </row>
    <row r="320" spans="2:6" ht="114" hidden="1" x14ac:dyDescent="0.85">
      <c r="B320" s="987"/>
      <c r="C320" s="580" t="s">
        <v>390</v>
      </c>
      <c r="D320" s="496" t="s">
        <v>397</v>
      </c>
      <c r="E320" s="494" t="s">
        <v>403</v>
      </c>
      <c r="F320" s="961" t="s">
        <v>408</v>
      </c>
    </row>
    <row r="321" spans="2:6" ht="114" hidden="1" x14ac:dyDescent="0.85">
      <c r="B321" s="987"/>
      <c r="C321" s="580" t="s">
        <v>391</v>
      </c>
      <c r="D321" s="496" t="s">
        <v>398</v>
      </c>
      <c r="E321" s="494" t="s">
        <v>404</v>
      </c>
      <c r="F321" s="961" t="s">
        <v>408</v>
      </c>
    </row>
    <row r="322" spans="2:6" ht="114" hidden="1" x14ac:dyDescent="0.85">
      <c r="B322" s="987"/>
      <c r="C322" s="580" t="s">
        <v>392</v>
      </c>
      <c r="D322" s="496" t="s">
        <v>399</v>
      </c>
      <c r="E322" s="494" t="s">
        <v>405</v>
      </c>
      <c r="F322" s="961" t="s">
        <v>408</v>
      </c>
    </row>
    <row r="323" spans="2:6" ht="114" hidden="1" x14ac:dyDescent="0.85">
      <c r="B323" s="987"/>
      <c r="C323" s="580" t="s">
        <v>393</v>
      </c>
      <c r="D323" s="496" t="s">
        <v>400</v>
      </c>
      <c r="E323" s="494" t="s">
        <v>406</v>
      </c>
      <c r="F323" s="961" t="s">
        <v>408</v>
      </c>
    </row>
    <row r="324" spans="2:6" ht="114" hidden="1" x14ac:dyDescent="0.85">
      <c r="B324" s="987"/>
      <c r="C324" s="580" t="s">
        <v>394</v>
      </c>
      <c r="D324" s="496" t="s">
        <v>401</v>
      </c>
      <c r="E324" s="494" t="s">
        <v>407</v>
      </c>
      <c r="F324" s="961" t="s">
        <v>408</v>
      </c>
    </row>
    <row r="325" spans="2:6" ht="85.5" hidden="1" x14ac:dyDescent="0.85">
      <c r="B325" s="984" t="s">
        <v>27</v>
      </c>
      <c r="C325" s="580" t="s">
        <v>344</v>
      </c>
      <c r="D325" s="474" t="s">
        <v>304</v>
      </c>
      <c r="E325" s="494" t="s">
        <v>73</v>
      </c>
      <c r="F325" s="961" t="s">
        <v>305</v>
      </c>
    </row>
    <row r="326" spans="2:6" ht="57" hidden="1" x14ac:dyDescent="0.85">
      <c r="B326" s="984"/>
      <c r="C326" s="580" t="s">
        <v>597</v>
      </c>
      <c r="D326" s="474" t="s">
        <v>449</v>
      </c>
      <c r="E326" s="494" t="s">
        <v>455</v>
      </c>
      <c r="F326" s="961" t="s">
        <v>457</v>
      </c>
    </row>
    <row r="327" spans="2:6" ht="85.5" hidden="1" x14ac:dyDescent="0.85">
      <c r="B327" s="984"/>
      <c r="C327" s="580" t="s">
        <v>453</v>
      </c>
      <c r="D327" s="474" t="s">
        <v>450</v>
      </c>
      <c r="E327" s="494" t="s">
        <v>456</v>
      </c>
      <c r="F327" s="961" t="s">
        <v>457</v>
      </c>
    </row>
    <row r="328" spans="2:6" ht="370.5" hidden="1" x14ac:dyDescent="0.85">
      <c r="B328" s="984"/>
      <c r="C328" s="580" t="s">
        <v>446</v>
      </c>
      <c r="D328" s="474" t="s">
        <v>451</v>
      </c>
      <c r="E328" s="494" t="s">
        <v>447</v>
      </c>
      <c r="F328" s="961" t="s">
        <v>314</v>
      </c>
    </row>
    <row r="329" spans="2:6" ht="114" hidden="1" x14ac:dyDescent="0.85">
      <c r="B329" s="984"/>
      <c r="C329" s="580" t="s">
        <v>448</v>
      </c>
      <c r="D329" s="474" t="s">
        <v>452</v>
      </c>
      <c r="E329" s="494" t="s">
        <v>454</v>
      </c>
      <c r="F329" s="961" t="s">
        <v>458</v>
      </c>
    </row>
    <row r="330" spans="2:6" hidden="1" x14ac:dyDescent="0.85">
      <c r="B330" s="984"/>
      <c r="C330" s="522" t="s">
        <v>460</v>
      </c>
      <c r="D330" s="523" t="s">
        <v>306</v>
      </c>
      <c r="E330" s="475"/>
      <c r="F330" s="974"/>
    </row>
    <row r="331" spans="2:6" ht="85.5" hidden="1" x14ac:dyDescent="0.85">
      <c r="B331" s="984" t="s">
        <v>1128</v>
      </c>
      <c r="C331" s="580" t="s">
        <v>316</v>
      </c>
      <c r="D331" s="474" t="s">
        <v>307</v>
      </c>
      <c r="E331" s="494" t="s">
        <v>80</v>
      </c>
      <c r="F331" s="961" t="s">
        <v>315</v>
      </c>
    </row>
    <row r="332" spans="2:6" ht="57" hidden="1" x14ac:dyDescent="0.85">
      <c r="B332" s="984"/>
      <c r="C332" s="580" t="s">
        <v>552</v>
      </c>
      <c r="D332" s="474" t="s">
        <v>308</v>
      </c>
      <c r="E332" s="494" t="s">
        <v>79</v>
      </c>
      <c r="F332" s="961" t="s">
        <v>315</v>
      </c>
    </row>
    <row r="333" spans="2:6" ht="57" hidden="1" x14ac:dyDescent="0.85">
      <c r="B333" s="984"/>
      <c r="C333" s="580" t="s">
        <v>345</v>
      </c>
      <c r="D333" s="474" t="s">
        <v>309</v>
      </c>
      <c r="E333" s="494" t="s">
        <v>78</v>
      </c>
      <c r="F333" s="961" t="s">
        <v>315</v>
      </c>
    </row>
    <row r="334" spans="2:6" ht="114" hidden="1" x14ac:dyDescent="0.85">
      <c r="B334" s="984"/>
      <c r="C334" s="580" t="s">
        <v>317</v>
      </c>
      <c r="D334" s="474" t="s">
        <v>310</v>
      </c>
      <c r="E334" s="494" t="s">
        <v>74</v>
      </c>
      <c r="F334" s="961"/>
    </row>
    <row r="335" spans="2:6" ht="57" hidden="1" x14ac:dyDescent="0.85">
      <c r="B335" s="984"/>
      <c r="C335" s="580" t="s">
        <v>553</v>
      </c>
      <c r="D335" s="474" t="s">
        <v>311</v>
      </c>
      <c r="E335" s="494" t="s">
        <v>75</v>
      </c>
      <c r="F335" s="961" t="s">
        <v>315</v>
      </c>
    </row>
    <row r="336" spans="2:6" ht="57" hidden="1" x14ac:dyDescent="0.85">
      <c r="B336" s="984"/>
      <c r="C336" s="580" t="s">
        <v>318</v>
      </c>
      <c r="D336" s="474" t="s">
        <v>312</v>
      </c>
      <c r="E336" s="494" t="s">
        <v>76</v>
      </c>
      <c r="F336" s="961" t="s">
        <v>315</v>
      </c>
    </row>
    <row r="337" spans="2:39" hidden="1" x14ac:dyDescent="0.85">
      <c r="B337" s="984"/>
      <c r="C337" s="580" t="s">
        <v>319</v>
      </c>
      <c r="D337" s="474" t="s">
        <v>313</v>
      </c>
      <c r="E337" s="494" t="s">
        <v>77</v>
      </c>
      <c r="F337" s="961" t="s">
        <v>315</v>
      </c>
    </row>
    <row r="338" spans="2:39" x14ac:dyDescent="0.85">
      <c r="B338" s="1008" t="s">
        <v>580</v>
      </c>
      <c r="C338" s="601"/>
      <c r="D338" s="601"/>
      <c r="E338" s="601"/>
      <c r="F338" s="1009"/>
    </row>
    <row r="339" spans="2:39" ht="57" x14ac:dyDescent="0.85">
      <c r="B339" s="1010" t="s">
        <v>524</v>
      </c>
      <c r="C339" s="580" t="s">
        <v>525</v>
      </c>
      <c r="D339" s="474" t="s">
        <v>528</v>
      </c>
      <c r="E339" s="475" t="s">
        <v>828</v>
      </c>
      <c r="F339" s="974" t="s">
        <v>829</v>
      </c>
    </row>
    <row r="340" spans="2:39" ht="57" x14ac:dyDescent="0.85">
      <c r="B340" s="1010"/>
      <c r="C340" s="581" t="s">
        <v>551</v>
      </c>
      <c r="D340" s="474" t="s">
        <v>538</v>
      </c>
      <c r="E340" s="475" t="s">
        <v>830</v>
      </c>
      <c r="F340" s="974" t="s">
        <v>831</v>
      </c>
    </row>
    <row r="341" spans="2:39" ht="57" x14ac:dyDescent="0.85">
      <c r="B341" s="1010"/>
      <c r="C341" s="581" t="s">
        <v>1008</v>
      </c>
      <c r="D341" s="474" t="s">
        <v>1007</v>
      </c>
      <c r="E341" s="475" t="s">
        <v>1009</v>
      </c>
      <c r="F341" s="974"/>
    </row>
    <row r="342" spans="2:39" x14ac:dyDescent="0.85">
      <c r="B342" s="1010"/>
      <c r="C342" s="512" t="s">
        <v>526</v>
      </c>
      <c r="D342" s="474" t="s">
        <v>539</v>
      </c>
      <c r="E342" s="475" t="s">
        <v>832</v>
      </c>
      <c r="F342" s="974"/>
    </row>
    <row r="343" spans="2:39" x14ac:dyDescent="0.85">
      <c r="B343" s="1010"/>
      <c r="C343" s="581" t="s">
        <v>548</v>
      </c>
      <c r="D343" s="474" t="s">
        <v>540</v>
      </c>
      <c r="E343" s="581" t="s">
        <v>833</v>
      </c>
      <c r="F343" s="974" t="s">
        <v>831</v>
      </c>
    </row>
    <row r="344" spans="2:39" ht="57" x14ac:dyDescent="0.85">
      <c r="B344" s="1010"/>
      <c r="C344" s="512" t="s">
        <v>527</v>
      </c>
      <c r="D344" s="474" t="s">
        <v>541</v>
      </c>
      <c r="E344" s="475" t="s">
        <v>834</v>
      </c>
      <c r="F344" s="974"/>
    </row>
    <row r="345" spans="2:39" ht="57" x14ac:dyDescent="0.85">
      <c r="B345" s="1010"/>
      <c r="C345" s="581" t="s">
        <v>550</v>
      </c>
      <c r="D345" s="474" t="s">
        <v>542</v>
      </c>
      <c r="E345" s="475" t="s">
        <v>835</v>
      </c>
      <c r="F345" s="974" t="s">
        <v>831</v>
      </c>
    </row>
    <row r="346" spans="2:39" ht="57" x14ac:dyDescent="0.85">
      <c r="B346" s="1010"/>
      <c r="C346" s="512" t="s">
        <v>543</v>
      </c>
      <c r="D346" s="474" t="s">
        <v>544</v>
      </c>
      <c r="E346" s="475" t="s">
        <v>836</v>
      </c>
      <c r="F346" s="974"/>
    </row>
    <row r="347" spans="2:39" ht="57" x14ac:dyDescent="0.85">
      <c r="B347" s="1010"/>
      <c r="C347" s="581" t="s">
        <v>547</v>
      </c>
      <c r="D347" s="474" t="s">
        <v>545</v>
      </c>
      <c r="E347" s="475" t="s">
        <v>837</v>
      </c>
      <c r="F347" s="974" t="s">
        <v>838</v>
      </c>
    </row>
    <row r="348" spans="2:39" ht="57" x14ac:dyDescent="0.85">
      <c r="B348" s="1010"/>
      <c r="C348" s="581" t="s">
        <v>549</v>
      </c>
      <c r="D348" s="474" t="s">
        <v>546</v>
      </c>
      <c r="E348" s="475" t="s">
        <v>839</v>
      </c>
      <c r="F348" s="974" t="s">
        <v>838</v>
      </c>
    </row>
    <row r="349" spans="2:39" ht="57.4" thickBot="1" x14ac:dyDescent="0.9">
      <c r="B349" s="1010"/>
      <c r="C349" s="512" t="s">
        <v>555</v>
      </c>
      <c r="D349" s="474" t="s">
        <v>554</v>
      </c>
      <c r="E349" s="475" t="s">
        <v>840</v>
      </c>
      <c r="F349" s="974"/>
    </row>
    <row r="350" spans="2:39" ht="28.9" hidden="1" thickBot="1" x14ac:dyDescent="0.9">
      <c r="B350" s="1011" t="s">
        <v>980</v>
      </c>
      <c r="C350" s="525"/>
      <c r="D350" s="525"/>
      <c r="E350" s="524"/>
      <c r="F350" s="1012"/>
      <c r="G350" s="526"/>
      <c r="H350" s="526"/>
      <c r="I350" s="526"/>
      <c r="J350" s="526"/>
      <c r="K350" s="526"/>
      <c r="L350" s="526"/>
      <c r="M350" s="526"/>
      <c r="N350" s="526"/>
      <c r="O350" s="526"/>
      <c r="P350" s="526"/>
      <c r="Q350" s="526"/>
      <c r="R350" s="526"/>
      <c r="S350" s="526"/>
      <c r="T350" s="526"/>
      <c r="U350" s="526"/>
      <c r="V350" s="526"/>
      <c r="W350" s="526"/>
      <c r="X350" s="526"/>
      <c r="Y350" s="526"/>
      <c r="Z350" s="526"/>
      <c r="AA350" s="526"/>
      <c r="AB350" s="526"/>
      <c r="AC350" s="526"/>
      <c r="AD350" s="526"/>
      <c r="AE350" s="526"/>
      <c r="AF350" s="526"/>
      <c r="AG350" s="526"/>
      <c r="AH350" s="527"/>
      <c r="AI350" s="527"/>
      <c r="AJ350" s="527"/>
      <c r="AK350" s="527"/>
      <c r="AL350" s="527"/>
      <c r="AM350" s="527"/>
    </row>
    <row r="351" spans="2:39" ht="57.4" hidden="1" thickBot="1" x14ac:dyDescent="0.9">
      <c r="B351" s="1013" t="s">
        <v>982</v>
      </c>
      <c r="C351" s="581" t="s">
        <v>981</v>
      </c>
      <c r="D351" s="474" t="s">
        <v>979</v>
      </c>
      <c r="E351" s="940" t="s">
        <v>991</v>
      </c>
      <c r="F351" s="1014" t="s">
        <v>992</v>
      </c>
      <c r="G351" s="528"/>
      <c r="H351" s="528"/>
      <c r="I351" s="528"/>
      <c r="J351" s="528"/>
      <c r="K351" s="529"/>
      <c r="L351" s="529"/>
      <c r="M351" s="529"/>
      <c r="N351" s="529"/>
      <c r="O351" s="529"/>
      <c r="P351" s="529"/>
      <c r="Q351" s="529"/>
      <c r="R351" s="529"/>
      <c r="S351" s="529"/>
      <c r="T351" s="529"/>
      <c r="U351" s="529"/>
      <c r="V351" s="529"/>
      <c r="W351" s="529"/>
      <c r="X351" s="529"/>
      <c r="Y351" s="529"/>
      <c r="Z351" s="529"/>
      <c r="AA351" s="529"/>
      <c r="AB351" s="529"/>
      <c r="AC351" s="529"/>
      <c r="AD351" s="529"/>
      <c r="AE351" s="529"/>
      <c r="AF351" s="530"/>
      <c r="AG351" s="531"/>
      <c r="AH351" s="527"/>
      <c r="AI351" s="527"/>
      <c r="AJ351" s="527"/>
      <c r="AK351" s="527"/>
      <c r="AL351" s="527"/>
      <c r="AM351" s="527"/>
    </row>
    <row r="352" spans="2:39" x14ac:dyDescent="0.85">
      <c r="B352" s="1015" t="s">
        <v>121</v>
      </c>
      <c r="C352" s="563" t="s">
        <v>152</v>
      </c>
      <c r="D352" s="937" t="s">
        <v>1134</v>
      </c>
      <c r="E352" s="941"/>
      <c r="F352" s="1016"/>
    </row>
    <row r="353" spans="2:6" x14ac:dyDescent="0.85">
      <c r="B353" s="1017"/>
      <c r="C353" s="560" t="s">
        <v>1156</v>
      </c>
      <c r="D353" s="938" t="s">
        <v>1135</v>
      </c>
      <c r="E353" s="941"/>
      <c r="F353" s="1016"/>
    </row>
    <row r="354" spans="2:6" x14ac:dyDescent="0.85">
      <c r="B354" s="1017"/>
      <c r="C354" s="560" t="s">
        <v>1137</v>
      </c>
      <c r="D354" s="938" t="s">
        <v>1136</v>
      </c>
      <c r="E354" s="941"/>
      <c r="F354" s="1016"/>
    </row>
    <row r="355" spans="2:6" x14ac:dyDescent="0.85">
      <c r="B355" s="1017"/>
      <c r="C355" s="560" t="s">
        <v>1139</v>
      </c>
      <c r="D355" s="938" t="s">
        <v>1138</v>
      </c>
      <c r="E355" s="941"/>
      <c r="F355" s="1016"/>
    </row>
    <row r="356" spans="2:6" ht="28.9" thickBot="1" x14ac:dyDescent="0.9">
      <c r="B356" s="1018"/>
      <c r="C356" s="565" t="s">
        <v>1141</v>
      </c>
      <c r="D356" s="939" t="s">
        <v>1140</v>
      </c>
      <c r="E356" s="941"/>
      <c r="F356" s="1016"/>
    </row>
    <row r="357" spans="2:6" x14ac:dyDescent="0.85">
      <c r="B357" s="1015" t="s">
        <v>13</v>
      </c>
      <c r="C357" s="563" t="s">
        <v>152</v>
      </c>
      <c r="D357" s="937" t="s">
        <v>1142</v>
      </c>
      <c r="E357" s="941"/>
      <c r="F357" s="1016"/>
    </row>
    <row r="358" spans="2:6" x14ac:dyDescent="0.85">
      <c r="B358" s="1017"/>
      <c r="C358" s="560" t="s">
        <v>1156</v>
      </c>
      <c r="D358" s="938" t="s">
        <v>1143</v>
      </c>
      <c r="E358" s="941"/>
      <c r="F358" s="1016"/>
    </row>
    <row r="359" spans="2:6" x14ac:dyDescent="0.85">
      <c r="B359" s="1017"/>
      <c r="C359" s="560" t="s">
        <v>1137</v>
      </c>
      <c r="D359" s="938" t="s">
        <v>1144</v>
      </c>
      <c r="E359" s="941"/>
      <c r="F359" s="1016"/>
    </row>
    <row r="360" spans="2:6" x14ac:dyDescent="0.85">
      <c r="B360" s="1017"/>
      <c r="C360" s="560" t="s">
        <v>1139</v>
      </c>
      <c r="D360" s="938" t="s">
        <v>1145</v>
      </c>
      <c r="E360" s="941"/>
      <c r="F360" s="1016"/>
    </row>
    <row r="361" spans="2:6" ht="28.9" thickBot="1" x14ac:dyDescent="0.9">
      <c r="B361" s="1018"/>
      <c r="C361" s="565" t="s">
        <v>1141</v>
      </c>
      <c r="D361" s="939" t="s">
        <v>1146</v>
      </c>
      <c r="E361" s="941"/>
      <c r="F361" s="1016"/>
    </row>
    <row r="362" spans="2:6" x14ac:dyDescent="0.85">
      <c r="B362" s="1015" t="s">
        <v>14</v>
      </c>
      <c r="C362" s="563" t="s">
        <v>152</v>
      </c>
      <c r="D362" s="937" t="s">
        <v>1147</v>
      </c>
      <c r="E362" s="941"/>
      <c r="F362" s="1016"/>
    </row>
    <row r="363" spans="2:6" x14ac:dyDescent="0.85">
      <c r="B363" s="1017"/>
      <c r="C363" s="560" t="s">
        <v>1156</v>
      </c>
      <c r="D363" s="938" t="s">
        <v>1148</v>
      </c>
      <c r="E363" s="941"/>
      <c r="F363" s="1016"/>
    </row>
    <row r="364" spans="2:6" x14ac:dyDescent="0.85">
      <c r="B364" s="1017"/>
      <c r="C364" s="560" t="s">
        <v>1137</v>
      </c>
      <c r="D364" s="938" t="s">
        <v>1149</v>
      </c>
      <c r="E364" s="941"/>
      <c r="F364" s="1016"/>
    </row>
    <row r="365" spans="2:6" x14ac:dyDescent="0.85">
      <c r="B365" s="1017"/>
      <c r="C365" s="560" t="s">
        <v>1139</v>
      </c>
      <c r="D365" s="938" t="s">
        <v>1150</v>
      </c>
      <c r="E365" s="941"/>
      <c r="F365" s="1016"/>
    </row>
    <row r="366" spans="2:6" ht="28.9" thickBot="1" x14ac:dyDescent="0.9">
      <c r="B366" s="1018"/>
      <c r="C366" s="565" t="s">
        <v>1141</v>
      </c>
      <c r="D366" s="939" t="s">
        <v>1151</v>
      </c>
      <c r="E366" s="941"/>
      <c r="F366" s="1016"/>
    </row>
    <row r="367" spans="2:6" x14ac:dyDescent="0.85">
      <c r="B367" s="1015" t="s">
        <v>15</v>
      </c>
      <c r="C367" s="563" t="s">
        <v>152</v>
      </c>
      <c r="D367" s="937" t="s">
        <v>1152</v>
      </c>
      <c r="E367" s="941"/>
      <c r="F367" s="1016"/>
    </row>
    <row r="368" spans="2:6" x14ac:dyDescent="0.85">
      <c r="B368" s="1017"/>
      <c r="C368" s="560" t="s">
        <v>1156</v>
      </c>
      <c r="D368" s="938" t="s">
        <v>1153</v>
      </c>
      <c r="E368" s="941"/>
      <c r="F368" s="1016"/>
    </row>
    <row r="369" spans="2:6" x14ac:dyDescent="0.85">
      <c r="B369" s="1017"/>
      <c r="C369" s="560" t="s">
        <v>1137</v>
      </c>
      <c r="D369" s="938" t="s">
        <v>1154</v>
      </c>
      <c r="E369" s="941"/>
      <c r="F369" s="1016"/>
    </row>
    <row r="370" spans="2:6" x14ac:dyDescent="0.85">
      <c r="B370" s="1017"/>
      <c r="C370" s="560" t="s">
        <v>1139</v>
      </c>
      <c r="D370" s="938" t="s">
        <v>1155</v>
      </c>
      <c r="E370" s="941"/>
      <c r="F370" s="1016"/>
    </row>
    <row r="371" spans="2:6" ht="28.9" thickBot="1" x14ac:dyDescent="0.9">
      <c r="B371" s="1018"/>
      <c r="C371" s="565" t="s">
        <v>1141</v>
      </c>
      <c r="D371" s="939" t="s">
        <v>1161</v>
      </c>
      <c r="E371" s="941"/>
      <c r="F371" s="1016"/>
    </row>
    <row r="372" spans="2:6" x14ac:dyDescent="0.85">
      <c r="B372" s="1015" t="s">
        <v>1157</v>
      </c>
      <c r="C372" s="563" t="s">
        <v>152</v>
      </c>
      <c r="D372" s="937" t="s">
        <v>1162</v>
      </c>
      <c r="E372" s="941"/>
      <c r="F372" s="1016"/>
    </row>
    <row r="373" spans="2:6" x14ac:dyDescent="0.85">
      <c r="B373" s="1017"/>
      <c r="C373" s="560" t="s">
        <v>1156</v>
      </c>
      <c r="D373" s="938" t="s">
        <v>1163</v>
      </c>
      <c r="E373" s="941"/>
      <c r="F373" s="1016"/>
    </row>
    <row r="374" spans="2:6" x14ac:dyDescent="0.85">
      <c r="B374" s="1017"/>
      <c r="C374" s="560" t="s">
        <v>1137</v>
      </c>
      <c r="D374" s="938" t="s">
        <v>1164</v>
      </c>
      <c r="E374" s="941"/>
      <c r="F374" s="1016"/>
    </row>
    <row r="375" spans="2:6" x14ac:dyDescent="0.85">
      <c r="B375" s="1017"/>
      <c r="C375" s="560" t="s">
        <v>1139</v>
      </c>
      <c r="D375" s="938" t="s">
        <v>1165</v>
      </c>
      <c r="E375" s="941"/>
      <c r="F375" s="1016"/>
    </row>
    <row r="376" spans="2:6" ht="28.9" thickBot="1" x14ac:dyDescent="0.9">
      <c r="B376" s="1018"/>
      <c r="C376" s="565" t="s">
        <v>1141</v>
      </c>
      <c r="D376" s="939" t="s">
        <v>1166</v>
      </c>
      <c r="E376" s="941"/>
      <c r="F376" s="1016"/>
    </row>
    <row r="377" spans="2:6" x14ac:dyDescent="0.85">
      <c r="B377" s="1015" t="s">
        <v>16</v>
      </c>
      <c r="C377" s="563" t="s">
        <v>152</v>
      </c>
      <c r="D377" s="937" t="s">
        <v>1167</v>
      </c>
      <c r="E377" s="941"/>
      <c r="F377" s="1016"/>
    </row>
    <row r="378" spans="2:6" x14ac:dyDescent="0.85">
      <c r="B378" s="1017"/>
      <c r="C378" s="560" t="s">
        <v>1156</v>
      </c>
      <c r="D378" s="938" t="s">
        <v>1168</v>
      </c>
      <c r="E378" s="941"/>
      <c r="F378" s="1016"/>
    </row>
    <row r="379" spans="2:6" x14ac:dyDescent="0.85">
      <c r="B379" s="1017"/>
      <c r="C379" s="560" t="s">
        <v>1137</v>
      </c>
      <c r="D379" s="938" t="s">
        <v>1169</v>
      </c>
      <c r="E379" s="941"/>
      <c r="F379" s="1016"/>
    </row>
    <row r="380" spans="2:6" x14ac:dyDescent="0.85">
      <c r="B380" s="1017"/>
      <c r="C380" s="560" t="s">
        <v>1139</v>
      </c>
      <c r="D380" s="938" t="s">
        <v>1170</v>
      </c>
      <c r="E380" s="941"/>
      <c r="F380" s="1016"/>
    </row>
    <row r="381" spans="2:6" ht="28.9" thickBot="1" x14ac:dyDescent="0.9">
      <c r="B381" s="1018"/>
      <c r="C381" s="565" t="s">
        <v>1141</v>
      </c>
      <c r="D381" s="939" t="s">
        <v>1171</v>
      </c>
      <c r="E381" s="941"/>
      <c r="F381" s="1016"/>
    </row>
    <row r="382" spans="2:6" x14ac:dyDescent="0.85">
      <c r="B382" s="1015" t="s">
        <v>1158</v>
      </c>
      <c r="C382" s="563" t="s">
        <v>152</v>
      </c>
      <c r="D382" s="937" t="s">
        <v>1172</v>
      </c>
      <c r="E382" s="941"/>
      <c r="F382" s="1016"/>
    </row>
    <row r="383" spans="2:6" x14ac:dyDescent="0.85">
      <c r="B383" s="1017"/>
      <c r="C383" s="560" t="s">
        <v>1156</v>
      </c>
      <c r="D383" s="938" t="s">
        <v>1173</v>
      </c>
      <c r="E383" s="941"/>
      <c r="F383" s="1016"/>
    </row>
    <row r="384" spans="2:6" x14ac:dyDescent="0.85">
      <c r="B384" s="1017"/>
      <c r="C384" s="560" t="s">
        <v>1137</v>
      </c>
      <c r="D384" s="938" t="s">
        <v>1174</v>
      </c>
      <c r="E384" s="941"/>
      <c r="F384" s="1016"/>
    </row>
    <row r="385" spans="2:6" x14ac:dyDescent="0.85">
      <c r="B385" s="1017"/>
      <c r="C385" s="560" t="s">
        <v>1139</v>
      </c>
      <c r="D385" s="938" t="s">
        <v>1175</v>
      </c>
      <c r="E385" s="941"/>
      <c r="F385" s="1016"/>
    </row>
    <row r="386" spans="2:6" ht="28.9" thickBot="1" x14ac:dyDescent="0.9">
      <c r="B386" s="1018"/>
      <c r="C386" s="565" t="s">
        <v>1141</v>
      </c>
      <c r="D386" s="939" t="s">
        <v>1176</v>
      </c>
      <c r="E386" s="941"/>
      <c r="F386" s="1016"/>
    </row>
    <row r="387" spans="2:6" x14ac:dyDescent="0.85">
      <c r="B387" s="1015" t="s">
        <v>22</v>
      </c>
      <c r="C387" s="563" t="s">
        <v>152</v>
      </c>
      <c r="D387" s="937" t="s">
        <v>1177</v>
      </c>
      <c r="E387" s="941"/>
      <c r="F387" s="1016"/>
    </row>
    <row r="388" spans="2:6" x14ac:dyDescent="0.85">
      <c r="B388" s="1017"/>
      <c r="C388" s="560" t="s">
        <v>1156</v>
      </c>
      <c r="D388" s="938" t="s">
        <v>1178</v>
      </c>
      <c r="E388" s="941"/>
      <c r="F388" s="1016"/>
    </row>
    <row r="389" spans="2:6" x14ac:dyDescent="0.85">
      <c r="B389" s="1017"/>
      <c r="C389" s="560" t="s">
        <v>1137</v>
      </c>
      <c r="D389" s="938" t="s">
        <v>1179</v>
      </c>
      <c r="E389" s="941"/>
      <c r="F389" s="1016"/>
    </row>
    <row r="390" spans="2:6" x14ac:dyDescent="0.85">
      <c r="B390" s="1017"/>
      <c r="C390" s="560" t="s">
        <v>1139</v>
      </c>
      <c r="D390" s="938" t="s">
        <v>1180</v>
      </c>
      <c r="E390" s="941"/>
      <c r="F390" s="1016"/>
    </row>
    <row r="391" spans="2:6" ht="28.9" thickBot="1" x14ac:dyDescent="0.9">
      <c r="B391" s="1018"/>
      <c r="C391" s="565" t="s">
        <v>1141</v>
      </c>
      <c r="D391" s="939" t="s">
        <v>1181</v>
      </c>
      <c r="E391" s="941"/>
      <c r="F391" s="1016"/>
    </row>
    <row r="392" spans="2:6" x14ac:dyDescent="0.85">
      <c r="B392" s="1015" t="s">
        <v>18</v>
      </c>
      <c r="C392" s="563" t="s">
        <v>152</v>
      </c>
      <c r="D392" s="937" t="s">
        <v>1182</v>
      </c>
      <c r="E392" s="941"/>
      <c r="F392" s="1016"/>
    </row>
    <row r="393" spans="2:6" x14ac:dyDescent="0.85">
      <c r="B393" s="1017"/>
      <c r="C393" s="560" t="s">
        <v>1156</v>
      </c>
      <c r="D393" s="938" t="s">
        <v>1183</v>
      </c>
      <c r="E393" s="941"/>
      <c r="F393" s="1016"/>
    </row>
    <row r="394" spans="2:6" x14ac:dyDescent="0.85">
      <c r="B394" s="1017"/>
      <c r="C394" s="560" t="s">
        <v>1137</v>
      </c>
      <c r="D394" s="938" t="s">
        <v>1184</v>
      </c>
      <c r="E394" s="941"/>
      <c r="F394" s="1016"/>
    </row>
    <row r="395" spans="2:6" x14ac:dyDescent="0.85">
      <c r="B395" s="1017"/>
      <c r="C395" s="560" t="s">
        <v>1139</v>
      </c>
      <c r="D395" s="938" t="s">
        <v>1185</v>
      </c>
      <c r="E395" s="941"/>
      <c r="F395" s="1016"/>
    </row>
    <row r="396" spans="2:6" ht="28.9" thickBot="1" x14ac:dyDescent="0.9">
      <c r="B396" s="1018"/>
      <c r="C396" s="565" t="s">
        <v>1141</v>
      </c>
      <c r="D396" s="939" t="s">
        <v>1186</v>
      </c>
      <c r="E396" s="941"/>
      <c r="F396" s="1016"/>
    </row>
    <row r="397" spans="2:6" x14ac:dyDescent="0.85">
      <c r="B397" s="1015" t="s">
        <v>1070</v>
      </c>
      <c r="C397" s="563" t="s">
        <v>152</v>
      </c>
      <c r="D397" s="937" t="s">
        <v>1187</v>
      </c>
      <c r="E397" s="941"/>
      <c r="F397" s="1016"/>
    </row>
    <row r="398" spans="2:6" x14ac:dyDescent="0.85">
      <c r="B398" s="1017"/>
      <c r="C398" s="560" t="s">
        <v>1156</v>
      </c>
      <c r="D398" s="938" t="s">
        <v>1188</v>
      </c>
      <c r="E398" s="941"/>
      <c r="F398" s="1016"/>
    </row>
    <row r="399" spans="2:6" x14ac:dyDescent="0.85">
      <c r="B399" s="1017"/>
      <c r="C399" s="560" t="s">
        <v>1137</v>
      </c>
      <c r="D399" s="938" t="s">
        <v>1189</v>
      </c>
      <c r="E399" s="941"/>
      <c r="F399" s="1016"/>
    </row>
    <row r="400" spans="2:6" x14ac:dyDescent="0.85">
      <c r="B400" s="1017"/>
      <c r="C400" s="560" t="s">
        <v>1139</v>
      </c>
      <c r="D400" s="938" t="s">
        <v>1190</v>
      </c>
      <c r="E400" s="941"/>
      <c r="F400" s="1016"/>
    </row>
    <row r="401" spans="2:6" ht="28.9" thickBot="1" x14ac:dyDescent="0.9">
      <c r="B401" s="1018"/>
      <c r="C401" s="565" t="s">
        <v>1141</v>
      </c>
      <c r="D401" s="939" t="s">
        <v>1191</v>
      </c>
      <c r="E401" s="941"/>
      <c r="F401" s="1016"/>
    </row>
    <row r="402" spans="2:6" x14ac:dyDescent="0.85">
      <c r="B402" s="1015" t="s">
        <v>1159</v>
      </c>
      <c r="C402" s="563" t="s">
        <v>152</v>
      </c>
      <c r="D402" s="937" t="s">
        <v>1192</v>
      </c>
      <c r="E402" s="941"/>
      <c r="F402" s="1016"/>
    </row>
    <row r="403" spans="2:6" x14ac:dyDescent="0.85">
      <c r="B403" s="1017"/>
      <c r="C403" s="560" t="s">
        <v>1156</v>
      </c>
      <c r="D403" s="938" t="s">
        <v>1193</v>
      </c>
      <c r="E403" s="941"/>
      <c r="F403" s="1016"/>
    </row>
    <row r="404" spans="2:6" x14ac:dyDescent="0.85">
      <c r="B404" s="1017"/>
      <c r="C404" s="560" t="s">
        <v>1137</v>
      </c>
      <c r="D404" s="938" t="s">
        <v>1194</v>
      </c>
      <c r="E404" s="941"/>
      <c r="F404" s="1016"/>
    </row>
    <row r="405" spans="2:6" x14ac:dyDescent="0.85">
      <c r="B405" s="1017"/>
      <c r="C405" s="560" t="s">
        <v>1139</v>
      </c>
      <c r="D405" s="938" t="s">
        <v>1195</v>
      </c>
      <c r="E405" s="941"/>
      <c r="F405" s="1016"/>
    </row>
    <row r="406" spans="2:6" ht="28.9" thickBot="1" x14ac:dyDescent="0.9">
      <c r="B406" s="1018"/>
      <c r="C406" s="565" t="s">
        <v>1141</v>
      </c>
      <c r="D406" s="939" t="s">
        <v>1196</v>
      </c>
      <c r="E406" s="941"/>
      <c r="F406" s="1016"/>
    </row>
    <row r="407" spans="2:6" x14ac:dyDescent="0.85">
      <c r="B407" s="1015" t="s">
        <v>1160</v>
      </c>
      <c r="C407" s="563" t="s">
        <v>152</v>
      </c>
      <c r="D407" s="937" t="s">
        <v>1197</v>
      </c>
      <c r="E407" s="941"/>
      <c r="F407" s="1016"/>
    </row>
    <row r="408" spans="2:6" x14ac:dyDescent="0.85">
      <c r="B408" s="1017"/>
      <c r="C408" s="560" t="s">
        <v>1156</v>
      </c>
      <c r="D408" s="938" t="s">
        <v>1198</v>
      </c>
      <c r="E408" s="941"/>
      <c r="F408" s="1016"/>
    </row>
    <row r="409" spans="2:6" x14ac:dyDescent="0.85">
      <c r="B409" s="1017"/>
      <c r="C409" s="560" t="s">
        <v>1137</v>
      </c>
      <c r="D409" s="938" t="s">
        <v>1199</v>
      </c>
      <c r="E409" s="941"/>
      <c r="F409" s="1016"/>
    </row>
    <row r="410" spans="2:6" x14ac:dyDescent="0.85">
      <c r="B410" s="1017"/>
      <c r="C410" s="560" t="s">
        <v>1139</v>
      </c>
      <c r="D410" s="938" t="s">
        <v>1200</v>
      </c>
      <c r="E410" s="941"/>
      <c r="F410" s="1016"/>
    </row>
    <row r="411" spans="2:6" ht="28.9" thickBot="1" x14ac:dyDescent="0.9">
      <c r="B411" s="1018"/>
      <c r="C411" s="565" t="s">
        <v>1141</v>
      </c>
      <c r="D411" s="939" t="s">
        <v>1201</v>
      </c>
      <c r="E411" s="941"/>
      <c r="F411" s="1016"/>
    </row>
    <row r="412" spans="2:6" x14ac:dyDescent="0.85">
      <c r="B412" s="1015" t="s">
        <v>1207</v>
      </c>
      <c r="C412" s="563" t="s">
        <v>152</v>
      </c>
      <c r="D412" s="937" t="s">
        <v>1202</v>
      </c>
      <c r="E412" s="941"/>
      <c r="F412" s="1016"/>
    </row>
    <row r="413" spans="2:6" x14ac:dyDescent="0.85">
      <c r="B413" s="1017"/>
      <c r="C413" s="560" t="s">
        <v>1156</v>
      </c>
      <c r="D413" s="938" t="s">
        <v>1203</v>
      </c>
      <c r="E413" s="941"/>
      <c r="F413" s="1016"/>
    </row>
    <row r="414" spans="2:6" x14ac:dyDescent="0.85">
      <c r="B414" s="1017"/>
      <c r="C414" s="560" t="s">
        <v>1137</v>
      </c>
      <c r="D414" s="938" t="s">
        <v>1204</v>
      </c>
      <c r="E414" s="941"/>
      <c r="F414" s="1016"/>
    </row>
    <row r="415" spans="2:6" x14ac:dyDescent="0.85">
      <c r="B415" s="1017"/>
      <c r="C415" s="560" t="s">
        <v>1139</v>
      </c>
      <c r="D415" s="938" t="s">
        <v>1205</v>
      </c>
      <c r="E415" s="941"/>
      <c r="F415" s="1016"/>
    </row>
    <row r="416" spans="2:6" ht="28.9" thickBot="1" x14ac:dyDescent="0.9">
      <c r="B416" s="1019"/>
      <c r="C416" s="1020" t="s">
        <v>1141</v>
      </c>
      <c r="D416" s="1021" t="s">
        <v>1206</v>
      </c>
      <c r="E416" s="1022"/>
      <c r="F416" s="1023"/>
    </row>
  </sheetData>
  <autoFilter ref="B2:F349"/>
  <mergeCells count="103">
    <mergeCell ref="B48:B51"/>
    <mergeCell ref="B52:B55"/>
    <mergeCell ref="B56:B59"/>
    <mergeCell ref="B60:B63"/>
    <mergeCell ref="B64:B67"/>
    <mergeCell ref="B402:B406"/>
    <mergeCell ref="B407:B411"/>
    <mergeCell ref="B412:B416"/>
    <mergeCell ref="B130:B131"/>
    <mergeCell ref="B132:B133"/>
    <mergeCell ref="B377:B381"/>
    <mergeCell ref="B382:B386"/>
    <mergeCell ref="B387:B391"/>
    <mergeCell ref="B392:B396"/>
    <mergeCell ref="B397:B401"/>
    <mergeCell ref="B352:B356"/>
    <mergeCell ref="B357:B361"/>
    <mergeCell ref="B362:B366"/>
    <mergeCell ref="B367:B371"/>
    <mergeCell ref="B372:B376"/>
    <mergeCell ref="B208:B209"/>
    <mergeCell ref="B1:E1"/>
    <mergeCell ref="B181:B189"/>
    <mergeCell ref="B190:B198"/>
    <mergeCell ref="B199:B207"/>
    <mergeCell ref="B172:B180"/>
    <mergeCell ref="B171:F171"/>
    <mergeCell ref="B136:F136"/>
    <mergeCell ref="B137:B138"/>
    <mergeCell ref="B139:B140"/>
    <mergeCell ref="B141:B142"/>
    <mergeCell ref="B143:B144"/>
    <mergeCell ref="B145:B146"/>
    <mergeCell ref="B147:B148"/>
    <mergeCell ref="B149:F149"/>
    <mergeCell ref="B150:B156"/>
    <mergeCell ref="B338:F338"/>
    <mergeCell ref="B339:B349"/>
    <mergeCell ref="B296:B309"/>
    <mergeCell ref="B310:B317"/>
    <mergeCell ref="B318:F318"/>
    <mergeCell ref="B319:B324"/>
    <mergeCell ref="B325:B330"/>
    <mergeCell ref="B331:B337"/>
    <mergeCell ref="B288:B295"/>
    <mergeCell ref="B252:B254"/>
    <mergeCell ref="B255:F255"/>
    <mergeCell ref="B256:B258"/>
    <mergeCell ref="B259:B260"/>
    <mergeCell ref="B261:B262"/>
    <mergeCell ref="B263:B265"/>
    <mergeCell ref="B267:B269"/>
    <mergeCell ref="B270:F270"/>
    <mergeCell ref="B272:B277"/>
    <mergeCell ref="B280:B281"/>
    <mergeCell ref="B282:B287"/>
    <mergeCell ref="B249:B251"/>
    <mergeCell ref="B210:B211"/>
    <mergeCell ref="B212:B218"/>
    <mergeCell ref="B219:B222"/>
    <mergeCell ref="B223:F223"/>
    <mergeCell ref="B224:B229"/>
    <mergeCell ref="B230:B233"/>
    <mergeCell ref="B234:B237"/>
    <mergeCell ref="B238:B243"/>
    <mergeCell ref="B244:B245"/>
    <mergeCell ref="B246:B248"/>
    <mergeCell ref="B157:B163"/>
    <mergeCell ref="B164:B170"/>
    <mergeCell ref="B134:B135"/>
    <mergeCell ref="B39:B40"/>
    <mergeCell ref="B41:B42"/>
    <mergeCell ref="B88:F88"/>
    <mergeCell ref="B89:B93"/>
    <mergeCell ref="B96:F96"/>
    <mergeCell ref="B97:B100"/>
    <mergeCell ref="B102:B107"/>
    <mergeCell ref="B108:B112"/>
    <mergeCell ref="B113:B118"/>
    <mergeCell ref="B119:B121"/>
    <mergeCell ref="B122:B128"/>
    <mergeCell ref="B94:B95"/>
    <mergeCell ref="G138:N138"/>
    <mergeCell ref="B37:B38"/>
    <mergeCell ref="B4:F4"/>
    <mergeCell ref="B5:B7"/>
    <mergeCell ref="B14:F14"/>
    <mergeCell ref="B15:B24"/>
    <mergeCell ref="B25:B26"/>
    <mergeCell ref="B27:B28"/>
    <mergeCell ref="B29:B30"/>
    <mergeCell ref="B31:B32"/>
    <mergeCell ref="B33:B34"/>
    <mergeCell ref="B35:B36"/>
    <mergeCell ref="B8:B10"/>
    <mergeCell ref="B11:B13"/>
    <mergeCell ref="B43:B44"/>
    <mergeCell ref="B47:F47"/>
    <mergeCell ref="B68:B71"/>
    <mergeCell ref="B72:B75"/>
    <mergeCell ref="B76:B79"/>
    <mergeCell ref="B80:B83"/>
    <mergeCell ref="B84:B87"/>
  </mergeCells>
  <phoneticPr fontId="3" type="noConversion"/>
  <conditionalFormatting sqref="C254">
    <cfRule type="cellIs" dxfId="1616" priority="37" operator="equal">
      <formula>0</formula>
    </cfRule>
  </conditionalFormatting>
  <conditionalFormatting sqref="F172">
    <cfRule type="cellIs" dxfId="1615" priority="44" operator="equal">
      <formula>0</formula>
    </cfRule>
  </conditionalFormatting>
  <conditionalFormatting sqref="D172:D207">
    <cfRule type="duplicateValues" dxfId="1614" priority="39"/>
  </conditionalFormatting>
  <conditionalFormatting sqref="D172:D207">
    <cfRule type="duplicateValues" dxfId="1613" priority="40"/>
  </conditionalFormatting>
  <conditionalFormatting sqref="D172:D207">
    <cfRule type="duplicateValues" dxfId="1612" priority="38"/>
  </conditionalFormatting>
  <conditionalFormatting sqref="K351:AA351">
    <cfRule type="expression" dxfId="1611" priority="34">
      <formula>K351&gt;K349</formula>
    </cfRule>
  </conditionalFormatting>
  <conditionalFormatting sqref="AF351">
    <cfRule type="notContainsBlanks" dxfId="1610" priority="36">
      <formula>LEN(TRIM(AF351))&gt;0</formula>
    </cfRule>
  </conditionalFormatting>
  <conditionalFormatting sqref="K351:AA351">
    <cfRule type="expression" dxfId="1609" priority="32">
      <formula>K349&gt;K351</formula>
    </cfRule>
  </conditionalFormatting>
  <conditionalFormatting sqref="AB351:AE351">
    <cfRule type="expression" dxfId="1608" priority="31">
      <formula>AB351&gt;AB349</formula>
    </cfRule>
  </conditionalFormatting>
  <conditionalFormatting sqref="AB351:AE351">
    <cfRule type="expression" dxfId="1607" priority="30">
      <formula>AB349&gt;AB351</formula>
    </cfRule>
  </conditionalFormatting>
  <conditionalFormatting sqref="D43:D44">
    <cfRule type="duplicateValues" dxfId="1606" priority="29"/>
  </conditionalFormatting>
  <conditionalFormatting sqref="D43:D44">
    <cfRule type="duplicateValues" dxfId="1605" priority="28"/>
  </conditionalFormatting>
  <conditionalFormatting sqref="D43:D44">
    <cfRule type="duplicateValues" dxfId="1604" priority="27"/>
  </conditionalFormatting>
  <conditionalFormatting sqref="D43:D44">
    <cfRule type="duplicateValues" dxfId="1603" priority="26"/>
  </conditionalFormatting>
  <conditionalFormatting sqref="D129">
    <cfRule type="duplicateValues" dxfId="1585" priority="4"/>
  </conditionalFormatting>
  <dataValidations disablePrompts="1" count="2">
    <dataValidation type="whole" allowBlank="1" showInputMessage="1" showErrorMessage="1" errorTitle="Non-Numeric or abnormal value" error="Enter Numbers only between 0 and 99999" sqref="E172:F173 E305:F305 E9:F13 G351:AB351">
      <formula1>0</formula1>
      <formula2>99999</formula2>
    </dataValidation>
    <dataValidation allowBlank="1" showInputMessage="1" showErrorMessage="1" errorTitle="Non-Numeric or abnormal value" error="Enter Numbers only between 0 and 99999" sqref="E174:F207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05"/>
  <sheetViews>
    <sheetView showGridLines="0" tabSelected="1" showRuler="0" zoomScale="60" zoomScaleNormal="60" zoomScaleSheetLayoutView="68" zoomScalePageLayoutView="21" workbookViewId="0">
      <pane xSplit="3" ySplit="21" topLeftCell="D38" activePane="bottomRight" state="frozen"/>
      <selection pane="topRight" activeCell="D1" sqref="D1"/>
      <selection pane="bottomLeft" activeCell="A22" sqref="A22"/>
      <selection pane="bottomRight" activeCell="M57" sqref="M57"/>
    </sheetView>
  </sheetViews>
  <sheetFormatPr defaultColWidth="9.1328125" defaultRowHeight="28.5" x14ac:dyDescent="0.7"/>
  <cols>
    <col min="1" max="1" width="37" style="313" customWidth="1" collapsed="1"/>
    <col min="2" max="2" width="98.1328125" style="314" customWidth="1" collapsed="1"/>
    <col min="3" max="3" width="14.73046875" style="304" bestFit="1" customWidth="1" collapsed="1"/>
    <col min="4" max="23" width="7.59765625" style="19" customWidth="1" collapsed="1"/>
    <col min="24" max="24" width="9.1328125" style="19" customWidth="1" collapsed="1"/>
    <col min="25" max="26" width="8.86328125" style="19" customWidth="1" collapsed="1"/>
    <col min="27" max="27" width="9.1328125" style="19" customWidth="1" collapsed="1"/>
    <col min="28" max="35" width="9.1328125" style="19" customWidth="1"/>
    <col min="36" max="36" width="15.1328125" style="19" customWidth="1" collapsed="1"/>
    <col min="37" max="37" width="9.73046875" style="63" customWidth="1" collapsed="1"/>
    <col min="38" max="38" width="31.86328125" style="251" customWidth="1" collapsed="1"/>
    <col min="39" max="39" width="31.59765625" style="19" hidden="1" customWidth="1" collapsed="1"/>
    <col min="40" max="40" width="36.73046875" style="19" customWidth="1" collapsed="1"/>
    <col min="41" max="41" width="9.1328125" style="302" collapsed="1"/>
    <col min="42" max="42" width="37.265625" style="303" bestFit="1" customWidth="1" collapsed="1"/>
    <col min="43" max="43" width="35.86328125" style="304" bestFit="1" customWidth="1" collapsed="1"/>
    <col min="44" max="44" width="9.1328125" style="19"/>
    <col min="45" max="16384" width="9.1328125" style="19" collapsed="1"/>
  </cols>
  <sheetData>
    <row r="1" spans="1:43" s="7" customFormat="1" ht="39" hidden="1" customHeight="1" thickBot="1" x14ac:dyDescent="0.5">
      <c r="A1" s="4" t="s">
        <v>382</v>
      </c>
      <c r="B1" s="708" t="s">
        <v>463</v>
      </c>
      <c r="C1" s="709"/>
      <c r="D1" s="747" t="s">
        <v>142</v>
      </c>
      <c r="E1" s="748"/>
      <c r="F1" s="749" t="s">
        <v>464</v>
      </c>
      <c r="G1" s="750"/>
      <c r="H1" s="747" t="s">
        <v>381</v>
      </c>
      <c r="I1" s="751"/>
      <c r="J1" s="748"/>
      <c r="K1" s="749" t="s">
        <v>465</v>
      </c>
      <c r="L1" s="760"/>
      <c r="M1" s="760"/>
      <c r="N1" s="760"/>
      <c r="O1" s="760"/>
      <c r="P1" s="760"/>
      <c r="Q1" s="750"/>
      <c r="R1" s="747" t="s">
        <v>388</v>
      </c>
      <c r="S1" s="748"/>
      <c r="T1" s="749" t="s">
        <v>466</v>
      </c>
      <c r="U1" s="760"/>
      <c r="V1" s="750"/>
      <c r="W1" s="747" t="s">
        <v>383</v>
      </c>
      <c r="X1" s="748"/>
      <c r="Y1" s="5" t="s">
        <v>467</v>
      </c>
      <c r="Z1" s="6" t="s">
        <v>384</v>
      </c>
      <c r="AA1" s="749">
        <v>2020</v>
      </c>
      <c r="AB1" s="760"/>
      <c r="AC1" s="760"/>
      <c r="AD1" s="760"/>
      <c r="AE1" s="760"/>
      <c r="AF1" s="760"/>
      <c r="AG1" s="760"/>
      <c r="AH1" s="760"/>
      <c r="AI1" s="760"/>
      <c r="AJ1" s="750"/>
      <c r="AK1" s="695" t="s">
        <v>385</v>
      </c>
      <c r="AL1" s="696"/>
      <c r="AM1" s="696"/>
      <c r="AN1" s="696"/>
      <c r="AO1" s="690"/>
    </row>
    <row r="2" spans="1:43" s="9" customFormat="1" ht="94.5" customHeight="1" thickBot="1" x14ac:dyDescent="0.8">
      <c r="A2" s="832"/>
      <c r="B2" s="833"/>
      <c r="C2" s="833"/>
      <c r="D2" s="833"/>
      <c r="E2" s="833"/>
      <c r="F2" s="833"/>
      <c r="G2" s="833"/>
      <c r="H2" s="833"/>
      <c r="I2" s="833"/>
      <c r="J2" s="833"/>
      <c r="K2" s="833"/>
      <c r="L2" s="833"/>
      <c r="M2" s="833"/>
      <c r="N2" s="833"/>
      <c r="O2" s="833"/>
      <c r="P2" s="833"/>
      <c r="Q2" s="833"/>
      <c r="R2" s="833"/>
      <c r="S2" s="833"/>
      <c r="T2" s="833"/>
      <c r="U2" s="833"/>
      <c r="V2" s="833"/>
      <c r="W2" s="833"/>
      <c r="X2" s="833"/>
      <c r="Y2" s="833"/>
      <c r="Z2" s="833"/>
      <c r="AA2" s="833"/>
      <c r="AB2" s="833"/>
      <c r="AC2" s="833"/>
      <c r="AD2" s="833"/>
      <c r="AE2" s="833"/>
      <c r="AF2" s="833"/>
      <c r="AG2" s="833"/>
      <c r="AH2" s="833"/>
      <c r="AI2" s="833"/>
      <c r="AJ2" s="833"/>
      <c r="AK2" s="833"/>
      <c r="AL2" s="833"/>
      <c r="AM2" s="833"/>
      <c r="AN2" s="834"/>
      <c r="AO2" s="690"/>
      <c r="AP2" s="688" t="s">
        <v>1029</v>
      </c>
      <c r="AQ2" s="689"/>
    </row>
    <row r="3" spans="1:43" s="321" customFormat="1" ht="57.4" customHeight="1" thickBot="1" x14ac:dyDescent="0.5">
      <c r="A3" s="835" t="str">
        <f>CONCATENATE(R1,":  ",T1,"                            ",H1,":   ",K1,"                            ",A1,":   ",B1,"                            ",D1,":   ",F1,"                            Reporting Year:   ",AA1,"              Reporting Month:   ",Y1)</f>
        <v>County:  Laikipia                            Sub County:   Laikipia East                            Health Facility:   Likii Dispensary                            MFL Code:   15035                            Reporting Year:   2020              Reporting Month:   02</v>
      </c>
      <c r="B3" s="836"/>
      <c r="C3" s="836"/>
      <c r="D3" s="836"/>
      <c r="E3" s="836"/>
      <c r="F3" s="836"/>
      <c r="G3" s="836"/>
      <c r="H3" s="836"/>
      <c r="I3" s="836"/>
      <c r="J3" s="836"/>
      <c r="K3" s="836"/>
      <c r="L3" s="836"/>
      <c r="M3" s="836"/>
      <c r="N3" s="836"/>
      <c r="O3" s="836"/>
      <c r="P3" s="836"/>
      <c r="Q3" s="836"/>
      <c r="R3" s="836"/>
      <c r="S3" s="836"/>
      <c r="T3" s="836"/>
      <c r="U3" s="836"/>
      <c r="V3" s="836"/>
      <c r="W3" s="836"/>
      <c r="X3" s="836"/>
      <c r="Y3" s="836"/>
      <c r="Z3" s="836"/>
      <c r="AA3" s="836"/>
      <c r="AB3" s="836"/>
      <c r="AC3" s="836"/>
      <c r="AD3" s="836"/>
      <c r="AE3" s="836"/>
      <c r="AF3" s="836"/>
      <c r="AG3" s="836"/>
      <c r="AH3" s="836"/>
      <c r="AI3" s="836"/>
      <c r="AJ3" s="836"/>
      <c r="AK3" s="836"/>
      <c r="AL3" s="836"/>
      <c r="AM3" s="836"/>
      <c r="AN3" s="837"/>
      <c r="AO3" s="690"/>
      <c r="AP3" s="322" t="str">
        <f>HYPERLINK("#HIV_TEST","1.1 Hiv Testing")</f>
        <v>1.1 Hiv Testing</v>
      </c>
      <c r="AQ3" s="322" t="str">
        <f>HYPERLINK("#GEND_GBV","5.0 GEND_GBV")</f>
        <v>5.0 GEND_GBV</v>
      </c>
    </row>
    <row r="4" spans="1:43" s="11" customFormat="1" ht="39.75" customHeight="1" thickBot="1" x14ac:dyDescent="0.5">
      <c r="A4" s="842" t="s">
        <v>1132</v>
      </c>
      <c r="B4" s="843"/>
      <c r="C4" s="843"/>
      <c r="D4" s="759" t="s">
        <v>1010</v>
      </c>
      <c r="E4" s="759"/>
      <c r="F4" s="759"/>
      <c r="G4" s="759"/>
      <c r="H4" s="759"/>
      <c r="I4" s="759"/>
      <c r="J4" s="759"/>
      <c r="K4" s="759"/>
      <c r="L4" s="759"/>
      <c r="M4" s="759"/>
      <c r="N4" s="759"/>
      <c r="O4" s="759"/>
      <c r="P4" s="759"/>
      <c r="Q4" s="759"/>
      <c r="R4" s="759"/>
      <c r="S4" s="759"/>
      <c r="T4" s="759"/>
      <c r="U4" s="759"/>
      <c r="V4" s="759"/>
      <c r="W4" s="761" t="s">
        <v>1012</v>
      </c>
      <c r="X4" s="762"/>
      <c r="Y4" s="762"/>
      <c r="Z4" s="762"/>
      <c r="AA4" s="762"/>
      <c r="AB4" s="762"/>
      <c r="AC4" s="762"/>
      <c r="AD4" s="762"/>
      <c r="AE4" s="762"/>
      <c r="AF4" s="762"/>
      <c r="AG4" s="762"/>
      <c r="AH4" s="762"/>
      <c r="AI4" s="762"/>
      <c r="AJ4" s="762"/>
      <c r="AK4" s="762"/>
      <c r="AL4" s="762"/>
      <c r="AM4" s="762"/>
      <c r="AN4" s="763"/>
      <c r="AO4" s="690"/>
      <c r="AP4" s="322" t="str">
        <f>HYPERLINK("#HTS_SELF","1.2 HTS SELF")</f>
        <v>1.2 HTS SELF</v>
      </c>
      <c r="AQ4" s="322" t="str">
        <f>HYPERLINK("#PMTCT_TST","6.1 PMTCT TEST")</f>
        <v>6.1 PMTCT TEST</v>
      </c>
    </row>
    <row r="5" spans="1:43" s="15" customFormat="1" ht="26.25" hidden="1" customHeight="1" thickBot="1" x14ac:dyDescent="0.8">
      <c r="A5" s="754" t="s">
        <v>37</v>
      </c>
      <c r="B5" s="755" t="s">
        <v>346</v>
      </c>
      <c r="C5" s="891" t="s">
        <v>327</v>
      </c>
      <c r="D5" s="706" t="s">
        <v>0</v>
      </c>
      <c r="E5" s="706"/>
      <c r="F5" s="706" t="s">
        <v>1</v>
      </c>
      <c r="G5" s="706"/>
      <c r="H5" s="706" t="s">
        <v>2</v>
      </c>
      <c r="I5" s="706"/>
      <c r="J5" s="706" t="s">
        <v>3</v>
      </c>
      <c r="K5" s="706"/>
      <c r="L5" s="706" t="s">
        <v>4</v>
      </c>
      <c r="M5" s="706"/>
      <c r="N5" s="706" t="s">
        <v>5</v>
      </c>
      <c r="O5" s="706"/>
      <c r="P5" s="706" t="s">
        <v>6</v>
      </c>
      <c r="Q5" s="706"/>
      <c r="R5" s="706" t="s">
        <v>7</v>
      </c>
      <c r="S5" s="706"/>
      <c r="T5" s="706" t="s">
        <v>8</v>
      </c>
      <c r="U5" s="706"/>
      <c r="V5" s="706" t="s">
        <v>23</v>
      </c>
      <c r="W5" s="706"/>
      <c r="X5" s="706" t="s">
        <v>24</v>
      </c>
      <c r="Y5" s="706"/>
      <c r="Z5" s="706" t="s">
        <v>9</v>
      </c>
      <c r="AA5" s="706"/>
      <c r="AB5" s="329"/>
      <c r="AC5" s="329"/>
      <c r="AD5" s="329"/>
      <c r="AE5" s="329"/>
      <c r="AF5" s="329"/>
      <c r="AG5" s="329"/>
      <c r="AH5" s="582"/>
      <c r="AI5" s="582"/>
      <c r="AJ5" s="840" t="s">
        <v>19</v>
      </c>
      <c r="AK5" s="657" t="s">
        <v>380</v>
      </c>
      <c r="AL5" s="12" t="s">
        <v>380</v>
      </c>
      <c r="AM5" s="714" t="s">
        <v>387</v>
      </c>
      <c r="AN5" s="13" t="s">
        <v>957</v>
      </c>
      <c r="AO5" s="690"/>
      <c r="AP5" s="323"/>
      <c r="AQ5"/>
    </row>
    <row r="6" spans="1:43" s="15" customFormat="1" ht="27" hidden="1" customHeight="1" thickBot="1" x14ac:dyDescent="0.8">
      <c r="A6" s="618"/>
      <c r="B6" s="645"/>
      <c r="C6" s="892"/>
      <c r="D6" s="16" t="s">
        <v>10</v>
      </c>
      <c r="E6" s="16" t="s">
        <v>11</v>
      </c>
      <c r="F6" s="16" t="s">
        <v>10</v>
      </c>
      <c r="G6" s="16" t="s">
        <v>11</v>
      </c>
      <c r="H6" s="16" t="s">
        <v>10</v>
      </c>
      <c r="I6" s="16" t="s">
        <v>11</v>
      </c>
      <c r="J6" s="16" t="s">
        <v>10</v>
      </c>
      <c r="K6" s="16" t="s">
        <v>11</v>
      </c>
      <c r="L6" s="16" t="s">
        <v>10</v>
      </c>
      <c r="M6" s="16" t="s">
        <v>11</v>
      </c>
      <c r="N6" s="16" t="s">
        <v>10</v>
      </c>
      <c r="O6" s="16" t="s">
        <v>11</v>
      </c>
      <c r="P6" s="16" t="s">
        <v>10</v>
      </c>
      <c r="Q6" s="16" t="s">
        <v>11</v>
      </c>
      <c r="R6" s="16" t="s">
        <v>10</v>
      </c>
      <c r="S6" s="16" t="s">
        <v>11</v>
      </c>
      <c r="T6" s="16" t="s">
        <v>10</v>
      </c>
      <c r="U6" s="16" t="s">
        <v>11</v>
      </c>
      <c r="V6" s="16" t="s">
        <v>10</v>
      </c>
      <c r="W6" s="16" t="s">
        <v>11</v>
      </c>
      <c r="X6" s="16" t="s">
        <v>10</v>
      </c>
      <c r="Y6" s="16" t="s">
        <v>11</v>
      </c>
      <c r="Z6" s="16" t="s">
        <v>10</v>
      </c>
      <c r="AA6" s="16" t="s">
        <v>11</v>
      </c>
      <c r="AB6" s="16"/>
      <c r="AC6" s="16"/>
      <c r="AD6" s="16"/>
      <c r="AE6" s="16"/>
      <c r="AF6" s="16"/>
      <c r="AG6" s="16"/>
      <c r="AH6" s="16"/>
      <c r="AI6" s="16"/>
      <c r="AJ6" s="841"/>
      <c r="AK6" s="658"/>
      <c r="AL6" s="17" t="str">
        <f>IF(LEN(A454)-LEN(SUBSTITUTE(A454,"*",""))&gt;0," Total Errors are "&amp;(LEN(A454)-LEN(SUBSTITUTE(A454,"*",""))),"")</f>
        <v/>
      </c>
      <c r="AM6" s="715"/>
      <c r="AN6" s="18" t="str">
        <f>IF(LEN(A476)-LEN(SUBSTITUTE(A476,"*",""))&gt;0," Total Warnings are "&amp;(LEN(A476)-LEN(SUBSTITUTE(A476,"*",""))),"")</f>
        <v/>
      </c>
      <c r="AO6" s="690"/>
      <c r="AP6" s="323"/>
      <c r="AQ6"/>
    </row>
    <row r="7" spans="1:43" ht="25.9" hidden="1" customHeight="1" thickBot="1" x14ac:dyDescent="0.8">
      <c r="A7" s="752" t="s">
        <v>470</v>
      </c>
      <c r="B7" s="753"/>
      <c r="C7" s="753"/>
      <c r="D7" s="753"/>
      <c r="E7" s="753"/>
      <c r="F7" s="753"/>
      <c r="G7" s="753"/>
      <c r="H7" s="753"/>
      <c r="I7" s="753"/>
      <c r="J7" s="753"/>
      <c r="K7" s="753"/>
      <c r="L7" s="753"/>
      <c r="M7" s="753"/>
      <c r="N7" s="753"/>
      <c r="O7" s="753"/>
      <c r="P7" s="753"/>
      <c r="Q7" s="753"/>
      <c r="R7" s="753"/>
      <c r="S7" s="753"/>
      <c r="T7" s="753"/>
      <c r="U7" s="753"/>
      <c r="V7" s="753"/>
      <c r="W7" s="753"/>
      <c r="X7" s="753"/>
      <c r="Y7" s="753"/>
      <c r="Z7" s="753"/>
      <c r="AA7" s="753"/>
      <c r="AB7" s="753"/>
      <c r="AC7" s="753"/>
      <c r="AD7" s="753"/>
      <c r="AE7" s="753"/>
      <c r="AF7" s="753"/>
      <c r="AG7" s="753"/>
      <c r="AH7" s="753"/>
      <c r="AI7" s="753"/>
      <c r="AJ7" s="753"/>
      <c r="AK7" s="753"/>
      <c r="AL7" s="641"/>
      <c r="AM7" s="753"/>
      <c r="AN7" s="643"/>
      <c r="AO7" s="690"/>
      <c r="AP7" s="323"/>
      <c r="AQ7"/>
    </row>
    <row r="8" spans="1:43" ht="31.15" hidden="1" customHeight="1" thickBot="1" x14ac:dyDescent="0.8">
      <c r="A8" s="716" t="s">
        <v>853</v>
      </c>
      <c r="B8" s="1" t="s">
        <v>648</v>
      </c>
      <c r="C8" s="893" t="s">
        <v>998</v>
      </c>
      <c r="D8" s="20"/>
      <c r="E8" s="20"/>
      <c r="F8" s="20"/>
      <c r="G8" s="21"/>
      <c r="H8" s="22"/>
      <c r="I8" s="23"/>
      <c r="J8" s="23"/>
      <c r="K8" s="23"/>
      <c r="L8" s="23"/>
      <c r="M8" s="23"/>
      <c r="N8" s="23"/>
      <c r="O8" s="23"/>
      <c r="P8" s="23"/>
      <c r="Q8" s="23"/>
      <c r="R8" s="23"/>
      <c r="S8" s="24"/>
      <c r="T8" s="25"/>
      <c r="U8" s="26"/>
      <c r="V8" s="26"/>
      <c r="W8" s="26"/>
      <c r="X8" s="26"/>
      <c r="Y8" s="27"/>
      <c r="Z8" s="28"/>
      <c r="AA8" s="29"/>
      <c r="AB8" s="335"/>
      <c r="AC8" s="335"/>
      <c r="AD8" s="335"/>
      <c r="AE8" s="335"/>
      <c r="AF8" s="335"/>
      <c r="AG8" s="335"/>
      <c r="AH8" s="335"/>
      <c r="AI8" s="335"/>
      <c r="AJ8" s="30">
        <f t="shared" ref="AJ8:AJ10" si="0">SUM(D8:AA8)</f>
        <v>0</v>
      </c>
      <c r="AK8" s="31" t="str">
        <f>CONCATENATE(IF(AJ9&gt;AJ8," * No Screened in OPD "&amp;$AJ$20&amp;" is more than Number Seen at OPD "&amp;CHAR(10),""))</f>
        <v/>
      </c>
      <c r="AL8" s="636" t="str">
        <f>CONCATENATE(AK8,AK9,AK10,AK11,AK12,AK13,AK15,AK16,AK17,AK18,AK14)</f>
        <v/>
      </c>
      <c r="AM8" s="32"/>
      <c r="AN8" s="655" t="str">
        <f>CONCATENATE(AM8,AM9,AM10,AM11,AM12,AM13,AM14,AM15,AM16,AM17,AM18)</f>
        <v/>
      </c>
      <c r="AO8" s="690"/>
      <c r="AP8" s="323"/>
      <c r="AQ8"/>
    </row>
    <row r="9" spans="1:43" ht="25.9" hidden="1" customHeight="1" thickBot="1" x14ac:dyDescent="0.8">
      <c r="A9" s="717"/>
      <c r="B9" s="33" t="s">
        <v>649</v>
      </c>
      <c r="C9" s="893" t="s">
        <v>999</v>
      </c>
      <c r="D9" s="20"/>
      <c r="E9" s="20"/>
      <c r="F9" s="20"/>
      <c r="G9" s="21"/>
      <c r="H9" s="34"/>
      <c r="I9" s="29"/>
      <c r="J9" s="29"/>
      <c r="K9" s="29"/>
      <c r="L9" s="29"/>
      <c r="M9" s="29"/>
      <c r="N9" s="29"/>
      <c r="O9" s="29"/>
      <c r="P9" s="29"/>
      <c r="Q9" s="29"/>
      <c r="R9" s="29"/>
      <c r="S9" s="35"/>
      <c r="T9" s="36"/>
      <c r="U9" s="20"/>
      <c r="V9" s="20"/>
      <c r="W9" s="20"/>
      <c r="X9" s="20"/>
      <c r="Y9" s="37"/>
      <c r="Z9" s="28"/>
      <c r="AA9" s="29"/>
      <c r="AB9" s="335"/>
      <c r="AC9" s="335"/>
      <c r="AD9" s="335"/>
      <c r="AE9" s="335"/>
      <c r="AF9" s="335"/>
      <c r="AG9" s="335"/>
      <c r="AH9" s="335"/>
      <c r="AI9" s="335"/>
      <c r="AJ9" s="30">
        <f t="shared" si="0"/>
        <v>0</v>
      </c>
      <c r="AK9" s="31" t="str">
        <f>CONCATENATE(IF(AJ10&gt;AJ9," * No Eligible for HTS Testing "&amp;$AJ$20&amp;" is more than No Screened for HTS Eligibility "&amp;CHAR(10),""))</f>
        <v/>
      </c>
      <c r="AL9" s="637"/>
      <c r="AM9" s="32"/>
      <c r="AN9" s="656"/>
      <c r="AO9" s="690"/>
      <c r="AP9" s="323"/>
      <c r="AQ9"/>
    </row>
    <row r="10" spans="1:43" ht="25.9" hidden="1" customHeight="1" thickBot="1" x14ac:dyDescent="0.8">
      <c r="A10" s="718"/>
      <c r="B10" s="3" t="s">
        <v>471</v>
      </c>
      <c r="C10" s="893" t="s">
        <v>1000</v>
      </c>
      <c r="D10" s="20"/>
      <c r="E10" s="20"/>
      <c r="F10" s="20"/>
      <c r="G10" s="21"/>
      <c r="H10" s="38"/>
      <c r="I10" s="39"/>
      <c r="J10" s="39"/>
      <c r="K10" s="39"/>
      <c r="L10" s="39"/>
      <c r="M10" s="39"/>
      <c r="N10" s="39"/>
      <c r="O10" s="39"/>
      <c r="P10" s="39"/>
      <c r="Q10" s="39"/>
      <c r="R10" s="39"/>
      <c r="S10" s="40"/>
      <c r="T10" s="41"/>
      <c r="U10" s="42"/>
      <c r="V10" s="42"/>
      <c r="W10" s="42"/>
      <c r="X10" s="42"/>
      <c r="Y10" s="43"/>
      <c r="Z10" s="44"/>
      <c r="AA10" s="45"/>
      <c r="AB10" s="335"/>
      <c r="AC10" s="335"/>
      <c r="AD10" s="335"/>
      <c r="AE10" s="335"/>
      <c r="AF10" s="335"/>
      <c r="AG10" s="335"/>
      <c r="AH10" s="335"/>
      <c r="AI10" s="335"/>
      <c r="AJ10" s="30">
        <f t="shared" si="0"/>
        <v>0</v>
      </c>
      <c r="AK10" s="46"/>
      <c r="AL10" s="637"/>
      <c r="AM10" s="32"/>
      <c r="AN10" s="656"/>
      <c r="AO10" s="690"/>
      <c r="AP10" s="323"/>
      <c r="AQ10"/>
    </row>
    <row r="11" spans="1:43" ht="25.9" hidden="1" customHeight="1" thickBot="1" x14ac:dyDescent="0.8">
      <c r="A11" s="733" t="s">
        <v>854</v>
      </c>
      <c r="B11" s="1" t="s">
        <v>863</v>
      </c>
      <c r="C11" s="893" t="s">
        <v>1001</v>
      </c>
      <c r="D11" s="47"/>
      <c r="E11" s="20"/>
      <c r="F11" s="20"/>
      <c r="G11" s="20"/>
      <c r="H11" s="20"/>
      <c r="I11" s="20"/>
      <c r="J11" s="20"/>
      <c r="K11" s="20"/>
      <c r="L11" s="20"/>
      <c r="M11" s="20"/>
      <c r="N11" s="20"/>
      <c r="O11" s="20"/>
      <c r="P11" s="20"/>
      <c r="Q11" s="20"/>
      <c r="R11" s="20"/>
      <c r="S11" s="20"/>
      <c r="T11" s="20"/>
      <c r="U11" s="20"/>
      <c r="V11" s="20"/>
      <c r="W11" s="20"/>
      <c r="X11" s="20"/>
      <c r="Y11" s="20"/>
      <c r="Z11" s="20"/>
      <c r="AA11" s="48"/>
      <c r="AB11" s="336"/>
      <c r="AC11" s="336"/>
      <c r="AD11" s="336"/>
      <c r="AE11" s="336"/>
      <c r="AF11" s="336"/>
      <c r="AG11" s="336"/>
      <c r="AH11" s="336"/>
      <c r="AI11" s="336"/>
      <c r="AJ11" s="49"/>
      <c r="AK11" s="31"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637"/>
      <c r="AM11" s="32"/>
      <c r="AN11" s="656"/>
      <c r="AO11" s="690"/>
      <c r="AP11" s="323"/>
      <c r="AQ11"/>
    </row>
    <row r="12" spans="1:43" ht="25.9" hidden="1" customHeight="1" thickBot="1" x14ac:dyDescent="0.8">
      <c r="A12" s="717"/>
      <c r="B12" s="33" t="s">
        <v>649</v>
      </c>
      <c r="C12" s="894" t="s">
        <v>857</v>
      </c>
      <c r="D12" s="50"/>
      <c r="E12" s="51"/>
      <c r="F12" s="51"/>
      <c r="G12" s="51"/>
      <c r="H12" s="51"/>
      <c r="I12" s="51"/>
      <c r="J12" s="51"/>
      <c r="K12" s="51"/>
      <c r="L12" s="51"/>
      <c r="M12" s="51"/>
      <c r="N12" s="51"/>
      <c r="O12" s="51"/>
      <c r="P12" s="51"/>
      <c r="Q12" s="51"/>
      <c r="R12" s="51"/>
      <c r="S12" s="51"/>
      <c r="T12" s="51"/>
      <c r="U12" s="51"/>
      <c r="V12" s="51"/>
      <c r="W12" s="51"/>
      <c r="X12" s="51"/>
      <c r="Y12" s="51"/>
      <c r="Z12" s="51"/>
      <c r="AA12" s="52"/>
      <c r="AB12" s="336"/>
      <c r="AC12" s="336"/>
      <c r="AD12" s="336"/>
      <c r="AE12" s="336"/>
      <c r="AF12" s="336"/>
      <c r="AG12" s="336"/>
      <c r="AH12" s="336"/>
      <c r="AI12" s="336"/>
      <c r="AJ12" s="53">
        <f t="shared" ref="AJ12:AJ17" si="1">SUM(D12:AA12)</f>
        <v>0</v>
      </c>
      <c r="AK12" s="31"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637"/>
      <c r="AM12" s="32"/>
      <c r="AN12" s="656"/>
      <c r="AO12" s="690"/>
      <c r="AP12" s="323"/>
      <c r="AQ12"/>
    </row>
    <row r="13" spans="1:43" ht="25.9" hidden="1" customHeight="1" thickBot="1" x14ac:dyDescent="0.8">
      <c r="A13" s="718"/>
      <c r="B13" s="3" t="s">
        <v>471</v>
      </c>
      <c r="C13" s="895" t="s">
        <v>858</v>
      </c>
      <c r="D13" s="54"/>
      <c r="E13" s="55"/>
      <c r="F13" s="55"/>
      <c r="G13" s="55"/>
      <c r="H13" s="55"/>
      <c r="I13" s="55"/>
      <c r="J13" s="55"/>
      <c r="K13" s="55"/>
      <c r="L13" s="55"/>
      <c r="M13" s="55"/>
      <c r="N13" s="55"/>
      <c r="O13" s="55"/>
      <c r="P13" s="55"/>
      <c r="Q13" s="55"/>
      <c r="R13" s="55"/>
      <c r="S13" s="55"/>
      <c r="T13" s="55"/>
      <c r="U13" s="55"/>
      <c r="V13" s="55"/>
      <c r="W13" s="55"/>
      <c r="X13" s="55"/>
      <c r="Y13" s="55"/>
      <c r="Z13" s="55"/>
      <c r="AA13" s="56"/>
      <c r="AB13" s="337"/>
      <c r="AC13" s="337"/>
      <c r="AD13" s="337"/>
      <c r="AE13" s="337"/>
      <c r="AF13" s="337"/>
      <c r="AG13" s="337"/>
      <c r="AH13" s="337"/>
      <c r="AI13" s="337"/>
      <c r="AJ13" s="57">
        <f t="shared" si="1"/>
        <v>0</v>
      </c>
      <c r="AK13" s="46"/>
      <c r="AL13" s="637"/>
      <c r="AM13" s="32"/>
      <c r="AN13" s="656"/>
      <c r="AO13" s="690"/>
      <c r="AP13" s="323"/>
      <c r="AQ13"/>
    </row>
    <row r="14" spans="1:43" s="63" customFormat="1" ht="51.4" hidden="1" customHeight="1" thickBot="1" x14ac:dyDescent="0.8">
      <c r="A14" s="58" t="s">
        <v>919</v>
      </c>
      <c r="B14" s="59" t="s">
        <v>865</v>
      </c>
      <c r="C14" s="896" t="s">
        <v>859</v>
      </c>
      <c r="D14" s="60">
        <f t="shared" ref="D14:E14" si="2">D13+D10</f>
        <v>0</v>
      </c>
      <c r="E14" s="60">
        <f t="shared" si="2"/>
        <v>0</v>
      </c>
      <c r="F14" s="60">
        <f>F13+F10</f>
        <v>0</v>
      </c>
      <c r="G14" s="60">
        <f t="shared" ref="G14:AA14" si="3">G13+G10</f>
        <v>0</v>
      </c>
      <c r="H14" s="60">
        <f t="shared" si="3"/>
        <v>0</v>
      </c>
      <c r="I14" s="60">
        <f t="shared" si="3"/>
        <v>0</v>
      </c>
      <c r="J14" s="60">
        <f t="shared" si="3"/>
        <v>0</v>
      </c>
      <c r="K14" s="60">
        <f t="shared" si="3"/>
        <v>0</v>
      </c>
      <c r="L14" s="60">
        <f t="shared" si="3"/>
        <v>0</v>
      </c>
      <c r="M14" s="60">
        <f t="shared" si="3"/>
        <v>0</v>
      </c>
      <c r="N14" s="60">
        <f t="shared" si="3"/>
        <v>0</v>
      </c>
      <c r="O14" s="60">
        <f t="shared" si="3"/>
        <v>0</v>
      </c>
      <c r="P14" s="60">
        <f t="shared" si="3"/>
        <v>0</v>
      </c>
      <c r="Q14" s="60">
        <f t="shared" si="3"/>
        <v>0</v>
      </c>
      <c r="R14" s="60">
        <f t="shared" si="3"/>
        <v>0</v>
      </c>
      <c r="S14" s="60">
        <f t="shared" si="3"/>
        <v>0</v>
      </c>
      <c r="T14" s="60">
        <f t="shared" si="3"/>
        <v>0</v>
      </c>
      <c r="U14" s="60">
        <f t="shared" si="3"/>
        <v>0</v>
      </c>
      <c r="V14" s="60">
        <f t="shared" si="3"/>
        <v>0</v>
      </c>
      <c r="W14" s="60">
        <f t="shared" si="3"/>
        <v>0</v>
      </c>
      <c r="X14" s="60">
        <f t="shared" si="3"/>
        <v>0</v>
      </c>
      <c r="Y14" s="60">
        <f t="shared" si="3"/>
        <v>0</v>
      </c>
      <c r="Z14" s="60">
        <f t="shared" si="3"/>
        <v>0</v>
      </c>
      <c r="AA14" s="60">
        <f t="shared" si="3"/>
        <v>0</v>
      </c>
      <c r="AB14" s="338"/>
      <c r="AC14" s="338"/>
      <c r="AD14" s="338"/>
      <c r="AE14" s="338"/>
      <c r="AF14" s="338"/>
      <c r="AG14" s="338"/>
      <c r="AH14" s="338"/>
      <c r="AI14" s="338"/>
      <c r="AJ14" s="61">
        <f t="shared" si="1"/>
        <v>0</v>
      </c>
      <c r="AK14" s="31"/>
      <c r="AL14" s="637"/>
      <c r="AM14" s="62"/>
      <c r="AN14" s="656"/>
      <c r="AO14" s="690"/>
      <c r="AP14" s="323"/>
      <c r="AQ14"/>
    </row>
    <row r="15" spans="1:43" ht="25.9" hidden="1" customHeight="1" thickBot="1" x14ac:dyDescent="0.8">
      <c r="A15" s="716" t="s">
        <v>855</v>
      </c>
      <c r="B15" s="1" t="s">
        <v>864</v>
      </c>
      <c r="C15" s="896" t="s">
        <v>860</v>
      </c>
      <c r="D15" s="64"/>
      <c r="E15" s="65"/>
      <c r="F15" s="65"/>
      <c r="G15" s="65"/>
      <c r="H15" s="65"/>
      <c r="I15" s="65"/>
      <c r="J15" s="65"/>
      <c r="K15" s="65"/>
      <c r="L15" s="65"/>
      <c r="M15" s="65"/>
      <c r="N15" s="65"/>
      <c r="O15" s="65"/>
      <c r="P15" s="65"/>
      <c r="Q15" s="65"/>
      <c r="R15" s="65"/>
      <c r="S15" s="65"/>
      <c r="T15" s="65"/>
      <c r="U15" s="65"/>
      <c r="V15" s="65"/>
      <c r="W15" s="65"/>
      <c r="X15" s="65"/>
      <c r="Y15" s="65"/>
      <c r="Z15" s="65"/>
      <c r="AA15" s="66"/>
      <c r="AB15" s="339"/>
      <c r="AC15" s="339"/>
      <c r="AD15" s="339"/>
      <c r="AE15" s="339"/>
      <c r="AF15" s="339"/>
      <c r="AG15" s="339"/>
      <c r="AH15" s="339"/>
      <c r="AI15" s="339"/>
      <c r="AJ15" s="67">
        <f t="shared" si="1"/>
        <v>0</v>
      </c>
      <c r="AK15" s="31"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637"/>
      <c r="AM15" s="32"/>
      <c r="AN15" s="656"/>
      <c r="AO15" s="690"/>
      <c r="AP15" s="323"/>
      <c r="AQ15"/>
    </row>
    <row r="16" spans="1:43" ht="25.9" hidden="1" customHeight="1" thickBot="1" x14ac:dyDescent="0.8">
      <c r="A16" s="717"/>
      <c r="B16" s="2" t="s">
        <v>649</v>
      </c>
      <c r="C16" s="894" t="s">
        <v>861</v>
      </c>
      <c r="D16" s="50"/>
      <c r="E16" s="51"/>
      <c r="F16" s="51"/>
      <c r="G16" s="51"/>
      <c r="H16" s="51"/>
      <c r="I16" s="51"/>
      <c r="J16" s="51"/>
      <c r="K16" s="51"/>
      <c r="L16" s="51"/>
      <c r="M16" s="51"/>
      <c r="N16" s="51"/>
      <c r="O16" s="51"/>
      <c r="P16" s="51"/>
      <c r="Q16" s="51"/>
      <c r="R16" s="51"/>
      <c r="S16" s="51"/>
      <c r="T16" s="51"/>
      <c r="U16" s="51"/>
      <c r="V16" s="51"/>
      <c r="W16" s="51"/>
      <c r="X16" s="51"/>
      <c r="Y16" s="51"/>
      <c r="Z16" s="51"/>
      <c r="AA16" s="52"/>
      <c r="AB16" s="336"/>
      <c r="AC16" s="336"/>
      <c r="AD16" s="336"/>
      <c r="AE16" s="336"/>
      <c r="AF16" s="336"/>
      <c r="AG16" s="336"/>
      <c r="AH16" s="336"/>
      <c r="AI16" s="336"/>
      <c r="AJ16" s="68">
        <f t="shared" si="1"/>
        <v>0</v>
      </c>
      <c r="AK16" s="31"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637"/>
      <c r="AM16" s="32"/>
      <c r="AN16" s="656"/>
      <c r="AO16" s="690"/>
      <c r="AP16" s="323"/>
      <c r="AQ16"/>
    </row>
    <row r="17" spans="1:43" ht="25.9" hidden="1" customHeight="1" thickBot="1" x14ac:dyDescent="0.8">
      <c r="A17" s="718"/>
      <c r="B17" s="3" t="s">
        <v>471</v>
      </c>
      <c r="C17" s="895" t="s">
        <v>862</v>
      </c>
      <c r="D17" s="54"/>
      <c r="E17" s="55"/>
      <c r="F17" s="55"/>
      <c r="G17" s="55"/>
      <c r="H17" s="55"/>
      <c r="I17" s="55"/>
      <c r="J17" s="55"/>
      <c r="K17" s="55"/>
      <c r="L17" s="55"/>
      <c r="M17" s="55"/>
      <c r="N17" s="55"/>
      <c r="O17" s="55"/>
      <c r="P17" s="55"/>
      <c r="Q17" s="55"/>
      <c r="R17" s="55"/>
      <c r="S17" s="55"/>
      <c r="T17" s="55"/>
      <c r="U17" s="55"/>
      <c r="V17" s="55"/>
      <c r="W17" s="55"/>
      <c r="X17" s="55"/>
      <c r="Y17" s="55"/>
      <c r="Z17" s="55"/>
      <c r="AA17" s="56"/>
      <c r="AB17" s="337"/>
      <c r="AC17" s="337"/>
      <c r="AD17" s="337"/>
      <c r="AE17" s="337"/>
      <c r="AF17" s="337"/>
      <c r="AG17" s="337"/>
      <c r="AH17" s="337"/>
      <c r="AI17" s="337"/>
      <c r="AJ17" s="69">
        <f t="shared" si="1"/>
        <v>0</v>
      </c>
      <c r="AK17" s="46"/>
      <c r="AL17" s="637"/>
      <c r="AM17" s="32"/>
      <c r="AN17" s="656"/>
      <c r="AO17" s="690"/>
      <c r="AP17" s="323"/>
      <c r="AQ17"/>
    </row>
    <row r="18" spans="1:43" ht="25.9" hidden="1" customHeight="1" thickBot="1" x14ac:dyDescent="0.8">
      <c r="A18" s="324"/>
      <c r="B18" s="325" t="s">
        <v>1013</v>
      </c>
      <c r="C18" s="893" t="s">
        <v>1002</v>
      </c>
      <c r="D18" s="60">
        <f t="shared" ref="D18:E18" si="4">D17+D13+D10</f>
        <v>0</v>
      </c>
      <c r="E18" s="60">
        <f t="shared" si="4"/>
        <v>0</v>
      </c>
      <c r="F18" s="60">
        <f>F17+F13+F10</f>
        <v>0</v>
      </c>
      <c r="G18" s="60">
        <f t="shared" ref="G18:AJ18" si="5">G17+G13+G10</f>
        <v>0</v>
      </c>
      <c r="H18" s="60">
        <f t="shared" si="5"/>
        <v>0</v>
      </c>
      <c r="I18" s="60">
        <f t="shared" si="5"/>
        <v>0</v>
      </c>
      <c r="J18" s="60">
        <f t="shared" si="5"/>
        <v>0</v>
      </c>
      <c r="K18" s="60">
        <f t="shared" si="5"/>
        <v>0</v>
      </c>
      <c r="L18" s="60">
        <f t="shared" si="5"/>
        <v>0</v>
      </c>
      <c r="M18" s="60">
        <f t="shared" si="5"/>
        <v>0</v>
      </c>
      <c r="N18" s="60">
        <f t="shared" si="5"/>
        <v>0</v>
      </c>
      <c r="O18" s="60">
        <f t="shared" si="5"/>
        <v>0</v>
      </c>
      <c r="P18" s="60">
        <f t="shared" si="5"/>
        <v>0</v>
      </c>
      <c r="Q18" s="60">
        <f t="shared" si="5"/>
        <v>0</v>
      </c>
      <c r="R18" s="60">
        <f t="shared" si="5"/>
        <v>0</v>
      </c>
      <c r="S18" s="60">
        <f t="shared" si="5"/>
        <v>0</v>
      </c>
      <c r="T18" s="60">
        <f t="shared" si="5"/>
        <v>0</v>
      </c>
      <c r="U18" s="60">
        <f t="shared" si="5"/>
        <v>0</v>
      </c>
      <c r="V18" s="60">
        <f t="shared" si="5"/>
        <v>0</v>
      </c>
      <c r="W18" s="60">
        <f t="shared" si="5"/>
        <v>0</v>
      </c>
      <c r="X18" s="60">
        <f t="shared" si="5"/>
        <v>0</v>
      </c>
      <c r="Y18" s="60">
        <f t="shared" si="5"/>
        <v>0</v>
      </c>
      <c r="Z18" s="60">
        <f t="shared" si="5"/>
        <v>0</v>
      </c>
      <c r="AA18" s="60">
        <f t="shared" si="5"/>
        <v>0</v>
      </c>
      <c r="AB18" s="60"/>
      <c r="AC18" s="60"/>
      <c r="AD18" s="60"/>
      <c r="AE18" s="60"/>
      <c r="AF18" s="60"/>
      <c r="AG18" s="60"/>
      <c r="AH18" s="60"/>
      <c r="AI18" s="60"/>
      <c r="AJ18" s="60">
        <f t="shared" si="5"/>
        <v>0</v>
      </c>
      <c r="AK18" s="326"/>
      <c r="AL18" s="637"/>
      <c r="AM18" s="129"/>
      <c r="AN18" s="656"/>
      <c r="AO18" s="690"/>
      <c r="AP18" s="323"/>
      <c r="AQ18"/>
    </row>
    <row r="19" spans="1:43" ht="36.75" customHeight="1" thickBot="1" x14ac:dyDescent="0.75">
      <c r="A19" s="640" t="s">
        <v>12</v>
      </c>
      <c r="B19" s="641"/>
      <c r="C19" s="641"/>
      <c r="D19" s="641"/>
      <c r="E19" s="641"/>
      <c r="F19" s="641"/>
      <c r="G19" s="641"/>
      <c r="H19" s="641"/>
      <c r="I19" s="641"/>
      <c r="J19" s="641"/>
      <c r="K19" s="641"/>
      <c r="L19" s="641"/>
      <c r="M19" s="641"/>
      <c r="N19" s="641"/>
      <c r="O19" s="641"/>
      <c r="P19" s="641"/>
      <c r="Q19" s="641"/>
      <c r="R19" s="641"/>
      <c r="S19" s="641"/>
      <c r="T19" s="641"/>
      <c r="U19" s="641"/>
      <c r="V19" s="641"/>
      <c r="W19" s="641"/>
      <c r="X19" s="641"/>
      <c r="Y19" s="641"/>
      <c r="Z19" s="641"/>
      <c r="AA19" s="641"/>
      <c r="AB19" s="641"/>
      <c r="AC19" s="641"/>
      <c r="AD19" s="641"/>
      <c r="AE19" s="641"/>
      <c r="AF19" s="641"/>
      <c r="AG19" s="641"/>
      <c r="AH19" s="641"/>
      <c r="AI19" s="641"/>
      <c r="AJ19" s="641"/>
      <c r="AK19" s="641"/>
      <c r="AL19" s="641"/>
      <c r="AM19" s="641"/>
      <c r="AN19" s="711"/>
      <c r="AO19" s="690"/>
      <c r="AP19" s="322" t="str">
        <f>HYPERLINK("#PREP","2.0 Prep New &amp; CURR")</f>
        <v>2.0 Prep New &amp; CURR</v>
      </c>
      <c r="AQ19" s="322" t="str">
        <f>HYPERLINK("#HAART","6.2 PMTCT HAART")</f>
        <v>6.2 PMTCT HAART</v>
      </c>
    </row>
    <row r="20" spans="1:43" s="15" customFormat="1" ht="33" customHeight="1" thickBot="1" x14ac:dyDescent="0.75">
      <c r="A20" s="617" t="s">
        <v>37</v>
      </c>
      <c r="B20" s="644" t="s">
        <v>346</v>
      </c>
      <c r="C20" s="897" t="s">
        <v>327</v>
      </c>
      <c r="D20" s="614" t="s">
        <v>0</v>
      </c>
      <c r="E20" s="614"/>
      <c r="F20" s="614" t="s">
        <v>1</v>
      </c>
      <c r="G20" s="614"/>
      <c r="H20" s="614" t="s">
        <v>2</v>
      </c>
      <c r="I20" s="614"/>
      <c r="J20" s="614" t="s">
        <v>3</v>
      </c>
      <c r="K20" s="614"/>
      <c r="L20" s="614" t="s">
        <v>4</v>
      </c>
      <c r="M20" s="614"/>
      <c r="N20" s="614" t="s">
        <v>5</v>
      </c>
      <c r="O20" s="614"/>
      <c r="P20" s="614" t="s">
        <v>6</v>
      </c>
      <c r="Q20" s="614"/>
      <c r="R20" s="614" t="s">
        <v>7</v>
      </c>
      <c r="S20" s="614"/>
      <c r="T20" s="614" t="s">
        <v>8</v>
      </c>
      <c r="U20" s="614"/>
      <c r="V20" s="614" t="s">
        <v>23</v>
      </c>
      <c r="W20" s="614"/>
      <c r="X20" s="614" t="s">
        <v>24</v>
      </c>
      <c r="Y20" s="614"/>
      <c r="Z20" s="614" t="s">
        <v>9</v>
      </c>
      <c r="AA20" s="614"/>
      <c r="AB20" s="624" t="s">
        <v>1034</v>
      </c>
      <c r="AC20" s="647"/>
      <c r="AD20" s="624" t="s">
        <v>1035</v>
      </c>
      <c r="AE20" s="647"/>
      <c r="AF20" s="624" t="s">
        <v>1208</v>
      </c>
      <c r="AG20" s="647"/>
      <c r="AH20" s="624" t="s">
        <v>1209</v>
      </c>
      <c r="AI20" s="647"/>
      <c r="AJ20" s="661" t="s">
        <v>19</v>
      </c>
      <c r="AK20" s="657" t="s">
        <v>380</v>
      </c>
      <c r="AL20" s="638" t="s">
        <v>386</v>
      </c>
      <c r="AM20" s="659" t="s">
        <v>387</v>
      </c>
      <c r="AN20" s="722" t="s">
        <v>387</v>
      </c>
      <c r="AO20" s="690"/>
      <c r="AP20" s="322" t="str">
        <f>HYPERLINK("#IPT","3.0 IPT")</f>
        <v>3.0 IPT</v>
      </c>
      <c r="AQ20" s="322" t="str">
        <f>HYPERLINK("#ART","7.0 HIV &amp; TB SCREEN")</f>
        <v>7.0 HIV &amp; TB SCREEN</v>
      </c>
    </row>
    <row r="21" spans="1:43" s="15" customFormat="1" ht="33" customHeight="1" thickBot="1" x14ac:dyDescent="0.75">
      <c r="A21" s="618"/>
      <c r="B21" s="645"/>
      <c r="C21" s="892"/>
      <c r="D21" s="70" t="s">
        <v>10</v>
      </c>
      <c r="E21" s="70" t="s">
        <v>11</v>
      </c>
      <c r="F21" s="70" t="s">
        <v>10</v>
      </c>
      <c r="G21" s="70" t="s">
        <v>11</v>
      </c>
      <c r="H21" s="70" t="s">
        <v>10</v>
      </c>
      <c r="I21" s="70" t="s">
        <v>11</v>
      </c>
      <c r="J21" s="70" t="s">
        <v>10</v>
      </c>
      <c r="K21" s="70" t="s">
        <v>11</v>
      </c>
      <c r="L21" s="70" t="s">
        <v>10</v>
      </c>
      <c r="M21" s="70" t="s">
        <v>11</v>
      </c>
      <c r="N21" s="70" t="s">
        <v>10</v>
      </c>
      <c r="O21" s="70" t="s">
        <v>11</v>
      </c>
      <c r="P21" s="70" t="s">
        <v>10</v>
      </c>
      <c r="Q21" s="70" t="s">
        <v>11</v>
      </c>
      <c r="R21" s="70" t="s">
        <v>10</v>
      </c>
      <c r="S21" s="70" t="s">
        <v>11</v>
      </c>
      <c r="T21" s="70" t="s">
        <v>10</v>
      </c>
      <c r="U21" s="70" t="s">
        <v>11</v>
      </c>
      <c r="V21" s="70" t="s">
        <v>10</v>
      </c>
      <c r="W21" s="70" t="s">
        <v>11</v>
      </c>
      <c r="X21" s="70" t="s">
        <v>10</v>
      </c>
      <c r="Y21" s="70" t="s">
        <v>11</v>
      </c>
      <c r="Z21" s="70" t="s">
        <v>10</v>
      </c>
      <c r="AA21" s="70" t="s">
        <v>11</v>
      </c>
      <c r="AB21" s="315" t="s">
        <v>10</v>
      </c>
      <c r="AC21" s="315" t="s">
        <v>11</v>
      </c>
      <c r="AD21" s="315" t="s">
        <v>10</v>
      </c>
      <c r="AE21" s="315" t="s">
        <v>11</v>
      </c>
      <c r="AF21" s="315" t="s">
        <v>10</v>
      </c>
      <c r="AG21" s="315" t="s">
        <v>11</v>
      </c>
      <c r="AH21" s="315" t="s">
        <v>10</v>
      </c>
      <c r="AI21" s="315" t="s">
        <v>11</v>
      </c>
      <c r="AJ21" s="662"/>
      <c r="AK21" s="658"/>
      <c r="AL21" s="639"/>
      <c r="AM21" s="697"/>
      <c r="AN21" s="723"/>
      <c r="AO21" s="690"/>
      <c r="AP21" s="322" t="str">
        <f>HYPERLINK("#CXCA","4.0 CXCA")</f>
        <v>4.0 CXCA</v>
      </c>
      <c r="AQ21" s="322" t="str">
        <f>HYPERLINK("#TB","9.0 HIV TB Clinic")</f>
        <v>9.0 HIV TB Clinic</v>
      </c>
    </row>
    <row r="22" spans="1:43" ht="25.5" x14ac:dyDescent="0.75">
      <c r="A22" s="634" t="s">
        <v>121</v>
      </c>
      <c r="B22" s="71" t="s">
        <v>1030</v>
      </c>
      <c r="C22" s="898" t="s">
        <v>143</v>
      </c>
      <c r="D22" s="145"/>
      <c r="E22" s="102"/>
      <c r="F22" s="97"/>
      <c r="G22" s="97"/>
      <c r="H22" s="97"/>
      <c r="I22" s="404"/>
      <c r="J22" s="97"/>
      <c r="K22" s="97"/>
      <c r="L22" s="97"/>
      <c r="M22" s="97"/>
      <c r="N22" s="97"/>
      <c r="O22" s="97"/>
      <c r="P22" s="97"/>
      <c r="Q22" s="97"/>
      <c r="R22" s="97"/>
      <c r="S22" s="97"/>
      <c r="T22" s="97"/>
      <c r="U22" s="97"/>
      <c r="V22" s="97"/>
      <c r="W22" s="97"/>
      <c r="X22" s="97"/>
      <c r="Y22" s="97"/>
      <c r="Z22" s="97"/>
      <c r="AA22" s="344"/>
      <c r="AB22" s="411"/>
      <c r="AC22" s="412"/>
      <c r="AD22" s="412"/>
      <c r="AE22" s="412"/>
      <c r="AF22" s="412"/>
      <c r="AG22" s="412"/>
      <c r="AH22" s="412"/>
      <c r="AI22" s="339"/>
      <c r="AJ22" s="200">
        <f t="shared" ref="AJ22:AJ27" si="6">SUM(D22:AA22)</f>
        <v>0</v>
      </c>
      <c r="AK22" s="710"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704" t="str">
        <f>CONCATENATE(AK22,AK24,AK25,AK27,AK29,AK30,AK31,AK32,AK34,AK36,AK38,AK40,AK42,AK44,AK46,AK48,AK52)</f>
        <v/>
      </c>
      <c r="AM22" s="75"/>
      <c r="AN22" s="719" t="str">
        <f>CONCATENATE(AM22,AM23,AM24,AM25,AM27,AM28,AM29,AM30,AM31,AM32,AM33,AM34,AM35,AM36,AM37,AM38,AM39,AM40,AM41,AM42,AM43,AM44,AM45,AM46,AM47,AM48,AM49,AM52,AM53)</f>
        <v/>
      </c>
      <c r="AO22" s="14">
        <v>21</v>
      </c>
      <c r="AP22" s="76"/>
      <c r="AQ22" s="77"/>
    </row>
    <row r="23" spans="1:43" ht="25.5" x14ac:dyDescent="0.75">
      <c r="A23" s="635"/>
      <c r="B23" s="78" t="s">
        <v>1031</v>
      </c>
      <c r="C23" s="899" t="s">
        <v>145</v>
      </c>
      <c r="D23" s="146"/>
      <c r="E23" s="80"/>
      <c r="F23" s="81"/>
      <c r="G23" s="81"/>
      <c r="H23" s="81"/>
      <c r="I23" s="81"/>
      <c r="J23" s="81"/>
      <c r="K23" s="81"/>
      <c r="L23" s="81"/>
      <c r="M23" s="81"/>
      <c r="N23" s="81"/>
      <c r="O23" s="81"/>
      <c r="P23" s="81"/>
      <c r="Q23" s="81"/>
      <c r="R23" s="81"/>
      <c r="S23" s="81"/>
      <c r="T23" s="81"/>
      <c r="U23" s="81"/>
      <c r="V23" s="81"/>
      <c r="W23" s="81"/>
      <c r="X23" s="81"/>
      <c r="Y23" s="81"/>
      <c r="Z23" s="81"/>
      <c r="AA23" s="341"/>
      <c r="AB23" s="413"/>
      <c r="AC23" s="380"/>
      <c r="AD23" s="380"/>
      <c r="AE23" s="380"/>
      <c r="AF23" s="380"/>
      <c r="AG23" s="380"/>
      <c r="AH23" s="380"/>
      <c r="AI23" s="336"/>
      <c r="AJ23" s="185">
        <f t="shared" si="6"/>
        <v>0</v>
      </c>
      <c r="AK23" s="691"/>
      <c r="AL23" s="652"/>
      <c r="AM23" s="32"/>
      <c r="AN23" s="720"/>
      <c r="AO23" s="14">
        <v>22</v>
      </c>
      <c r="AP23" s="76"/>
      <c r="AQ23" s="77"/>
    </row>
    <row r="24" spans="1:43" s="63" customFormat="1" ht="25.5" x14ac:dyDescent="0.75">
      <c r="A24" s="635"/>
      <c r="B24" s="78" t="s">
        <v>146</v>
      </c>
      <c r="C24" s="899" t="s">
        <v>347</v>
      </c>
      <c r="D24" s="146"/>
      <c r="E24" s="80"/>
      <c r="F24" s="81"/>
      <c r="G24" s="81"/>
      <c r="H24" s="81"/>
      <c r="I24" s="81"/>
      <c r="J24" s="81"/>
      <c r="K24" s="81"/>
      <c r="L24" s="81"/>
      <c r="M24" s="81"/>
      <c r="N24" s="81"/>
      <c r="O24" s="81"/>
      <c r="P24" s="81"/>
      <c r="Q24" s="81"/>
      <c r="R24" s="81"/>
      <c r="S24" s="81"/>
      <c r="T24" s="81"/>
      <c r="U24" s="81"/>
      <c r="V24" s="81"/>
      <c r="W24" s="81"/>
      <c r="X24" s="81"/>
      <c r="Y24" s="81"/>
      <c r="Z24" s="81"/>
      <c r="AA24" s="341"/>
      <c r="AB24" s="413"/>
      <c r="AC24" s="380"/>
      <c r="AD24" s="380"/>
      <c r="AE24" s="380"/>
      <c r="AF24" s="380"/>
      <c r="AG24" s="380"/>
      <c r="AH24" s="380"/>
      <c r="AI24" s="336"/>
      <c r="AJ24" s="185">
        <f t="shared" si="6"/>
        <v>0</v>
      </c>
      <c r="AK24" s="46" t="str">
        <f>IF(AJ24&gt;0,IF(AJ23&lt;1,"Contacts were Elicited [ F01-03 ] yet no Patients Accepted Index Testing [F01-02]",""),"")</f>
        <v/>
      </c>
      <c r="AL24" s="652"/>
      <c r="AM24" s="62"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720"/>
      <c r="AO24" s="14">
        <v>23</v>
      </c>
      <c r="AP24" s="82"/>
      <c r="AQ24" s="77"/>
    </row>
    <row r="25" spans="1:43" s="85" customFormat="1" ht="25.5" x14ac:dyDescent="0.75">
      <c r="A25" s="635"/>
      <c r="B25" s="78" t="s">
        <v>147</v>
      </c>
      <c r="C25" s="899" t="s">
        <v>148</v>
      </c>
      <c r="D25" s="146"/>
      <c r="E25" s="80"/>
      <c r="F25" s="81"/>
      <c r="G25" s="81"/>
      <c r="H25" s="81"/>
      <c r="I25" s="81"/>
      <c r="J25" s="81"/>
      <c r="K25" s="81"/>
      <c r="L25" s="81"/>
      <c r="M25" s="81"/>
      <c r="N25" s="81"/>
      <c r="O25" s="81"/>
      <c r="P25" s="81"/>
      <c r="Q25" s="81"/>
      <c r="R25" s="81"/>
      <c r="S25" s="81"/>
      <c r="T25" s="81"/>
      <c r="U25" s="81"/>
      <c r="V25" s="81"/>
      <c r="W25" s="81"/>
      <c r="X25" s="81"/>
      <c r="Y25" s="81"/>
      <c r="Z25" s="81"/>
      <c r="AA25" s="341"/>
      <c r="AB25" s="413"/>
      <c r="AC25" s="380"/>
      <c r="AD25" s="380"/>
      <c r="AE25" s="380"/>
      <c r="AF25" s="380"/>
      <c r="AG25" s="380"/>
      <c r="AH25" s="380"/>
      <c r="AI25" s="336"/>
      <c r="AJ25" s="185">
        <f t="shared" si="6"/>
        <v>0</v>
      </c>
      <c r="AK25" s="46"/>
      <c r="AL25" s="652"/>
      <c r="AM25" s="32"/>
      <c r="AN25" s="720"/>
      <c r="AO25" s="14">
        <v>24</v>
      </c>
      <c r="AP25" s="83"/>
      <c r="AQ25" s="84"/>
    </row>
    <row r="26" spans="1:43" s="85" customFormat="1" ht="25.5" x14ac:dyDescent="0.75">
      <c r="A26" s="635"/>
      <c r="B26" s="436" t="s">
        <v>1074</v>
      </c>
      <c r="C26" s="900" t="s">
        <v>1073</v>
      </c>
      <c r="D26" s="146"/>
      <c r="E26" s="80"/>
      <c r="F26" s="81"/>
      <c r="G26" s="81"/>
      <c r="H26" s="81"/>
      <c r="I26" s="81"/>
      <c r="J26" s="81"/>
      <c r="K26" s="81"/>
      <c r="L26" s="80"/>
      <c r="M26" s="80"/>
      <c r="N26" s="80"/>
      <c r="O26" s="80"/>
      <c r="P26" s="80"/>
      <c r="Q26" s="80"/>
      <c r="R26" s="80"/>
      <c r="S26" s="80"/>
      <c r="T26" s="80"/>
      <c r="U26" s="80"/>
      <c r="V26" s="80"/>
      <c r="W26" s="80"/>
      <c r="X26" s="80"/>
      <c r="Y26" s="80"/>
      <c r="Z26" s="80"/>
      <c r="AA26" s="377"/>
      <c r="AB26" s="413"/>
      <c r="AC26" s="380"/>
      <c r="AD26" s="380"/>
      <c r="AE26" s="380"/>
      <c r="AF26" s="380"/>
      <c r="AG26" s="380"/>
      <c r="AH26" s="380"/>
      <c r="AI26" s="336"/>
      <c r="AJ26" s="185">
        <f t="shared" si="6"/>
        <v>0</v>
      </c>
      <c r="AK26" s="328"/>
      <c r="AL26" s="652"/>
      <c r="AM26" s="32"/>
      <c r="AN26" s="720"/>
      <c r="AO26" s="14"/>
      <c r="AP26" s="83"/>
      <c r="AQ26" s="84"/>
    </row>
    <row r="27" spans="1:43" s="85" customFormat="1" ht="25.5" x14ac:dyDescent="0.75">
      <c r="A27" s="635"/>
      <c r="B27" s="78" t="s">
        <v>160</v>
      </c>
      <c r="C27" s="899" t="s">
        <v>149</v>
      </c>
      <c r="D27" s="146"/>
      <c r="E27" s="80"/>
      <c r="F27" s="81"/>
      <c r="G27" s="81"/>
      <c r="H27" s="81"/>
      <c r="I27" s="81"/>
      <c r="J27" s="81"/>
      <c r="K27" s="81"/>
      <c r="L27" s="81"/>
      <c r="M27" s="81"/>
      <c r="N27" s="81"/>
      <c r="O27" s="81"/>
      <c r="P27" s="81"/>
      <c r="Q27" s="81"/>
      <c r="R27" s="81"/>
      <c r="S27" s="81"/>
      <c r="T27" s="81"/>
      <c r="U27" s="81"/>
      <c r="V27" s="81"/>
      <c r="W27" s="81"/>
      <c r="X27" s="81"/>
      <c r="Y27" s="81"/>
      <c r="Z27" s="81"/>
      <c r="AA27" s="341"/>
      <c r="AB27" s="413"/>
      <c r="AC27" s="380"/>
      <c r="AD27" s="380"/>
      <c r="AE27" s="380"/>
      <c r="AF27" s="380"/>
      <c r="AG27" s="380"/>
      <c r="AH27" s="380"/>
      <c r="AI27" s="336"/>
      <c r="AJ27" s="185">
        <f t="shared" si="6"/>
        <v>0</v>
      </c>
      <c r="AK27" s="69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652"/>
      <c r="AM27" s="32" t="str">
        <f>CONCATENATE(IF(AND(IFERROR((AJ28*100)/AJ27,0)&gt;10,AJ28&gt;5)," * This facility has a high positivity rate for Index Testing. Kindly confirm if this is the true reflection"&amp;CHAR(10),""),"")</f>
        <v/>
      </c>
      <c r="AN27" s="720"/>
      <c r="AO27" s="14">
        <v>25</v>
      </c>
      <c r="AP27" s="83"/>
      <c r="AQ27" s="84"/>
    </row>
    <row r="28" spans="1:43" s="85" customFormat="1" ht="25.5" x14ac:dyDescent="0.75">
      <c r="A28" s="635"/>
      <c r="B28" s="86" t="s">
        <v>152</v>
      </c>
      <c r="C28" s="899" t="s">
        <v>151</v>
      </c>
      <c r="D28" s="146"/>
      <c r="E28" s="80"/>
      <c r="F28" s="87"/>
      <c r="G28" s="87"/>
      <c r="H28" s="87"/>
      <c r="I28" s="87"/>
      <c r="J28" s="87"/>
      <c r="K28" s="87"/>
      <c r="L28" s="87"/>
      <c r="M28" s="87"/>
      <c r="N28" s="87"/>
      <c r="O28" s="87"/>
      <c r="P28" s="87"/>
      <c r="Q28" s="87"/>
      <c r="R28" s="87"/>
      <c r="S28" s="87"/>
      <c r="T28" s="87"/>
      <c r="U28" s="87"/>
      <c r="V28" s="87"/>
      <c r="W28" s="87"/>
      <c r="X28" s="87"/>
      <c r="Y28" s="87"/>
      <c r="Z28" s="87"/>
      <c r="AA28" s="342"/>
      <c r="AB28" s="413"/>
      <c r="AC28" s="380"/>
      <c r="AD28" s="380"/>
      <c r="AE28" s="380"/>
      <c r="AF28" s="380"/>
      <c r="AG28" s="380"/>
      <c r="AH28" s="380"/>
      <c r="AI28" s="336"/>
      <c r="AJ28" s="406">
        <f>SUM(D28:AA28)</f>
        <v>0</v>
      </c>
      <c r="AK28" s="691"/>
      <c r="AL28" s="652"/>
      <c r="AM28" s="32"/>
      <c r="AN28" s="720"/>
      <c r="AO28" s="14">
        <v>26</v>
      </c>
      <c r="AP28" s="83"/>
      <c r="AQ28" s="84"/>
    </row>
    <row r="29" spans="1:43" s="85" customFormat="1" ht="25.5" x14ac:dyDescent="0.75">
      <c r="A29" s="635"/>
      <c r="B29" s="78" t="s">
        <v>153</v>
      </c>
      <c r="C29" s="899" t="s">
        <v>154</v>
      </c>
      <c r="D29" s="146"/>
      <c r="E29" s="80"/>
      <c r="F29" s="81"/>
      <c r="G29" s="81"/>
      <c r="H29" s="81"/>
      <c r="I29" s="81"/>
      <c r="J29" s="81"/>
      <c r="K29" s="81"/>
      <c r="L29" s="81"/>
      <c r="M29" s="81"/>
      <c r="N29" s="81"/>
      <c r="O29" s="81"/>
      <c r="P29" s="81"/>
      <c r="Q29" s="81"/>
      <c r="R29" s="81"/>
      <c r="S29" s="81"/>
      <c r="T29" s="81"/>
      <c r="U29" s="81"/>
      <c r="V29" s="81"/>
      <c r="W29" s="81"/>
      <c r="X29" s="81"/>
      <c r="Y29" s="81"/>
      <c r="Z29" s="81"/>
      <c r="AA29" s="341"/>
      <c r="AB29" s="413"/>
      <c r="AC29" s="380"/>
      <c r="AD29" s="380"/>
      <c r="AE29" s="380"/>
      <c r="AF29" s="380"/>
      <c r="AG29" s="380"/>
      <c r="AH29" s="380"/>
      <c r="AI29" s="336"/>
      <c r="AJ29" s="185">
        <f t="shared" ref="AJ29:AJ53" si="7">SUM(D29:AA29)</f>
        <v>0</v>
      </c>
      <c r="AK29" s="46"/>
      <c r="AL29" s="652"/>
      <c r="AM29" s="32"/>
      <c r="AN29" s="720"/>
      <c r="AO29" s="14">
        <v>27</v>
      </c>
      <c r="AP29" s="83"/>
      <c r="AQ29" s="84"/>
    </row>
    <row r="30" spans="1:43" s="85" customFormat="1" ht="25.5" x14ac:dyDescent="0.75">
      <c r="A30" s="635"/>
      <c r="B30" s="78" t="s">
        <v>650</v>
      </c>
      <c r="C30" s="899" t="s">
        <v>155</v>
      </c>
      <c r="D30" s="405"/>
      <c r="E30" s="88"/>
      <c r="F30" s="81"/>
      <c r="G30" s="81"/>
      <c r="H30" s="81"/>
      <c r="I30" s="81"/>
      <c r="J30" s="81"/>
      <c r="K30" s="81"/>
      <c r="L30" s="81"/>
      <c r="M30" s="81"/>
      <c r="N30" s="81"/>
      <c r="O30" s="81"/>
      <c r="P30" s="81"/>
      <c r="Q30" s="81"/>
      <c r="R30" s="81"/>
      <c r="S30" s="81"/>
      <c r="T30" s="81"/>
      <c r="U30" s="81"/>
      <c r="V30" s="81"/>
      <c r="W30" s="81"/>
      <c r="X30" s="81"/>
      <c r="Y30" s="81"/>
      <c r="Z30" s="81"/>
      <c r="AA30" s="341"/>
      <c r="AB30" s="413"/>
      <c r="AC30" s="380"/>
      <c r="AD30" s="380"/>
      <c r="AE30" s="380"/>
      <c r="AF30" s="380"/>
      <c r="AG30" s="380"/>
      <c r="AH30" s="380"/>
      <c r="AI30" s="336"/>
      <c r="AJ30" s="185">
        <f t="shared" si="7"/>
        <v>0</v>
      </c>
      <c r="AK30" s="46"/>
      <c r="AL30" s="652"/>
      <c r="AM30" s="32"/>
      <c r="AN30" s="720"/>
      <c r="AO30" s="14">
        <v>28</v>
      </c>
      <c r="AP30" s="83"/>
      <c r="AQ30" s="84"/>
    </row>
    <row r="31" spans="1:43" s="85" customFormat="1" ht="25.9" thickBot="1" x14ac:dyDescent="0.8">
      <c r="A31" s="586"/>
      <c r="B31" s="89" t="s">
        <v>156</v>
      </c>
      <c r="C31" s="901" t="s">
        <v>157</v>
      </c>
      <c r="D31" s="403"/>
      <c r="E31" s="91"/>
      <c r="F31" s="92"/>
      <c r="G31" s="92"/>
      <c r="H31" s="92"/>
      <c r="I31" s="92"/>
      <c r="J31" s="92"/>
      <c r="K31" s="92"/>
      <c r="L31" s="92"/>
      <c r="M31" s="92"/>
      <c r="N31" s="92"/>
      <c r="O31" s="92"/>
      <c r="P31" s="92"/>
      <c r="Q31" s="92"/>
      <c r="R31" s="92"/>
      <c r="S31" s="92"/>
      <c r="T31" s="92"/>
      <c r="U31" s="92"/>
      <c r="V31" s="92"/>
      <c r="W31" s="92"/>
      <c r="X31" s="92"/>
      <c r="Y31" s="92"/>
      <c r="Z31" s="92"/>
      <c r="AA31" s="343"/>
      <c r="AB31" s="413"/>
      <c r="AC31" s="380"/>
      <c r="AD31" s="380"/>
      <c r="AE31" s="380"/>
      <c r="AF31" s="380"/>
      <c r="AG31" s="380"/>
      <c r="AH31" s="380"/>
      <c r="AI31" s="336"/>
      <c r="AJ31" s="204">
        <f t="shared" si="7"/>
        <v>0</v>
      </c>
      <c r="AK31" s="46"/>
      <c r="AL31" s="652"/>
      <c r="AM31" s="32"/>
      <c r="AN31" s="720"/>
      <c r="AO31" s="14">
        <v>29</v>
      </c>
      <c r="AP31" s="83"/>
      <c r="AQ31" s="84"/>
    </row>
    <row r="32" spans="1:43" s="85" customFormat="1" ht="25.5" x14ac:dyDescent="0.75">
      <c r="A32" s="585" t="s">
        <v>13</v>
      </c>
      <c r="B32" s="319" t="s">
        <v>160</v>
      </c>
      <c r="C32" s="898" t="s">
        <v>159</v>
      </c>
      <c r="D32" s="317"/>
      <c r="E32" s="96"/>
      <c r="F32" s="97"/>
      <c r="G32" s="97"/>
      <c r="H32" s="97"/>
      <c r="I32" s="97"/>
      <c r="J32" s="97"/>
      <c r="K32" s="97"/>
      <c r="L32" s="97"/>
      <c r="M32" s="97"/>
      <c r="N32" s="97"/>
      <c r="O32" s="97"/>
      <c r="P32" s="97"/>
      <c r="Q32" s="97"/>
      <c r="R32" s="97"/>
      <c r="S32" s="97"/>
      <c r="T32" s="97"/>
      <c r="U32" s="97"/>
      <c r="V32" s="97"/>
      <c r="W32" s="97"/>
      <c r="X32" s="97"/>
      <c r="Y32" s="97"/>
      <c r="Z32" s="97"/>
      <c r="AA32" s="344"/>
      <c r="AB32" s="413"/>
      <c r="AC32" s="380"/>
      <c r="AD32" s="380"/>
      <c r="AE32" s="380"/>
      <c r="AF32" s="380"/>
      <c r="AG32" s="380"/>
      <c r="AH32" s="380"/>
      <c r="AI32" s="336"/>
      <c r="AJ32" s="200">
        <f t="shared" si="7"/>
        <v>0</v>
      </c>
      <c r="AK32" s="691" t="str">
        <f>CONCATENATE(IF(D33&gt;D32," * Positive F01-11 for Age "&amp;D20&amp;" "&amp;D21&amp;" is more than Tested  F01-10"&amp;CHAR(10),""),IF(E33&gt;E32," * Positive F01-11 for Age "&amp;D20&amp;" "&amp;E21&amp;" is more than Tested  F01-10"&amp;CHAR(10),""),IF(F33&gt;F32," * Positive F01-11 for Age "&amp;F20&amp;" "&amp;F21&amp;" is more than Tested  F01-10"&amp;CHAR(10),""),IF(G33&gt;G32," * Positive F01-11 for Age "&amp;F20&amp;" "&amp;G21&amp;" is more than Tested  F01-10"&amp;CHAR(10),""),IF(H33&gt;H32," * Positive F01-11 for Age "&amp;H20&amp;" "&amp;H21&amp;" is more than Tested  F01-10"&amp;CHAR(10),""),IF(I33&gt;I32," * Positive F01-11 for Age "&amp;H20&amp;" "&amp;I21&amp;" is more than Tested  F01-10"&amp;CHAR(10),""),IF(J33&gt;J32," * Positive F01-11 for Age "&amp;J20&amp;" "&amp;J21&amp;" is more than Tested  F01-10"&amp;CHAR(10),""),IF(K33&gt;K32," * Positive F01-11 for Age "&amp;J20&amp;" "&amp;K21&amp;" is more than Tested  F01-10"&amp;CHAR(10),""),IF(L33&gt;L32," * Positive F01-11 for Age "&amp;L20&amp;" "&amp;L21&amp;" is more than Tested  F01-10"&amp;CHAR(10),""),IF(M33&gt;M32," * Positive F01-11 for Age "&amp;L20&amp;" "&amp;M21&amp;" is more than Tested  F01-10"&amp;CHAR(10),""),IF(N33&gt;N32," * Positive F01-11 for Age "&amp;N20&amp;" "&amp;N21&amp;" is more than Tested  F01-10"&amp;CHAR(10),""),IF(O33&gt;O32," * Positive F01-11 for Age "&amp;N20&amp;" "&amp;O21&amp;" is more than Tested  F01-10"&amp;CHAR(10),""),IF(P33&gt;P32," * Positive F01-11 for Age "&amp;P20&amp;" "&amp;P21&amp;" is more than Tested  F01-10"&amp;CHAR(10),""),IF(Q33&gt;Q32," * Positive F01-11 for Age "&amp;P20&amp;" "&amp;Q21&amp;" is more than Tested  F01-10"&amp;CHAR(10),""),IF(R33&gt;R32," * Positive F01-11 for Age "&amp;R20&amp;" "&amp;R21&amp;" is more than Tested  F01-10"&amp;CHAR(10),""),IF(S33&gt;S32," * Positive F01-11 for Age "&amp;R20&amp;" "&amp;S21&amp;" is more than Tested  F01-10"&amp;CHAR(10),""),IF(T33&gt;T32," * Positive F01-11 for Age "&amp;T20&amp;" "&amp;T21&amp;" is more than Tested  F01-10"&amp;CHAR(10),""),IF(U33&gt;U32," * Positive F01-11 for Age "&amp;T20&amp;" "&amp;U21&amp;" is more than Tested  F01-10"&amp;CHAR(10),""),IF(V33&gt;V32," * Positive F01-11 for Age "&amp;V20&amp;" "&amp;V21&amp;" is more than Tested  F01-10"&amp;CHAR(10),""),IF(W33&gt;W32," * Positive F01-11 for Age "&amp;V20&amp;" "&amp;W21&amp;" is more than Tested  F01-10"&amp;CHAR(10),""),IF(X33&gt;X32," * Positive F01-11 for Age "&amp;X20&amp;" "&amp;X21&amp;" is more than Tested  F01-10"&amp;CHAR(10),""),IF(Y33&gt;Y32," * Positive F01-11 for Age "&amp;X20&amp;" "&amp;Y21&amp;" is more than Tested  F01-10"&amp;CHAR(10),""),IF(Z33&gt;Z32," * Positive F01-11 for Age "&amp;Z20&amp;" "&amp;Z21&amp;" is more than Tested  F01-10"&amp;CHAR(10),""),IF(AA33&gt;AA32," * Positive F01-11 for Age "&amp;Z20&amp;" "&amp;AA21&amp;" is more than Tested  F01-10"&amp;CHAR(10),""),IF(AJ33&gt;AJ32," * Total Positive F01-11 is more than Total Tested  F01-10"&amp;CHAR(10),""))</f>
        <v/>
      </c>
      <c r="AL32" s="652"/>
      <c r="AM32" s="32" t="str">
        <f>CONCATENATE(IF(AND(IFERROR((AJ33*100)/AJ32,0)&gt;10,AJ33&gt;5)," * This facility has a high positivity rate for Index Testing. Kindly confirm if this is the true reflection"&amp;CHAR(10),""),"")</f>
        <v/>
      </c>
      <c r="AN32" s="720"/>
      <c r="AO32" s="14">
        <v>30</v>
      </c>
      <c r="AP32" s="83"/>
      <c r="AQ32" s="84"/>
    </row>
    <row r="33" spans="1:43" s="85" customFormat="1" ht="25.9" thickBot="1" x14ac:dyDescent="0.8">
      <c r="A33" s="586"/>
      <c r="B33" s="320" t="s">
        <v>152</v>
      </c>
      <c r="C33" s="901" t="s">
        <v>161</v>
      </c>
      <c r="D33" s="318"/>
      <c r="E33" s="99"/>
      <c r="F33" s="100"/>
      <c r="G33" s="100"/>
      <c r="H33" s="100"/>
      <c r="I33" s="100"/>
      <c r="J33" s="100"/>
      <c r="K33" s="100"/>
      <c r="L33" s="100"/>
      <c r="M33" s="100"/>
      <c r="N33" s="100"/>
      <c r="O33" s="100"/>
      <c r="P33" s="100"/>
      <c r="Q33" s="100"/>
      <c r="R33" s="100"/>
      <c r="S33" s="100"/>
      <c r="T33" s="100"/>
      <c r="U33" s="100"/>
      <c r="V33" s="100"/>
      <c r="W33" s="100"/>
      <c r="X33" s="100"/>
      <c r="Y33" s="100"/>
      <c r="Z33" s="100"/>
      <c r="AA33" s="345"/>
      <c r="AB33" s="413"/>
      <c r="AC33" s="380"/>
      <c r="AD33" s="380"/>
      <c r="AE33" s="380"/>
      <c r="AF33" s="380"/>
      <c r="AG33" s="380"/>
      <c r="AH33" s="380"/>
      <c r="AI33" s="336"/>
      <c r="AJ33" s="400">
        <f t="shared" si="7"/>
        <v>0</v>
      </c>
      <c r="AK33" s="691"/>
      <c r="AL33" s="652"/>
      <c r="AM33" s="32"/>
      <c r="AN33" s="720"/>
      <c r="AO33" s="14">
        <v>31</v>
      </c>
      <c r="AP33" s="83"/>
      <c r="AQ33" s="84"/>
    </row>
    <row r="34" spans="1:43" s="85" customFormat="1" ht="25.5" x14ac:dyDescent="0.75">
      <c r="A34" s="585" t="s">
        <v>14</v>
      </c>
      <c r="B34" s="94" t="s">
        <v>160</v>
      </c>
      <c r="C34" s="898" t="s">
        <v>162</v>
      </c>
      <c r="D34" s="72"/>
      <c r="E34" s="73"/>
      <c r="F34" s="74"/>
      <c r="G34" s="74"/>
      <c r="H34" s="74"/>
      <c r="I34" s="74"/>
      <c r="J34" s="74"/>
      <c r="K34" s="74"/>
      <c r="L34" s="74"/>
      <c r="M34" s="74"/>
      <c r="N34" s="74"/>
      <c r="O34" s="74"/>
      <c r="P34" s="74"/>
      <c r="Q34" s="74"/>
      <c r="R34" s="74"/>
      <c r="S34" s="74"/>
      <c r="T34" s="74"/>
      <c r="U34" s="74"/>
      <c r="V34" s="74"/>
      <c r="W34" s="74"/>
      <c r="X34" s="74"/>
      <c r="Y34" s="74"/>
      <c r="Z34" s="74"/>
      <c r="AA34" s="340"/>
      <c r="AB34" s="413"/>
      <c r="AC34" s="380"/>
      <c r="AD34" s="380"/>
      <c r="AE34" s="380"/>
      <c r="AF34" s="380"/>
      <c r="AG34" s="380"/>
      <c r="AH34" s="380"/>
      <c r="AI34" s="336"/>
      <c r="AJ34" s="53">
        <f t="shared" si="7"/>
        <v>0</v>
      </c>
      <c r="AK34" s="691" t="str">
        <f>CONCATENATE(IF(D35&gt;D34," * Positive F01-13 for Age "&amp;D20&amp;" "&amp;D21&amp;" is more than Tested F01-12"&amp;CHAR(10),""),IF(E35&gt;E34," * Positive F01-13 for Age "&amp;D20&amp;" "&amp;E21&amp;" is more than Tested F01-12"&amp;CHAR(10),""),IF(F35&gt;F34," * Positive F01-13 for Age "&amp;F20&amp;" "&amp;F21&amp;" is more than Tested F01-12"&amp;CHAR(10),""),IF(G35&gt;G34," * Positive F01-13 for Age "&amp;F20&amp;" "&amp;G21&amp;" is more than Tested F01-12"&amp;CHAR(10),""),IF(H35&gt;H34," * Positive F01-13 for Age "&amp;H20&amp;" "&amp;H21&amp;" is more than Tested F01-12"&amp;CHAR(10),""),IF(I35&gt;I34," * Positive F01-13 for Age "&amp;H20&amp;" "&amp;I21&amp;" is more than Tested F01-12"&amp;CHAR(10),""),IF(J35&gt;J34," * Positive F01-13 for Age "&amp;J20&amp;" "&amp;J21&amp;" is more than Tested F01-12"&amp;CHAR(10),""),IF(K35&gt;K34," * Positive F01-13 for Age "&amp;J20&amp;" "&amp;K21&amp;" is more than Tested F01-12"&amp;CHAR(10),""),IF(L35&gt;L34," * Positive F01-13 for Age "&amp;L20&amp;" "&amp;L21&amp;" is more than Tested F01-12"&amp;CHAR(10),""),IF(M35&gt;M34," * Positive F01-13 for Age "&amp;L20&amp;" "&amp;M21&amp;" is more than Tested F01-12"&amp;CHAR(10),""),IF(N35&gt;N34," * Positive F01-13 for Age "&amp;N20&amp;" "&amp;N21&amp;" is more than Tested F01-12"&amp;CHAR(10),""),IF(O35&gt;O34," * Positive F01-13 for Age "&amp;N20&amp;" "&amp;O21&amp;" is more than Tested F01-12"&amp;CHAR(10),""),IF(P35&gt;P34," * Positive F01-13 for Age "&amp;P20&amp;" "&amp;P21&amp;" is more than Tested F01-12"&amp;CHAR(10),""),IF(Q35&gt;Q34," * Positive F01-13 for Age "&amp;P20&amp;" "&amp;Q21&amp;" is more than Tested F01-12"&amp;CHAR(10),""),IF(R35&gt;R34," * Positive F01-13 for Age "&amp;R20&amp;" "&amp;R21&amp;" is more than Tested F01-12"&amp;CHAR(10),""),IF(S35&gt;S34," * Positive F01-13 for Age "&amp;R20&amp;" "&amp;S21&amp;" is more than Tested F01-12"&amp;CHAR(10),""),IF(T35&gt;T34," * Positive F01-13 for Age "&amp;T20&amp;" "&amp;T21&amp;" is more than Tested F01-12"&amp;CHAR(10),""),IF(U35&gt;U34," * Positive F01-13 for Age "&amp;T20&amp;" "&amp;U21&amp;" is more than Tested F01-12"&amp;CHAR(10),""),IF(V35&gt;V34," * Positive F01-13 for Age "&amp;V20&amp;" "&amp;V21&amp;" is more than Tested F01-12"&amp;CHAR(10),""),IF(W35&gt;W34," * Positive F01-13 for Age "&amp;V20&amp;" "&amp;W21&amp;" is more than Tested F01-12"&amp;CHAR(10),""),IF(X35&gt;X34," * Positive F01-13 for Age "&amp;X20&amp;" "&amp;X21&amp;" is more than Tested F01-12"&amp;CHAR(10),""),IF(Y35&gt;Y34," * Positive F01-13 for Age "&amp;X20&amp;" "&amp;Y21&amp;" is more than Tested F01-12"&amp;CHAR(10),""),IF(Z35&gt;Z34," * Positive F01-13 for Age "&amp;Z20&amp;" "&amp;Z21&amp;" is more than Tested F01-12"&amp;CHAR(10),""),IF(AA35&gt;AA34," * Positive F01-13 for Age "&amp;Z20&amp;" "&amp;AA21&amp;" is more than Tested F01-12"&amp;CHAR(10),""))</f>
        <v/>
      </c>
      <c r="AL34" s="652"/>
      <c r="AM34" s="32" t="str">
        <f>CONCATENATE(IF(AND(IFERROR((AJ35*100)/AJ34,0)&gt;10,AJ35&gt;5)," * This facility has a high positivity rate for Index Testing. Kindly confirm if this is the true reflection"&amp;CHAR(10),""),"")</f>
        <v/>
      </c>
      <c r="AN34" s="720"/>
      <c r="AO34" s="14">
        <v>32</v>
      </c>
      <c r="AP34" s="83"/>
      <c r="AQ34" s="84"/>
    </row>
    <row r="35" spans="1:43" s="85" customFormat="1" ht="25.9" thickBot="1" x14ac:dyDescent="0.8">
      <c r="A35" s="586"/>
      <c r="B35" s="98" t="s">
        <v>152</v>
      </c>
      <c r="C35" s="901" t="s">
        <v>163</v>
      </c>
      <c r="D35" s="103"/>
      <c r="E35" s="104"/>
      <c r="F35" s="100"/>
      <c r="G35" s="100"/>
      <c r="H35" s="100"/>
      <c r="I35" s="100"/>
      <c r="J35" s="100"/>
      <c r="K35" s="100"/>
      <c r="L35" s="100"/>
      <c r="M35" s="100"/>
      <c r="N35" s="100"/>
      <c r="O35" s="100"/>
      <c r="P35" s="100"/>
      <c r="Q35" s="100"/>
      <c r="R35" s="100"/>
      <c r="S35" s="100"/>
      <c r="T35" s="100"/>
      <c r="U35" s="100"/>
      <c r="V35" s="100"/>
      <c r="W35" s="100"/>
      <c r="X35" s="100"/>
      <c r="Y35" s="100"/>
      <c r="Z35" s="100"/>
      <c r="AA35" s="345"/>
      <c r="AB35" s="413"/>
      <c r="AC35" s="380"/>
      <c r="AD35" s="380"/>
      <c r="AE35" s="380"/>
      <c r="AF35" s="380"/>
      <c r="AG35" s="380"/>
      <c r="AH35" s="380"/>
      <c r="AI35" s="336"/>
      <c r="AJ35" s="400">
        <f t="shared" si="7"/>
        <v>0</v>
      </c>
      <c r="AK35" s="691"/>
      <c r="AL35" s="652"/>
      <c r="AM35" s="32" t="str">
        <f>CONCATENATE(IF(D34&gt;0," * F01-12 for Age "&amp;D20&amp;" "&amp;D21&amp;" has a value greater than 0"&amp;CHAR(10),""),IF(E34&gt;0," * F01-12 for Age "&amp;D20&amp;" "&amp;E21&amp;" has a value greater than 0"&amp;CHAR(10),""),IF(D35&gt;0," * F01-13 for Age "&amp;D20&amp;" "&amp;D21&amp;" has a value greater than 0"&amp;CHAR(10),""),IF(E35&gt;0," * F01-13 for Age "&amp;D20&amp;" "&amp;E21&amp;" has a value greater than 0"&amp;CHAR(10),""),IF(D36&gt;0," * F01-14 for Age "&amp;D20&amp;" "&amp;D21&amp;" has a value greater than 0"&amp;CHAR(10),""),IF(E36&gt;0," * F01-14 for Age "&amp;D20&amp;" "&amp;E21&amp;" has a value greater than 0"&amp;CHAR(10),""),IF(D37&gt;0," * F01-15 for Age "&amp;D20&amp;" "&amp;D21&amp;" has a value greater than 0"&amp;CHAR(10),""),IF(E37&gt;0," * F01-15 for Age "&amp;D20&amp;" "&amp;E21&amp;" has a value greater than 0"&amp;CHAR(10),""),IF(D42&gt;0," * F01-20 for Age "&amp;D20&amp;" "&amp;D21&amp;" has a value greater than 0"&amp;CHAR(10),""),IF(E42&gt;0," * F01-20 for Age "&amp;D20&amp;" "&amp;E21&amp;" has a value greater than 0"&amp;CHAR(10),""),IF(D43&gt;0," * F01-21 for Age "&amp;D20&amp;" "&amp;D21&amp;" has a value greater than 0"&amp;CHAR(10),""),IF(E43&gt;0," * F01-21 for Age "&amp;D20&amp;" "&amp;E21&amp;" has a value greater than 0"&amp;CHAR(10),""),IF(D44&gt;0," * F01-22 for Age "&amp;D20&amp;" "&amp;D21&amp;" has a value greater than 0"&amp;CHAR(10),""),IF(E44&gt;0," * F01-22 for Age "&amp;D20&amp;" "&amp;E21&amp;" has a value greater than 0"&amp;CHAR(10),""),IF(D45&gt;0," * F01-23 for Age "&amp;D20&amp;" "&amp;D21&amp;" has a value greater than 0"&amp;CHAR(10),""),IF(E45&gt;0," * F01-23 for Age "&amp;D20&amp;" "&amp;E21&amp;" has a value greater than 0"&amp;CHAR(10),""),"")</f>
        <v/>
      </c>
      <c r="AN35" s="720"/>
      <c r="AO35" s="14">
        <v>33</v>
      </c>
      <c r="AP35" s="83"/>
      <c r="AQ35" s="84"/>
    </row>
    <row r="36" spans="1:43" ht="25.5" x14ac:dyDescent="0.75">
      <c r="A36" s="585" t="s">
        <v>15</v>
      </c>
      <c r="B36" s="94" t="s">
        <v>160</v>
      </c>
      <c r="C36" s="898" t="s">
        <v>164</v>
      </c>
      <c r="D36" s="101"/>
      <c r="E36" s="102"/>
      <c r="F36" s="97"/>
      <c r="G36" s="97"/>
      <c r="H36" s="102"/>
      <c r="I36" s="102"/>
      <c r="J36" s="102"/>
      <c r="K36" s="102"/>
      <c r="L36" s="102"/>
      <c r="M36" s="102"/>
      <c r="N36" s="102"/>
      <c r="O36" s="102"/>
      <c r="P36" s="102"/>
      <c r="Q36" s="102"/>
      <c r="R36" s="102"/>
      <c r="S36" s="102"/>
      <c r="T36" s="102"/>
      <c r="U36" s="102"/>
      <c r="V36" s="102"/>
      <c r="W36" s="102"/>
      <c r="X36" s="102"/>
      <c r="Y36" s="102"/>
      <c r="Z36" s="102"/>
      <c r="AA36" s="346"/>
      <c r="AB36" s="413"/>
      <c r="AC36" s="380"/>
      <c r="AD36" s="380"/>
      <c r="AE36" s="380"/>
      <c r="AF36" s="380"/>
      <c r="AG36" s="380"/>
      <c r="AH36" s="380"/>
      <c r="AI36" s="336"/>
      <c r="AJ36" s="200">
        <f t="shared" si="7"/>
        <v>0</v>
      </c>
      <c r="AK36" s="691" t="str">
        <f>CONCATENATE(IF(D37&gt;D36," * Positive F01-15 for Age "&amp;D20&amp;" "&amp;D21&amp;" is more than Tested F01-14"&amp;CHAR(10),""),IF(E37&gt;E36," * Positive F01-15 for Age "&amp;D20&amp;" "&amp;E21&amp;" is more than Tested F01-14"&amp;CHAR(10),""),IF(F37&gt;F36," * Positive F01-15 for Age "&amp;F20&amp;" "&amp;F21&amp;" is more than Tested F01-14"&amp;CHAR(10),""),IF(G37&gt;G36," * Positive F01-15 for Age "&amp;F20&amp;" "&amp;G21&amp;" is more than Tested F01-14"&amp;CHAR(10),""),IF(H37&gt;H36," * Positive F01-15 for Age "&amp;H20&amp;" "&amp;H21&amp;" is more than Tested F01-14"&amp;CHAR(10),""),IF(I37&gt;I36," * Positive F01-15 for Age "&amp;H20&amp;" "&amp;I21&amp;" is more than Tested F01-14"&amp;CHAR(10),""),IF(J37&gt;J36," * Positive F01-15 for Age "&amp;J20&amp;" "&amp;J21&amp;" is more than Tested F01-14"&amp;CHAR(10),""),IF(K37&gt;K36," * Positive F01-15 for Age "&amp;J20&amp;" "&amp;K21&amp;" is more than Tested F01-14"&amp;CHAR(10),""),IF(L37&gt;L36," * Positive F01-15 for Age "&amp;L20&amp;" "&amp;L21&amp;" is more than Tested F01-14"&amp;CHAR(10),""),IF(M37&gt;M36," * Positive F01-15 for Age "&amp;L20&amp;" "&amp;M21&amp;" is more than Tested F01-14"&amp;CHAR(10),""),IF(N37&gt;N36," * Positive F01-15 for Age "&amp;N20&amp;" "&amp;N21&amp;" is more than Tested F01-14"&amp;CHAR(10),""),IF(O37&gt;O36," * Positive F01-15 for Age "&amp;N20&amp;" "&amp;O21&amp;" is more than Tested F01-14"&amp;CHAR(10),""),IF(P37&gt;P36," * Positive F01-15 for Age "&amp;P20&amp;" "&amp;P21&amp;" is more than Tested F01-14"&amp;CHAR(10),""),IF(Q37&gt;Q36," * Positive F01-15 for Age "&amp;P20&amp;" "&amp;Q21&amp;" is more than Tested F01-14"&amp;CHAR(10),""),IF(R37&gt;R36," * Positive F01-15 for Age "&amp;R20&amp;" "&amp;R21&amp;" is more than Tested F01-14"&amp;CHAR(10),""),IF(S37&gt;S36," * Positive F01-15 for Age "&amp;R20&amp;" "&amp;S21&amp;" is more than Tested F01-14"&amp;CHAR(10),""),IF(T37&gt;T36," * Positive F01-15 for Age "&amp;T20&amp;" "&amp;T21&amp;" is more than Tested F01-14"&amp;CHAR(10),""),IF(U37&gt;U36," * Positive F01-15 for Age "&amp;T20&amp;" "&amp;U21&amp;" is more than Tested F01-14"&amp;CHAR(10),""),IF(V37&gt;V36," * Positive F01-15 for Age "&amp;V20&amp;" "&amp;V21&amp;" is more than Tested F01-14"&amp;CHAR(10),""),IF(W37&gt;W36," * Positive F01-15 for Age "&amp;V20&amp;" "&amp;W21&amp;" is more than Tested F01-14"&amp;CHAR(10),""),IF(X37&gt;X36," * Positive F01-15 for Age "&amp;X20&amp;" "&amp;X21&amp;" is more than Tested F01-14"&amp;CHAR(10),""),IF(Y37&gt;Y36," * Positive F01-15 for Age "&amp;X20&amp;" "&amp;Y21&amp;" is more than Tested F01-14"&amp;CHAR(10),""),IF(Z37&gt;Z36," * Positive F01-15 for Age "&amp;Z20&amp;" "&amp;Z21&amp;" is more than Tested F01-14"&amp;CHAR(10),""),IF(AA37&gt;AA36," * Positive F01-15 for Age "&amp;Z20&amp;" "&amp;AA21&amp;" is more than Tested F01-14"&amp;CHAR(10),""))</f>
        <v/>
      </c>
      <c r="AL36" s="652"/>
      <c r="AM36" s="32" t="str">
        <f>CONCATENATE(IF(AND(IFERROR((AJ37*100)/AJ36,0)&gt;10,AJ37&gt;5)," * This facility has a high positivity rate for Index Testing. Kindly confirm if this is the true reflection"&amp;CHAR(10),""),"")</f>
        <v/>
      </c>
      <c r="AN36" s="720"/>
      <c r="AO36" s="14">
        <v>34</v>
      </c>
      <c r="AP36" s="76"/>
      <c r="AQ36" s="77"/>
    </row>
    <row r="37" spans="1:43" ht="25.9" thickBot="1" x14ac:dyDescent="0.8">
      <c r="A37" s="586"/>
      <c r="B37" s="98" t="s">
        <v>152</v>
      </c>
      <c r="C37" s="901" t="s">
        <v>165</v>
      </c>
      <c r="D37" s="103"/>
      <c r="E37" s="104"/>
      <c r="F37" s="100"/>
      <c r="G37" s="100"/>
      <c r="H37" s="105"/>
      <c r="I37" s="105"/>
      <c r="J37" s="105"/>
      <c r="K37" s="105"/>
      <c r="L37" s="105"/>
      <c r="M37" s="105"/>
      <c r="N37" s="105"/>
      <c r="O37" s="105"/>
      <c r="P37" s="105"/>
      <c r="Q37" s="105"/>
      <c r="R37" s="105"/>
      <c r="S37" s="105"/>
      <c r="T37" s="105"/>
      <c r="U37" s="105"/>
      <c r="V37" s="105"/>
      <c r="W37" s="105"/>
      <c r="X37" s="105"/>
      <c r="Y37" s="105"/>
      <c r="Z37" s="105"/>
      <c r="AA37" s="347"/>
      <c r="AB37" s="413"/>
      <c r="AC37" s="380"/>
      <c r="AD37" s="380"/>
      <c r="AE37" s="380"/>
      <c r="AF37" s="380"/>
      <c r="AG37" s="380"/>
      <c r="AH37" s="380"/>
      <c r="AI37" s="336"/>
      <c r="AJ37" s="400">
        <f t="shared" si="7"/>
        <v>0</v>
      </c>
      <c r="AK37" s="691"/>
      <c r="AL37" s="652"/>
      <c r="AM37" s="32"/>
      <c r="AN37" s="720"/>
      <c r="AO37" s="14">
        <v>35</v>
      </c>
      <c r="AP37" s="76"/>
      <c r="AQ37" s="77"/>
    </row>
    <row r="38" spans="1:43" ht="25.5" x14ac:dyDescent="0.75">
      <c r="A38" s="585" t="s">
        <v>442</v>
      </c>
      <c r="B38" s="94" t="s">
        <v>160</v>
      </c>
      <c r="C38" s="898" t="s">
        <v>166</v>
      </c>
      <c r="D38" s="101"/>
      <c r="E38" s="102"/>
      <c r="F38" s="97"/>
      <c r="G38" s="97"/>
      <c r="H38" s="102"/>
      <c r="I38" s="102"/>
      <c r="J38" s="102"/>
      <c r="K38" s="102"/>
      <c r="L38" s="102"/>
      <c r="M38" s="102"/>
      <c r="N38" s="102"/>
      <c r="O38" s="102"/>
      <c r="P38" s="102"/>
      <c r="Q38" s="102"/>
      <c r="R38" s="102"/>
      <c r="S38" s="102"/>
      <c r="T38" s="102"/>
      <c r="U38" s="102"/>
      <c r="V38" s="102"/>
      <c r="W38" s="102"/>
      <c r="X38" s="102"/>
      <c r="Y38" s="102"/>
      <c r="Z38" s="102"/>
      <c r="AA38" s="346"/>
      <c r="AB38" s="413"/>
      <c r="AC38" s="380"/>
      <c r="AD38" s="380"/>
      <c r="AE38" s="380"/>
      <c r="AF38" s="380"/>
      <c r="AG38" s="380"/>
      <c r="AH38" s="380"/>
      <c r="AI38" s="336"/>
      <c r="AJ38" s="200">
        <f t="shared" si="7"/>
        <v>0</v>
      </c>
      <c r="AK38" s="691" t="str">
        <f>CONCATENATE(IF(D39&gt;D38," * Positive F01-17 for Age "&amp;D20&amp;" "&amp;D21&amp;" is more than Tested F01-16"&amp;CHAR(10),""),IF(E39&gt;E38," * Positive F01-17 for Age "&amp;D20&amp;" "&amp;E21&amp;" is more than Tested F01-16"&amp;CHAR(10),""),IF(F39&gt;F38," * Positive F01-17 for Age "&amp;F20&amp;" "&amp;F21&amp;" is more than Tested F01-16"&amp;CHAR(10),""),IF(G39&gt;G38," * Positive F01-17 for Age "&amp;F20&amp;" "&amp;G21&amp;" is more than Tested F01-16"&amp;CHAR(10),""),IF(H39&gt;H38," * Positive F01-17 for Age "&amp;H20&amp;" "&amp;H21&amp;" is more than Tested F01-16"&amp;CHAR(10),""),IF(I39&gt;I38," * Positive F01-17 for Age "&amp;H20&amp;" "&amp;I21&amp;" is more than Tested F01-16"&amp;CHAR(10),""),IF(J39&gt;J38," * Positive F01-17 for Age "&amp;J20&amp;" "&amp;J21&amp;" is more than Tested F01-16"&amp;CHAR(10),""),IF(K39&gt;K38," * Positive F01-17 for Age "&amp;J20&amp;" "&amp;K21&amp;" is more than Tested F01-16"&amp;CHAR(10),""),IF(L39&gt;L38," * Positive F01-17 for Age "&amp;L20&amp;" "&amp;L21&amp;" is more than Tested F01-16"&amp;CHAR(10),""),IF(M39&gt;M38," * Positive F01-17 for Age "&amp;L20&amp;" "&amp;M21&amp;" is more than Tested F01-16"&amp;CHAR(10),""),IF(N39&gt;N38," * Positive F01-17 for Age "&amp;N20&amp;" "&amp;N21&amp;" is more than Tested F01-16"&amp;CHAR(10),""),IF(O39&gt;O38," * Positive F01-17 for Age "&amp;N20&amp;" "&amp;O21&amp;" is more than Tested F01-16"&amp;CHAR(10),""),IF(P39&gt;P38," * Positive F01-17 for Age "&amp;P20&amp;" "&amp;P21&amp;" is more than Tested F01-16"&amp;CHAR(10),""),IF(Q39&gt;Q38," * Positive F01-17 for Age "&amp;P20&amp;" "&amp;Q21&amp;" is more than Tested F01-16"&amp;CHAR(10),""),IF(R39&gt;R38," * Positive F01-17 for Age "&amp;R20&amp;" "&amp;R21&amp;" is more than Tested F01-16"&amp;CHAR(10),""),IF(S39&gt;S38," * Positive F01-17 for Age "&amp;R20&amp;" "&amp;S21&amp;" is more than Tested F01-16"&amp;CHAR(10),""),IF(T39&gt;T38," * Positive F01-17 for Age "&amp;T20&amp;" "&amp;T21&amp;" is more than Tested F01-16"&amp;CHAR(10),""),IF(U39&gt;U38," * Positive F01-17 for Age "&amp;T20&amp;" "&amp;U21&amp;" is more than Tested F01-16"&amp;CHAR(10),""),IF(V39&gt;V38," * Positive F01-17 for Age "&amp;V20&amp;" "&amp;V21&amp;" is more than Tested F01-16"&amp;CHAR(10),""),IF(W39&gt;W38," * Positive F01-17 for Age "&amp;V20&amp;" "&amp;W21&amp;" is more than Tested F01-16"&amp;CHAR(10),""),IF(X39&gt;X38," * Positive F01-17 for Age "&amp;X20&amp;" "&amp;X21&amp;" is more than Tested F01-16"&amp;CHAR(10),""),IF(Y39&gt;Y38," * Positive F01-17 for Age "&amp;X20&amp;" "&amp;Y21&amp;" is more than Tested F01-16"&amp;CHAR(10),""),IF(Z39&gt;Z38," * Positive F01-17 for Age "&amp;Z20&amp;" "&amp;Z21&amp;" is more than Tested F01-16"&amp;CHAR(10),""),IF(AA39&gt;AA38," * Positive F01-17 for Age "&amp;Z20&amp;" "&amp;AA21&amp;" is more than Tested F01-16"&amp;CHAR(10),""))</f>
        <v/>
      </c>
      <c r="AL38" s="652"/>
      <c r="AM38" s="32" t="str">
        <f>CONCATENATE(IF(AND(IFERROR((AJ39*100)/AJ38,0)&gt;10,AJ39&gt;5)," * This facility has a high positivity rate for Index Testing. Kindly confirm if this is the true reflection"&amp;CHAR(10),""),"")</f>
        <v/>
      </c>
      <c r="AN38" s="720"/>
      <c r="AO38" s="14">
        <v>36</v>
      </c>
      <c r="AP38" s="76"/>
      <c r="AQ38" s="77"/>
    </row>
    <row r="39" spans="1:43" ht="25.9" thickBot="1" x14ac:dyDescent="0.8">
      <c r="A39" s="586"/>
      <c r="B39" s="98" t="s">
        <v>152</v>
      </c>
      <c r="C39" s="901" t="s">
        <v>167</v>
      </c>
      <c r="D39" s="106"/>
      <c r="E39" s="105"/>
      <c r="F39" s="100"/>
      <c r="G39" s="100"/>
      <c r="H39" s="105"/>
      <c r="I39" s="105"/>
      <c r="J39" s="105"/>
      <c r="K39" s="105"/>
      <c r="L39" s="105"/>
      <c r="M39" s="105"/>
      <c r="N39" s="105"/>
      <c r="O39" s="105"/>
      <c r="P39" s="105"/>
      <c r="Q39" s="105"/>
      <c r="R39" s="105"/>
      <c r="S39" s="105"/>
      <c r="T39" s="105"/>
      <c r="U39" s="105"/>
      <c r="V39" s="105"/>
      <c r="W39" s="105"/>
      <c r="X39" s="105"/>
      <c r="Y39" s="105"/>
      <c r="Z39" s="105"/>
      <c r="AA39" s="347"/>
      <c r="AB39" s="413"/>
      <c r="AC39" s="380"/>
      <c r="AD39" s="380"/>
      <c r="AE39" s="380"/>
      <c r="AF39" s="380"/>
      <c r="AG39" s="380"/>
      <c r="AH39" s="380"/>
      <c r="AI39" s="336"/>
      <c r="AJ39" s="400">
        <f t="shared" si="7"/>
        <v>0</v>
      </c>
      <c r="AK39" s="691"/>
      <c r="AL39" s="652"/>
      <c r="AM39" s="32"/>
      <c r="AN39" s="720"/>
      <c r="AO39" s="14">
        <v>37</v>
      </c>
      <c r="AP39" s="76"/>
      <c r="AQ39" s="77"/>
    </row>
    <row r="40" spans="1:43" ht="25.5" x14ac:dyDescent="0.75">
      <c r="A40" s="585" t="s">
        <v>16</v>
      </c>
      <c r="B40" s="94" t="s">
        <v>160</v>
      </c>
      <c r="C40" s="898" t="s">
        <v>168</v>
      </c>
      <c r="D40" s="317"/>
      <c r="E40" s="96"/>
      <c r="F40" s="97"/>
      <c r="G40" s="97"/>
      <c r="H40" s="97"/>
      <c r="I40" s="97"/>
      <c r="J40" s="97"/>
      <c r="K40" s="97"/>
      <c r="L40" s="97"/>
      <c r="M40" s="97"/>
      <c r="N40" s="97"/>
      <c r="O40" s="97"/>
      <c r="P40" s="97"/>
      <c r="Q40" s="97"/>
      <c r="R40" s="97"/>
      <c r="S40" s="97"/>
      <c r="T40" s="97"/>
      <c r="U40" s="97"/>
      <c r="V40" s="97"/>
      <c r="W40" s="97"/>
      <c r="X40" s="97"/>
      <c r="Y40" s="97"/>
      <c r="Z40" s="97"/>
      <c r="AA40" s="344"/>
      <c r="AB40" s="413"/>
      <c r="AC40" s="380"/>
      <c r="AD40" s="380"/>
      <c r="AE40" s="380"/>
      <c r="AF40" s="380"/>
      <c r="AG40" s="380"/>
      <c r="AH40" s="380"/>
      <c r="AI40" s="336"/>
      <c r="AJ40" s="200">
        <f t="shared" si="7"/>
        <v>0</v>
      </c>
      <c r="AK40" s="691" t="str">
        <f>CONCATENATE(IF(D41&gt;D40," * Positive F01-19 for Age "&amp;D20&amp;" "&amp;D21&amp;" is more than Tested F01-18"&amp;CHAR(10),""),IF(E41&gt;E40," * Positive F01-19 for Age "&amp;D20&amp;" "&amp;E21&amp;" is more than Tested F01-18"&amp;CHAR(10),""),IF(F41&gt;F40," * Positive F01-19 for Age "&amp;F20&amp;" "&amp;F21&amp;" is more than Tested F01-18"&amp;CHAR(10),""),IF(G41&gt;G40," * Positive F01-19 for Age "&amp;F20&amp;" "&amp;G21&amp;" is more than Tested F01-18"&amp;CHAR(10),""),IF(H41&gt;H40," * Positive F01-19 for Age "&amp;H20&amp;" "&amp;H21&amp;" is more than Tested F01-18"&amp;CHAR(10),""),IF(I41&gt;I40," * Positive F01-19 for Age "&amp;H20&amp;" "&amp;I21&amp;" is more than Tested F01-18"&amp;CHAR(10),""),IF(J41&gt;J40," * Positive F01-19 for Age "&amp;J20&amp;" "&amp;J21&amp;" is more than Tested F01-18"&amp;CHAR(10),""),IF(K41&gt;K40," * Positive F01-19 for Age "&amp;J20&amp;" "&amp;K21&amp;" is more than Tested F01-18"&amp;CHAR(10),""),IF(L41&gt;L40," * Positive F01-19 for Age "&amp;L20&amp;" "&amp;L21&amp;" is more than Tested F01-18"&amp;CHAR(10),""),IF(M41&gt;M40," * Positive F01-19 for Age "&amp;L20&amp;" "&amp;M21&amp;" is more than Tested F01-18"&amp;CHAR(10),""),IF(N41&gt;N40," * Positive F01-19 for Age "&amp;N20&amp;" "&amp;N21&amp;" is more than Tested F01-18"&amp;CHAR(10),""),IF(O41&gt;O40," * Positive F01-19 for Age "&amp;N20&amp;" "&amp;O21&amp;" is more than Tested F01-18"&amp;CHAR(10),""),IF(P41&gt;P40," * Positive F01-19 for Age "&amp;P20&amp;" "&amp;P21&amp;" is more than Tested F01-18"&amp;CHAR(10),""),IF(Q41&gt;Q40," * Positive F01-19 for Age "&amp;P20&amp;" "&amp;Q21&amp;" is more than Tested F01-18"&amp;CHAR(10),""),IF(R41&gt;R40," * Positive F01-19 for Age "&amp;R20&amp;" "&amp;R21&amp;" is more than Tested F01-18"&amp;CHAR(10),""),IF(S41&gt;S40," * Positive F01-19 for Age "&amp;R20&amp;" "&amp;S21&amp;" is more than Tested F01-18"&amp;CHAR(10),""),IF(T41&gt;T40," * Positive F01-19 for Age "&amp;T20&amp;" "&amp;T21&amp;" is more than Tested F01-18"&amp;CHAR(10),""),IF(U41&gt;U40," * Positive F01-19 for Age "&amp;T20&amp;" "&amp;U21&amp;" is more than Tested F01-18"&amp;CHAR(10),""),IF(V41&gt;V40," * Positive F01-19 for Age "&amp;V20&amp;" "&amp;V21&amp;" is more than Tested F01-18"&amp;CHAR(10),""),IF(W41&gt;W40," * Positive F01-19 for Age "&amp;V20&amp;" "&amp;W21&amp;" is more than Tested F01-18"&amp;CHAR(10),""),IF(X41&gt;X40," * Positive F01-19 for Age "&amp;X20&amp;" "&amp;X21&amp;" is more than Tested F01-18"&amp;CHAR(10),""),IF(Y41&gt;Y40," * Positive F01-19 for Age "&amp;X20&amp;" "&amp;Y21&amp;" is more than Tested F01-18"&amp;CHAR(10),""),IF(Z41&gt;Z40," * Positive F01-19 for Age "&amp;Z20&amp;" "&amp;Z21&amp;" is more than Tested F01-18"&amp;CHAR(10),""),IF(AA41&gt;AA40," * Positive F01-19 for Age "&amp;Z20&amp;" "&amp;AA21&amp;" is more than Tested F01-18"&amp;CHAR(10),""))</f>
        <v/>
      </c>
      <c r="AL40" s="652"/>
      <c r="AM40" s="32" t="str">
        <f>CONCATENATE(IF(AND(IFERROR((AJ41*100)/AJ40,0)&gt;10,AJ41&gt;5)," * This facility has a high positivity rate for Index Testing. Kindly confirm if this is the true reflection"&amp;CHAR(10),""),"")</f>
        <v/>
      </c>
      <c r="AN40" s="720"/>
      <c r="AO40" s="14">
        <v>38</v>
      </c>
      <c r="AP40" s="76"/>
      <c r="AQ40" s="77"/>
    </row>
    <row r="41" spans="1:43" ht="25.9" thickBot="1" x14ac:dyDescent="0.8">
      <c r="A41" s="586"/>
      <c r="B41" s="98" t="s">
        <v>152</v>
      </c>
      <c r="C41" s="901" t="s">
        <v>169</v>
      </c>
      <c r="D41" s="403"/>
      <c r="E41" s="91"/>
      <c r="F41" s="100"/>
      <c r="G41" s="100"/>
      <c r="H41" s="100"/>
      <c r="I41" s="100"/>
      <c r="J41" s="100"/>
      <c r="K41" s="100"/>
      <c r="L41" s="100"/>
      <c r="M41" s="100"/>
      <c r="N41" s="100"/>
      <c r="O41" s="100"/>
      <c r="P41" s="100"/>
      <c r="Q41" s="100"/>
      <c r="R41" s="100"/>
      <c r="S41" s="100"/>
      <c r="T41" s="100"/>
      <c r="U41" s="100"/>
      <c r="V41" s="100"/>
      <c r="W41" s="100"/>
      <c r="X41" s="100"/>
      <c r="Y41" s="100"/>
      <c r="Z41" s="100"/>
      <c r="AA41" s="345"/>
      <c r="AB41" s="413"/>
      <c r="AC41" s="380"/>
      <c r="AD41" s="380"/>
      <c r="AE41" s="380"/>
      <c r="AF41" s="380"/>
      <c r="AG41" s="380"/>
      <c r="AH41" s="380"/>
      <c r="AI41" s="336"/>
      <c r="AJ41" s="400">
        <f t="shared" si="7"/>
        <v>0</v>
      </c>
      <c r="AK41" s="691"/>
      <c r="AL41" s="652"/>
      <c r="AM41" s="32"/>
      <c r="AN41" s="720"/>
      <c r="AO41" s="14">
        <v>39</v>
      </c>
      <c r="AP41" s="76"/>
      <c r="AQ41" s="77"/>
    </row>
    <row r="42" spans="1:43" ht="42.75" customHeight="1" x14ac:dyDescent="0.75">
      <c r="A42" s="585" t="s">
        <v>1014</v>
      </c>
      <c r="B42" s="94" t="s">
        <v>160</v>
      </c>
      <c r="C42" s="898" t="s">
        <v>348</v>
      </c>
      <c r="D42" s="317"/>
      <c r="E42" s="96"/>
      <c r="F42" s="107">
        <f>F373</f>
        <v>0</v>
      </c>
      <c r="G42" s="107">
        <f t="shared" ref="G42:AA42" si="8">G373</f>
        <v>0</v>
      </c>
      <c r="H42" s="107">
        <f t="shared" si="8"/>
        <v>0</v>
      </c>
      <c r="I42" s="107">
        <f t="shared" si="8"/>
        <v>0</v>
      </c>
      <c r="J42" s="107">
        <f t="shared" si="8"/>
        <v>0</v>
      </c>
      <c r="K42" s="107">
        <f t="shared" si="8"/>
        <v>0</v>
      </c>
      <c r="L42" s="107">
        <f t="shared" si="8"/>
        <v>0</v>
      </c>
      <c r="M42" s="107">
        <f t="shared" si="8"/>
        <v>0</v>
      </c>
      <c r="N42" s="107">
        <f t="shared" si="8"/>
        <v>0</v>
      </c>
      <c r="O42" s="107">
        <f t="shared" si="8"/>
        <v>0</v>
      </c>
      <c r="P42" s="107">
        <f t="shared" si="8"/>
        <v>0</v>
      </c>
      <c r="Q42" s="107">
        <f t="shared" si="8"/>
        <v>0</v>
      </c>
      <c r="R42" s="107">
        <f t="shared" si="8"/>
        <v>0</v>
      </c>
      <c r="S42" s="107">
        <f t="shared" si="8"/>
        <v>0</v>
      </c>
      <c r="T42" s="107">
        <f t="shared" si="8"/>
        <v>0</v>
      </c>
      <c r="U42" s="107">
        <f t="shared" si="8"/>
        <v>0</v>
      </c>
      <c r="V42" s="107">
        <f t="shared" si="8"/>
        <v>0</v>
      </c>
      <c r="W42" s="107">
        <f t="shared" si="8"/>
        <v>0</v>
      </c>
      <c r="X42" s="107">
        <f t="shared" si="8"/>
        <v>0</v>
      </c>
      <c r="Y42" s="107">
        <f t="shared" si="8"/>
        <v>0</v>
      </c>
      <c r="Z42" s="107">
        <f t="shared" si="8"/>
        <v>0</v>
      </c>
      <c r="AA42" s="348">
        <f t="shared" si="8"/>
        <v>0</v>
      </c>
      <c r="AB42" s="413"/>
      <c r="AC42" s="380"/>
      <c r="AD42" s="380"/>
      <c r="AE42" s="380"/>
      <c r="AF42" s="380"/>
      <c r="AG42" s="380"/>
      <c r="AH42" s="380"/>
      <c r="AI42" s="336"/>
      <c r="AJ42" s="200">
        <f t="shared" si="7"/>
        <v>0</v>
      </c>
      <c r="AK42" s="691" t="str">
        <f>CONCATENATE(IF(D43&gt;D42," * Positive F01-21 for Age "&amp;D20&amp;" "&amp;D21&amp;" is more than Tested F01-20"&amp;CHAR(10),""),IF(E43&gt;E42," * Positive F01-21 for Age "&amp;D20&amp;" "&amp;E21&amp;" is more than Tested F01-20"&amp;CHAR(10),""),IF(F43&gt;F42," * Positive F01-21 for Age "&amp;F20&amp;" "&amp;F21&amp;" is more than Tested F01-20"&amp;CHAR(10),""),IF(G43&gt;G42," * Positive F01-21 for Age "&amp;F20&amp;" "&amp;G21&amp;" is more than Tested F01-20"&amp;CHAR(10),""),IF(H43&gt;H42," * Positive F01-21 for Age "&amp;H20&amp;" "&amp;H21&amp;" is more than Tested F01-20"&amp;CHAR(10),""),IF(I43&gt;I42," * Positive F01-21 for Age "&amp;H20&amp;" "&amp;I21&amp;" is more than Tested F01-20"&amp;CHAR(10),""),IF(J43&gt;J42," * Positive F01-21 for Age "&amp;J20&amp;" "&amp;J21&amp;" is more than Tested F01-20"&amp;CHAR(10),""),IF(K43&gt;K42," * Positive F01-21 for Age "&amp;J20&amp;" "&amp;K21&amp;" is more than Tested F01-20"&amp;CHAR(10),""),IF(L43&gt;L42," * Positive F01-21 for Age "&amp;L20&amp;" "&amp;L21&amp;" is more than Tested F01-20"&amp;CHAR(10),""),IF(M43&gt;M42," * Positive F01-21 for Age "&amp;L20&amp;" "&amp;M21&amp;" is more than Tested F01-20"&amp;CHAR(10),""),IF(N43&gt;N42," * Positive F01-21 for Age "&amp;N20&amp;" "&amp;N21&amp;" is more than Tested F01-20"&amp;CHAR(10),""),IF(O43&gt;O42," * Positive F01-21 for Age "&amp;N20&amp;" "&amp;O21&amp;" is more than Tested F01-20"&amp;CHAR(10),""),IF(P43&gt;P42," * Positive F01-21 for Age "&amp;P20&amp;" "&amp;P21&amp;" is more than Tested F01-20"&amp;CHAR(10),""),IF(Q43&gt;Q42," * Positive F01-21 for Age "&amp;P20&amp;" "&amp;Q21&amp;" is more than Tested F01-20"&amp;CHAR(10),""),IF(R43&gt;R42," * Positive F01-21 for Age "&amp;R20&amp;" "&amp;R21&amp;" is more than Tested F01-20"&amp;CHAR(10),""),IF(S43&gt;S42," * Positive F01-21 for Age "&amp;R20&amp;" "&amp;S21&amp;" is more than Tested F01-20"&amp;CHAR(10),""),IF(T43&gt;T42," * Positive F01-21 for Age "&amp;T20&amp;" "&amp;T21&amp;" is more than Tested F01-20"&amp;CHAR(10),""),IF(U43&gt;U42," * Positive F01-21 for Age "&amp;T20&amp;" "&amp;U21&amp;" is more than Tested F01-20"&amp;CHAR(10),""),IF(V43&gt;V42," * Positive F01-21 for Age "&amp;V20&amp;" "&amp;V21&amp;" is more than Tested F01-20"&amp;CHAR(10),""),IF(W43&gt;W42," * Positive F01-21 for Age "&amp;V20&amp;" "&amp;W21&amp;" is more than Tested F01-20"&amp;CHAR(10),""),IF(X43&gt;X42," * Positive F01-21 for Age "&amp;X20&amp;" "&amp;X21&amp;" is more than Tested F01-20"&amp;CHAR(10),""),IF(Y43&gt;Y42," * Positive F01-21 for Age "&amp;X20&amp;" "&amp;Y21&amp;" is more than Tested F01-20"&amp;CHAR(10),""),IF(Z43&gt;Z42," * Positive F01-21 for Age "&amp;Z20&amp;" "&amp;Z21&amp;" is more than Tested F01-20"&amp;CHAR(10),""),IF(AA43&gt;AA42," * Positive F01-21 for Age "&amp;Z20&amp;" "&amp;AA21&amp;" is more than Tested F01-20"&amp;CHAR(10),""))</f>
        <v/>
      </c>
      <c r="AL42" s="652"/>
      <c r="AM42" s="32" t="str">
        <f>CONCATENATE(IF(AND(IFERROR((AJ43*100)/AJ42,0)&gt;10,AJ43&gt;5)," * This facility has a high positivity rate for Index Testing. Kindly confirm if this is the true reflection"&amp;CHAR(10),""),"")</f>
        <v/>
      </c>
      <c r="AN42" s="720"/>
      <c r="AO42" s="14">
        <v>40</v>
      </c>
      <c r="AP42" s="76"/>
      <c r="AQ42" s="77"/>
    </row>
    <row r="43" spans="1:43" ht="41.25" customHeight="1" thickBot="1" x14ac:dyDescent="0.8">
      <c r="A43" s="586"/>
      <c r="B43" s="98" t="s">
        <v>152</v>
      </c>
      <c r="C43" s="901" t="s">
        <v>170</v>
      </c>
      <c r="D43" s="403"/>
      <c r="E43" s="91"/>
      <c r="F43" s="108">
        <f>F375</f>
        <v>0</v>
      </c>
      <c r="G43" s="108">
        <f t="shared" ref="G43:AA43" si="9">G375</f>
        <v>0</v>
      </c>
      <c r="H43" s="108">
        <f t="shared" si="9"/>
        <v>0</v>
      </c>
      <c r="I43" s="108">
        <f t="shared" si="9"/>
        <v>0</v>
      </c>
      <c r="J43" s="108">
        <f t="shared" si="9"/>
        <v>0</v>
      </c>
      <c r="K43" s="108">
        <f t="shared" si="9"/>
        <v>0</v>
      </c>
      <c r="L43" s="108">
        <f t="shared" si="9"/>
        <v>0</v>
      </c>
      <c r="M43" s="108">
        <f t="shared" si="9"/>
        <v>0</v>
      </c>
      <c r="N43" s="108">
        <f t="shared" si="9"/>
        <v>0</v>
      </c>
      <c r="O43" s="108">
        <f t="shared" si="9"/>
        <v>0</v>
      </c>
      <c r="P43" s="108">
        <f t="shared" si="9"/>
        <v>0</v>
      </c>
      <c r="Q43" s="108">
        <f t="shared" si="9"/>
        <v>0</v>
      </c>
      <c r="R43" s="108">
        <f t="shared" si="9"/>
        <v>0</v>
      </c>
      <c r="S43" s="108">
        <f t="shared" si="9"/>
        <v>0</v>
      </c>
      <c r="T43" s="108">
        <f t="shared" si="9"/>
        <v>0</v>
      </c>
      <c r="U43" s="108">
        <f t="shared" si="9"/>
        <v>0</v>
      </c>
      <c r="V43" s="108">
        <f t="shared" si="9"/>
        <v>0</v>
      </c>
      <c r="W43" s="108">
        <f t="shared" si="9"/>
        <v>0</v>
      </c>
      <c r="X43" s="108">
        <f t="shared" si="9"/>
        <v>0</v>
      </c>
      <c r="Y43" s="108">
        <f t="shared" si="9"/>
        <v>0</v>
      </c>
      <c r="Z43" s="108">
        <f t="shared" si="9"/>
        <v>0</v>
      </c>
      <c r="AA43" s="349">
        <f t="shared" si="9"/>
        <v>0</v>
      </c>
      <c r="AB43" s="413"/>
      <c r="AC43" s="380"/>
      <c r="AD43" s="380"/>
      <c r="AE43" s="380"/>
      <c r="AF43" s="380"/>
      <c r="AG43" s="380"/>
      <c r="AH43" s="380"/>
      <c r="AI43" s="336"/>
      <c r="AJ43" s="400">
        <f t="shared" si="7"/>
        <v>0</v>
      </c>
      <c r="AK43" s="691"/>
      <c r="AL43" s="652"/>
      <c r="AM43" s="32"/>
      <c r="AN43" s="720"/>
      <c r="AO43" s="14">
        <v>41</v>
      </c>
      <c r="AP43" s="76"/>
      <c r="AQ43" s="77"/>
    </row>
    <row r="44" spans="1:43" ht="25.5" x14ac:dyDescent="0.75">
      <c r="A44" s="585" t="s">
        <v>22</v>
      </c>
      <c r="B44" s="94" t="s">
        <v>160</v>
      </c>
      <c r="C44" s="898" t="s">
        <v>171</v>
      </c>
      <c r="D44" s="145"/>
      <c r="E44" s="102"/>
      <c r="F44" s="97"/>
      <c r="G44" s="97"/>
      <c r="H44" s="97"/>
      <c r="I44" s="97"/>
      <c r="J44" s="97"/>
      <c r="K44" s="97"/>
      <c r="L44" s="97"/>
      <c r="M44" s="97"/>
      <c r="N44" s="97"/>
      <c r="O44" s="97"/>
      <c r="P44" s="97"/>
      <c r="Q44" s="97"/>
      <c r="R44" s="97"/>
      <c r="S44" s="97"/>
      <c r="T44" s="97"/>
      <c r="U44" s="97"/>
      <c r="V44" s="97"/>
      <c r="W44" s="97"/>
      <c r="X44" s="97"/>
      <c r="Y44" s="97"/>
      <c r="Z44" s="97"/>
      <c r="AA44" s="344"/>
      <c r="AB44" s="413"/>
      <c r="AC44" s="380"/>
      <c r="AD44" s="380"/>
      <c r="AE44" s="380"/>
      <c r="AF44" s="380"/>
      <c r="AG44" s="380"/>
      <c r="AH44" s="380"/>
      <c r="AI44" s="336"/>
      <c r="AJ44" s="200">
        <f t="shared" si="7"/>
        <v>0</v>
      </c>
      <c r="AK44" s="691" t="str">
        <f>CONCATENATE(IF(D45&gt;D44," * Positive F01-23 for Age "&amp;D20&amp;" "&amp;D21&amp;" is more than Tested F01-22"&amp;CHAR(10),""),IF(E45&gt;E44," * Positive F01-23 for Age "&amp;D20&amp;" "&amp;E21&amp;" is more than Tested F01-22"&amp;CHAR(10),""),IF(F45&gt;F44," * Positive F01-23 for Age "&amp;F20&amp;" "&amp;F21&amp;" is more than Tested F01-22"&amp;CHAR(10),""),IF(G45&gt;G44," * Positive F01-23 for Age "&amp;F20&amp;" "&amp;G21&amp;" is more than Tested F01-22"&amp;CHAR(10),""),IF(H45&gt;H44," * Positive F01-23 for Age "&amp;H20&amp;" "&amp;H21&amp;" is more than Tested F01-22"&amp;CHAR(10),""),IF(I45&gt;I44," * Positive F01-23 for Age "&amp;H20&amp;" "&amp;I21&amp;" is more than Tested F01-22"&amp;CHAR(10),""),IF(J45&gt;J44," * Positive F01-23 for Age "&amp;J20&amp;" "&amp;J21&amp;" is more than Tested F01-22"&amp;CHAR(10),""),IF(K45&gt;K44," * Positive F01-23 for Age "&amp;J20&amp;" "&amp;K21&amp;" is more than Tested F01-22"&amp;CHAR(10),""),IF(L45&gt;L44," * Positive F01-23 for Age "&amp;L20&amp;" "&amp;L21&amp;" is more than Tested F01-22"&amp;CHAR(10),""),IF(M45&gt;M44," * Positive F01-23 for Age "&amp;L20&amp;" "&amp;M21&amp;" is more than Tested F01-22"&amp;CHAR(10),""),IF(N45&gt;N44," * Positive F01-23 for Age "&amp;N20&amp;" "&amp;N21&amp;" is more than Tested F01-22"&amp;CHAR(10),""),IF(O45&gt;O44," * Positive F01-23 for Age "&amp;N20&amp;" "&amp;O21&amp;" is more than Tested F01-22"&amp;CHAR(10),""),IF(P45&gt;P44," * Positive F01-23 for Age "&amp;P20&amp;" "&amp;P21&amp;" is more than Tested F01-22"&amp;CHAR(10),""),IF(Q45&gt;Q44," * Positive F01-23 for Age "&amp;P20&amp;" "&amp;Q21&amp;" is more than Tested F01-22"&amp;CHAR(10),""),IF(R45&gt;R44," * Positive F01-23 for Age "&amp;R20&amp;" "&amp;R21&amp;" is more than Tested F01-22"&amp;CHAR(10),""),IF(S45&gt;S44," * Positive F01-23 for Age "&amp;R20&amp;" "&amp;S21&amp;" is more than Tested F01-22"&amp;CHAR(10),""),IF(T45&gt;T44," * Positive F01-23 for Age "&amp;T20&amp;" "&amp;T21&amp;" is more than Tested F01-22"&amp;CHAR(10),""),IF(U45&gt;U44," * Positive F01-23 for Age "&amp;T20&amp;" "&amp;U21&amp;" is more than Tested F01-22"&amp;CHAR(10),""),IF(V45&gt;V44," * Positive F01-23 for Age "&amp;V20&amp;" "&amp;V21&amp;" is more than Tested F01-22"&amp;CHAR(10),""),IF(W45&gt;W44," * Positive F01-23 for Age "&amp;V20&amp;" "&amp;W21&amp;" is more than Tested F01-22"&amp;CHAR(10),""),IF(X45&gt;X44," * Positive F01-23 for Age "&amp;X20&amp;" "&amp;X21&amp;" is more than Tested F01-22"&amp;CHAR(10),""),IF(Y45&gt;Y44," * Positive F01-23 for Age "&amp;X20&amp;" "&amp;Y21&amp;" is more than Tested F01-22"&amp;CHAR(10),""),IF(Z45&gt;Z44," * Positive F01-23 for Age "&amp;Z20&amp;" "&amp;Z21&amp;" is more than Tested F01-22"&amp;CHAR(10),""),IF(AA45&gt;AA44," * Positive F01-23 for Age "&amp;Z20&amp;" "&amp;AA21&amp;" is more than Tested F01-22"&amp;CHAR(10),""))</f>
        <v/>
      </c>
      <c r="AL44" s="652"/>
      <c r="AM44" s="32" t="str">
        <f>CONCATENATE(IF(AND(IFERROR((AJ45*100)/AJ44,0)&gt;10,AJ45&gt;5)," * This facility has a high positivity rate for Index Testing. Kindly confirm if this is the true reflection"&amp;CHAR(10),""),"")</f>
        <v/>
      </c>
      <c r="AN44" s="720"/>
      <c r="AO44" s="14">
        <v>42</v>
      </c>
      <c r="AP44" s="76"/>
      <c r="AQ44" s="77"/>
    </row>
    <row r="45" spans="1:43" ht="25.9" thickBot="1" x14ac:dyDescent="0.8">
      <c r="A45" s="586"/>
      <c r="B45" s="98" t="s">
        <v>152</v>
      </c>
      <c r="C45" s="901" t="s">
        <v>172</v>
      </c>
      <c r="D45" s="125"/>
      <c r="E45" s="105"/>
      <c r="F45" s="100"/>
      <c r="G45" s="100"/>
      <c r="H45" s="100"/>
      <c r="I45" s="100"/>
      <c r="J45" s="100"/>
      <c r="K45" s="100"/>
      <c r="L45" s="100"/>
      <c r="M45" s="100"/>
      <c r="N45" s="100"/>
      <c r="O45" s="100"/>
      <c r="P45" s="100"/>
      <c r="Q45" s="100"/>
      <c r="R45" s="100"/>
      <c r="S45" s="100"/>
      <c r="T45" s="100"/>
      <c r="U45" s="100"/>
      <c r="V45" s="100"/>
      <c r="W45" s="100"/>
      <c r="X45" s="100"/>
      <c r="Y45" s="100"/>
      <c r="Z45" s="100"/>
      <c r="AA45" s="345"/>
      <c r="AB45" s="413"/>
      <c r="AC45" s="380"/>
      <c r="AD45" s="380"/>
      <c r="AE45" s="380"/>
      <c r="AF45" s="380"/>
      <c r="AG45" s="380"/>
      <c r="AH45" s="380"/>
      <c r="AI45" s="336"/>
      <c r="AJ45" s="400">
        <f t="shared" si="7"/>
        <v>0</v>
      </c>
      <c r="AK45" s="691"/>
      <c r="AL45" s="652"/>
      <c r="AM45" s="32"/>
      <c r="AN45" s="720"/>
      <c r="AO45" s="14">
        <v>43</v>
      </c>
      <c r="AP45" s="76"/>
      <c r="AQ45" s="77"/>
    </row>
    <row r="46" spans="1:43" ht="29.25" customHeight="1" x14ac:dyDescent="0.75">
      <c r="A46" s="585" t="s">
        <v>18</v>
      </c>
      <c r="B46" s="94" t="s">
        <v>160</v>
      </c>
      <c r="C46" s="898" t="s">
        <v>173</v>
      </c>
      <c r="D46" s="317"/>
      <c r="E46" s="96"/>
      <c r="F46" s="102"/>
      <c r="G46" s="102"/>
      <c r="H46" s="102"/>
      <c r="I46" s="102"/>
      <c r="J46" s="102"/>
      <c r="K46" s="102"/>
      <c r="L46" s="97"/>
      <c r="M46" s="97"/>
      <c r="N46" s="97"/>
      <c r="O46" s="97"/>
      <c r="P46" s="97"/>
      <c r="Q46" s="97"/>
      <c r="R46" s="97"/>
      <c r="S46" s="97"/>
      <c r="T46" s="97"/>
      <c r="U46" s="97"/>
      <c r="V46" s="97"/>
      <c r="W46" s="97"/>
      <c r="X46" s="97"/>
      <c r="Y46" s="97"/>
      <c r="Z46" s="97"/>
      <c r="AA46" s="344"/>
      <c r="AB46" s="413"/>
      <c r="AC46" s="380"/>
      <c r="AD46" s="380"/>
      <c r="AE46" s="380"/>
      <c r="AF46" s="380"/>
      <c r="AG46" s="380"/>
      <c r="AH46" s="380"/>
      <c r="AI46" s="336"/>
      <c r="AJ46" s="200">
        <f t="shared" si="7"/>
        <v>0</v>
      </c>
      <c r="AK46" s="691" t="str">
        <f>CONCATENATE(IF(D47&gt;D46," * Positive F01-25 for Age "&amp;D20&amp;" "&amp;D21&amp;" is more than Tested F01-24"&amp;CHAR(10),""),IF(E47&gt;E46," * Positive F01-25 for Age "&amp;D20&amp;" "&amp;E21&amp;" is more than Tested F01-24"&amp;CHAR(10),""),IF(F47&gt;F46," * Positive F01-25 for Age "&amp;F20&amp;" "&amp;F21&amp;" is more than Tested F01-24"&amp;CHAR(10),""),IF(G47&gt;G46," * Positive F01-25 for Age "&amp;F20&amp;" "&amp;G21&amp;" is more than Tested F01-24"&amp;CHAR(10),""),IF(H47&gt;H46," * Positive F01-25 for Age "&amp;H20&amp;" "&amp;H21&amp;" is more than Tested F01-24"&amp;CHAR(10),""),IF(I47&gt;I46," * Positive F01-25 for Age "&amp;H20&amp;" "&amp;I21&amp;" is more than Tested F01-24"&amp;CHAR(10),""),IF(J47&gt;J46," * Positive F01-25 for Age "&amp;J20&amp;" "&amp;J21&amp;" is more than Tested F01-24"&amp;CHAR(10),""),IF(K47&gt;K46," * Positive F01-25 for Age "&amp;J20&amp;" "&amp;K21&amp;" is more than Tested F01-24"&amp;CHAR(10),""),IF(L47&gt;L46," * Positive F01-25 for Age "&amp;L20&amp;" "&amp;L21&amp;" is more than Tested F01-24"&amp;CHAR(10),""),IF(M47&gt;M46," * Positive F01-25 for Age "&amp;L20&amp;" "&amp;M21&amp;" is more than Tested F01-24"&amp;CHAR(10),""),IF(N47&gt;N46," * Positive F01-25 for Age "&amp;N20&amp;" "&amp;N21&amp;" is more than Tested F01-24"&amp;CHAR(10),""),IF(O47&gt;O46," * Positive F01-25 for Age "&amp;N20&amp;" "&amp;O21&amp;" is more than Tested F01-24"&amp;CHAR(10),""),IF(P47&gt;P46," * Positive F01-25 for Age "&amp;P20&amp;" "&amp;P21&amp;" is more than Tested F01-24"&amp;CHAR(10),""),IF(Q47&gt;Q46," * Positive F01-25 for Age "&amp;P20&amp;" "&amp;Q21&amp;" is more than Tested F01-24"&amp;CHAR(10),""),IF(R47&gt;R46," * Positive F01-25 for Age "&amp;R20&amp;" "&amp;R21&amp;" is more than Tested F01-24"&amp;CHAR(10),""),IF(S47&gt;S46," * Positive F01-25 for Age "&amp;R20&amp;" "&amp;S21&amp;" is more than Tested F01-24"&amp;CHAR(10),""),IF(T47&gt;T46," * Positive F01-25 for Age "&amp;T20&amp;" "&amp;T21&amp;" is more than Tested F01-24"&amp;CHAR(10),""),IF(U47&gt;U46," * Positive F01-25 for Age "&amp;T20&amp;" "&amp;U21&amp;" is more than Tested F01-24"&amp;CHAR(10),""),IF(V47&gt;V46," * Positive F01-25 for Age "&amp;V20&amp;" "&amp;V21&amp;" is more than Tested F01-24"&amp;CHAR(10),""),IF(W47&gt;W46," * Positive F01-25 for Age "&amp;V20&amp;" "&amp;W21&amp;" is more than Tested F01-24"&amp;CHAR(10),""),IF(X47&gt;X46," * Positive F01-25 for Age "&amp;X20&amp;" "&amp;X21&amp;" is more than Tested F01-24"&amp;CHAR(10),""),IF(Y47&gt;Y46," * Positive F01-25 for Age "&amp;X20&amp;" "&amp;Y21&amp;" is more than Tested F01-24"&amp;CHAR(10),""),IF(Z47&gt;Z46," * Positive F01-25 for Age "&amp;Z20&amp;" "&amp;Z21&amp;" is more than Tested F01-24"&amp;CHAR(10),""),IF(AA47&gt;AA46," * Positive F01-25 for Age "&amp;Z20&amp;" "&amp;AA21&amp;" is more than Tested F01-24"&amp;CHAR(10),""))</f>
        <v/>
      </c>
      <c r="AL46" s="652"/>
      <c r="AM46" s="32" t="str">
        <f>CONCATENATE(IF(AND(IFERROR((AJ47*100)/AJ46,0)&gt;10,AJ47&gt;5)," * This facility has a high positivity rate for Index Testing. Kindly confirm if this is the true reflection"&amp;CHAR(10),""),"")</f>
        <v/>
      </c>
      <c r="AN46" s="720"/>
      <c r="AO46" s="14">
        <v>44</v>
      </c>
      <c r="AP46" s="76"/>
      <c r="AQ46" s="77"/>
    </row>
    <row r="47" spans="1:43" ht="25.9" thickBot="1" x14ac:dyDescent="0.8">
      <c r="A47" s="586"/>
      <c r="B47" s="98" t="s">
        <v>152</v>
      </c>
      <c r="C47" s="901" t="s">
        <v>174</v>
      </c>
      <c r="D47" s="403"/>
      <c r="E47" s="91"/>
      <c r="F47" s="105"/>
      <c r="G47" s="105"/>
      <c r="H47" s="105"/>
      <c r="I47" s="105"/>
      <c r="J47" s="105"/>
      <c r="K47" s="105"/>
      <c r="L47" s="109"/>
      <c r="M47" s="109"/>
      <c r="N47" s="109"/>
      <c r="O47" s="109"/>
      <c r="P47" s="109"/>
      <c r="Q47" s="109"/>
      <c r="R47" s="109"/>
      <c r="S47" s="109"/>
      <c r="T47" s="109"/>
      <c r="U47" s="109"/>
      <c r="V47" s="109"/>
      <c r="W47" s="109"/>
      <c r="X47" s="109"/>
      <c r="Y47" s="109"/>
      <c r="Z47" s="109"/>
      <c r="AA47" s="350"/>
      <c r="AB47" s="413"/>
      <c r="AC47" s="380"/>
      <c r="AD47" s="380"/>
      <c r="AE47" s="380"/>
      <c r="AF47" s="380"/>
      <c r="AG47" s="380"/>
      <c r="AH47" s="380"/>
      <c r="AI47" s="336"/>
      <c r="AJ47" s="400">
        <f t="shared" si="7"/>
        <v>0</v>
      </c>
      <c r="AK47" s="691"/>
      <c r="AL47" s="652"/>
      <c r="AM47" s="32"/>
      <c r="AN47" s="720"/>
      <c r="AO47" s="14">
        <v>45</v>
      </c>
      <c r="AP47" s="76"/>
      <c r="AQ47" s="77"/>
    </row>
    <row r="48" spans="1:43" ht="25.9" hidden="1" thickBot="1" x14ac:dyDescent="0.8">
      <c r="A48" s="585" t="s">
        <v>113</v>
      </c>
      <c r="B48" s="94" t="s">
        <v>160</v>
      </c>
      <c r="C48" s="898" t="s">
        <v>349</v>
      </c>
      <c r="D48" s="95"/>
      <c r="E48" s="96"/>
      <c r="F48" s="102"/>
      <c r="G48" s="102"/>
      <c r="H48" s="102"/>
      <c r="I48" s="102"/>
      <c r="J48" s="102"/>
      <c r="K48" s="102"/>
      <c r="L48" s="97"/>
      <c r="M48" s="102"/>
      <c r="N48" s="97"/>
      <c r="O48" s="102"/>
      <c r="P48" s="97"/>
      <c r="Q48" s="102"/>
      <c r="R48" s="97"/>
      <c r="S48" s="102"/>
      <c r="T48" s="97"/>
      <c r="U48" s="102"/>
      <c r="V48" s="97"/>
      <c r="W48" s="102"/>
      <c r="X48" s="97"/>
      <c r="Y48" s="102"/>
      <c r="Z48" s="97"/>
      <c r="AA48" s="346"/>
      <c r="AB48" s="413"/>
      <c r="AC48" s="380"/>
      <c r="AD48" s="380"/>
      <c r="AE48" s="380"/>
      <c r="AF48" s="380"/>
      <c r="AG48" s="380"/>
      <c r="AH48" s="380"/>
      <c r="AI48" s="336"/>
      <c r="AJ48" s="200">
        <f t="shared" si="7"/>
        <v>0</v>
      </c>
      <c r="AK48" s="691" t="str">
        <f>CONCATENATE(IF(D49&gt;D48," * Positive F01-27 for Age "&amp;D20&amp;" "&amp;D21&amp;" is more than Tested F01-26"&amp;CHAR(10),""),IF(E49&gt;E48," * Positive F01-27 for Age "&amp;D20&amp;" "&amp;E21&amp;" is more than Tested F01-26"&amp;CHAR(10),""),IF(F49&gt;F48," * Positive F01-27 for Age "&amp;F20&amp;" "&amp;F21&amp;" is more than Tested F01-26"&amp;CHAR(10),""),IF(G49&gt;G48," * Positive F01-27 for Age "&amp;F20&amp;" "&amp;G21&amp;" is more than Tested F01-26"&amp;CHAR(10),""),IF(H49&gt;H48," * Positive F01-27 for Age "&amp;H20&amp;" "&amp;H21&amp;" is more than Tested F01-26"&amp;CHAR(10),""),IF(I49&gt;I48," * Positive F01-27 for Age "&amp;H20&amp;" "&amp;I21&amp;" is more than Tested F01-26"&amp;CHAR(10),""),IF(J49&gt;J48," * Positive F01-27 for Age "&amp;J20&amp;" "&amp;J21&amp;" is more than Tested F01-26"&amp;CHAR(10),""),IF(K49&gt;K48," * Positive F01-27 for Age "&amp;J20&amp;" "&amp;K21&amp;" is more than Tested F01-26"&amp;CHAR(10),""),IF(L49&gt;L48," * Positive F01-27 for Age "&amp;L20&amp;" "&amp;L21&amp;" is more than Tested F01-26"&amp;CHAR(10),""),IF(M49&gt;M48," * Positive F01-27 for Age "&amp;L20&amp;" "&amp;M21&amp;" is more than Tested F01-26"&amp;CHAR(10),""),IF(N49&gt;N48," * Positive F01-27 for Age "&amp;N20&amp;" "&amp;N21&amp;" is more than Tested F01-26"&amp;CHAR(10),""),IF(O49&gt;O48," * Positive F01-27 for Age "&amp;N20&amp;" "&amp;O21&amp;" is more than Tested F01-26"&amp;CHAR(10),""),IF(P49&gt;P48," * Positive F01-27 for Age "&amp;P20&amp;" "&amp;P21&amp;" is more than Tested F01-26"&amp;CHAR(10),""),IF(Q49&gt;Q48," * Positive F01-27 for Age "&amp;P20&amp;" "&amp;Q21&amp;" is more than Tested F01-26"&amp;CHAR(10),""),IF(R49&gt;R48," * Positive F01-27 for Age "&amp;R20&amp;" "&amp;R21&amp;" is more than Tested F01-26"&amp;CHAR(10),""),IF(S49&gt;S48," * Positive F01-27 for Age "&amp;R20&amp;" "&amp;S21&amp;" is more than Tested F01-26"&amp;CHAR(10),""),IF(T49&gt;T48," * Positive F01-27 for Age "&amp;T20&amp;" "&amp;T21&amp;" is more than Tested F01-26"&amp;CHAR(10),""),IF(U49&gt;U48," * Positive F01-27 for Age "&amp;T20&amp;" "&amp;U21&amp;" is more than Tested F01-26"&amp;CHAR(10),""),IF(V49&gt;V48," * Positive F01-27 for Age "&amp;V20&amp;" "&amp;V21&amp;" is more than Tested F01-26"&amp;CHAR(10),""),IF(W49&gt;W48," * Positive F01-27 for Age "&amp;V20&amp;" "&amp;W21&amp;" is more than Tested F01-26"&amp;CHAR(10),""),IF(X49&gt;X48," * Positive F01-27 for Age "&amp;X20&amp;" "&amp;X21&amp;" is more than Tested F01-26"&amp;CHAR(10),""),IF(Y49&gt;Y48," * Positive F01-27 for Age "&amp;X20&amp;" "&amp;Y21&amp;" is more than Tested F01-26"&amp;CHAR(10),""),IF(Z49&gt;Z48," * Positive F01-27 for Age "&amp;Z20&amp;" "&amp;Z21&amp;" is more than Tested F01-26"&amp;CHAR(10),""),IF(AA49&gt;AA48," * Positive F01-27 for Age "&amp;Z20&amp;" "&amp;AA21&amp;" is more than Tested F01-26"&amp;CHAR(10),""))</f>
        <v/>
      </c>
      <c r="AL48" s="652"/>
      <c r="AM48" s="32" t="str">
        <f>CONCATENATE(IF(AND(IFERROR((AJ49*100)/AJ48,0)&gt;10,AJ49&gt;5)," * This facility has a high positivity rate for Index Testing. Kindly confirm if this is the true reflection"&amp;CHAR(10),""),"")</f>
        <v/>
      </c>
      <c r="AN48" s="720"/>
      <c r="AO48" s="14">
        <v>46</v>
      </c>
      <c r="AP48" s="76"/>
      <c r="AQ48" s="77"/>
    </row>
    <row r="49" spans="1:43" ht="25.9" hidden="1" thickBot="1" x14ac:dyDescent="0.8">
      <c r="A49" s="586"/>
      <c r="B49" s="98" t="s">
        <v>152</v>
      </c>
      <c r="C49" s="901" t="s">
        <v>175</v>
      </c>
      <c r="D49" s="90"/>
      <c r="E49" s="91"/>
      <c r="F49" s="105"/>
      <c r="G49" s="105"/>
      <c r="H49" s="105"/>
      <c r="I49" s="105"/>
      <c r="J49" s="105"/>
      <c r="K49" s="105"/>
      <c r="L49" s="100"/>
      <c r="M49" s="105"/>
      <c r="N49" s="100"/>
      <c r="O49" s="105"/>
      <c r="P49" s="100"/>
      <c r="Q49" s="105"/>
      <c r="R49" s="100"/>
      <c r="S49" s="105"/>
      <c r="T49" s="100"/>
      <c r="U49" s="105"/>
      <c r="V49" s="100"/>
      <c r="W49" s="105"/>
      <c r="X49" s="100"/>
      <c r="Y49" s="105"/>
      <c r="Z49" s="100"/>
      <c r="AA49" s="347"/>
      <c r="AB49" s="413"/>
      <c r="AC49" s="380"/>
      <c r="AD49" s="380"/>
      <c r="AE49" s="380"/>
      <c r="AF49" s="380"/>
      <c r="AG49" s="380"/>
      <c r="AH49" s="380"/>
      <c r="AI49" s="336"/>
      <c r="AJ49" s="204">
        <f t="shared" si="7"/>
        <v>0</v>
      </c>
      <c r="AK49" s="691"/>
      <c r="AL49" s="652"/>
      <c r="AM49" s="32"/>
      <c r="AN49" s="720"/>
      <c r="AO49" s="14">
        <v>47</v>
      </c>
      <c r="AP49" s="76"/>
      <c r="AQ49" s="77"/>
    </row>
    <row r="50" spans="1:43" ht="25.5" x14ac:dyDescent="0.75">
      <c r="A50" s="598" t="s">
        <v>1070</v>
      </c>
      <c r="B50" s="94" t="s">
        <v>160</v>
      </c>
      <c r="C50" s="894" t="s">
        <v>1071</v>
      </c>
      <c r="D50" s="145"/>
      <c r="E50" s="102"/>
      <c r="F50" s="97"/>
      <c r="G50" s="97"/>
      <c r="H50" s="97"/>
      <c r="I50" s="97"/>
      <c r="J50" s="97"/>
      <c r="K50" s="97"/>
      <c r="L50" s="97"/>
      <c r="M50" s="97"/>
      <c r="N50" s="97"/>
      <c r="O50" s="97"/>
      <c r="P50" s="97"/>
      <c r="Q50" s="97"/>
      <c r="R50" s="97"/>
      <c r="S50" s="97"/>
      <c r="T50" s="97"/>
      <c r="U50" s="97"/>
      <c r="V50" s="97"/>
      <c r="W50" s="97"/>
      <c r="X50" s="97"/>
      <c r="Y50" s="97"/>
      <c r="Z50" s="97"/>
      <c r="AA50" s="344"/>
      <c r="AB50" s="413"/>
      <c r="AC50" s="380"/>
      <c r="AD50" s="380"/>
      <c r="AE50" s="380"/>
      <c r="AF50" s="380"/>
      <c r="AG50" s="380"/>
      <c r="AH50" s="380"/>
      <c r="AI50" s="336"/>
      <c r="AJ50" s="200">
        <f t="shared" si="7"/>
        <v>0</v>
      </c>
      <c r="AK50" s="328" t="str">
        <f>CONCATENATE(IF(D51&gt;D50," * Positive F01-25 for Age "&amp;D20&amp;" "&amp;D21&amp;" is more than Tested F01-24"&amp;CHAR(10),""),IF(E51&gt;E50," * Positive F01-25 for Age "&amp;D20&amp;" "&amp;E21&amp;" is more than Tested F01-24"&amp;CHAR(10),""),IF(F51&gt;F50," * Positive F01-25 for Age "&amp;F20&amp;" "&amp;F21&amp;" is more than Tested F01-24"&amp;CHAR(10),""),IF(G51&gt;G50," * Positive F01-25 for Age "&amp;F20&amp;" "&amp;G21&amp;" is more than Tested F01-24"&amp;CHAR(10),""),IF(H51&gt;H50," * Positive F01-25 for Age "&amp;H20&amp;" "&amp;H21&amp;" is more than Tested F01-24"&amp;CHAR(10),""),IF(I51&gt;I50," * Positive F01-25 for Age "&amp;H20&amp;" "&amp;I21&amp;" is more than Tested F01-24"&amp;CHAR(10),""),IF(J51&gt;J50," * Positive F01-25 for Age "&amp;J20&amp;" "&amp;J21&amp;" is more than Tested F01-24"&amp;CHAR(10),""),IF(K51&gt;K50," * Positive F01-25 for Age "&amp;J20&amp;" "&amp;K21&amp;" is more than Tested F01-24"&amp;CHAR(10),""),IF(L51&gt;L50," * Positive F01-25 for Age "&amp;L20&amp;" "&amp;L21&amp;" is more than Tested F01-24"&amp;CHAR(10),""),IF(M51&gt;M50," * Positive F01-25 for Age "&amp;L20&amp;" "&amp;M21&amp;" is more than Tested F01-24"&amp;CHAR(10),""),IF(N51&gt;N50," * Positive F01-25 for Age "&amp;N20&amp;" "&amp;N21&amp;" is more than Tested F01-24"&amp;CHAR(10),""),IF(O51&gt;O50," * Positive F01-25 for Age "&amp;N20&amp;" "&amp;O21&amp;" is more than Tested F01-24"&amp;CHAR(10),""),IF(P51&gt;P50," * Positive F01-25 for Age "&amp;P20&amp;" "&amp;P21&amp;" is more than Tested F01-24"&amp;CHAR(10),""),IF(Q51&gt;Q50," * Positive F01-25 for Age "&amp;P20&amp;" "&amp;Q21&amp;" is more than Tested F01-24"&amp;CHAR(10),""),IF(R51&gt;R50," * Positive F01-25 for Age "&amp;R20&amp;" "&amp;R21&amp;" is more than Tested F01-24"&amp;CHAR(10),""),IF(S51&gt;S50," * Positive F01-25 for Age "&amp;R20&amp;" "&amp;S21&amp;" is more than Tested F01-24"&amp;CHAR(10),""),IF(T51&gt;T50," * Positive F01-25 for Age "&amp;T20&amp;" "&amp;T21&amp;" is more than Tested F01-24"&amp;CHAR(10),""),IF(U51&gt;U50," * Positive F01-25 for Age "&amp;T20&amp;" "&amp;U21&amp;" is more than Tested F01-24"&amp;CHAR(10),""),IF(V51&gt;V50," * Positive F01-25 for Age "&amp;V20&amp;" "&amp;V21&amp;" is more than Tested F01-24"&amp;CHAR(10),""),IF(W51&gt;W50," * Positive F01-25 for Age "&amp;V20&amp;" "&amp;W21&amp;" is more than Tested F01-24"&amp;CHAR(10),""),IF(X51&gt;X50," * Positive F01-25 for Age "&amp;X20&amp;" "&amp;X21&amp;" is more than Tested F01-24"&amp;CHAR(10),""),IF(Y51&gt;Y50," * Positive F01-25 for Age "&amp;X20&amp;" "&amp;Y21&amp;" is more than Tested F01-24"&amp;CHAR(10),""),IF(Z51&gt;Z50," * Positive F01-25 for Age "&amp;Z20&amp;" "&amp;Z21&amp;" is more than Tested F01-24"&amp;CHAR(10),""),IF(AA51&gt;AA50," * Positive F01-25 for Age "&amp;Z20&amp;" "&amp;AA21&amp;" is more than Tested F01-24"&amp;CHAR(10),""))</f>
        <v/>
      </c>
      <c r="AL50" s="652"/>
      <c r="AM50" s="32"/>
      <c r="AN50" s="720"/>
      <c r="AO50" s="14"/>
      <c r="AP50" s="76"/>
      <c r="AQ50" s="77"/>
    </row>
    <row r="51" spans="1:43" ht="25.9" thickBot="1" x14ac:dyDescent="0.8">
      <c r="A51" s="599"/>
      <c r="B51" s="98" t="s">
        <v>152</v>
      </c>
      <c r="C51" s="894" t="s">
        <v>1072</v>
      </c>
      <c r="D51" s="125"/>
      <c r="E51" s="105"/>
      <c r="F51" s="100"/>
      <c r="G51" s="100"/>
      <c r="H51" s="100"/>
      <c r="I51" s="100"/>
      <c r="J51" s="100"/>
      <c r="K51" s="100"/>
      <c r="L51" s="100"/>
      <c r="M51" s="100"/>
      <c r="N51" s="100"/>
      <c r="O51" s="100"/>
      <c r="P51" s="100"/>
      <c r="Q51" s="100"/>
      <c r="R51" s="100"/>
      <c r="S51" s="100"/>
      <c r="T51" s="100"/>
      <c r="U51" s="100"/>
      <c r="V51" s="100"/>
      <c r="W51" s="100"/>
      <c r="X51" s="100"/>
      <c r="Y51" s="100"/>
      <c r="Z51" s="100"/>
      <c r="AA51" s="345"/>
      <c r="AB51" s="413"/>
      <c r="AC51" s="380"/>
      <c r="AD51" s="380"/>
      <c r="AE51" s="380"/>
      <c r="AF51" s="380"/>
      <c r="AG51" s="380"/>
      <c r="AH51" s="380"/>
      <c r="AI51" s="336"/>
      <c r="AJ51" s="400">
        <f t="shared" si="7"/>
        <v>0</v>
      </c>
      <c r="AK51" s="328"/>
      <c r="AL51" s="652"/>
      <c r="AM51" s="32"/>
      <c r="AN51" s="720"/>
      <c r="AO51" s="14"/>
      <c r="AP51" s="76"/>
      <c r="AQ51" s="77"/>
    </row>
    <row r="52" spans="1:43" s="9" customFormat="1" ht="25.5" x14ac:dyDescent="0.75">
      <c r="A52" s="712" t="s">
        <v>131</v>
      </c>
      <c r="B52" s="110" t="s">
        <v>642</v>
      </c>
      <c r="C52" s="898" t="s">
        <v>350</v>
      </c>
      <c r="D52" s="111">
        <f>SUM(D27+D32+D34+D36+D38+D40+D42+D44+D46+D48+D50)</f>
        <v>0</v>
      </c>
      <c r="E52" s="111">
        <f t="shared" ref="E52:AA52" si="10">SUM(E27+E32+E34+E36+E38+E40+E42+E44+E46+E48+E50)</f>
        <v>0</v>
      </c>
      <c r="F52" s="111">
        <f t="shared" si="10"/>
        <v>0</v>
      </c>
      <c r="G52" s="111">
        <f t="shared" si="10"/>
        <v>0</v>
      </c>
      <c r="H52" s="111">
        <f t="shared" si="10"/>
        <v>0</v>
      </c>
      <c r="I52" s="111">
        <f t="shared" si="10"/>
        <v>0</v>
      </c>
      <c r="J52" s="111">
        <f t="shared" si="10"/>
        <v>0</v>
      </c>
      <c r="K52" s="111">
        <f t="shared" si="10"/>
        <v>0</v>
      </c>
      <c r="L52" s="111">
        <f t="shared" si="10"/>
        <v>0</v>
      </c>
      <c r="M52" s="111">
        <f t="shared" si="10"/>
        <v>0</v>
      </c>
      <c r="N52" s="111">
        <f t="shared" si="10"/>
        <v>0</v>
      </c>
      <c r="O52" s="111">
        <f t="shared" si="10"/>
        <v>0</v>
      </c>
      <c r="P52" s="111">
        <f t="shared" si="10"/>
        <v>0</v>
      </c>
      <c r="Q52" s="111">
        <f t="shared" si="10"/>
        <v>0</v>
      </c>
      <c r="R52" s="111">
        <f t="shared" si="10"/>
        <v>0</v>
      </c>
      <c r="S52" s="111">
        <f t="shared" si="10"/>
        <v>0</v>
      </c>
      <c r="T52" s="111">
        <f t="shared" si="10"/>
        <v>0</v>
      </c>
      <c r="U52" s="111">
        <f t="shared" si="10"/>
        <v>0</v>
      </c>
      <c r="V52" s="111">
        <f t="shared" si="10"/>
        <v>0</v>
      </c>
      <c r="W52" s="111">
        <f t="shared" si="10"/>
        <v>0</v>
      </c>
      <c r="X52" s="111">
        <f t="shared" si="10"/>
        <v>0</v>
      </c>
      <c r="Y52" s="111">
        <f t="shared" si="10"/>
        <v>0</v>
      </c>
      <c r="Z52" s="111">
        <f t="shared" si="10"/>
        <v>0</v>
      </c>
      <c r="AA52" s="880">
        <f t="shared" si="10"/>
        <v>0</v>
      </c>
      <c r="AB52" s="413"/>
      <c r="AC52" s="380"/>
      <c r="AD52" s="380"/>
      <c r="AE52" s="380"/>
      <c r="AF52" s="380"/>
      <c r="AG52" s="380"/>
      <c r="AH52" s="380"/>
      <c r="AI52" s="336"/>
      <c r="AJ52" s="200">
        <f t="shared" si="7"/>
        <v>0</v>
      </c>
      <c r="AK52" s="31" t="str">
        <f>CONCATENATE(IF(D53&gt;D52," * Totals HTS Positive F01-29 for Age "&amp;D20&amp;" "&amp;D21&amp;" is more than Total Tested F01-28"&amp;CHAR(10),""),IF(E53&gt;E52," * Totals HTS Positive F01-29 for Age "&amp;D20&amp;" "&amp;E21&amp;" is more than Total Tested F01-28"&amp;CHAR(10),""),IF(F53&gt;F52," * Totals HTS Positive F01-29 for Age "&amp;F20&amp;" "&amp;F21&amp;" is more than Total Tested F01-28"&amp;CHAR(10),""),IF(G53&gt;G52," * Totals HTS Positive F01-29 for Age "&amp;F20&amp;" "&amp;G21&amp;" is more than Total Tested F01-28"&amp;CHAR(10),""),IF(H53&gt;H52," * Totals HTS Positive F01-29 for Age "&amp;H20&amp;" "&amp;H21&amp;" is more than Total Tested F01-28"&amp;CHAR(10),""),IF(I53&gt;I52," * Totals HTS Positive F01-29 for Age "&amp;H20&amp;" "&amp;I21&amp;" is more than Total Tested F01-28"&amp;CHAR(10),""),IF(J53&gt;J52," * Totals HTS Positive F01-29 for Age "&amp;J20&amp;" "&amp;J21&amp;" is more than Total Tested F01-28"&amp;CHAR(10),""),IF(K53&gt;K52," * Totals HTS Positive F01-29 for Age "&amp;J20&amp;" "&amp;K21&amp;" is more than Total Tested F01-28"&amp;CHAR(10),""),IF(L53&gt;L52," * Totals HTS Positive F01-29 for Age "&amp;L20&amp;" "&amp;L21&amp;" is more than Total Tested F01-28"&amp;CHAR(10),""),IF(M53&gt;M52," * Totals HTS Positive F01-29 for Age "&amp;L20&amp;" "&amp;M21&amp;" is more than Total Tested F01-28"&amp;CHAR(10),""),IF(N53&gt;N52," * Totals HTS Positive F01-29 for Age "&amp;N20&amp;" "&amp;N21&amp;" is more than Total Tested F01-28"&amp;CHAR(10),""),IF(O53&gt;O52," * Totals HTS Positive F01-29 for Age "&amp;N20&amp;" "&amp;O21&amp;" is more than Total Tested F01-28"&amp;CHAR(10),""),IF(P53&gt;P52," * Totals HTS Positive F01-29 for Age "&amp;P20&amp;" "&amp;P21&amp;" is more than Total Tested F01-28"&amp;CHAR(10),""),IF(Q53&gt;Q52," * Totals HTS Positive F01-29 for Age "&amp;P20&amp;" "&amp;Q21&amp;" is more than Total Tested F01-28"&amp;CHAR(10),""),IF(R53&gt;R52," * Totals HTS Positive F01-29 for Age "&amp;R20&amp;" "&amp;R21&amp;" is more than Total Tested F01-28"&amp;CHAR(10),""),IF(S53&gt;S52," * Totals HTS Positive F01-29 for Age "&amp;R20&amp;" "&amp;S21&amp;" is more than Total Tested F01-28"&amp;CHAR(10),""),IF(T53&gt;T52," * Totals HTS Positive F01-29 for Age "&amp;T20&amp;" "&amp;T21&amp;" is more than Total Tested F01-28"&amp;CHAR(10),""),IF(U53&gt;U52," * Totals HTS Positive F01-29 for Age "&amp;T20&amp;" "&amp;U21&amp;" is more than Total Tested F01-28"&amp;CHAR(10),""),IF(V53&gt;V52," * Totals HTS Positive F01-29 for Age "&amp;V20&amp;" "&amp;V21&amp;" is more than Total Tested F01-28"&amp;CHAR(10),""),IF(W53&gt;W52," * Totals HTS Positive F01-29 for Age "&amp;V20&amp;" "&amp;W21&amp;" is more than Total Tested F01-28"&amp;CHAR(10),""),IF(X53&gt;X52," * Totals HTS Positive F01-29 for Age "&amp;X20&amp;" "&amp;X21&amp;" is more than Total Tested F01-28"&amp;CHAR(10),""),IF(Y53&gt;Y52," * Totals HTS Positive F01-29 for Age "&amp;X20&amp;" "&amp;Y21&amp;" is more than Total Tested F01-28"&amp;CHAR(10),""),IF(Z53&gt;Z52," * Totals HTS Positive F01-29 for Age "&amp;Z20&amp;" "&amp;Z21&amp;" is more than Total Tested F01-28"&amp;CHAR(10),""),IF(AA53&gt;AA52," * Totals HTS Positive F01-29 for Age "&amp;Z20&amp;" "&amp;AA21&amp;" is more than Total Tested F01-28"&amp;CHAR(10),""))</f>
        <v/>
      </c>
      <c r="AL52" s="652"/>
      <c r="AM52" s="112" t="str">
        <f>CONCATENATE(IF(AJ299&gt;SUM(AJ28,AJ33,AJ35,AJ37,AJ39,AJ41,AJ43,AJ45,AJ47,AJ49,AJ251,AJ255,AJ259,AJ263)," * This site has more started on ART than positives"&amp;CHAR(10),""),"")</f>
        <v/>
      </c>
      <c r="AN52" s="720"/>
      <c r="AO52" s="14">
        <v>48</v>
      </c>
      <c r="AP52" s="113"/>
      <c r="AQ52" s="114"/>
    </row>
    <row r="53" spans="1:43" s="120" customFormat="1" ht="25.9" thickBot="1" x14ac:dyDescent="0.8">
      <c r="A53" s="713"/>
      <c r="B53" s="115" t="s">
        <v>651</v>
      </c>
      <c r="C53" s="901" t="s">
        <v>351</v>
      </c>
      <c r="D53" s="116">
        <f>SUM(D28+D33+D35+D37+D39+D41+D43+D45+D47+D49+D51)</f>
        <v>0</v>
      </c>
      <c r="E53" s="116">
        <f t="shared" ref="E53:AA53" si="11">SUM(E28+E33+E35+E37+E39+E41+E43+E45+E47+E49+E51)</f>
        <v>0</v>
      </c>
      <c r="F53" s="116">
        <f t="shared" si="11"/>
        <v>0</v>
      </c>
      <c r="G53" s="116">
        <f t="shared" si="11"/>
        <v>0</v>
      </c>
      <c r="H53" s="116">
        <f t="shared" si="11"/>
        <v>0</v>
      </c>
      <c r="I53" s="116">
        <f t="shared" si="11"/>
        <v>0</v>
      </c>
      <c r="J53" s="116">
        <f t="shared" si="11"/>
        <v>0</v>
      </c>
      <c r="K53" s="116">
        <f t="shared" si="11"/>
        <v>0</v>
      </c>
      <c r="L53" s="116">
        <f t="shared" si="11"/>
        <v>0</v>
      </c>
      <c r="M53" s="116">
        <f t="shared" si="11"/>
        <v>0</v>
      </c>
      <c r="N53" s="116">
        <f t="shared" si="11"/>
        <v>0</v>
      </c>
      <c r="O53" s="116">
        <f t="shared" si="11"/>
        <v>0</v>
      </c>
      <c r="P53" s="116">
        <f t="shared" si="11"/>
        <v>0</v>
      </c>
      <c r="Q53" s="116">
        <f t="shared" si="11"/>
        <v>0</v>
      </c>
      <c r="R53" s="116">
        <f t="shared" si="11"/>
        <v>0</v>
      </c>
      <c r="S53" s="116">
        <f t="shared" si="11"/>
        <v>0</v>
      </c>
      <c r="T53" s="116">
        <f t="shared" si="11"/>
        <v>0</v>
      </c>
      <c r="U53" s="116">
        <f t="shared" si="11"/>
        <v>0</v>
      </c>
      <c r="V53" s="116">
        <f t="shared" si="11"/>
        <v>0</v>
      </c>
      <c r="W53" s="116">
        <f t="shared" si="11"/>
        <v>0</v>
      </c>
      <c r="X53" s="116">
        <f t="shared" si="11"/>
        <v>0</v>
      </c>
      <c r="Y53" s="116">
        <f t="shared" si="11"/>
        <v>0</v>
      </c>
      <c r="Z53" s="116">
        <f t="shared" si="11"/>
        <v>0</v>
      </c>
      <c r="AA53" s="881">
        <f t="shared" si="11"/>
        <v>0</v>
      </c>
      <c r="AB53" s="414"/>
      <c r="AC53" s="415"/>
      <c r="AD53" s="415"/>
      <c r="AE53" s="415"/>
      <c r="AF53" s="415"/>
      <c r="AG53" s="415"/>
      <c r="AH53" s="415"/>
      <c r="AI53" s="337"/>
      <c r="AJ53" s="407">
        <f t="shared" si="7"/>
        <v>0</v>
      </c>
      <c r="AK53" s="117"/>
      <c r="AL53" s="653"/>
      <c r="AM53" s="118" t="str">
        <f>CONCATENATE(IF(AND(AJ299=0,SUM(AJ28,AJ33,AJ35,AJ37,AJ39,AJ41,AJ43,AJ45,AJ47,AJ49,AJ251,AJ255,AJ259,AJ263)&gt;0)," * This site has positives but none was started on ART"&amp;CHAR(10),""),"")</f>
        <v/>
      </c>
      <c r="AN53" s="721"/>
      <c r="AO53" s="14">
        <v>49</v>
      </c>
      <c r="AP53" s="119"/>
      <c r="AQ53" s="114"/>
    </row>
    <row r="54" spans="1:43" ht="25.9" thickBot="1" x14ac:dyDescent="0.8">
      <c r="A54" s="640" t="s">
        <v>1037</v>
      </c>
      <c r="B54" s="641"/>
      <c r="C54" s="641"/>
      <c r="D54" s="641"/>
      <c r="E54" s="641"/>
      <c r="F54" s="641"/>
      <c r="G54" s="641"/>
      <c r="H54" s="641"/>
      <c r="I54" s="641"/>
      <c r="J54" s="641"/>
      <c r="K54" s="641"/>
      <c r="L54" s="641"/>
      <c r="M54" s="641"/>
      <c r="N54" s="641"/>
      <c r="O54" s="641"/>
      <c r="P54" s="641"/>
      <c r="Q54" s="641"/>
      <c r="R54" s="641"/>
      <c r="S54" s="641"/>
      <c r="T54" s="641"/>
      <c r="U54" s="641"/>
      <c r="V54" s="641"/>
      <c r="W54" s="641"/>
      <c r="X54" s="641"/>
      <c r="Y54" s="641"/>
      <c r="Z54" s="641"/>
      <c r="AA54" s="641"/>
      <c r="AB54" s="642"/>
      <c r="AC54" s="642"/>
      <c r="AD54" s="642"/>
      <c r="AE54" s="642"/>
      <c r="AF54" s="642"/>
      <c r="AG54" s="642"/>
      <c r="AH54" s="642"/>
      <c r="AI54" s="642"/>
      <c r="AJ54" s="641"/>
      <c r="AK54" s="641"/>
      <c r="AL54" s="641"/>
      <c r="AM54" s="641"/>
      <c r="AN54" s="643"/>
      <c r="AO54" s="14">
        <v>50</v>
      </c>
      <c r="AP54" s="76"/>
      <c r="AQ54" s="77"/>
    </row>
    <row r="55" spans="1:43" ht="26.25" customHeight="1" x14ac:dyDescent="0.75">
      <c r="A55" s="617" t="s">
        <v>37</v>
      </c>
      <c r="B55" s="644" t="s">
        <v>346</v>
      </c>
      <c r="C55" s="897" t="s">
        <v>327</v>
      </c>
      <c r="D55" s="606"/>
      <c r="E55" s="606"/>
      <c r="F55" s="606"/>
      <c r="G55" s="606"/>
      <c r="H55" s="606"/>
      <c r="I55" s="606"/>
      <c r="J55" s="606"/>
      <c r="K55" s="606"/>
      <c r="L55" s="606" t="s">
        <v>4</v>
      </c>
      <c r="M55" s="606"/>
      <c r="N55" s="606" t="s">
        <v>5</v>
      </c>
      <c r="O55" s="606"/>
      <c r="P55" s="606" t="s">
        <v>6</v>
      </c>
      <c r="Q55" s="606"/>
      <c r="R55" s="606" t="s">
        <v>7</v>
      </c>
      <c r="S55" s="606"/>
      <c r="T55" s="606" t="s">
        <v>8</v>
      </c>
      <c r="U55" s="606"/>
      <c r="V55" s="606" t="s">
        <v>23</v>
      </c>
      <c r="W55" s="606"/>
      <c r="X55" s="606" t="s">
        <v>24</v>
      </c>
      <c r="Y55" s="606"/>
      <c r="Z55" s="606" t="s">
        <v>9</v>
      </c>
      <c r="AA55" s="624"/>
      <c r="AB55" s="625"/>
      <c r="AC55" s="626"/>
      <c r="AD55" s="626"/>
      <c r="AE55" s="626"/>
      <c r="AF55" s="626"/>
      <c r="AG55" s="626"/>
      <c r="AH55" s="626"/>
      <c r="AI55" s="627"/>
      <c r="AJ55" s="628" t="s">
        <v>19</v>
      </c>
      <c r="AK55" s="630" t="s">
        <v>380</v>
      </c>
      <c r="AL55" s="632" t="s">
        <v>386</v>
      </c>
      <c r="AM55" s="660" t="s">
        <v>387</v>
      </c>
      <c r="AN55" s="619" t="s">
        <v>387</v>
      </c>
      <c r="AO55" s="14">
        <v>98</v>
      </c>
      <c r="AP55" s="76"/>
      <c r="AQ55" s="77"/>
    </row>
    <row r="56" spans="1:43" ht="27" customHeight="1" thickBot="1" x14ac:dyDescent="0.8">
      <c r="A56" s="618"/>
      <c r="B56" s="645"/>
      <c r="C56" s="902"/>
      <c r="D56" s="70"/>
      <c r="E56" s="70"/>
      <c r="F56" s="70"/>
      <c r="G56" s="70"/>
      <c r="H56" s="70"/>
      <c r="I56" s="70"/>
      <c r="J56" s="70"/>
      <c r="K56" s="70"/>
      <c r="L56" s="70" t="s">
        <v>10</v>
      </c>
      <c r="M56" s="70" t="s">
        <v>11</v>
      </c>
      <c r="N56" s="70" t="s">
        <v>10</v>
      </c>
      <c r="O56" s="70" t="s">
        <v>11</v>
      </c>
      <c r="P56" s="70" t="s">
        <v>10</v>
      </c>
      <c r="Q56" s="70" t="s">
        <v>11</v>
      </c>
      <c r="R56" s="70" t="s">
        <v>10</v>
      </c>
      <c r="S56" s="70" t="s">
        <v>11</v>
      </c>
      <c r="T56" s="70" t="s">
        <v>10</v>
      </c>
      <c r="U56" s="70" t="s">
        <v>11</v>
      </c>
      <c r="V56" s="70" t="s">
        <v>10</v>
      </c>
      <c r="W56" s="70" t="s">
        <v>11</v>
      </c>
      <c r="X56" s="70" t="s">
        <v>10</v>
      </c>
      <c r="Y56" s="70" t="s">
        <v>11</v>
      </c>
      <c r="Z56" s="70" t="s">
        <v>10</v>
      </c>
      <c r="AA56" s="395" t="s">
        <v>11</v>
      </c>
      <c r="AB56" s="409"/>
      <c r="AC56" s="396"/>
      <c r="AD56" s="396"/>
      <c r="AE56" s="396"/>
      <c r="AF56" s="396"/>
      <c r="AG56" s="396"/>
      <c r="AH56" s="396"/>
      <c r="AI56" s="410"/>
      <c r="AJ56" s="629"/>
      <c r="AK56" s="631"/>
      <c r="AL56" s="633"/>
      <c r="AM56" s="660"/>
      <c r="AN56" s="620"/>
      <c r="AO56" s="14">
        <v>99</v>
      </c>
      <c r="AP56" s="76"/>
      <c r="AQ56" s="77"/>
    </row>
    <row r="57" spans="1:43" s="85" customFormat="1" ht="25.5" customHeight="1" x14ac:dyDescent="0.75">
      <c r="A57" s="883" t="s">
        <v>1050</v>
      </c>
      <c r="B57" s="1" t="s">
        <v>1213</v>
      </c>
      <c r="C57" s="903" t="s">
        <v>1038</v>
      </c>
      <c r="D57" s="145"/>
      <c r="E57" s="102"/>
      <c r="F57" s="102"/>
      <c r="G57" s="102"/>
      <c r="H57" s="102"/>
      <c r="I57" s="102"/>
      <c r="J57" s="102"/>
      <c r="K57" s="401"/>
      <c r="L57" s="252"/>
      <c r="M57" s="252"/>
      <c r="N57" s="252"/>
      <c r="O57" s="252"/>
      <c r="P57" s="252"/>
      <c r="Q57" s="252"/>
      <c r="R57" s="252"/>
      <c r="S57" s="252"/>
      <c r="T57" s="252"/>
      <c r="U57" s="252"/>
      <c r="V57" s="252"/>
      <c r="W57" s="252"/>
      <c r="X57" s="252"/>
      <c r="Y57" s="252"/>
      <c r="Z57" s="252"/>
      <c r="AA57" s="252"/>
      <c r="AB57" s="411"/>
      <c r="AC57" s="412"/>
      <c r="AD57" s="412"/>
      <c r="AE57" s="412"/>
      <c r="AF57" s="412"/>
      <c r="AG57" s="412"/>
      <c r="AH57" s="412"/>
      <c r="AI57" s="339"/>
      <c r="AJ57" s="200">
        <f t="shared" ref="AJ57:AJ98" si="12">SUM(D57:AA57)</f>
        <v>0</v>
      </c>
      <c r="AK57" s="31" t="str">
        <f>CONCATENATE(IF(D59&gt;D57," * RITA RECENT Index Testing"&amp;$D$20&amp;" "&amp;$D$21&amp;" is more than RTRI RECENT Index Testing"&amp;CHAR(10),""),IF(E59&gt;E57," * RITA RECENT Index Testing"&amp;$D$20&amp;" "&amp;$E$21&amp;" is more than RTRI RECENT Index Testing"&amp;CHAR(10),""),IF(F59&gt;F57," * RITA RECENT Index Testing"&amp;$F$20&amp;" "&amp;$F$21&amp;" is more than RTRI RECENT Index Testing"&amp;CHAR(10),""),IF(G59&gt;G57," * RITA RECENT Index Testing"&amp;$F$20&amp;" "&amp;$G$21&amp;" is more than RTRI RECENT Index Testing"&amp;CHAR(10),""),IF(H59&gt;H57," * RITA RECENT Index Testing"&amp;$H$20&amp;" "&amp;$H$21&amp;" is more than RTRI RECENT Index Testing"&amp;CHAR(10),""),IF(I59&gt;I57," * RITA RECENT Index Testing"&amp;$H$20&amp;" "&amp;$I$21&amp;" is more than RTRI RECENT Index Testing"&amp;CHAR(10),""),IF(J59&gt;J57," * RITA RECENT Index Testing"&amp;$J$20&amp;" "&amp;$J$21&amp;" is more than RTRI RECENT Index Testing"&amp;CHAR(10),""),IF(K59&gt;K57," * RITA RECENT Index Testing"&amp;$J$20&amp;" "&amp;$K$21&amp;" is more than RTRI RECENT Index Testing"&amp;CHAR(10),""),IF(L59&gt;L57," * RITA RECENT Index Testing"&amp;$L$20&amp;" "&amp;$L$21&amp;" is more than RTRI RECENT Index Testing"&amp;CHAR(10),""),IF(M59&gt;M57," * RITA RECENT Index Testing"&amp;$L$20&amp;" "&amp;$M$21&amp;" is more than RTRI RECENT Index Testing"&amp;CHAR(10),""),IF(N59&gt;N57," * RITA RECENT Index Testing"&amp;$N$20&amp;" "&amp;$N$21&amp;" is more than RTRI RECENT Index Testing"&amp;CHAR(10),""),IF(O59&gt;O57," * RITA RECENT Index Testing"&amp;$N$20&amp;" "&amp;$O$21&amp;" is more than RTRI RECENT Index Testing"&amp;CHAR(10),""),IF(P59&gt;P57," * RITA RECENT Index Testing"&amp;$P$20&amp;" "&amp;$P$21&amp;" is more than RTRI RECENT Index Testing"&amp;CHAR(10),""),IF(Q59&gt;Q57," * RITA RECENT Index Testing"&amp;$P$20&amp;" "&amp;$Q$21&amp;" is more than RTRI RECENT Index Testing"&amp;CHAR(10),""),IF(R59&gt;R57," * RITA RECENT Index Testing"&amp;$R$20&amp;" "&amp;$R$21&amp;" is more than RTRI RECENT Index Testing"&amp;CHAR(10),""),IF(S59&gt;S57," * RITA RECENT Index Testing"&amp;$R$20&amp;" "&amp;$S$21&amp;" is more than RTRI RECENT Index Testing"&amp;CHAR(10),""),IF(T59&gt;T57," * RITA RECENT Index Testing"&amp;$T$20&amp;" "&amp;$T$21&amp;" is more than RTRI RECENT Index Testing"&amp;CHAR(10),""),IF(U59&gt;U57," * RITA RECENT Index Testing"&amp;$T$20&amp;" "&amp;$U$21&amp;" is more than RTRI RECENT Index Testing"&amp;CHAR(10),""),IF(V59&gt;V57," * RITA RECENT Index Testing"&amp;$V$20&amp;" "&amp;$V$21&amp;" is more than RTRI RECENT Index Testing"&amp;CHAR(10),""),IF(W59&gt;W57," * RITA RECENT Index Testing"&amp;$V$20&amp;" "&amp;$W$21&amp;" is more than RTRI RECENT Index Testing"&amp;CHAR(10),""),IF(X59&gt;X57," * RITA RECENT Index Testing"&amp;$X$20&amp;" "&amp;$X$21&amp;" is more than RTRI RECENT Index Testing"&amp;CHAR(10),""),IF(Y59&gt;Y57," * RITA RECENT Index Testing"&amp;$X$20&amp;" "&amp;$Y$21&amp;" is more than RTRI RECENT Index Testing"&amp;CHAR(10),""),IF(Z59&gt;Z57," * RITA RECENT Index Testing"&amp;$Z$20&amp;" "&amp;$Z$21&amp;" is more than RTRI RECENT Index Testing"&amp;CHAR(10),""),IF(AA59&gt;AA57," * RITA RECENT Index Testing"&amp;$Z$20&amp;" "&amp;$AA$21&amp;" is more than RTRI RECENT Index Testing"&amp;CHAR(10),""))</f>
        <v/>
      </c>
      <c r="AL57" s="923" t="str">
        <f>CONCATENATE(AK57,AK58,AK59,AK60,AK61,AK62,AK63,AK64,AK65,AK66,AK67,AK68,AK69,AK70,AK71,AK72,AK73,AK74,AK75,AK76,AK77,AK78,AK79,AK80,AK81,AK82,AK83,AK84,AK85,AK86,AK87,AK88,AK89,AK90,AK91,AK92,AK93,AK94,AK95,AK96)</f>
        <v/>
      </c>
      <c r="AM57" s="32"/>
      <c r="AN57" s="393"/>
      <c r="AO57" s="14">
        <v>30</v>
      </c>
      <c r="AP57" s="83"/>
      <c r="AQ57" s="84"/>
    </row>
    <row r="58" spans="1:43" s="85" customFormat="1" ht="25.9" thickBot="1" x14ac:dyDescent="0.8">
      <c r="A58" s="884"/>
      <c r="B58" s="394" t="s">
        <v>1214</v>
      </c>
      <c r="C58" s="904" t="s">
        <v>1039</v>
      </c>
      <c r="D58" s="125"/>
      <c r="E58" s="105"/>
      <c r="F58" s="105"/>
      <c r="G58" s="105"/>
      <c r="H58" s="105"/>
      <c r="I58" s="105"/>
      <c r="J58" s="105"/>
      <c r="K58" s="402"/>
      <c r="L58" s="152"/>
      <c r="M58" s="152"/>
      <c r="N58" s="152"/>
      <c r="O58" s="152"/>
      <c r="P58" s="152"/>
      <c r="Q58" s="152"/>
      <c r="R58" s="152"/>
      <c r="S58" s="152"/>
      <c r="T58" s="152"/>
      <c r="U58" s="152"/>
      <c r="V58" s="152"/>
      <c r="W58" s="152"/>
      <c r="X58" s="152"/>
      <c r="Y58" s="152"/>
      <c r="Z58" s="152"/>
      <c r="AA58" s="152"/>
      <c r="AB58" s="413"/>
      <c r="AC58" s="380"/>
      <c r="AD58" s="380"/>
      <c r="AE58" s="380"/>
      <c r="AF58" s="380"/>
      <c r="AG58" s="380"/>
      <c r="AH58" s="380"/>
      <c r="AI58" s="336"/>
      <c r="AJ58" s="204">
        <f t="shared" si="12"/>
        <v>0</v>
      </c>
      <c r="AK58" s="31" t="str">
        <f>CONCATENATE(IF(D60&gt;D58," * RITA Long-Term Index Testing"&amp;$D$20&amp;" "&amp;$D$21&amp;" is more than RTRI Long-Term Index Testing"&amp;CHAR(10),""),IF(E60&gt;E58," * RITA Long-Term Index Testing"&amp;$D$20&amp;" "&amp;$E$21&amp;" is more than RTRI Long-Term Index Testing"&amp;CHAR(10),""),IF(F60&gt;F58," * RITA Long-Term Index Testing"&amp;$F$20&amp;" "&amp;$F$21&amp;" is more than RTRI Long-Term Index Testing"&amp;CHAR(10),""),IF(G60&gt;G58," * RITA Long-Term Index Testing"&amp;$F$20&amp;" "&amp;$G$21&amp;" is more than RTRI Long-Term Index Testing"&amp;CHAR(10),""),IF(H60&gt;H58," * RITA Long-Term Index Testing"&amp;$H$20&amp;" "&amp;$H$21&amp;" is more than RTRI Long-Term Index Testing"&amp;CHAR(10),""),IF(I60&gt;I58," * RITA Long-Term Index Testing"&amp;$H$20&amp;" "&amp;$I$21&amp;" is more than RTRI Long-Term Index Testing"&amp;CHAR(10),""),IF(J60&gt;J58," * RITA Long-Term Index Testing"&amp;$J$20&amp;" "&amp;$J$21&amp;" is more than RTRI Long-Term Index Testing"&amp;CHAR(10),""),IF(K60&gt;K58," * RITA Long-Term Index Testing"&amp;$J$20&amp;" "&amp;$K$21&amp;" is more than RTRI Long-Term Index Testing"&amp;CHAR(10),""),IF(L60&gt;L58," * RITA Long-Term Index Testing"&amp;$L$20&amp;" "&amp;$L$21&amp;" is more than RTRI Long-Term Index Testing"&amp;CHAR(10),""),IF(M60&gt;M58," * RITA Long-Term Index Testing"&amp;$L$20&amp;" "&amp;$M$21&amp;" is more than RTRI Long-Term Index Testing"&amp;CHAR(10),""),IF(N60&gt;N58," * RITA Long-Term Index Testing"&amp;$N$20&amp;" "&amp;$N$21&amp;" is more than RTRI Long-Term Index Testing"&amp;CHAR(10),""),IF(O60&gt;O58," * RITA Long-Term Index Testing"&amp;$N$20&amp;" "&amp;$O$21&amp;" is more than RTRI Long-Term Index Testing"&amp;CHAR(10),""),IF(P60&gt;P58," * RITA Long-Term Index Testing"&amp;$P$20&amp;" "&amp;$P$21&amp;" is more than RTRI Long-Term Index Testing"&amp;CHAR(10),""),IF(Q60&gt;Q58," * RITA Long-Term Index Testing"&amp;$P$20&amp;" "&amp;$Q$21&amp;" is more than RTRI Long-Term Index Testing"&amp;CHAR(10),""),IF(R60&gt;R58," * RITA Long-Term Index Testing"&amp;$R$20&amp;" "&amp;$R$21&amp;" is more than RTRI Long-Term Index Testing"&amp;CHAR(10),""),IF(S60&gt;S58," * RITA Long-Term Index Testing"&amp;$R$20&amp;" "&amp;$S$21&amp;" is more than RTRI Long-Term Index Testing"&amp;CHAR(10),""),IF(T60&gt;T58," * RITA Long-Term Index Testing"&amp;$T$20&amp;" "&amp;$T$21&amp;" is more than RTRI Long-Term Index Testing"&amp;CHAR(10),""),IF(U60&gt;U58," * RITA Long-Term Index Testing"&amp;$T$20&amp;" "&amp;$U$21&amp;" is more than RTRI Long-Term Index Testing"&amp;CHAR(10),""),IF(V60&gt;V58," * RITA Long-Term Index Testing"&amp;$V$20&amp;" "&amp;$V$21&amp;" is more than RTRI Long-Term Index Testing"&amp;CHAR(10),""),IF(W60&gt;W58," * RITA Long-Term Index Testing"&amp;$V$20&amp;" "&amp;$W$21&amp;" is more than RTRI Long-Term Index Testing"&amp;CHAR(10),""),IF(X60&gt;X58," * RITA Long-Term Index Testing"&amp;$X$20&amp;" "&amp;$X$21&amp;" is more than RTRI Long-Term Index Testing"&amp;CHAR(10),""),IF(Y60&gt;Y58," * RITA Long-Term Index Testing"&amp;$X$20&amp;" "&amp;$Y$21&amp;" is more than RTRI Long-Term Index Testing"&amp;CHAR(10),""),IF(Z60&gt;Z58," * RITA Long-Term Index Testing"&amp;$Z$20&amp;" "&amp;$Z$21&amp;" is more than RTRI Long-Term Index Testing"&amp;CHAR(10),""),IF(AA60&gt;AA58," * RITA Long-Term Index Testing"&amp;$Z$20&amp;" "&amp;$AA$21&amp;" is more than RTRI Long-Term Index Testing"&amp;CHAR(10),""))</f>
        <v/>
      </c>
      <c r="AL58" s="924"/>
      <c r="AM58" s="32"/>
      <c r="AN58" s="393"/>
      <c r="AO58" s="14">
        <v>31</v>
      </c>
      <c r="AP58" s="83"/>
      <c r="AQ58" s="84"/>
    </row>
    <row r="59" spans="1:43" s="85" customFormat="1" ht="25.5" customHeight="1" x14ac:dyDescent="0.75">
      <c r="A59" s="884"/>
      <c r="B59" s="1" t="s">
        <v>1215</v>
      </c>
      <c r="C59" s="903" t="s">
        <v>1217</v>
      </c>
      <c r="D59" s="145"/>
      <c r="E59" s="102"/>
      <c r="F59" s="102"/>
      <c r="G59" s="102"/>
      <c r="H59" s="102"/>
      <c r="I59" s="102"/>
      <c r="J59" s="102"/>
      <c r="K59" s="401"/>
      <c r="L59" s="252"/>
      <c r="M59" s="252"/>
      <c r="N59" s="252"/>
      <c r="O59" s="252"/>
      <c r="P59" s="252"/>
      <c r="Q59" s="252"/>
      <c r="R59" s="252"/>
      <c r="S59" s="252"/>
      <c r="T59" s="252"/>
      <c r="U59" s="252"/>
      <c r="V59" s="252"/>
      <c r="W59" s="252"/>
      <c r="X59" s="252"/>
      <c r="Y59" s="252"/>
      <c r="Z59" s="252"/>
      <c r="AA59" s="252"/>
      <c r="AB59" s="411"/>
      <c r="AC59" s="412"/>
      <c r="AD59" s="412"/>
      <c r="AE59" s="412"/>
      <c r="AF59" s="412"/>
      <c r="AG59" s="412"/>
      <c r="AH59" s="412"/>
      <c r="AI59" s="339"/>
      <c r="AJ59" s="200">
        <f t="shared" ref="AJ59:AJ60" si="13">SUM(D59:AA59)</f>
        <v>0</v>
      </c>
      <c r="AK59" s="31"/>
      <c r="AL59" s="924"/>
      <c r="AM59" s="32"/>
      <c r="AN59" s="393"/>
      <c r="AO59" s="14">
        <v>30</v>
      </c>
      <c r="AP59" s="83"/>
      <c r="AQ59" s="84"/>
    </row>
    <row r="60" spans="1:43" s="85" customFormat="1" ht="25.9" thickBot="1" x14ac:dyDescent="0.8">
      <c r="A60" s="885"/>
      <c r="B60" s="394" t="s">
        <v>1216</v>
      </c>
      <c r="C60" s="905" t="s">
        <v>1218</v>
      </c>
      <c r="D60" s="886"/>
      <c r="E60" s="126"/>
      <c r="F60" s="126"/>
      <c r="G60" s="126"/>
      <c r="H60" s="126"/>
      <c r="I60" s="126"/>
      <c r="J60" s="126"/>
      <c r="K60" s="435"/>
      <c r="L60" s="267"/>
      <c r="M60" s="267"/>
      <c r="N60" s="267"/>
      <c r="O60" s="267"/>
      <c r="P60" s="267"/>
      <c r="Q60" s="267"/>
      <c r="R60" s="267"/>
      <c r="S60" s="267"/>
      <c r="T60" s="267"/>
      <c r="U60" s="267"/>
      <c r="V60" s="267"/>
      <c r="W60" s="267"/>
      <c r="X60" s="267"/>
      <c r="Y60" s="267"/>
      <c r="Z60" s="267"/>
      <c r="AA60" s="267"/>
      <c r="AB60" s="413"/>
      <c r="AC60" s="380"/>
      <c r="AD60" s="380"/>
      <c r="AE60" s="380"/>
      <c r="AF60" s="380"/>
      <c r="AG60" s="380"/>
      <c r="AH60" s="380"/>
      <c r="AI60" s="336"/>
      <c r="AJ60" s="204">
        <f t="shared" si="13"/>
        <v>0</v>
      </c>
      <c r="AK60" s="31"/>
      <c r="AL60" s="924"/>
      <c r="AM60" s="32"/>
      <c r="AN60" s="393"/>
      <c r="AO60" s="14">
        <v>31</v>
      </c>
      <c r="AP60" s="83"/>
      <c r="AQ60" s="84"/>
    </row>
    <row r="61" spans="1:43" s="85" customFormat="1" ht="25.5" customHeight="1" x14ac:dyDescent="0.75">
      <c r="A61" s="701" t="s">
        <v>1051</v>
      </c>
      <c r="B61" s="1" t="s">
        <v>1213</v>
      </c>
      <c r="C61" s="903" t="s">
        <v>1040</v>
      </c>
      <c r="D61" s="145"/>
      <c r="E61" s="102"/>
      <c r="F61" s="102"/>
      <c r="G61" s="102"/>
      <c r="H61" s="102"/>
      <c r="I61" s="102"/>
      <c r="J61" s="102"/>
      <c r="K61" s="401"/>
      <c r="L61" s="252"/>
      <c r="M61" s="252"/>
      <c r="N61" s="252"/>
      <c r="O61" s="252"/>
      <c r="P61" s="252"/>
      <c r="Q61" s="252"/>
      <c r="R61" s="252"/>
      <c r="S61" s="252"/>
      <c r="T61" s="252"/>
      <c r="U61" s="252"/>
      <c r="V61" s="252"/>
      <c r="W61" s="252"/>
      <c r="X61" s="252"/>
      <c r="Y61" s="252"/>
      <c r="Z61" s="252"/>
      <c r="AA61" s="252"/>
      <c r="AB61" s="413"/>
      <c r="AC61" s="380"/>
      <c r="AD61" s="380"/>
      <c r="AE61" s="380"/>
      <c r="AF61" s="380"/>
      <c r="AG61" s="380"/>
      <c r="AH61" s="380"/>
      <c r="AI61" s="336"/>
      <c r="AJ61" s="200">
        <f t="shared" si="12"/>
        <v>0</v>
      </c>
      <c r="AK61" s="31" t="str">
        <f>CONCATENATE(IF(D63&gt;D61," * RITA RECENT Emergency Ward"&amp;$D$20&amp;" "&amp;$D$21&amp;" is more than RTRI RECENT Emergency Ward"&amp;CHAR(10),""),IF(E63&gt;E61," * RITA RECENT Emergency Ward"&amp;$D$20&amp;" "&amp;$E$21&amp;" is more than RTRI RECENT Emergency Ward"&amp;CHAR(10),""),IF(F63&gt;F61," * RITA RECENT Emergency Ward"&amp;$F$20&amp;" "&amp;$F$21&amp;" is more than RTRI RECENT Emergency Ward"&amp;CHAR(10),""),IF(G63&gt;G61," * RITA RECENT Emergency Ward"&amp;$F$20&amp;" "&amp;$G$21&amp;" is more than RTRI RECENT Emergency Ward"&amp;CHAR(10),""),IF(H63&gt;H61," * RITA RECENT Emergency Ward"&amp;$H$20&amp;" "&amp;$H$21&amp;" is more than RTRI RECENT Emergency Ward"&amp;CHAR(10),""),IF(I63&gt;I61," * RITA RECENT Emergency Ward"&amp;$H$20&amp;" "&amp;$I$21&amp;" is more than RTRI RECENT Emergency Ward"&amp;CHAR(10),""),IF(J63&gt;J61," * RITA RECENT Emergency Ward"&amp;$J$20&amp;" "&amp;$J$21&amp;" is more than RTRI RECENT Emergency Ward"&amp;CHAR(10),""),IF(K63&gt;K61," * RITA RECENT Emergency Ward"&amp;$J$20&amp;" "&amp;$K$21&amp;" is more than RTRI RECENT Emergency Ward"&amp;CHAR(10),""),IF(L63&gt;L61," * RITA RECENT Emergency Ward"&amp;$L$20&amp;" "&amp;$L$21&amp;" is more than RTRI RECENT Emergency Ward"&amp;CHAR(10),""),IF(M63&gt;M61," * RITA RECENT Emergency Ward"&amp;$L$20&amp;" "&amp;$M$21&amp;" is more than RTRI RECENT Emergency Ward"&amp;CHAR(10),""),IF(N63&gt;N61," * RITA RECENT Emergency Ward"&amp;$N$20&amp;" "&amp;$N$21&amp;" is more than RTRI RECENT Emergency Ward"&amp;CHAR(10),""),IF(O63&gt;O61," * RITA RECENT Emergency Ward"&amp;$N$20&amp;" "&amp;$O$21&amp;" is more than RTRI RECENT Emergency Ward"&amp;CHAR(10),""),IF(P63&gt;P61," * RITA RECENT Emergency Ward"&amp;$P$20&amp;" "&amp;$P$21&amp;" is more than RTRI RECENT Emergency Ward"&amp;CHAR(10),""),IF(Q63&gt;Q61," * RITA RECENT Emergency Ward"&amp;$P$20&amp;" "&amp;$Q$21&amp;" is more than RTRI RECENT Emergency Ward"&amp;CHAR(10),""),IF(R63&gt;R61," * RITA RECENT Emergency Ward"&amp;$R$20&amp;" "&amp;$R$21&amp;" is more than RTRI RECENT Emergency Ward"&amp;CHAR(10),""),IF(S63&gt;S61," * RITA RECENT Emergency Ward"&amp;$R$20&amp;" "&amp;$S$21&amp;" is more than RTRI RECENT Emergency Ward"&amp;CHAR(10),""),IF(T63&gt;T61," * RITA RECENT Emergency Ward"&amp;$T$20&amp;" "&amp;$T$21&amp;" is more than RTRI RECENT Emergency Ward"&amp;CHAR(10),""),IF(U63&gt;U61," * RITA RECENT Emergency Ward"&amp;$T$20&amp;" "&amp;$U$21&amp;" is more than RTRI RECENT Emergency Ward"&amp;CHAR(10),""),IF(V63&gt;V61," * RITA RECENT Emergency Ward"&amp;$V$20&amp;" "&amp;$V$21&amp;" is more than RTRI RECENT Emergency Ward"&amp;CHAR(10),""),IF(W63&gt;W61," * RITA RECENT Emergency Ward"&amp;$V$20&amp;" "&amp;$W$21&amp;" is more than RTRI RECENT Emergency Ward"&amp;CHAR(10),""),IF(X63&gt;X61," * RITA RECENT Emergency Ward"&amp;$X$20&amp;" "&amp;$X$21&amp;" is more than RTRI RECENT Emergency Ward"&amp;CHAR(10),""),IF(Y63&gt;Y61," * RITA RECENT Emergency Ward"&amp;$X$20&amp;" "&amp;$Y$21&amp;" is more than RTRI RECENT Emergency Ward"&amp;CHAR(10),""),IF(Z63&gt;Z61," * RITA RECENT Emergency Ward"&amp;$Z$20&amp;" "&amp;$Z$21&amp;" is more than RTRI RECENT Emergency Ward"&amp;CHAR(10),""),IF(AA63&gt;AA61," * RITA RECENT Emergency Ward"&amp;$Z$20&amp;" "&amp;$AA$21&amp;" is more than RTRI RECENT Emergency Ward"&amp;CHAR(10),""))</f>
        <v/>
      </c>
      <c r="AL61" s="924"/>
      <c r="AM61" s="32"/>
      <c r="AN61" s="393"/>
      <c r="AO61" s="14">
        <v>32</v>
      </c>
      <c r="AP61" s="83"/>
      <c r="AQ61" s="84"/>
    </row>
    <row r="62" spans="1:43" s="85" customFormat="1" ht="25.9" thickBot="1" x14ac:dyDescent="0.8">
      <c r="A62" s="702"/>
      <c r="B62" s="394" t="s">
        <v>1214</v>
      </c>
      <c r="C62" s="904" t="s">
        <v>1041</v>
      </c>
      <c r="D62" s="146"/>
      <c r="E62" s="80"/>
      <c r="F62" s="80"/>
      <c r="G62" s="80"/>
      <c r="H62" s="80"/>
      <c r="I62" s="80"/>
      <c r="J62" s="80"/>
      <c r="K62" s="408"/>
      <c r="L62" s="152"/>
      <c r="M62" s="152"/>
      <c r="N62" s="152"/>
      <c r="O62" s="152"/>
      <c r="P62" s="152"/>
      <c r="Q62" s="152"/>
      <c r="R62" s="152"/>
      <c r="S62" s="152"/>
      <c r="T62" s="152"/>
      <c r="U62" s="152"/>
      <c r="V62" s="152"/>
      <c r="W62" s="152"/>
      <c r="X62" s="152"/>
      <c r="Y62" s="152"/>
      <c r="Z62" s="152"/>
      <c r="AA62" s="152"/>
      <c r="AB62" s="413"/>
      <c r="AC62" s="380"/>
      <c r="AD62" s="380"/>
      <c r="AE62" s="380"/>
      <c r="AF62" s="380"/>
      <c r="AG62" s="380"/>
      <c r="AH62" s="380"/>
      <c r="AI62" s="336"/>
      <c r="AJ62" s="204">
        <f t="shared" si="12"/>
        <v>0</v>
      </c>
      <c r="AK62" s="31" t="str">
        <f>CONCATENATE(IF(D64&gt;D62," * RITA Long-Term Emergency Ward "&amp;$D$20&amp;" "&amp;$D$21&amp;" is more than RTRI Long-Term Emergency Ward "&amp;CHAR(10),""),IF(E64&gt;E62," * RITA Long-Term Emergency Ward "&amp;$D$20&amp;" "&amp;$E$21&amp;" is more than RTRI Long-Term Emergency Ward "&amp;CHAR(10),""),IF(F64&gt;F62," * RITA Long-Term Emergency Ward "&amp;$F$20&amp;" "&amp;$F$21&amp;" is more than RTRI Long-Term Emergency Ward "&amp;CHAR(10),""),IF(G64&gt;G62," * RITA Long-Term Emergency Ward "&amp;$F$20&amp;" "&amp;$G$21&amp;" is more than RTRI Long-Term Emergency Ward "&amp;CHAR(10),""),IF(H64&gt;H62," * RITA Long-Term Emergency Ward "&amp;$H$20&amp;" "&amp;$H$21&amp;" is more than RTRI Long-Term Emergency Ward "&amp;CHAR(10),""),IF(I64&gt;I62," * RITA Long-Term Emergency Ward "&amp;$H$20&amp;" "&amp;$I$21&amp;" is more than RTRI Long-Term Emergency Ward "&amp;CHAR(10),""),IF(J64&gt;J62," * RITA Long-Term Emergency Ward "&amp;$J$20&amp;" "&amp;$J$21&amp;" is more than RTRI Long-Term Emergency Ward "&amp;CHAR(10),""),IF(K64&gt;K62," * RITA Long-Term Emergency Ward "&amp;$J$20&amp;" "&amp;$K$21&amp;" is more than RTRI Long-Term Emergency Ward "&amp;CHAR(10),""),IF(L64&gt;L62," * RITA Long-Term Emergency Ward "&amp;$L$20&amp;" "&amp;$L$21&amp;" is more than RTRI Long-Term Emergency Ward "&amp;CHAR(10),""),IF(M64&gt;M62," * RITA Long-Term Emergency Ward "&amp;$L$20&amp;" "&amp;$M$21&amp;" is more than RTRI Long-Term Emergency Ward "&amp;CHAR(10),""),IF(N64&gt;N62," * RITA Long-Term Emergency Ward "&amp;$N$20&amp;" "&amp;$N$21&amp;" is more than RTRI Long-Term Emergency Ward "&amp;CHAR(10),""),IF(O64&gt;O62," * RITA Long-Term Emergency Ward "&amp;$N$20&amp;" "&amp;$O$21&amp;" is more than RTRI Long-Term Emergency Ward "&amp;CHAR(10),""),IF(P64&gt;P62," * RITA Long-Term Emergency Ward "&amp;$P$20&amp;" "&amp;$P$21&amp;" is more than RTRI Long-Term Emergency Ward "&amp;CHAR(10),""),IF(Q64&gt;Q62," * RITA Long-Term Emergency Ward "&amp;$P$20&amp;" "&amp;$Q$21&amp;" is more than RTRI Long-Term Emergency Ward "&amp;CHAR(10),""),IF(R64&gt;R62," * RITA Long-Term Emergency Ward "&amp;$R$20&amp;" "&amp;$R$21&amp;" is more than RTRI Long-Term Emergency Ward "&amp;CHAR(10),""),IF(S64&gt;S62," * RITA Long-Term Emergency Ward "&amp;$R$20&amp;" "&amp;$S$21&amp;" is more than RTRI Long-Term Emergency Ward "&amp;CHAR(10),""),IF(T64&gt;T62," * RITA Long-Term Emergency Ward "&amp;$T$20&amp;" "&amp;$T$21&amp;" is more than RTRI Long-Term Emergency Ward "&amp;CHAR(10),""),IF(U64&gt;U62," * RITA Long-Term Emergency Ward "&amp;$T$20&amp;" "&amp;$U$21&amp;" is more than RTRI Long-Term Emergency Ward "&amp;CHAR(10),""),IF(V64&gt;V62," * RITA Long-Term Emergency Ward "&amp;$V$20&amp;" "&amp;$V$21&amp;" is more than RTRI Long-Term Emergency Ward "&amp;CHAR(10),""),IF(W64&gt;W62," * RITA Long-Term Emergency Ward "&amp;$V$20&amp;" "&amp;$W$21&amp;" is more than RTRI Long-Term Emergency Ward "&amp;CHAR(10),""),IF(X64&gt;X62," * RITA Long-Term Emergency Ward "&amp;$X$20&amp;" "&amp;$X$21&amp;" is more than RTRI Long-Term Emergency Ward "&amp;CHAR(10),""),IF(Y64&gt;Y62," * RITA Long-Term Emergency Ward "&amp;$X$20&amp;" "&amp;$Y$21&amp;" is more than RTRI Long-Term Emergency Ward "&amp;CHAR(10),""),IF(Z64&gt;Z62," * RITA Long-Term Emergency Ward "&amp;$Z$20&amp;" "&amp;$Z$21&amp;" is more than RTRI Long-Term Emergency Ward "&amp;CHAR(10),""),IF(AA64&gt;AA62," * RITA Long-Term Emergency Ward "&amp;$Z$20&amp;" "&amp;$AA$21&amp;" is more than RTRI Long-Term Emergency Ward "&amp;CHAR(10),""))</f>
        <v/>
      </c>
      <c r="AL62" s="924"/>
      <c r="AM62" s="32"/>
      <c r="AN62" s="393"/>
      <c r="AO62" s="14">
        <v>33</v>
      </c>
      <c r="AP62" s="83"/>
      <c r="AQ62" s="84"/>
    </row>
    <row r="63" spans="1:43" s="85" customFormat="1" ht="25.5" customHeight="1" x14ac:dyDescent="0.75">
      <c r="A63" s="702"/>
      <c r="B63" s="1" t="s">
        <v>1215</v>
      </c>
      <c r="C63" s="904" t="s">
        <v>1219</v>
      </c>
      <c r="D63" s="146"/>
      <c r="E63" s="80"/>
      <c r="F63" s="80"/>
      <c r="G63" s="80"/>
      <c r="H63" s="80"/>
      <c r="I63" s="80"/>
      <c r="J63" s="80"/>
      <c r="K63" s="408"/>
      <c r="L63" s="252"/>
      <c r="M63" s="252"/>
      <c r="N63" s="252"/>
      <c r="O63" s="252"/>
      <c r="P63" s="252"/>
      <c r="Q63" s="252"/>
      <c r="R63" s="252"/>
      <c r="S63" s="252"/>
      <c r="T63" s="252"/>
      <c r="U63" s="252"/>
      <c r="V63" s="252"/>
      <c r="W63" s="252"/>
      <c r="X63" s="252"/>
      <c r="Y63" s="252"/>
      <c r="Z63" s="252"/>
      <c r="AA63" s="252"/>
      <c r="AB63" s="413"/>
      <c r="AC63" s="380"/>
      <c r="AD63" s="380"/>
      <c r="AE63" s="380"/>
      <c r="AF63" s="380"/>
      <c r="AG63" s="380"/>
      <c r="AH63" s="380"/>
      <c r="AI63" s="336"/>
      <c r="AJ63" s="200">
        <f t="shared" ref="AJ63:AJ64" si="14">SUM(D63:AA63)</f>
        <v>0</v>
      </c>
      <c r="AK63" s="31"/>
      <c r="AL63" s="924"/>
      <c r="AM63" s="32"/>
      <c r="AN63" s="393"/>
      <c r="AO63" s="14">
        <v>32</v>
      </c>
      <c r="AP63" s="83"/>
      <c r="AQ63" s="84"/>
    </row>
    <row r="64" spans="1:43" s="85" customFormat="1" ht="25.9" thickBot="1" x14ac:dyDescent="0.8">
      <c r="A64" s="703"/>
      <c r="B64" s="394" t="s">
        <v>1216</v>
      </c>
      <c r="C64" s="906" t="s">
        <v>1220</v>
      </c>
      <c r="D64" s="125"/>
      <c r="E64" s="105"/>
      <c r="F64" s="105"/>
      <c r="G64" s="105"/>
      <c r="H64" s="105"/>
      <c r="I64" s="105"/>
      <c r="J64" s="105"/>
      <c r="K64" s="402"/>
      <c r="L64" s="267"/>
      <c r="M64" s="267"/>
      <c r="N64" s="267"/>
      <c r="O64" s="267"/>
      <c r="P64" s="267"/>
      <c r="Q64" s="267"/>
      <c r="R64" s="267"/>
      <c r="S64" s="267"/>
      <c r="T64" s="267"/>
      <c r="U64" s="267"/>
      <c r="V64" s="267"/>
      <c r="W64" s="267"/>
      <c r="X64" s="267"/>
      <c r="Y64" s="267"/>
      <c r="Z64" s="267"/>
      <c r="AA64" s="267"/>
      <c r="AB64" s="413"/>
      <c r="AC64" s="380"/>
      <c r="AD64" s="380"/>
      <c r="AE64" s="380"/>
      <c r="AF64" s="380"/>
      <c r="AG64" s="380"/>
      <c r="AH64" s="380"/>
      <c r="AI64" s="336"/>
      <c r="AJ64" s="204">
        <f t="shared" si="14"/>
        <v>0</v>
      </c>
      <c r="AK64" s="31"/>
      <c r="AL64" s="924"/>
      <c r="AM64" s="32"/>
      <c r="AN64" s="393"/>
      <c r="AO64" s="14">
        <v>33</v>
      </c>
      <c r="AP64" s="83"/>
      <c r="AQ64" s="84"/>
    </row>
    <row r="65" spans="1:43" s="85" customFormat="1" ht="25.5" customHeight="1" x14ac:dyDescent="0.75">
      <c r="A65" s="883" t="s">
        <v>1052</v>
      </c>
      <c r="B65" s="1" t="s">
        <v>1213</v>
      </c>
      <c r="C65" s="903" t="s">
        <v>1042</v>
      </c>
      <c r="D65" s="145"/>
      <c r="E65" s="102"/>
      <c r="F65" s="102"/>
      <c r="G65" s="102"/>
      <c r="H65" s="102"/>
      <c r="I65" s="102"/>
      <c r="J65" s="102"/>
      <c r="K65" s="401"/>
      <c r="L65" s="252"/>
      <c r="M65" s="252"/>
      <c r="N65" s="252"/>
      <c r="O65" s="252"/>
      <c r="P65" s="252"/>
      <c r="Q65" s="252"/>
      <c r="R65" s="252"/>
      <c r="S65" s="252"/>
      <c r="T65" s="252"/>
      <c r="U65" s="252"/>
      <c r="V65" s="252"/>
      <c r="W65" s="252"/>
      <c r="X65" s="252"/>
      <c r="Y65" s="252"/>
      <c r="Z65" s="252"/>
      <c r="AA65" s="252"/>
      <c r="AB65" s="413"/>
      <c r="AC65" s="380"/>
      <c r="AD65" s="380"/>
      <c r="AE65" s="380"/>
      <c r="AF65" s="380"/>
      <c r="AG65" s="380"/>
      <c r="AH65" s="380"/>
      <c r="AI65" s="336"/>
      <c r="AJ65" s="200">
        <f t="shared" si="12"/>
        <v>0</v>
      </c>
      <c r="AK65" s="31" t="str">
        <f>CONCATENATE(IF(D67&gt;D65," * RITA RECENT Inpatient Services "&amp;$D$20&amp;" "&amp;$D$21&amp;" is more than RTRI RECENT Inpatient Services "&amp;CHAR(10),""),IF(E67&gt;E65," * RITA RECENT Inpatient Services "&amp;$D$20&amp;" "&amp;$E$21&amp;" is more than RTRI RECENT Inpatient Services "&amp;CHAR(10),""),IF(F67&gt;F65," * RITA RECENT Inpatient Services "&amp;$F$20&amp;" "&amp;$F$21&amp;" is more than RTRI RECENT Inpatient Services "&amp;CHAR(10),""),IF(G67&gt;G65," * RITA RECENT Inpatient Services "&amp;$F$20&amp;" "&amp;$G$21&amp;" is more than RTRI RECENT Inpatient Services "&amp;CHAR(10),""),IF(H67&gt;H65," * RITA RECENT Inpatient Services "&amp;$H$20&amp;" "&amp;$H$21&amp;" is more than RTRI RECENT Inpatient Services "&amp;CHAR(10),""),IF(I67&gt;I65," * RITA RECENT Inpatient Services "&amp;$H$20&amp;" "&amp;$I$21&amp;" is more than RTRI RECENT Inpatient Services "&amp;CHAR(10),""),IF(J67&gt;J65," * RITA RECENT Inpatient Services "&amp;$J$20&amp;" "&amp;$J$21&amp;" is more than RTRI RECENT Inpatient Services "&amp;CHAR(10),""),IF(K67&gt;K65," * RITA RECENT Inpatient Services "&amp;$J$20&amp;" "&amp;$K$21&amp;" is more than RTRI RECENT Inpatient Services "&amp;CHAR(10),""),IF(L67&gt;L65," * RITA RECENT Inpatient Services "&amp;$L$20&amp;" "&amp;$L$21&amp;" is more than RTRI RECENT Inpatient Services "&amp;CHAR(10),""),IF(M67&gt;M65," * RITA RECENT Inpatient Services "&amp;$L$20&amp;" "&amp;$M$21&amp;" is more than RTRI RECENT Inpatient Services "&amp;CHAR(10),""),IF(N67&gt;N65," * RITA RECENT Inpatient Services "&amp;$N$20&amp;" "&amp;$N$21&amp;" is more than RTRI RECENT Inpatient Services "&amp;CHAR(10),""),IF(O67&gt;O65," * RITA RECENT Inpatient Services "&amp;$N$20&amp;" "&amp;$O$21&amp;" is more than RTRI RECENT Inpatient Services "&amp;CHAR(10),""),IF(P67&gt;P65," * RITA RECENT Inpatient Services "&amp;$P$20&amp;" "&amp;$P$21&amp;" is more than RTRI RECENT Inpatient Services "&amp;CHAR(10),""),IF(Q67&gt;Q65," * RITA RECENT Inpatient Services "&amp;$P$20&amp;" "&amp;$Q$21&amp;" is more than RTRI RECENT Inpatient Services "&amp;CHAR(10),""),IF(R67&gt;R65," * RITA RECENT Inpatient Services "&amp;$R$20&amp;" "&amp;$R$21&amp;" is more than RTRI RECENT Inpatient Services "&amp;CHAR(10),""),IF(S67&gt;S65," * RITA RECENT Inpatient Services "&amp;$R$20&amp;" "&amp;$S$21&amp;" is more than RTRI RECENT Inpatient Services "&amp;CHAR(10),""),IF(T67&gt;T65," * RITA RECENT Inpatient Services "&amp;$T$20&amp;" "&amp;$T$21&amp;" is more than RTRI RECENT Inpatient Services "&amp;CHAR(10),""),IF(U67&gt;U65," * RITA RECENT Inpatient Services "&amp;$T$20&amp;" "&amp;$U$21&amp;" is more than RTRI RECENT Inpatient Services "&amp;CHAR(10),""),IF(V67&gt;V65," * RITA RECENT Inpatient Services "&amp;$V$20&amp;" "&amp;$V$21&amp;" is more than RTRI RECENT Inpatient Services "&amp;CHAR(10),""),IF(W67&gt;W65," * RITA RECENT Inpatient Services "&amp;$V$20&amp;" "&amp;$W$21&amp;" is more than RTRI RECENT Inpatient Services "&amp;CHAR(10),""),IF(X67&gt;X65," * RITA RECENT Inpatient Services "&amp;$X$20&amp;" "&amp;$X$21&amp;" is more than RTRI RECENT Inpatient Services "&amp;CHAR(10),""),IF(Y67&gt;Y65," * RITA RECENT Inpatient Services "&amp;$X$20&amp;" "&amp;$Y$21&amp;" is more than RTRI RECENT Inpatient Services "&amp;CHAR(10),""),IF(Z67&gt;Z65," * RITA RECENT Inpatient Services "&amp;$Z$20&amp;" "&amp;$Z$21&amp;" is more than RTRI RECENT Inpatient Services "&amp;CHAR(10),""),IF(AA67&gt;AA65," * RITA RECENT Inpatient Services "&amp;$Z$20&amp;" "&amp;$AA$21&amp;" is more than RTRI RECENT Inpatient Services "&amp;CHAR(10),""))</f>
        <v/>
      </c>
      <c r="AL65" s="924"/>
      <c r="AM65" s="32"/>
      <c r="AN65" s="393"/>
      <c r="AO65" s="14">
        <v>32</v>
      </c>
      <c r="AP65" s="83"/>
      <c r="AQ65" s="84"/>
    </row>
    <row r="66" spans="1:43" s="85" customFormat="1" ht="25.9" thickBot="1" x14ac:dyDescent="0.8">
      <c r="A66" s="884"/>
      <c r="B66" s="394" t="s">
        <v>1214</v>
      </c>
      <c r="C66" s="904" t="s">
        <v>1043</v>
      </c>
      <c r="D66" s="146"/>
      <c r="E66" s="80"/>
      <c r="F66" s="80"/>
      <c r="G66" s="80"/>
      <c r="H66" s="80"/>
      <c r="I66" s="80"/>
      <c r="J66" s="80"/>
      <c r="K66" s="408"/>
      <c r="L66" s="152"/>
      <c r="M66" s="152"/>
      <c r="N66" s="152"/>
      <c r="O66" s="152"/>
      <c r="P66" s="152"/>
      <c r="Q66" s="152"/>
      <c r="R66" s="152"/>
      <c r="S66" s="152"/>
      <c r="T66" s="152"/>
      <c r="U66" s="152"/>
      <c r="V66" s="152"/>
      <c r="W66" s="152"/>
      <c r="X66" s="152"/>
      <c r="Y66" s="152"/>
      <c r="Z66" s="152"/>
      <c r="AA66" s="152"/>
      <c r="AB66" s="413"/>
      <c r="AC66" s="380"/>
      <c r="AD66" s="380"/>
      <c r="AE66" s="380"/>
      <c r="AF66" s="380"/>
      <c r="AG66" s="380"/>
      <c r="AH66" s="380"/>
      <c r="AI66" s="336"/>
      <c r="AJ66" s="204">
        <f t="shared" si="12"/>
        <v>0</v>
      </c>
      <c r="AK66" s="31" t="str">
        <f>CONCATENATE(IF(D68&gt;D66," * RITA Long-Term Inpatient Services  "&amp;$D$20&amp;" "&amp;$D$21&amp;" is more than RTRI Long-Term Inpatient Services  "&amp;CHAR(10),""),IF(E68&gt;E66," * RITA Long-Term Inpatient Services  "&amp;$D$20&amp;" "&amp;$E$21&amp;" is more than RTRI Long-Term Inpatient Services  "&amp;CHAR(10),""),IF(F68&gt;F66," * RITA Long-Term Inpatient Services  "&amp;$F$20&amp;" "&amp;$F$21&amp;" is more than RTRI Long-Term Inpatient Services  "&amp;CHAR(10),""),IF(G68&gt;G66," * RITA Long-Term Inpatient Services  "&amp;$F$20&amp;" "&amp;$G$21&amp;" is more than RTRI Long-Term Inpatient Services  "&amp;CHAR(10),""),IF(H68&gt;H66," * RITA Long-Term Inpatient Services  "&amp;$H$20&amp;" "&amp;$H$21&amp;" is more than RTRI Long-Term Inpatient Services  "&amp;CHAR(10),""),IF(I68&gt;I66," * RITA Long-Term Inpatient Services  "&amp;$H$20&amp;" "&amp;$I$21&amp;" is more than RTRI Long-Term Inpatient Services  "&amp;CHAR(10),""),IF(J68&gt;J66," * RITA Long-Term Inpatient Services  "&amp;$J$20&amp;" "&amp;$J$21&amp;" is more than RTRI Long-Term Inpatient Services  "&amp;CHAR(10),""),IF(K68&gt;K66," * RITA Long-Term Inpatient Services  "&amp;$J$20&amp;" "&amp;$K$21&amp;" is more than RTRI Long-Term Inpatient Services  "&amp;CHAR(10),""),IF(L68&gt;L66," * RITA Long-Term Inpatient Services  "&amp;$L$20&amp;" "&amp;$L$21&amp;" is more than RTRI Long-Term Inpatient Services  "&amp;CHAR(10),""),IF(M68&gt;M66," * RITA Long-Term Inpatient Services  "&amp;$L$20&amp;" "&amp;$M$21&amp;" is more than RTRI Long-Term Inpatient Services  "&amp;CHAR(10),""),IF(N68&gt;N66," * RITA Long-Term Inpatient Services  "&amp;$N$20&amp;" "&amp;$N$21&amp;" is more than RTRI Long-Term Inpatient Services  "&amp;CHAR(10),""),IF(O68&gt;O66," * RITA Long-Term Inpatient Services  "&amp;$N$20&amp;" "&amp;$O$21&amp;" is more than RTRI Long-Term Inpatient Services  "&amp;CHAR(10),""),IF(P68&gt;P66," * RITA Long-Term Inpatient Services  "&amp;$P$20&amp;" "&amp;$P$21&amp;" is more than RTRI Long-Term Inpatient Services  "&amp;CHAR(10),""),IF(Q68&gt;Q66," * RITA Long-Term Inpatient Services  "&amp;$P$20&amp;" "&amp;$Q$21&amp;" is more than RTRI Long-Term Inpatient Services  "&amp;CHAR(10),""),IF(R68&gt;R66," * RITA Long-Term Inpatient Services  "&amp;$R$20&amp;" "&amp;$R$21&amp;" is more than RTRI Long-Term Inpatient Services  "&amp;CHAR(10),""),IF(S68&gt;S66," * RITA Long-Term Inpatient Services  "&amp;$R$20&amp;" "&amp;$S$21&amp;" is more than RTRI Long-Term Inpatient Services  "&amp;CHAR(10),""),IF(T68&gt;T66," * RITA Long-Term Inpatient Services  "&amp;$T$20&amp;" "&amp;$T$21&amp;" is more than RTRI Long-Term Inpatient Services  "&amp;CHAR(10),""),IF(U68&gt;U66," * RITA Long-Term Inpatient Services  "&amp;$T$20&amp;" "&amp;$U$21&amp;" is more than RTRI Long-Term Inpatient Services  "&amp;CHAR(10),""),IF(V68&gt;V66," * RITA Long-Term Inpatient Services  "&amp;$V$20&amp;" "&amp;$V$21&amp;" is more than RTRI Long-Term Inpatient Services  "&amp;CHAR(10),""),IF(W68&gt;W66," * RITA Long-Term Inpatient Services  "&amp;$V$20&amp;" "&amp;$W$21&amp;" is more than RTRI Long-Term Inpatient Services  "&amp;CHAR(10),""),IF(X68&gt;X66," * RITA Long-Term Inpatient Services  "&amp;$X$20&amp;" "&amp;$X$21&amp;" is more than RTRI Long-Term Inpatient Services  "&amp;CHAR(10),""),IF(Y68&gt;Y66," * RITA Long-Term Inpatient Services  "&amp;$X$20&amp;" "&amp;$Y$21&amp;" is more than RTRI Long-Term Inpatient Services  "&amp;CHAR(10),""),IF(Z68&gt;Z66," * RITA Long-Term Inpatient Services  "&amp;$Z$20&amp;" "&amp;$Z$21&amp;" is more than RTRI Long-Term Inpatient Services  "&amp;CHAR(10),""),IF(AA68&gt;AA66," * RITA Long-Term Inpatient Services  "&amp;$Z$20&amp;" "&amp;$AA$21&amp;" is more than RTRI Long-Term Inpatient Services  "&amp;CHAR(10),""))</f>
        <v/>
      </c>
      <c r="AL66" s="924"/>
      <c r="AM66" s="32"/>
      <c r="AN66" s="393"/>
      <c r="AO66" s="14">
        <v>33</v>
      </c>
      <c r="AP66" s="83"/>
      <c r="AQ66" s="84"/>
    </row>
    <row r="67" spans="1:43" s="85" customFormat="1" ht="25.5" customHeight="1" x14ac:dyDescent="0.75">
      <c r="A67" s="884"/>
      <c r="B67" s="1" t="s">
        <v>1215</v>
      </c>
      <c r="C67" s="904" t="s">
        <v>1042</v>
      </c>
      <c r="D67" s="146"/>
      <c r="E67" s="80"/>
      <c r="F67" s="80"/>
      <c r="G67" s="80"/>
      <c r="H67" s="80"/>
      <c r="I67" s="80"/>
      <c r="J67" s="80"/>
      <c r="K67" s="408"/>
      <c r="L67" s="252"/>
      <c r="M67" s="252"/>
      <c r="N67" s="252"/>
      <c r="O67" s="252"/>
      <c r="P67" s="252"/>
      <c r="Q67" s="252"/>
      <c r="R67" s="252"/>
      <c r="S67" s="252"/>
      <c r="T67" s="252"/>
      <c r="U67" s="252"/>
      <c r="V67" s="252"/>
      <c r="W67" s="252"/>
      <c r="X67" s="252"/>
      <c r="Y67" s="252"/>
      <c r="Z67" s="252"/>
      <c r="AA67" s="252"/>
      <c r="AB67" s="413"/>
      <c r="AC67" s="380"/>
      <c r="AD67" s="380"/>
      <c r="AE67" s="380"/>
      <c r="AF67" s="380"/>
      <c r="AG67" s="380"/>
      <c r="AH67" s="380"/>
      <c r="AI67" s="336"/>
      <c r="AJ67" s="196"/>
      <c r="AK67" s="31"/>
      <c r="AL67" s="924"/>
      <c r="AM67" s="32"/>
      <c r="AN67" s="393"/>
      <c r="AO67" s="14"/>
      <c r="AP67" s="83"/>
      <c r="AQ67" s="84"/>
    </row>
    <row r="68" spans="1:43" s="85" customFormat="1" ht="25.9" thickBot="1" x14ac:dyDescent="0.8">
      <c r="A68" s="885"/>
      <c r="B68" s="394" t="s">
        <v>1216</v>
      </c>
      <c r="C68" s="906" t="s">
        <v>1043</v>
      </c>
      <c r="D68" s="125"/>
      <c r="E68" s="105"/>
      <c r="F68" s="105"/>
      <c r="G68" s="105"/>
      <c r="H68" s="105"/>
      <c r="I68" s="105"/>
      <c r="J68" s="105"/>
      <c r="K68" s="402"/>
      <c r="L68" s="267"/>
      <c r="M68" s="267"/>
      <c r="N68" s="267"/>
      <c r="O68" s="267"/>
      <c r="P68" s="267"/>
      <c r="Q68" s="267"/>
      <c r="R68" s="267"/>
      <c r="S68" s="267"/>
      <c r="T68" s="267"/>
      <c r="U68" s="267"/>
      <c r="V68" s="267"/>
      <c r="W68" s="267"/>
      <c r="X68" s="267"/>
      <c r="Y68" s="267"/>
      <c r="Z68" s="267"/>
      <c r="AA68" s="267"/>
      <c r="AB68" s="413"/>
      <c r="AC68" s="380"/>
      <c r="AD68" s="380"/>
      <c r="AE68" s="380"/>
      <c r="AF68" s="380"/>
      <c r="AG68" s="380"/>
      <c r="AH68" s="380"/>
      <c r="AI68" s="336"/>
      <c r="AJ68" s="196"/>
      <c r="AK68" s="31"/>
      <c r="AL68" s="924"/>
      <c r="AM68" s="32"/>
      <c r="AN68" s="393"/>
      <c r="AO68" s="14"/>
      <c r="AP68" s="83"/>
      <c r="AQ68" s="84"/>
    </row>
    <row r="69" spans="1:43" s="85" customFormat="1" ht="25.5" customHeight="1" x14ac:dyDescent="0.75">
      <c r="A69" s="701" t="s">
        <v>1053</v>
      </c>
      <c r="B69" s="1" t="s">
        <v>1213</v>
      </c>
      <c r="C69" s="903" t="s">
        <v>1044</v>
      </c>
      <c r="D69" s="145"/>
      <c r="E69" s="102"/>
      <c r="F69" s="102"/>
      <c r="G69" s="102"/>
      <c r="H69" s="102"/>
      <c r="I69" s="102"/>
      <c r="J69" s="102"/>
      <c r="K69" s="401"/>
      <c r="L69" s="101"/>
      <c r="M69" s="252"/>
      <c r="N69" s="102"/>
      <c r="O69" s="252"/>
      <c r="P69" s="102"/>
      <c r="Q69" s="252"/>
      <c r="R69" s="102"/>
      <c r="S69" s="252"/>
      <c r="T69" s="102"/>
      <c r="U69" s="252"/>
      <c r="V69" s="102"/>
      <c r="W69" s="252"/>
      <c r="X69" s="102"/>
      <c r="Y69" s="252"/>
      <c r="Z69" s="102"/>
      <c r="AA69" s="889"/>
      <c r="AB69" s="413"/>
      <c r="AC69" s="380"/>
      <c r="AD69" s="380"/>
      <c r="AE69" s="380"/>
      <c r="AF69" s="380"/>
      <c r="AG69" s="380"/>
      <c r="AH69" s="380"/>
      <c r="AI69" s="336"/>
      <c r="AJ69" s="200">
        <f t="shared" si="12"/>
        <v>0</v>
      </c>
      <c r="AK69" s="31" t="str">
        <f>CONCATENATE(IF(D71&gt;D69," * RITA RECENT PMTCT ANC1 ONLY "&amp;$D$20&amp;" "&amp;$D$21&amp;" is more than RTRI RECENT PMTCT ANC1 ONLY "&amp;CHAR(10),""),IF(E71&gt;E69," * RITA RECENT PMTCT ANC1 ONLY "&amp;$D$20&amp;" "&amp;$E$21&amp;" is more than RTRI RECENT PMTCT ANC1 ONLY "&amp;CHAR(10),""),IF(F71&gt;F69," * RITA RECENT PMTCT ANC1 ONLY "&amp;$F$20&amp;" "&amp;$F$21&amp;" is more than RTRI RECENT PMTCT ANC1 ONLY "&amp;CHAR(10),""),IF(G71&gt;G69," * RITA RECENT PMTCT ANC1 ONLY "&amp;$F$20&amp;" "&amp;$G$21&amp;" is more than RTRI RECENT PMTCT ANC1 ONLY "&amp;CHAR(10),""),IF(H71&gt;H69," * RITA RECENT PMTCT ANC1 ONLY "&amp;$H$20&amp;" "&amp;$H$21&amp;" is more than RTRI RECENT PMTCT ANC1 ONLY "&amp;CHAR(10),""),IF(I71&gt;I69," * RITA RECENT PMTCT ANC1 ONLY "&amp;$H$20&amp;" "&amp;$I$21&amp;" is more than RTRI RECENT PMTCT ANC1 ONLY "&amp;CHAR(10),""),IF(J71&gt;J69," * RITA RECENT PMTCT ANC1 ONLY "&amp;$J$20&amp;" "&amp;$J$21&amp;" is more than RTRI RECENT PMTCT ANC1 ONLY "&amp;CHAR(10),""),IF(K71&gt;K69," * RITA RECENT PMTCT ANC1 ONLY "&amp;$J$20&amp;" "&amp;$K$21&amp;" is more than RTRI RECENT PMTCT ANC1 ONLY "&amp;CHAR(10),""),IF(L71&gt;L69," * RITA RECENT PMTCT ANC1 ONLY "&amp;$L$20&amp;" "&amp;$L$21&amp;" is more than RTRI RECENT PMTCT ANC1 ONLY "&amp;CHAR(10),""),IF(M71&gt;M69," * RITA RECENT PMTCT ANC1 ONLY "&amp;$L$20&amp;" "&amp;$M$21&amp;" is more than RTRI RECENT PMTCT ANC1 ONLY "&amp;CHAR(10),""),IF(N71&gt;N69," * RITA RECENT PMTCT ANC1 ONLY "&amp;$N$20&amp;" "&amp;$N$21&amp;" is more than RTRI RECENT PMTCT ANC1 ONLY "&amp;CHAR(10),""),IF(O71&gt;O69," * RITA RECENT PMTCT ANC1 ONLY "&amp;$N$20&amp;" "&amp;$O$21&amp;" is more than RTRI RECENT PMTCT ANC1 ONLY "&amp;CHAR(10),""),IF(P71&gt;P69," * RITA RECENT PMTCT ANC1 ONLY "&amp;$P$20&amp;" "&amp;$P$21&amp;" is more than RTRI RECENT PMTCT ANC1 ONLY "&amp;CHAR(10),""),IF(Q71&gt;Q69," * RITA RECENT PMTCT ANC1 ONLY "&amp;$P$20&amp;" "&amp;$Q$21&amp;" is more than RTRI RECENT PMTCT ANC1 ONLY "&amp;CHAR(10),""),IF(R71&gt;R69," * RITA RECENT PMTCT ANC1 ONLY "&amp;$R$20&amp;" "&amp;$R$21&amp;" is more than RTRI RECENT PMTCT ANC1 ONLY "&amp;CHAR(10),""),IF(S71&gt;S69," * RITA RECENT PMTCT ANC1 ONLY "&amp;$R$20&amp;" "&amp;$S$21&amp;" is more than RTRI RECENT PMTCT ANC1 ONLY "&amp;CHAR(10),""),IF(T71&gt;T69," * RITA RECENT PMTCT ANC1 ONLY "&amp;$T$20&amp;" "&amp;$T$21&amp;" is more than RTRI RECENT PMTCT ANC1 ONLY "&amp;CHAR(10),""),IF(U71&gt;U69," * RITA RECENT PMTCT ANC1 ONLY "&amp;$T$20&amp;" "&amp;$U$21&amp;" is more than RTRI RECENT PMTCT ANC1 ONLY "&amp;CHAR(10),""),IF(V71&gt;V69," * RITA RECENT PMTCT ANC1 ONLY "&amp;$V$20&amp;" "&amp;$V$21&amp;" is more than RTRI RECENT PMTCT ANC1 ONLY "&amp;CHAR(10),""),IF(W71&gt;W69," * RITA RECENT PMTCT ANC1 ONLY "&amp;$V$20&amp;" "&amp;$W$21&amp;" is more than RTRI RECENT PMTCT ANC1 ONLY "&amp;CHAR(10),""),IF(X71&gt;X69," * RITA RECENT PMTCT ANC1 ONLY "&amp;$X$20&amp;" "&amp;$X$21&amp;" is more than RTRI RECENT PMTCT ANC1 ONLY "&amp;CHAR(10),""),IF(Y71&gt;Y69," * RITA RECENT PMTCT ANC1 ONLY "&amp;$X$20&amp;" "&amp;$Y$21&amp;" is more than RTRI RECENT PMTCT ANC1 ONLY "&amp;CHAR(10),""),IF(Z71&gt;Z69," * RITA RECENT PMTCT ANC1 ONLY "&amp;$Z$20&amp;" "&amp;$Z$21&amp;" is more than RTRI RECENT PMTCT ANC1 ONLY "&amp;CHAR(10),""),IF(AA71&gt;AA69," * RITA RECENT PMTCT ANC1 ONLY "&amp;$Z$20&amp;" "&amp;$AA$21&amp;" is more than RTRI RECENT PMTCT ANC1 ONLY "&amp;CHAR(10),""))</f>
        <v/>
      </c>
      <c r="AL69" s="924"/>
      <c r="AM69" s="32"/>
      <c r="AN69" s="393"/>
      <c r="AO69" s="14">
        <v>32</v>
      </c>
      <c r="AP69" s="83"/>
      <c r="AQ69" s="84"/>
    </row>
    <row r="70" spans="1:43" s="85" customFormat="1" ht="25.9" thickBot="1" x14ac:dyDescent="0.8">
      <c r="A70" s="702"/>
      <c r="B70" s="394" t="s">
        <v>1214</v>
      </c>
      <c r="C70" s="904" t="s">
        <v>1045</v>
      </c>
      <c r="D70" s="146"/>
      <c r="E70" s="80"/>
      <c r="F70" s="80"/>
      <c r="G70" s="80"/>
      <c r="H70" s="80"/>
      <c r="I70" s="80"/>
      <c r="J70" s="80"/>
      <c r="K70" s="408"/>
      <c r="L70" s="79"/>
      <c r="M70" s="152"/>
      <c r="N70" s="80"/>
      <c r="O70" s="152"/>
      <c r="P70" s="80"/>
      <c r="Q70" s="152"/>
      <c r="R70" s="80"/>
      <c r="S70" s="152"/>
      <c r="T70" s="80"/>
      <c r="U70" s="152"/>
      <c r="V70" s="80"/>
      <c r="W70" s="152"/>
      <c r="X70" s="80"/>
      <c r="Y70" s="152"/>
      <c r="Z70" s="80"/>
      <c r="AA70" s="890"/>
      <c r="AB70" s="413"/>
      <c r="AC70" s="380"/>
      <c r="AD70" s="380"/>
      <c r="AE70" s="380"/>
      <c r="AF70" s="380"/>
      <c r="AG70" s="380"/>
      <c r="AH70" s="380"/>
      <c r="AI70" s="336"/>
      <c r="AJ70" s="204">
        <f t="shared" si="12"/>
        <v>0</v>
      </c>
      <c r="AK70" s="31" t="str">
        <f>CONCATENATE(IF(D72&gt;D70," * RITA Long-Term PMTCT ANC1 ONLY  "&amp;$D$20&amp;" "&amp;$D$21&amp;" is more than RTRI Long-Term PMTCT ANC1 ONLY  "&amp;CHAR(10),""),IF(E72&gt;E70," * RITA Long-Term PMTCT ANC1 ONLY  "&amp;$D$20&amp;" "&amp;$E$21&amp;" is more than RTRI Long-Term PMTCT ANC1 ONLY  "&amp;CHAR(10),""),IF(F72&gt;F70," * RITA Long-Term PMTCT ANC1 ONLY  "&amp;$F$20&amp;" "&amp;$F$21&amp;" is more than RTRI Long-Term PMTCT ANC1 ONLY  "&amp;CHAR(10),""),IF(G72&gt;G70," * RITA Long-Term PMTCT ANC1 ONLY  "&amp;$F$20&amp;" "&amp;$G$21&amp;" is more than RTRI Long-Term PMTCT ANC1 ONLY  "&amp;CHAR(10),""),IF(H72&gt;H70," * RITA Long-Term PMTCT ANC1 ONLY  "&amp;$H$20&amp;" "&amp;$H$21&amp;" is more than RTRI Long-Term PMTCT ANC1 ONLY  "&amp;CHAR(10),""),IF(I72&gt;I70," * RITA Long-Term PMTCT ANC1 ONLY  "&amp;$H$20&amp;" "&amp;$I$21&amp;" is more than RTRI Long-Term PMTCT ANC1 ONLY  "&amp;CHAR(10),""),IF(J72&gt;J70," * RITA Long-Term PMTCT ANC1 ONLY  "&amp;$J$20&amp;" "&amp;$J$21&amp;" is more than RTRI Long-Term PMTCT ANC1 ONLY  "&amp;CHAR(10),""),IF(K72&gt;K70," * RITA Long-Term PMTCT ANC1 ONLY  "&amp;$J$20&amp;" "&amp;$K$21&amp;" is more than RTRI Long-Term PMTCT ANC1 ONLY  "&amp;CHAR(10),""),IF(L72&gt;L70," * RITA Long-Term PMTCT ANC1 ONLY  "&amp;$L$20&amp;" "&amp;$L$21&amp;" is more than RTRI Long-Term PMTCT ANC1 ONLY  "&amp;CHAR(10),""),IF(M72&gt;M70," * RITA Long-Term PMTCT ANC1 ONLY  "&amp;$L$20&amp;" "&amp;$M$21&amp;" is more than RTRI Long-Term PMTCT ANC1 ONLY  "&amp;CHAR(10),""),IF(N72&gt;N70," * RITA Long-Term PMTCT ANC1 ONLY  "&amp;$N$20&amp;" "&amp;$N$21&amp;" is more than RTRI Long-Term PMTCT ANC1 ONLY  "&amp;CHAR(10),""),IF(O72&gt;O70," * RITA Long-Term PMTCT ANC1 ONLY  "&amp;$N$20&amp;" "&amp;$O$21&amp;" is more than RTRI Long-Term PMTCT ANC1 ONLY  "&amp;CHAR(10),""),IF(P72&gt;P70," * RITA Long-Term PMTCT ANC1 ONLY  "&amp;$P$20&amp;" "&amp;$P$21&amp;" is more than RTRI Long-Term PMTCT ANC1 ONLY  "&amp;CHAR(10),""),IF(Q72&gt;Q70," * RITA Long-Term PMTCT ANC1 ONLY  "&amp;$P$20&amp;" "&amp;$Q$21&amp;" is more than RTRI Long-Term PMTCT ANC1 ONLY  "&amp;CHAR(10),""),IF(R72&gt;R70," * RITA Long-Term PMTCT ANC1 ONLY  "&amp;$R$20&amp;" "&amp;$R$21&amp;" is more than RTRI Long-Term PMTCT ANC1 ONLY  "&amp;CHAR(10),""),IF(S72&gt;S70," * RITA Long-Term PMTCT ANC1 ONLY  "&amp;$R$20&amp;" "&amp;$S$21&amp;" is more than RTRI Long-Term PMTCT ANC1 ONLY  "&amp;CHAR(10),""),IF(T72&gt;T70," * RITA Long-Term PMTCT ANC1 ONLY  "&amp;$T$20&amp;" "&amp;$T$21&amp;" is more than RTRI Long-Term PMTCT ANC1 ONLY  "&amp;CHAR(10),""),IF(U72&gt;U70," * RITA Long-Term PMTCT ANC1 ONLY  "&amp;$T$20&amp;" "&amp;$U$21&amp;" is more than RTRI Long-Term PMTCT ANC1 ONLY  "&amp;CHAR(10),""),IF(V72&gt;V70," * RITA Long-Term PMTCT ANC1 ONLY  "&amp;$V$20&amp;" "&amp;$V$21&amp;" is more than RTRI Long-Term PMTCT ANC1 ONLY  "&amp;CHAR(10),""),IF(W72&gt;W70," * RITA Long-Term PMTCT ANC1 ONLY  "&amp;$V$20&amp;" "&amp;$W$21&amp;" is more than RTRI Long-Term PMTCT ANC1 ONLY  "&amp;CHAR(10),""),IF(X72&gt;X70," * RITA Long-Term PMTCT ANC1 ONLY  "&amp;$X$20&amp;" "&amp;$X$21&amp;" is more than RTRI Long-Term PMTCT ANC1 ONLY  "&amp;CHAR(10),""),IF(Y72&gt;Y70," * RITA Long-Term PMTCT ANC1 ONLY  "&amp;$X$20&amp;" "&amp;$Y$21&amp;" is more than RTRI Long-Term PMTCT ANC1 ONLY  "&amp;CHAR(10),""),IF(Z72&gt;Z70," * RITA Long-Term PMTCT ANC1 ONLY  "&amp;$Z$20&amp;" "&amp;$Z$21&amp;" is more than RTRI Long-Term PMTCT ANC1 ONLY  "&amp;CHAR(10),""),IF(AA72&gt;AA70," * RITA Long-Term PMTCT ANC1 ONLY  "&amp;$Z$20&amp;" "&amp;$AA$21&amp;" is more than RTRI Long-Term PMTCT ANC1 ONLY  "&amp;CHAR(10),""))</f>
        <v/>
      </c>
      <c r="AL70" s="924"/>
      <c r="AM70" s="32"/>
      <c r="AN70" s="393"/>
      <c r="AO70" s="14">
        <v>33</v>
      </c>
      <c r="AP70" s="83"/>
      <c r="AQ70" s="84"/>
    </row>
    <row r="71" spans="1:43" s="85" customFormat="1" ht="25.5" x14ac:dyDescent="0.75">
      <c r="A71" s="702"/>
      <c r="B71" s="1" t="s">
        <v>1215</v>
      </c>
      <c r="C71" s="904" t="s">
        <v>1221</v>
      </c>
      <c r="D71" s="146"/>
      <c r="E71" s="80"/>
      <c r="F71" s="80"/>
      <c r="G71" s="80"/>
      <c r="H71" s="80"/>
      <c r="I71" s="80"/>
      <c r="J71" s="80"/>
      <c r="K71" s="408"/>
      <c r="L71" s="79"/>
      <c r="M71" s="252"/>
      <c r="N71" s="80"/>
      <c r="O71" s="252"/>
      <c r="P71" s="80"/>
      <c r="Q71" s="252"/>
      <c r="R71" s="80"/>
      <c r="S71" s="252"/>
      <c r="T71" s="80"/>
      <c r="U71" s="252"/>
      <c r="V71" s="80"/>
      <c r="W71" s="252"/>
      <c r="X71" s="80"/>
      <c r="Y71" s="252"/>
      <c r="Z71" s="80"/>
      <c r="AA71" s="889"/>
      <c r="AB71" s="413"/>
      <c r="AC71" s="380"/>
      <c r="AD71" s="380"/>
      <c r="AE71" s="380"/>
      <c r="AF71" s="380"/>
      <c r="AG71" s="380"/>
      <c r="AH71" s="380"/>
      <c r="AI71" s="336"/>
      <c r="AJ71" s="196"/>
      <c r="AK71" s="31"/>
      <c r="AL71" s="924"/>
      <c r="AM71" s="32"/>
      <c r="AN71" s="393"/>
      <c r="AO71" s="14"/>
      <c r="AP71" s="83"/>
      <c r="AQ71" s="84"/>
    </row>
    <row r="72" spans="1:43" s="85" customFormat="1" ht="25.9" thickBot="1" x14ac:dyDescent="0.8">
      <c r="A72" s="703"/>
      <c r="B72" s="394" t="s">
        <v>1216</v>
      </c>
      <c r="C72" s="906" t="s">
        <v>1222</v>
      </c>
      <c r="D72" s="125"/>
      <c r="E72" s="105"/>
      <c r="F72" s="105"/>
      <c r="G72" s="105"/>
      <c r="H72" s="105"/>
      <c r="I72" s="105"/>
      <c r="J72" s="105"/>
      <c r="K72" s="402"/>
      <c r="L72" s="106"/>
      <c r="M72" s="152"/>
      <c r="N72" s="105"/>
      <c r="O72" s="152"/>
      <c r="P72" s="105"/>
      <c r="Q72" s="152"/>
      <c r="R72" s="105"/>
      <c r="S72" s="152"/>
      <c r="T72" s="105"/>
      <c r="U72" s="152"/>
      <c r="V72" s="105"/>
      <c r="W72" s="152"/>
      <c r="X72" s="105"/>
      <c r="Y72" s="152"/>
      <c r="Z72" s="105"/>
      <c r="AA72" s="890"/>
      <c r="AB72" s="413"/>
      <c r="AC72" s="380"/>
      <c r="AD72" s="380"/>
      <c r="AE72" s="380"/>
      <c r="AF72" s="380"/>
      <c r="AG72" s="380"/>
      <c r="AH72" s="380"/>
      <c r="AI72" s="336"/>
      <c r="AJ72" s="196"/>
      <c r="AK72" s="31"/>
      <c r="AL72" s="924"/>
      <c r="AM72" s="32"/>
      <c r="AN72" s="393"/>
      <c r="AO72" s="14"/>
      <c r="AP72" s="83"/>
      <c r="AQ72" s="84"/>
    </row>
    <row r="73" spans="1:43" s="85" customFormat="1" ht="25.5" customHeight="1" x14ac:dyDescent="0.75">
      <c r="A73" s="701" t="s">
        <v>1061</v>
      </c>
      <c r="B73" s="1" t="s">
        <v>1213</v>
      </c>
      <c r="C73" s="907" t="s">
        <v>1046</v>
      </c>
      <c r="D73" s="887"/>
      <c r="E73" s="73"/>
      <c r="F73" s="73"/>
      <c r="G73" s="73"/>
      <c r="H73" s="73"/>
      <c r="I73" s="73"/>
      <c r="J73" s="73"/>
      <c r="K73" s="888"/>
      <c r="L73" s="101"/>
      <c r="M73" s="252"/>
      <c r="N73" s="102"/>
      <c r="O73" s="252"/>
      <c r="P73" s="102"/>
      <c r="Q73" s="252"/>
      <c r="R73" s="102"/>
      <c r="S73" s="252"/>
      <c r="T73" s="102"/>
      <c r="U73" s="252"/>
      <c r="V73" s="102"/>
      <c r="W73" s="252"/>
      <c r="X73" s="102"/>
      <c r="Y73" s="252"/>
      <c r="Z73" s="102"/>
      <c r="AA73" s="889"/>
      <c r="AB73" s="413"/>
      <c r="AC73" s="380"/>
      <c r="AD73" s="380"/>
      <c r="AE73" s="380"/>
      <c r="AF73" s="380"/>
      <c r="AG73" s="380"/>
      <c r="AH73" s="380"/>
      <c r="AI73" s="336"/>
      <c r="AJ73" s="200">
        <f t="shared" si="12"/>
        <v>0</v>
      </c>
      <c r="AK73" s="31" t="str">
        <f>CONCATENATE(IF(D75&gt;D73," * RITA RECENT PMTCT POST ANC1 "&amp;$D$20&amp;" "&amp;$D$21&amp;" is more than RTRI RECENT PMTCT POST ANC1 "&amp;CHAR(10),""),IF(E75&gt;E73," * RITA RECENT PMTCT POST ANC1 "&amp;$D$20&amp;" "&amp;$E$21&amp;" is more than RTRI RECENT PMTCT POST ANC1 "&amp;CHAR(10),""),IF(F75&gt;F73," * RITA RECENT PMTCT POST ANC1 "&amp;$F$20&amp;" "&amp;$F$21&amp;" is more than RTRI RECENT PMTCT POST ANC1 "&amp;CHAR(10),""),IF(G75&gt;G73," * RITA RECENT PMTCT POST ANC1 "&amp;$F$20&amp;" "&amp;$G$21&amp;" is more than RTRI RECENT PMTCT POST ANC1 "&amp;CHAR(10),""),IF(H75&gt;H73," * RITA RECENT PMTCT POST ANC1 "&amp;$H$20&amp;" "&amp;$H$21&amp;" is more than RTRI RECENT PMTCT POST ANC1 "&amp;CHAR(10),""),IF(I75&gt;I73," * RITA RECENT PMTCT POST ANC1 "&amp;$H$20&amp;" "&amp;$I$21&amp;" is more than RTRI RECENT PMTCT POST ANC1 "&amp;CHAR(10),""),IF(J75&gt;J73," * RITA RECENT PMTCT POST ANC1 "&amp;$J$20&amp;" "&amp;$J$21&amp;" is more than RTRI RECENT PMTCT POST ANC1 "&amp;CHAR(10),""),IF(K75&gt;K73," * RITA RECENT PMTCT POST ANC1 "&amp;$J$20&amp;" "&amp;$K$21&amp;" is more than RTRI RECENT PMTCT POST ANC1 "&amp;CHAR(10),""),IF(L75&gt;L73," * RITA RECENT PMTCT POST ANC1 "&amp;$L$20&amp;" "&amp;$L$21&amp;" is more than RTRI RECENT PMTCT POST ANC1 "&amp;CHAR(10),""),IF(M75&gt;M73," * RITA RECENT PMTCT POST ANC1 "&amp;$L$20&amp;" "&amp;$M$21&amp;" is more than RTRI RECENT PMTCT POST ANC1 "&amp;CHAR(10),""),IF(N75&gt;N73," * RITA RECENT PMTCT POST ANC1 "&amp;$N$20&amp;" "&amp;$N$21&amp;" is more than RTRI RECENT PMTCT POST ANC1 "&amp;CHAR(10),""),IF(O75&gt;O73," * RITA RECENT PMTCT POST ANC1 "&amp;$N$20&amp;" "&amp;$O$21&amp;" is more than RTRI RECENT PMTCT POST ANC1 "&amp;CHAR(10),""),IF(P75&gt;P73," * RITA RECENT PMTCT POST ANC1 "&amp;$P$20&amp;" "&amp;$P$21&amp;" is more than RTRI RECENT PMTCT POST ANC1 "&amp;CHAR(10),""),IF(Q75&gt;Q73," * RITA RECENT PMTCT POST ANC1 "&amp;$P$20&amp;" "&amp;$Q$21&amp;" is more than RTRI RECENT PMTCT POST ANC1 "&amp;CHAR(10),""),IF(R75&gt;R73," * RITA RECENT PMTCT POST ANC1 "&amp;$R$20&amp;" "&amp;$R$21&amp;" is more than RTRI RECENT PMTCT POST ANC1 "&amp;CHAR(10),""),IF(S75&gt;S73," * RITA RECENT PMTCT POST ANC1 "&amp;$R$20&amp;" "&amp;$S$21&amp;" is more than RTRI RECENT PMTCT POST ANC1 "&amp;CHAR(10),""),IF(T75&gt;T73," * RITA RECENT PMTCT POST ANC1 "&amp;$T$20&amp;" "&amp;$T$21&amp;" is more than RTRI RECENT PMTCT POST ANC1 "&amp;CHAR(10),""),IF(U75&gt;U73," * RITA RECENT PMTCT POST ANC1 "&amp;$T$20&amp;" "&amp;$U$21&amp;" is more than RTRI RECENT PMTCT POST ANC1 "&amp;CHAR(10),""),IF(V75&gt;V73," * RITA RECENT PMTCT POST ANC1 "&amp;$V$20&amp;" "&amp;$V$21&amp;" is more than RTRI RECENT PMTCT POST ANC1 "&amp;CHAR(10),""),IF(W75&gt;W73," * RITA RECENT PMTCT POST ANC1 "&amp;$V$20&amp;" "&amp;$W$21&amp;" is more than RTRI RECENT PMTCT POST ANC1 "&amp;CHAR(10),""),IF(X75&gt;X73," * RITA RECENT PMTCT POST ANC1 "&amp;$X$20&amp;" "&amp;$X$21&amp;" is more than RTRI RECENT PMTCT POST ANC1 "&amp;CHAR(10),""),IF(Y75&gt;Y73," * RITA RECENT PMTCT POST ANC1 "&amp;$X$20&amp;" "&amp;$Y$21&amp;" is more than RTRI RECENT PMTCT POST ANC1 "&amp;CHAR(10),""),IF(Z75&gt;Z73," * RITA RECENT PMTCT POST ANC1 "&amp;$Z$20&amp;" "&amp;$Z$21&amp;" is more than RTRI RECENT PMTCT POST ANC1 "&amp;CHAR(10),""),IF(AA75&gt;AA73," * RITA RECENT PMTCT POST ANC1 "&amp;$Z$20&amp;" "&amp;$AA$21&amp;" is more than RTRI RECENT PMTCT POST ANC1 "&amp;CHAR(10),""))</f>
        <v/>
      </c>
      <c r="AL73" s="924"/>
      <c r="AM73" s="32"/>
      <c r="AN73" s="393"/>
      <c r="AO73" s="14">
        <v>32</v>
      </c>
      <c r="AP73" s="83"/>
      <c r="AQ73" s="84"/>
    </row>
    <row r="74" spans="1:43" s="85" customFormat="1" ht="25.9" thickBot="1" x14ac:dyDescent="0.8">
      <c r="A74" s="702"/>
      <c r="B74" s="394" t="s">
        <v>1214</v>
      </c>
      <c r="C74" s="904" t="s">
        <v>1047</v>
      </c>
      <c r="D74" s="146"/>
      <c r="E74" s="80"/>
      <c r="F74" s="80"/>
      <c r="G74" s="80"/>
      <c r="H74" s="80"/>
      <c r="I74" s="80"/>
      <c r="J74" s="80"/>
      <c r="K74" s="408"/>
      <c r="L74" s="79"/>
      <c r="M74" s="152"/>
      <c r="N74" s="80"/>
      <c r="O74" s="152"/>
      <c r="P74" s="80"/>
      <c r="Q74" s="152"/>
      <c r="R74" s="80"/>
      <c r="S74" s="152"/>
      <c r="T74" s="80"/>
      <c r="U74" s="152"/>
      <c r="V74" s="80"/>
      <c r="W74" s="152"/>
      <c r="X74" s="80"/>
      <c r="Y74" s="152"/>
      <c r="Z74" s="80"/>
      <c r="AA74" s="890"/>
      <c r="AB74" s="413"/>
      <c r="AC74" s="380"/>
      <c r="AD74" s="380"/>
      <c r="AE74" s="380"/>
      <c r="AF74" s="380"/>
      <c r="AG74" s="380"/>
      <c r="AH74" s="380"/>
      <c r="AI74" s="336"/>
      <c r="AJ74" s="204">
        <f t="shared" si="12"/>
        <v>0</v>
      </c>
      <c r="AK74" s="31" t="str">
        <f>CONCATENATE(IF(D76&gt;D74," * RITA Long-Term PMTCT POST ANC1  "&amp;$D$20&amp;" "&amp;$D$21&amp;" is more than RTRI Long-Term PMTCT POST ANC1  "&amp;CHAR(10),""),IF(E76&gt;E74," * RITA Long-Term PMTCT POST ANC1  "&amp;$D$20&amp;" "&amp;$E$21&amp;" is more than RTRI Long-Term PMTCT POST ANC1  "&amp;CHAR(10),""),IF(F76&gt;F74," * RITA Long-Term PMTCT POST ANC1  "&amp;$F$20&amp;" "&amp;$F$21&amp;" is more than RTRI Long-Term PMTCT POST ANC1  "&amp;CHAR(10),""),IF(G76&gt;G74," * RITA Long-Term PMTCT POST ANC1  "&amp;$F$20&amp;" "&amp;$G$21&amp;" is more than RTRI Long-Term PMTCT POST ANC1  "&amp;CHAR(10),""),IF(H76&gt;H74," * RITA Long-Term PMTCT POST ANC1  "&amp;$H$20&amp;" "&amp;$H$21&amp;" is more than RTRI Long-Term PMTCT POST ANC1  "&amp;CHAR(10),""),IF(I76&gt;I74," * RITA Long-Term PMTCT POST ANC1  "&amp;$H$20&amp;" "&amp;$I$21&amp;" is more than RTRI Long-Term PMTCT POST ANC1  "&amp;CHAR(10),""),IF(J76&gt;J74," * RITA Long-Term PMTCT POST ANC1  "&amp;$J$20&amp;" "&amp;$J$21&amp;" is more than RTRI Long-Term PMTCT POST ANC1  "&amp;CHAR(10),""),IF(K76&gt;K74," * RITA Long-Term PMTCT POST ANC1  "&amp;$J$20&amp;" "&amp;$K$21&amp;" is more than RTRI Long-Term PMTCT POST ANC1  "&amp;CHAR(10),""),IF(L76&gt;L74," * RITA Long-Term PMTCT POST ANC1  "&amp;$L$20&amp;" "&amp;$L$21&amp;" is more than RTRI Long-Term PMTCT POST ANC1  "&amp;CHAR(10),""),IF(M76&gt;M74," * RITA Long-Term PMTCT POST ANC1  "&amp;$L$20&amp;" "&amp;$M$21&amp;" is more than RTRI Long-Term PMTCT POST ANC1  "&amp;CHAR(10),""),IF(N76&gt;N74," * RITA Long-Term PMTCT POST ANC1  "&amp;$N$20&amp;" "&amp;$N$21&amp;" is more than RTRI Long-Term PMTCT POST ANC1  "&amp;CHAR(10),""),IF(O76&gt;O74," * RITA Long-Term PMTCT POST ANC1  "&amp;$N$20&amp;" "&amp;$O$21&amp;" is more than RTRI Long-Term PMTCT POST ANC1  "&amp;CHAR(10),""),IF(P76&gt;P74," * RITA Long-Term PMTCT POST ANC1  "&amp;$P$20&amp;" "&amp;$P$21&amp;" is more than RTRI Long-Term PMTCT POST ANC1  "&amp;CHAR(10),""),IF(Q76&gt;Q74," * RITA Long-Term PMTCT POST ANC1  "&amp;$P$20&amp;" "&amp;$Q$21&amp;" is more than RTRI Long-Term PMTCT POST ANC1  "&amp;CHAR(10),""),IF(R76&gt;R74," * RITA Long-Term PMTCT POST ANC1  "&amp;$R$20&amp;" "&amp;$R$21&amp;" is more than RTRI Long-Term PMTCT POST ANC1  "&amp;CHAR(10),""),IF(S76&gt;S74," * RITA Long-Term PMTCT POST ANC1  "&amp;$R$20&amp;" "&amp;$S$21&amp;" is more than RTRI Long-Term PMTCT POST ANC1  "&amp;CHAR(10),""),IF(T76&gt;T74," * RITA Long-Term PMTCT POST ANC1  "&amp;$T$20&amp;" "&amp;$T$21&amp;" is more than RTRI Long-Term PMTCT POST ANC1  "&amp;CHAR(10),""),IF(U76&gt;U74," * RITA Long-Term PMTCT POST ANC1  "&amp;$T$20&amp;" "&amp;$U$21&amp;" is more than RTRI Long-Term PMTCT POST ANC1  "&amp;CHAR(10),""),IF(V76&gt;V74," * RITA Long-Term PMTCT POST ANC1  "&amp;$V$20&amp;" "&amp;$V$21&amp;" is more than RTRI Long-Term PMTCT POST ANC1  "&amp;CHAR(10),""),IF(W76&gt;W74," * RITA Long-Term PMTCT POST ANC1  "&amp;$V$20&amp;" "&amp;$W$21&amp;" is more than RTRI Long-Term PMTCT POST ANC1  "&amp;CHAR(10),""),IF(X76&gt;X74," * RITA Long-Term PMTCT POST ANC1  "&amp;$X$20&amp;" "&amp;$X$21&amp;" is more than RTRI Long-Term PMTCT POST ANC1  "&amp;CHAR(10),""),IF(Y76&gt;Y74," * RITA Long-Term PMTCT POST ANC1  "&amp;$X$20&amp;" "&amp;$Y$21&amp;" is more than RTRI Long-Term PMTCT POST ANC1  "&amp;CHAR(10),""),IF(Z76&gt;Z74," * RITA Long-Term PMTCT POST ANC1  "&amp;$Z$20&amp;" "&amp;$Z$21&amp;" is more than RTRI Long-Term PMTCT POST ANC1  "&amp;CHAR(10),""),IF(AA76&gt;AA74," * RITA Long-Term PMTCT POST ANC1  "&amp;$Z$20&amp;" "&amp;$AA$21&amp;" is more than RTRI Long-Term PMTCT POST ANC1  "&amp;CHAR(10),""))</f>
        <v/>
      </c>
      <c r="AL74" s="924"/>
      <c r="AM74" s="32"/>
      <c r="AN74" s="393"/>
      <c r="AO74" s="14">
        <v>33</v>
      </c>
      <c r="AP74" s="83"/>
      <c r="AQ74" s="84"/>
    </row>
    <row r="75" spans="1:43" s="85" customFormat="1" ht="25.5" x14ac:dyDescent="0.75">
      <c r="A75" s="702"/>
      <c r="B75" s="1" t="s">
        <v>1215</v>
      </c>
      <c r="C75" s="904" t="s">
        <v>1223</v>
      </c>
      <c r="D75" s="146"/>
      <c r="E75" s="80"/>
      <c r="F75" s="80"/>
      <c r="G75" s="80"/>
      <c r="H75" s="80"/>
      <c r="I75" s="80"/>
      <c r="J75" s="80"/>
      <c r="K75" s="408"/>
      <c r="L75" s="79"/>
      <c r="M75" s="252"/>
      <c r="N75" s="80"/>
      <c r="O75" s="252"/>
      <c r="P75" s="80"/>
      <c r="Q75" s="252"/>
      <c r="R75" s="80"/>
      <c r="S75" s="252"/>
      <c r="T75" s="80"/>
      <c r="U75" s="252"/>
      <c r="V75" s="80"/>
      <c r="W75" s="252"/>
      <c r="X75" s="80"/>
      <c r="Y75" s="252"/>
      <c r="Z75" s="80"/>
      <c r="AA75" s="889"/>
      <c r="AB75" s="413"/>
      <c r="AC75" s="380"/>
      <c r="AD75" s="380"/>
      <c r="AE75" s="380"/>
      <c r="AF75" s="380"/>
      <c r="AG75" s="380"/>
      <c r="AH75" s="380"/>
      <c r="AI75" s="336"/>
      <c r="AJ75" s="196"/>
      <c r="AK75" s="31"/>
      <c r="AL75" s="924"/>
      <c r="AM75" s="32"/>
      <c r="AN75" s="393"/>
      <c r="AO75" s="14"/>
      <c r="AP75" s="83"/>
      <c r="AQ75" s="84"/>
    </row>
    <row r="76" spans="1:43" s="85" customFormat="1" ht="25.9" thickBot="1" x14ac:dyDescent="0.8">
      <c r="A76" s="703"/>
      <c r="B76" s="394" t="s">
        <v>1216</v>
      </c>
      <c r="C76" s="904" t="s">
        <v>1224</v>
      </c>
      <c r="D76" s="886"/>
      <c r="E76" s="126"/>
      <c r="F76" s="126"/>
      <c r="G76" s="126"/>
      <c r="H76" s="126"/>
      <c r="I76" s="126"/>
      <c r="J76" s="126"/>
      <c r="K76" s="435"/>
      <c r="L76" s="106"/>
      <c r="M76" s="152"/>
      <c r="N76" s="105"/>
      <c r="O76" s="152"/>
      <c r="P76" s="105"/>
      <c r="Q76" s="152"/>
      <c r="R76" s="105"/>
      <c r="S76" s="152"/>
      <c r="T76" s="105"/>
      <c r="U76" s="152"/>
      <c r="V76" s="105"/>
      <c r="W76" s="152"/>
      <c r="X76" s="105"/>
      <c r="Y76" s="152"/>
      <c r="Z76" s="105"/>
      <c r="AA76" s="890"/>
      <c r="AB76" s="413"/>
      <c r="AC76" s="380"/>
      <c r="AD76" s="380"/>
      <c r="AE76" s="380"/>
      <c r="AF76" s="380"/>
      <c r="AG76" s="380"/>
      <c r="AH76" s="380"/>
      <c r="AI76" s="336"/>
      <c r="AJ76" s="196"/>
      <c r="AK76" s="31"/>
      <c r="AL76" s="924"/>
      <c r="AM76" s="32"/>
      <c r="AN76" s="393"/>
      <c r="AO76" s="14"/>
      <c r="AP76" s="83"/>
      <c r="AQ76" s="84"/>
    </row>
    <row r="77" spans="1:43" s="85" customFormat="1" ht="25.5" customHeight="1" x14ac:dyDescent="0.75">
      <c r="A77" s="701" t="s">
        <v>1054</v>
      </c>
      <c r="B77" s="1" t="s">
        <v>1213</v>
      </c>
      <c r="C77" s="904" t="s">
        <v>1048</v>
      </c>
      <c r="D77" s="145"/>
      <c r="E77" s="102"/>
      <c r="F77" s="102"/>
      <c r="G77" s="102"/>
      <c r="H77" s="102"/>
      <c r="I77" s="102"/>
      <c r="J77" s="102"/>
      <c r="K77" s="401"/>
      <c r="L77" s="252"/>
      <c r="M77" s="252"/>
      <c r="N77" s="252"/>
      <c r="O77" s="252"/>
      <c r="P77" s="252"/>
      <c r="Q77" s="252"/>
      <c r="R77" s="252"/>
      <c r="S77" s="252"/>
      <c r="T77" s="252"/>
      <c r="U77" s="252"/>
      <c r="V77" s="252"/>
      <c r="W77" s="252"/>
      <c r="X77" s="252"/>
      <c r="Y77" s="252"/>
      <c r="Z77" s="252"/>
      <c r="AA77" s="252"/>
      <c r="AB77" s="413"/>
      <c r="AC77" s="380"/>
      <c r="AD77" s="380"/>
      <c r="AE77" s="380"/>
      <c r="AF77" s="380"/>
      <c r="AG77" s="380"/>
      <c r="AH77" s="380"/>
      <c r="AI77" s="336"/>
      <c r="AJ77" s="200">
        <f t="shared" si="12"/>
        <v>0</v>
      </c>
      <c r="AK77" s="31" t="str">
        <f>CONCATENATE(IF(D79&gt;D77," * RITA RECENT STI Clinic "&amp;$D$20&amp;" "&amp;$D$21&amp;" is more than RTRI RECENT STI Clinic "&amp;CHAR(10),""),IF(E79&gt;E77," * RITA RECENT STI Clinic "&amp;$D$20&amp;" "&amp;$E$21&amp;" is more than RTRI RECENT STI Clinic "&amp;CHAR(10),""),IF(F79&gt;F77," * RITA RECENT STI Clinic "&amp;$F$20&amp;" "&amp;$F$21&amp;" is more than RTRI RECENT STI Clinic "&amp;CHAR(10),""),IF(G79&gt;G77," * RITA RECENT STI Clinic "&amp;$F$20&amp;" "&amp;$G$21&amp;" is more than RTRI RECENT STI Clinic "&amp;CHAR(10),""),IF(H79&gt;H77," * RITA RECENT STI Clinic "&amp;$H$20&amp;" "&amp;$H$21&amp;" is more than RTRI RECENT STI Clinic "&amp;CHAR(10),""),IF(I79&gt;I77," * RITA RECENT STI Clinic "&amp;$H$20&amp;" "&amp;$I$21&amp;" is more than RTRI RECENT STI Clinic "&amp;CHAR(10),""),IF(J79&gt;J77," * RITA RECENT STI Clinic "&amp;$J$20&amp;" "&amp;$J$21&amp;" is more than RTRI RECENT STI Clinic "&amp;CHAR(10),""),IF(K79&gt;K77," * RITA RECENT STI Clinic "&amp;$J$20&amp;" "&amp;$K$21&amp;" is more than RTRI RECENT STI Clinic "&amp;CHAR(10),""),IF(L79&gt;L77," * RITA RECENT STI Clinic "&amp;$L$20&amp;" "&amp;$L$21&amp;" is more than RTRI RECENT STI Clinic "&amp;CHAR(10),""),IF(M79&gt;M77," * RITA RECENT STI Clinic "&amp;$L$20&amp;" "&amp;$M$21&amp;" is more than RTRI RECENT STI Clinic "&amp;CHAR(10),""),IF(N79&gt;N77," * RITA RECENT STI Clinic "&amp;$N$20&amp;" "&amp;$N$21&amp;" is more than RTRI RECENT STI Clinic "&amp;CHAR(10),""),IF(O79&gt;O77," * RITA RECENT STI Clinic "&amp;$N$20&amp;" "&amp;$O$21&amp;" is more than RTRI RECENT STI Clinic "&amp;CHAR(10),""),IF(P79&gt;P77," * RITA RECENT STI Clinic "&amp;$P$20&amp;" "&amp;$P$21&amp;" is more than RTRI RECENT STI Clinic "&amp;CHAR(10),""),IF(Q79&gt;Q77," * RITA RECENT STI Clinic "&amp;$P$20&amp;" "&amp;$Q$21&amp;" is more than RTRI RECENT STI Clinic "&amp;CHAR(10),""),IF(R79&gt;R77," * RITA RECENT STI Clinic "&amp;$R$20&amp;" "&amp;$R$21&amp;" is more than RTRI RECENT STI Clinic "&amp;CHAR(10),""),IF(S79&gt;S77," * RITA RECENT STI Clinic "&amp;$R$20&amp;" "&amp;$S$21&amp;" is more than RTRI RECENT STI Clinic "&amp;CHAR(10),""),IF(T79&gt;T77," * RITA RECENT STI Clinic "&amp;$T$20&amp;" "&amp;$T$21&amp;" is more than RTRI RECENT STI Clinic "&amp;CHAR(10),""),IF(U79&gt;U77," * RITA RECENT STI Clinic "&amp;$T$20&amp;" "&amp;$U$21&amp;" is more than RTRI RECENT STI Clinic "&amp;CHAR(10),""),IF(V79&gt;V77," * RITA RECENT STI Clinic "&amp;$V$20&amp;" "&amp;$V$21&amp;" is more than RTRI RECENT STI Clinic "&amp;CHAR(10),""),IF(W79&gt;W77," * RITA RECENT STI Clinic "&amp;$V$20&amp;" "&amp;$W$21&amp;" is more than RTRI RECENT STI Clinic "&amp;CHAR(10),""),IF(X79&gt;X77," * RITA RECENT STI Clinic "&amp;$X$20&amp;" "&amp;$X$21&amp;" is more than RTRI RECENT STI Clinic "&amp;CHAR(10),""),IF(Y79&gt;Y77," * RITA RECENT STI Clinic "&amp;$X$20&amp;" "&amp;$Y$21&amp;" is more than RTRI RECENT STI Clinic "&amp;CHAR(10),""),IF(Z79&gt;Z77," * RITA RECENT STI Clinic "&amp;$Z$20&amp;" "&amp;$Z$21&amp;" is more than RTRI RECENT STI Clinic "&amp;CHAR(10),""),IF(AA79&gt;AA77," * RITA RECENT STI Clinic "&amp;$Z$20&amp;" "&amp;$AA$21&amp;" is more than RTRI RECENT STI Clinic "&amp;CHAR(10),""))</f>
        <v/>
      </c>
      <c r="AL77" s="924"/>
      <c r="AM77" s="32"/>
      <c r="AN77" s="393"/>
      <c r="AO77" s="14">
        <v>32</v>
      </c>
      <c r="AP77" s="83"/>
      <c r="AQ77" s="84"/>
    </row>
    <row r="78" spans="1:43" s="85" customFormat="1" ht="25.9" thickBot="1" x14ac:dyDescent="0.8">
      <c r="A78" s="702"/>
      <c r="B78" s="394" t="s">
        <v>1214</v>
      </c>
      <c r="C78" s="904" t="s">
        <v>1049</v>
      </c>
      <c r="D78" s="146"/>
      <c r="E78" s="80"/>
      <c r="F78" s="80"/>
      <c r="G78" s="80"/>
      <c r="H78" s="80"/>
      <c r="I78" s="80"/>
      <c r="J78" s="80"/>
      <c r="K78" s="408"/>
      <c r="L78" s="152"/>
      <c r="M78" s="152"/>
      <c r="N78" s="152"/>
      <c r="O78" s="152"/>
      <c r="P78" s="152"/>
      <c r="Q78" s="152"/>
      <c r="R78" s="152"/>
      <c r="S78" s="152"/>
      <c r="T78" s="152"/>
      <c r="U78" s="152"/>
      <c r="V78" s="152"/>
      <c r="W78" s="152"/>
      <c r="X78" s="152"/>
      <c r="Y78" s="152"/>
      <c r="Z78" s="152"/>
      <c r="AA78" s="152"/>
      <c r="AB78" s="413"/>
      <c r="AC78" s="380"/>
      <c r="AD78" s="380"/>
      <c r="AE78" s="380"/>
      <c r="AF78" s="380"/>
      <c r="AG78" s="380"/>
      <c r="AH78" s="380"/>
      <c r="AI78" s="336"/>
      <c r="AJ78" s="204">
        <f t="shared" si="12"/>
        <v>0</v>
      </c>
      <c r="AK78" s="31" t="str">
        <f>CONCATENATE(IF(D80&gt;D78," * RITA Long-Term STI Clinic  "&amp;$D$20&amp;" "&amp;$D$21&amp;" is more than RTRI Long-Term STI Clinic  "&amp;CHAR(10),""),IF(E80&gt;E78," * RITA Long-Term STI Clinic  "&amp;$D$20&amp;" "&amp;$E$21&amp;" is more than RTRI Long-Term STI Clinic  "&amp;CHAR(10),""),IF(F80&gt;F78," * RITA Long-Term STI Clinic  "&amp;$F$20&amp;" "&amp;$F$21&amp;" is more than RTRI Long-Term STI Clinic  "&amp;CHAR(10),""),IF(G80&gt;G78," * RITA Long-Term STI Clinic  "&amp;$F$20&amp;" "&amp;$G$21&amp;" is more than RTRI Long-Term STI Clinic  "&amp;CHAR(10),""),IF(H80&gt;H78," * RITA Long-Term STI Clinic  "&amp;$H$20&amp;" "&amp;$H$21&amp;" is more than RTRI Long-Term STI Clinic  "&amp;CHAR(10),""),IF(I80&gt;I78," * RITA Long-Term STI Clinic  "&amp;$H$20&amp;" "&amp;$I$21&amp;" is more than RTRI Long-Term STI Clinic  "&amp;CHAR(10),""),IF(J80&gt;J78," * RITA Long-Term STI Clinic  "&amp;$J$20&amp;" "&amp;$J$21&amp;" is more than RTRI Long-Term STI Clinic  "&amp;CHAR(10),""),IF(K80&gt;K78," * RITA Long-Term STI Clinic  "&amp;$J$20&amp;" "&amp;$K$21&amp;" is more than RTRI Long-Term STI Clinic  "&amp;CHAR(10),""),IF(L80&gt;L78," * RITA Long-Term STI Clinic  "&amp;$L$20&amp;" "&amp;$L$21&amp;" is more than RTRI Long-Term STI Clinic  "&amp;CHAR(10),""),IF(M80&gt;M78," * RITA Long-Term STI Clinic  "&amp;$L$20&amp;" "&amp;$M$21&amp;" is more than RTRI Long-Term STI Clinic  "&amp;CHAR(10),""),IF(N80&gt;N78," * RITA Long-Term STI Clinic  "&amp;$N$20&amp;" "&amp;$N$21&amp;" is more than RTRI Long-Term STI Clinic  "&amp;CHAR(10),""),IF(O80&gt;O78," * RITA Long-Term STI Clinic  "&amp;$N$20&amp;" "&amp;$O$21&amp;" is more than RTRI Long-Term STI Clinic  "&amp;CHAR(10),""),IF(P80&gt;P78," * RITA Long-Term STI Clinic  "&amp;$P$20&amp;" "&amp;$P$21&amp;" is more than RTRI Long-Term STI Clinic  "&amp;CHAR(10),""),IF(Q80&gt;Q78," * RITA Long-Term STI Clinic  "&amp;$P$20&amp;" "&amp;$Q$21&amp;" is more than RTRI Long-Term STI Clinic  "&amp;CHAR(10),""),IF(R80&gt;R78," * RITA Long-Term STI Clinic  "&amp;$R$20&amp;" "&amp;$R$21&amp;" is more than RTRI Long-Term STI Clinic  "&amp;CHAR(10),""),IF(S80&gt;S78," * RITA Long-Term STI Clinic  "&amp;$R$20&amp;" "&amp;$S$21&amp;" is more than RTRI Long-Term STI Clinic  "&amp;CHAR(10),""),IF(T80&gt;T78," * RITA Long-Term STI Clinic  "&amp;$T$20&amp;" "&amp;$T$21&amp;" is more than RTRI Long-Term STI Clinic  "&amp;CHAR(10),""),IF(U80&gt;U78," * RITA Long-Term STI Clinic  "&amp;$T$20&amp;" "&amp;$U$21&amp;" is more than RTRI Long-Term STI Clinic  "&amp;CHAR(10),""),IF(V80&gt;V78," * RITA Long-Term STI Clinic  "&amp;$V$20&amp;" "&amp;$V$21&amp;" is more than RTRI Long-Term STI Clinic  "&amp;CHAR(10),""),IF(W80&gt;W78," * RITA Long-Term STI Clinic  "&amp;$V$20&amp;" "&amp;$W$21&amp;" is more than RTRI Long-Term STI Clinic  "&amp;CHAR(10),""),IF(X80&gt;X78," * RITA Long-Term STI Clinic  "&amp;$X$20&amp;" "&amp;$X$21&amp;" is more than RTRI Long-Term STI Clinic  "&amp;CHAR(10),""),IF(Y80&gt;Y78," * RITA Long-Term STI Clinic  "&amp;$X$20&amp;" "&amp;$Y$21&amp;" is more than RTRI Long-Term STI Clinic  "&amp;CHAR(10),""),IF(Z80&gt;Z78," * RITA Long-Term STI Clinic  "&amp;$Z$20&amp;" "&amp;$Z$21&amp;" is more than RTRI Long-Term STI Clinic  "&amp;CHAR(10),""),IF(AA80&gt;AA78," * RITA Long-Term STI Clinic  "&amp;$Z$20&amp;" "&amp;$AA$21&amp;" is more than RTRI Long-Term STI Clinic  "&amp;CHAR(10),""))</f>
        <v/>
      </c>
      <c r="AL78" s="924"/>
      <c r="AM78" s="32"/>
      <c r="AN78" s="393"/>
      <c r="AO78" s="14">
        <v>33</v>
      </c>
      <c r="AP78" s="83"/>
      <c r="AQ78" s="84"/>
    </row>
    <row r="79" spans="1:43" s="85" customFormat="1" ht="25.5" x14ac:dyDescent="0.75">
      <c r="A79" s="702"/>
      <c r="B79" s="1" t="s">
        <v>1215</v>
      </c>
      <c r="C79" s="904" t="s">
        <v>1225</v>
      </c>
      <c r="D79" s="146"/>
      <c r="E79" s="80"/>
      <c r="F79" s="80"/>
      <c r="G79" s="80"/>
      <c r="H79" s="80"/>
      <c r="I79" s="80"/>
      <c r="J79" s="80"/>
      <c r="K79" s="408"/>
      <c r="L79" s="252"/>
      <c r="M79" s="252"/>
      <c r="N79" s="252"/>
      <c r="O79" s="252"/>
      <c r="P79" s="252"/>
      <c r="Q79" s="252"/>
      <c r="R79" s="252"/>
      <c r="S79" s="252"/>
      <c r="T79" s="252"/>
      <c r="U79" s="252"/>
      <c r="V79" s="252"/>
      <c r="W79" s="252"/>
      <c r="X79" s="252"/>
      <c r="Y79" s="252"/>
      <c r="Z79" s="252"/>
      <c r="AA79" s="252"/>
      <c r="AB79" s="413"/>
      <c r="AC79" s="380"/>
      <c r="AD79" s="380"/>
      <c r="AE79" s="380"/>
      <c r="AF79" s="380"/>
      <c r="AG79" s="380"/>
      <c r="AH79" s="380"/>
      <c r="AI79" s="336"/>
      <c r="AJ79" s="196"/>
      <c r="AK79" s="31"/>
      <c r="AL79" s="924"/>
      <c r="AM79" s="32"/>
      <c r="AN79" s="393"/>
      <c r="AO79" s="14"/>
      <c r="AP79" s="83"/>
      <c r="AQ79" s="84"/>
    </row>
    <row r="80" spans="1:43" s="85" customFormat="1" ht="25.9" thickBot="1" x14ac:dyDescent="0.8">
      <c r="A80" s="703"/>
      <c r="B80" s="394" t="s">
        <v>1216</v>
      </c>
      <c r="C80" s="904" t="s">
        <v>1226</v>
      </c>
      <c r="D80" s="125"/>
      <c r="E80" s="105"/>
      <c r="F80" s="105"/>
      <c r="G80" s="105"/>
      <c r="H80" s="105"/>
      <c r="I80" s="105"/>
      <c r="J80" s="105"/>
      <c r="K80" s="402"/>
      <c r="L80" s="267"/>
      <c r="M80" s="267"/>
      <c r="N80" s="267"/>
      <c r="O80" s="267"/>
      <c r="P80" s="267"/>
      <c r="Q80" s="267"/>
      <c r="R80" s="267"/>
      <c r="S80" s="267"/>
      <c r="T80" s="267"/>
      <c r="U80" s="267"/>
      <c r="V80" s="267"/>
      <c r="W80" s="267"/>
      <c r="X80" s="267"/>
      <c r="Y80" s="267"/>
      <c r="Z80" s="267"/>
      <c r="AA80" s="267"/>
      <c r="AB80" s="413"/>
      <c r="AC80" s="380"/>
      <c r="AD80" s="380"/>
      <c r="AE80" s="380"/>
      <c r="AF80" s="380"/>
      <c r="AG80" s="380"/>
      <c r="AH80" s="380"/>
      <c r="AI80" s="336"/>
      <c r="AJ80" s="196"/>
      <c r="AK80" s="31"/>
      <c r="AL80" s="924"/>
      <c r="AM80" s="32"/>
      <c r="AN80" s="393"/>
      <c r="AO80" s="14"/>
      <c r="AP80" s="83"/>
      <c r="AQ80" s="84"/>
    </row>
    <row r="81" spans="1:43" s="85" customFormat="1" ht="25.5" customHeight="1" x14ac:dyDescent="0.75">
      <c r="A81" s="701" t="s">
        <v>1055</v>
      </c>
      <c r="B81" s="1" t="s">
        <v>1213</v>
      </c>
      <c r="C81" s="904" t="s">
        <v>1062</v>
      </c>
      <c r="D81" s="145"/>
      <c r="E81" s="102"/>
      <c r="F81" s="102"/>
      <c r="G81" s="102"/>
      <c r="H81" s="102"/>
      <c r="I81" s="102"/>
      <c r="J81" s="102"/>
      <c r="K81" s="401"/>
      <c r="L81" s="252"/>
      <c r="M81" s="252"/>
      <c r="N81" s="252"/>
      <c r="O81" s="252"/>
      <c r="P81" s="252"/>
      <c r="Q81" s="252"/>
      <c r="R81" s="252"/>
      <c r="S81" s="252"/>
      <c r="T81" s="252"/>
      <c r="U81" s="252"/>
      <c r="V81" s="252"/>
      <c r="W81" s="252"/>
      <c r="X81" s="252"/>
      <c r="Y81" s="252"/>
      <c r="Z81" s="252"/>
      <c r="AA81" s="252"/>
      <c r="AB81" s="413"/>
      <c r="AC81" s="380"/>
      <c r="AD81" s="380"/>
      <c r="AE81" s="380"/>
      <c r="AF81" s="380"/>
      <c r="AG81" s="380"/>
      <c r="AH81" s="380"/>
      <c r="AI81" s="336"/>
      <c r="AJ81" s="200">
        <f t="shared" si="12"/>
        <v>0</v>
      </c>
      <c r="AK81" s="31" t="str">
        <f>CONCATENATE(IF(D83&gt;D81," * RITA RECENT TB Clinics "&amp;$D$20&amp;" "&amp;$D$21&amp;" is more than RTRI RECENT TB Clinics "&amp;CHAR(10),""),IF(E83&gt;E81," * RITA RECENT TB Clinics "&amp;$D$20&amp;" "&amp;$E$21&amp;" is more than RTRI RECENT TB Clinics "&amp;CHAR(10),""),IF(F83&gt;F81," * RITA RECENT TB Clinics "&amp;$F$20&amp;" "&amp;$F$21&amp;" is more than RTRI RECENT TB Clinics "&amp;CHAR(10),""),IF(G83&gt;G81," * RITA RECENT TB Clinics "&amp;$F$20&amp;" "&amp;$G$21&amp;" is more than RTRI RECENT TB Clinics "&amp;CHAR(10),""),IF(H83&gt;H81," * RITA RECENT TB Clinics "&amp;$H$20&amp;" "&amp;$H$21&amp;" is more than RTRI RECENT TB Clinics "&amp;CHAR(10),""),IF(I83&gt;I81," * RITA RECENT TB Clinics "&amp;$H$20&amp;" "&amp;$I$21&amp;" is more than RTRI RECENT TB Clinics "&amp;CHAR(10),""),IF(J83&gt;J81," * RITA RECENT TB Clinics "&amp;$J$20&amp;" "&amp;$J$21&amp;" is more than RTRI RECENT TB Clinics "&amp;CHAR(10),""),IF(K83&gt;K81," * RITA RECENT TB Clinics "&amp;$J$20&amp;" "&amp;$K$21&amp;" is more than RTRI RECENT TB Clinics "&amp;CHAR(10),""),IF(L83&gt;L81," * RITA RECENT TB Clinics "&amp;$L$20&amp;" "&amp;$L$21&amp;" is more than RTRI RECENT TB Clinics "&amp;CHAR(10),""),IF(M83&gt;M81," * RITA RECENT TB Clinics "&amp;$L$20&amp;" "&amp;$M$21&amp;" is more than RTRI RECENT TB Clinics "&amp;CHAR(10),""),IF(N83&gt;N81," * RITA RECENT TB Clinics "&amp;$N$20&amp;" "&amp;$N$21&amp;" is more than RTRI RECENT TB Clinics "&amp;CHAR(10),""),IF(O83&gt;O81," * RITA RECENT TB Clinics "&amp;$N$20&amp;" "&amp;$O$21&amp;" is more than RTRI RECENT TB Clinics "&amp;CHAR(10),""),IF(P83&gt;P81," * RITA RECENT TB Clinics "&amp;$P$20&amp;" "&amp;$P$21&amp;" is more than RTRI RECENT TB Clinics "&amp;CHAR(10),""),IF(Q83&gt;Q81," * RITA RECENT TB Clinics "&amp;$P$20&amp;" "&amp;$Q$21&amp;" is more than RTRI RECENT TB Clinics "&amp;CHAR(10),""),IF(R83&gt;R81," * RITA RECENT TB Clinics "&amp;$R$20&amp;" "&amp;$R$21&amp;" is more than RTRI RECENT TB Clinics "&amp;CHAR(10),""),IF(S83&gt;S81," * RITA RECENT TB Clinics "&amp;$R$20&amp;" "&amp;$S$21&amp;" is more than RTRI RECENT TB Clinics "&amp;CHAR(10),""),IF(T83&gt;T81," * RITA RECENT TB Clinics "&amp;$T$20&amp;" "&amp;$T$21&amp;" is more than RTRI RECENT TB Clinics "&amp;CHAR(10),""),IF(U83&gt;U81," * RITA RECENT TB Clinics "&amp;$T$20&amp;" "&amp;$U$21&amp;" is more than RTRI RECENT TB Clinics "&amp;CHAR(10),""),IF(V83&gt;V81," * RITA RECENT TB Clinics "&amp;$V$20&amp;" "&amp;$V$21&amp;" is more than RTRI RECENT TB Clinics "&amp;CHAR(10),""),IF(W83&gt;W81," * RITA RECENT TB Clinics "&amp;$V$20&amp;" "&amp;$W$21&amp;" is more than RTRI RECENT TB Clinics "&amp;CHAR(10),""),IF(X83&gt;X81," * RITA RECENT TB Clinics "&amp;$X$20&amp;" "&amp;$X$21&amp;" is more than RTRI RECENT TB Clinics "&amp;CHAR(10),""),IF(Y83&gt;Y81," * RITA RECENT TB Clinics "&amp;$X$20&amp;" "&amp;$Y$21&amp;" is more than RTRI RECENT TB Clinics "&amp;CHAR(10),""),IF(Z83&gt;Z81," * RITA RECENT TB Clinics "&amp;$Z$20&amp;" "&amp;$Z$21&amp;" is more than RTRI RECENT TB Clinics "&amp;CHAR(10),""),IF(AA83&gt;AA81," * RITA RECENT TB Clinics "&amp;$Z$20&amp;" "&amp;$AA$21&amp;" is more than RTRI RECENT TB Clinics "&amp;CHAR(10),""))</f>
        <v/>
      </c>
      <c r="AL81" s="924"/>
      <c r="AM81" s="32"/>
      <c r="AN81" s="393"/>
      <c r="AO81" s="14">
        <v>32</v>
      </c>
      <c r="AP81" s="83"/>
      <c r="AQ81" s="84"/>
    </row>
    <row r="82" spans="1:43" s="85" customFormat="1" ht="25.9" thickBot="1" x14ac:dyDescent="0.8">
      <c r="A82" s="702"/>
      <c r="B82" s="394" t="s">
        <v>1214</v>
      </c>
      <c r="C82" s="906" t="s">
        <v>1063</v>
      </c>
      <c r="D82" s="146"/>
      <c r="E82" s="80"/>
      <c r="F82" s="80"/>
      <c r="G82" s="80"/>
      <c r="H82" s="80"/>
      <c r="I82" s="80"/>
      <c r="J82" s="80"/>
      <c r="K82" s="408"/>
      <c r="L82" s="152"/>
      <c r="M82" s="152"/>
      <c r="N82" s="152"/>
      <c r="O82" s="152"/>
      <c r="P82" s="152"/>
      <c r="Q82" s="152"/>
      <c r="R82" s="152"/>
      <c r="S82" s="152"/>
      <c r="T82" s="152"/>
      <c r="U82" s="152"/>
      <c r="V82" s="152"/>
      <c r="W82" s="152"/>
      <c r="X82" s="152"/>
      <c r="Y82" s="152"/>
      <c r="Z82" s="152"/>
      <c r="AA82" s="152"/>
      <c r="AB82" s="413"/>
      <c r="AC82" s="380"/>
      <c r="AD82" s="380"/>
      <c r="AE82" s="380"/>
      <c r="AF82" s="380"/>
      <c r="AG82" s="380"/>
      <c r="AH82" s="380"/>
      <c r="AI82" s="336"/>
      <c r="AJ82" s="204">
        <f t="shared" si="12"/>
        <v>0</v>
      </c>
      <c r="AK82" s="31" t="str">
        <f>CONCATENATE(IF(D84&gt;D82," * RITA Long-Term TB Clinics  "&amp;$D$20&amp;" "&amp;$D$21&amp;" is more than RTRI Long-Term TB Clinics  "&amp;CHAR(10),""),IF(E84&gt;E82," * RITA Long-Term TB Clinics  "&amp;$D$20&amp;" "&amp;$E$21&amp;" is more than RTRI Long-Term TB Clinics  "&amp;CHAR(10),""),IF(F84&gt;F82," * RITA Long-Term TB Clinics  "&amp;$F$20&amp;" "&amp;$F$21&amp;" is more than RTRI Long-Term TB Clinics  "&amp;CHAR(10),""),IF(G84&gt;G82," * RITA Long-Term TB Clinics  "&amp;$F$20&amp;" "&amp;$G$21&amp;" is more than RTRI Long-Term TB Clinics  "&amp;CHAR(10),""),IF(H84&gt;H82," * RITA Long-Term TB Clinics  "&amp;$H$20&amp;" "&amp;$H$21&amp;" is more than RTRI Long-Term TB Clinics  "&amp;CHAR(10),""),IF(I84&gt;I82," * RITA Long-Term TB Clinics  "&amp;$H$20&amp;" "&amp;$I$21&amp;" is more than RTRI Long-Term TB Clinics  "&amp;CHAR(10),""),IF(J84&gt;J82," * RITA Long-Term TB Clinics  "&amp;$J$20&amp;" "&amp;$J$21&amp;" is more than RTRI Long-Term TB Clinics  "&amp;CHAR(10),""),IF(K84&gt;K82," * RITA Long-Term TB Clinics  "&amp;$J$20&amp;" "&amp;$K$21&amp;" is more than RTRI Long-Term TB Clinics  "&amp;CHAR(10),""),IF(L84&gt;L82," * RITA Long-Term TB Clinics  "&amp;$L$20&amp;" "&amp;$L$21&amp;" is more than RTRI Long-Term TB Clinics  "&amp;CHAR(10),""),IF(M84&gt;M82," * RITA Long-Term TB Clinics  "&amp;$L$20&amp;" "&amp;$M$21&amp;" is more than RTRI Long-Term TB Clinics  "&amp;CHAR(10),""),IF(N84&gt;N82," * RITA Long-Term TB Clinics  "&amp;$N$20&amp;" "&amp;$N$21&amp;" is more than RTRI Long-Term TB Clinics  "&amp;CHAR(10),""),IF(O84&gt;O82," * RITA Long-Term TB Clinics  "&amp;$N$20&amp;" "&amp;$O$21&amp;" is more than RTRI Long-Term TB Clinics  "&amp;CHAR(10),""),IF(P84&gt;P82," * RITA Long-Term TB Clinics  "&amp;$P$20&amp;" "&amp;$P$21&amp;" is more than RTRI Long-Term TB Clinics  "&amp;CHAR(10),""),IF(Q84&gt;Q82," * RITA Long-Term TB Clinics  "&amp;$P$20&amp;" "&amp;$Q$21&amp;" is more than RTRI Long-Term TB Clinics  "&amp;CHAR(10),""),IF(R84&gt;R82," * RITA Long-Term TB Clinics  "&amp;$R$20&amp;" "&amp;$R$21&amp;" is more than RTRI Long-Term TB Clinics  "&amp;CHAR(10),""),IF(S84&gt;S82," * RITA Long-Term TB Clinics  "&amp;$R$20&amp;" "&amp;$S$21&amp;" is more than RTRI Long-Term TB Clinics  "&amp;CHAR(10),""),IF(T84&gt;T82," * RITA Long-Term TB Clinics  "&amp;$T$20&amp;" "&amp;$T$21&amp;" is more than RTRI Long-Term TB Clinics  "&amp;CHAR(10),""),IF(U84&gt;U82," * RITA Long-Term TB Clinics  "&amp;$T$20&amp;" "&amp;$U$21&amp;" is more than RTRI Long-Term TB Clinics  "&amp;CHAR(10),""),IF(V84&gt;V82," * RITA Long-Term TB Clinics  "&amp;$V$20&amp;" "&amp;$V$21&amp;" is more than RTRI Long-Term TB Clinics  "&amp;CHAR(10),""),IF(W84&gt;W82," * RITA Long-Term TB Clinics  "&amp;$V$20&amp;" "&amp;$W$21&amp;" is more than RTRI Long-Term TB Clinics  "&amp;CHAR(10),""),IF(X84&gt;X82," * RITA Long-Term TB Clinics  "&amp;$X$20&amp;" "&amp;$X$21&amp;" is more than RTRI Long-Term TB Clinics  "&amp;CHAR(10),""),IF(Y84&gt;Y82," * RITA Long-Term TB Clinics  "&amp;$X$20&amp;" "&amp;$Y$21&amp;" is more than RTRI Long-Term TB Clinics  "&amp;CHAR(10),""),IF(Z84&gt;Z82," * RITA Long-Term TB Clinics  "&amp;$Z$20&amp;" "&amp;$Z$21&amp;" is more than RTRI Long-Term TB Clinics  "&amp;CHAR(10),""),IF(AA84&gt;AA82," * RITA Long-Term TB Clinics  "&amp;$Z$20&amp;" "&amp;$AA$21&amp;" is more than RTRI Long-Term TB Clinics  "&amp;CHAR(10),""))</f>
        <v/>
      </c>
      <c r="AL82" s="924"/>
      <c r="AM82" s="32"/>
      <c r="AN82" s="393"/>
      <c r="AO82" s="14">
        <v>33</v>
      </c>
      <c r="AP82" s="83"/>
      <c r="AQ82" s="84"/>
    </row>
    <row r="83" spans="1:43" s="85" customFormat="1" ht="25.5" x14ac:dyDescent="0.75">
      <c r="A83" s="702"/>
      <c r="B83" s="1" t="s">
        <v>1215</v>
      </c>
      <c r="C83" s="904" t="s">
        <v>1227</v>
      </c>
      <c r="D83" s="146"/>
      <c r="E83" s="80"/>
      <c r="F83" s="80"/>
      <c r="G83" s="80"/>
      <c r="H83" s="80"/>
      <c r="I83" s="80"/>
      <c r="J83" s="80"/>
      <c r="K83" s="408"/>
      <c r="L83" s="252"/>
      <c r="M83" s="252"/>
      <c r="N83" s="252"/>
      <c r="O83" s="252"/>
      <c r="P83" s="252"/>
      <c r="Q83" s="252"/>
      <c r="R83" s="252"/>
      <c r="S83" s="252"/>
      <c r="T83" s="252"/>
      <c r="U83" s="252"/>
      <c r="V83" s="252"/>
      <c r="W83" s="252"/>
      <c r="X83" s="252"/>
      <c r="Y83" s="252"/>
      <c r="Z83" s="252"/>
      <c r="AA83" s="252"/>
      <c r="AB83" s="413"/>
      <c r="AC83" s="380"/>
      <c r="AD83" s="380"/>
      <c r="AE83" s="380"/>
      <c r="AF83" s="380"/>
      <c r="AG83" s="380"/>
      <c r="AH83" s="380"/>
      <c r="AI83" s="336"/>
      <c r="AJ83" s="196"/>
      <c r="AK83" s="31"/>
      <c r="AL83" s="924"/>
      <c r="AM83" s="32"/>
      <c r="AN83" s="393"/>
      <c r="AO83" s="14"/>
      <c r="AP83" s="83"/>
      <c r="AQ83" s="84"/>
    </row>
    <row r="84" spans="1:43" s="85" customFormat="1" ht="25.9" thickBot="1" x14ac:dyDescent="0.8">
      <c r="A84" s="703"/>
      <c r="B84" s="394" t="s">
        <v>1216</v>
      </c>
      <c r="C84" s="906" t="s">
        <v>1228</v>
      </c>
      <c r="D84" s="125"/>
      <c r="E84" s="105"/>
      <c r="F84" s="105"/>
      <c r="G84" s="105"/>
      <c r="H84" s="105"/>
      <c r="I84" s="105"/>
      <c r="J84" s="105"/>
      <c r="K84" s="402"/>
      <c r="L84" s="267"/>
      <c r="M84" s="267"/>
      <c r="N84" s="267"/>
      <c r="O84" s="267"/>
      <c r="P84" s="267"/>
      <c r="Q84" s="267"/>
      <c r="R84" s="267"/>
      <c r="S84" s="267"/>
      <c r="T84" s="267"/>
      <c r="U84" s="267"/>
      <c r="V84" s="267"/>
      <c r="W84" s="267"/>
      <c r="X84" s="267"/>
      <c r="Y84" s="267"/>
      <c r="Z84" s="267"/>
      <c r="AA84" s="267"/>
      <c r="AB84" s="413"/>
      <c r="AC84" s="380"/>
      <c r="AD84" s="380"/>
      <c r="AE84" s="380"/>
      <c r="AF84" s="380"/>
      <c r="AG84" s="380"/>
      <c r="AH84" s="380"/>
      <c r="AI84" s="336"/>
      <c r="AJ84" s="196"/>
      <c r="AK84" s="31"/>
      <c r="AL84" s="924"/>
      <c r="AM84" s="32"/>
      <c r="AN84" s="393"/>
      <c r="AO84" s="14"/>
      <c r="AP84" s="83"/>
      <c r="AQ84" s="84"/>
    </row>
    <row r="85" spans="1:43" s="85" customFormat="1" ht="25.5" customHeight="1" x14ac:dyDescent="0.75">
      <c r="A85" s="701" t="s">
        <v>1056</v>
      </c>
      <c r="B85" s="1" t="s">
        <v>1213</v>
      </c>
      <c r="C85" s="904" t="s">
        <v>1064</v>
      </c>
      <c r="D85" s="145"/>
      <c r="E85" s="102"/>
      <c r="F85" s="102"/>
      <c r="G85" s="102"/>
      <c r="H85" s="102"/>
      <c r="I85" s="102"/>
      <c r="J85" s="102"/>
      <c r="K85" s="401"/>
      <c r="L85" s="252"/>
      <c r="M85" s="252"/>
      <c r="N85" s="252"/>
      <c r="O85" s="252"/>
      <c r="P85" s="252"/>
      <c r="Q85" s="252"/>
      <c r="R85" s="252"/>
      <c r="S85" s="252"/>
      <c r="T85" s="252"/>
      <c r="U85" s="252"/>
      <c r="V85" s="252"/>
      <c r="W85" s="252"/>
      <c r="X85" s="252"/>
      <c r="Y85" s="252"/>
      <c r="Z85" s="252"/>
      <c r="AA85" s="252"/>
      <c r="AB85" s="413"/>
      <c r="AC85" s="380"/>
      <c r="AD85" s="380"/>
      <c r="AE85" s="380"/>
      <c r="AF85" s="380"/>
      <c r="AG85" s="380"/>
      <c r="AH85" s="380"/>
      <c r="AI85" s="336"/>
      <c r="AJ85" s="200">
        <f t="shared" si="12"/>
        <v>0</v>
      </c>
      <c r="AK85" s="31" t="str">
        <f>CONCATENATE(IF(D87&gt;D85," * RITA RECENT VCT "&amp;$D$20&amp;" "&amp;$D$21&amp;" is more than RTRI RECENT VCT "&amp;CHAR(10),""),IF(E87&gt;E85," * RITA RECENT VCT "&amp;$D$20&amp;" "&amp;$E$21&amp;" is more than RTRI RECENT VCT "&amp;CHAR(10),""),IF(F87&gt;F85," * RITA RECENT VCT "&amp;$F$20&amp;" "&amp;$F$21&amp;" is more than RTRI RECENT VCT "&amp;CHAR(10),""),IF(G87&gt;G85," * RITA RECENT VCT "&amp;$F$20&amp;" "&amp;$G$21&amp;" is more than RTRI RECENT VCT "&amp;CHAR(10),""),IF(H87&gt;H85," * RITA RECENT VCT "&amp;$H$20&amp;" "&amp;$H$21&amp;" is more than RTRI RECENT VCT "&amp;CHAR(10),""),IF(I87&gt;I85," * RITA RECENT VCT "&amp;$H$20&amp;" "&amp;$I$21&amp;" is more than RTRI RECENT VCT "&amp;CHAR(10),""),IF(J87&gt;J85," * RITA RECENT VCT "&amp;$J$20&amp;" "&amp;$J$21&amp;" is more than RTRI RECENT VCT "&amp;CHAR(10),""),IF(K87&gt;K85," * RITA RECENT VCT "&amp;$J$20&amp;" "&amp;$K$21&amp;" is more than RTRI RECENT VCT "&amp;CHAR(10),""),IF(L87&gt;L85," * RITA RECENT VCT "&amp;$L$20&amp;" "&amp;$L$21&amp;" is more than RTRI RECENT VCT "&amp;CHAR(10),""),IF(M87&gt;M85," * RITA RECENT VCT "&amp;$L$20&amp;" "&amp;$M$21&amp;" is more than RTRI RECENT VCT "&amp;CHAR(10),""),IF(N87&gt;N85," * RITA RECENT VCT "&amp;$N$20&amp;" "&amp;$N$21&amp;" is more than RTRI RECENT VCT "&amp;CHAR(10),""),IF(O87&gt;O85," * RITA RECENT VCT "&amp;$N$20&amp;" "&amp;$O$21&amp;" is more than RTRI RECENT VCT "&amp;CHAR(10),""),IF(P87&gt;P85," * RITA RECENT VCT "&amp;$P$20&amp;" "&amp;$P$21&amp;" is more than RTRI RECENT VCT "&amp;CHAR(10),""),IF(Q87&gt;Q85," * RITA RECENT VCT "&amp;$P$20&amp;" "&amp;$Q$21&amp;" is more than RTRI RECENT VCT "&amp;CHAR(10),""),IF(R87&gt;R85," * RITA RECENT VCT "&amp;$R$20&amp;" "&amp;$R$21&amp;" is more than RTRI RECENT VCT "&amp;CHAR(10),""),IF(S87&gt;S85," * RITA RECENT VCT "&amp;$R$20&amp;" "&amp;$S$21&amp;" is more than RTRI RECENT VCT "&amp;CHAR(10),""),IF(T87&gt;T85," * RITA RECENT VCT "&amp;$T$20&amp;" "&amp;$T$21&amp;" is more than RTRI RECENT VCT "&amp;CHAR(10),""),IF(U87&gt;U85," * RITA RECENT VCT "&amp;$T$20&amp;" "&amp;$U$21&amp;" is more than RTRI RECENT VCT "&amp;CHAR(10),""),IF(V87&gt;V85," * RITA RECENT VCT "&amp;$V$20&amp;" "&amp;$V$21&amp;" is more than RTRI RECENT VCT "&amp;CHAR(10),""),IF(W87&gt;W85," * RITA RECENT VCT "&amp;$V$20&amp;" "&amp;$W$21&amp;" is more than RTRI RECENT VCT "&amp;CHAR(10),""),IF(X87&gt;X85," * RITA RECENT VCT "&amp;$X$20&amp;" "&amp;$X$21&amp;" is more than RTRI RECENT VCT "&amp;CHAR(10),""),IF(Y87&gt;Y85," * RITA RECENT VCT "&amp;$X$20&amp;" "&amp;$Y$21&amp;" is more than RTRI RECENT VCT "&amp;CHAR(10),""),IF(Z87&gt;Z85," * RITA RECENT VCT "&amp;$Z$20&amp;" "&amp;$Z$21&amp;" is more than RTRI RECENT VCT "&amp;CHAR(10),""),IF(AA87&gt;AA85," * RITA RECENT VCT "&amp;$Z$20&amp;" "&amp;$AA$21&amp;" is more than RTRI RECENT VCT "&amp;CHAR(10),""))</f>
        <v/>
      </c>
      <c r="AL85" s="924"/>
      <c r="AM85" s="32"/>
      <c r="AN85" s="393"/>
      <c r="AO85" s="14">
        <v>32</v>
      </c>
      <c r="AP85" s="83"/>
      <c r="AQ85" s="84"/>
    </row>
    <row r="86" spans="1:43" s="85" customFormat="1" ht="25.9" thickBot="1" x14ac:dyDescent="0.8">
      <c r="A86" s="702"/>
      <c r="B86" s="394" t="s">
        <v>1214</v>
      </c>
      <c r="C86" s="906" t="s">
        <v>1065</v>
      </c>
      <c r="D86" s="146"/>
      <c r="E86" s="80"/>
      <c r="F86" s="80"/>
      <c r="G86" s="80"/>
      <c r="H86" s="80"/>
      <c r="I86" s="80"/>
      <c r="J86" s="80"/>
      <c r="K86" s="408"/>
      <c r="L86" s="152"/>
      <c r="M86" s="152"/>
      <c r="N86" s="152"/>
      <c r="O86" s="152"/>
      <c r="P86" s="152"/>
      <c r="Q86" s="152"/>
      <c r="R86" s="152"/>
      <c r="S86" s="152"/>
      <c r="T86" s="152"/>
      <c r="U86" s="152"/>
      <c r="V86" s="152"/>
      <c r="W86" s="152"/>
      <c r="X86" s="152"/>
      <c r="Y86" s="152"/>
      <c r="Z86" s="152"/>
      <c r="AA86" s="152"/>
      <c r="AB86" s="413"/>
      <c r="AC86" s="380"/>
      <c r="AD86" s="380"/>
      <c r="AE86" s="380"/>
      <c r="AF86" s="380"/>
      <c r="AG86" s="380"/>
      <c r="AH86" s="380"/>
      <c r="AI86" s="336"/>
      <c r="AJ86" s="204">
        <f t="shared" si="12"/>
        <v>0</v>
      </c>
      <c r="AK86" s="31" t="str">
        <f>CONCATENATE(IF(D88&gt;D86," * RITA Long-Term VCT  "&amp;$D$20&amp;" "&amp;$D$21&amp;" is more than RTRI Long-Term VCT  "&amp;CHAR(10),""),IF(E88&gt;E86," * RITA Long-Term VCT  "&amp;$D$20&amp;" "&amp;$E$21&amp;" is more than RTRI Long-Term VCT  "&amp;CHAR(10),""),IF(F88&gt;F86," * RITA Long-Term VCT  "&amp;$F$20&amp;" "&amp;$F$21&amp;" is more than RTRI Long-Term VCT  "&amp;CHAR(10),""),IF(G88&gt;G86," * RITA Long-Term VCT  "&amp;$F$20&amp;" "&amp;$G$21&amp;" is more than RTRI Long-Term VCT  "&amp;CHAR(10),""),IF(H88&gt;H86," * RITA Long-Term VCT  "&amp;$H$20&amp;" "&amp;$H$21&amp;" is more than RTRI Long-Term VCT  "&amp;CHAR(10),""),IF(I88&gt;I86," * RITA Long-Term VCT  "&amp;$H$20&amp;" "&amp;$I$21&amp;" is more than RTRI Long-Term VCT  "&amp;CHAR(10),""),IF(J88&gt;J86," * RITA Long-Term VCT  "&amp;$J$20&amp;" "&amp;$J$21&amp;" is more than RTRI Long-Term VCT  "&amp;CHAR(10),""),IF(K88&gt;K86," * RITA Long-Term VCT  "&amp;$J$20&amp;" "&amp;$K$21&amp;" is more than RTRI Long-Term VCT  "&amp;CHAR(10),""),IF(L88&gt;L86," * RITA Long-Term VCT  "&amp;$L$20&amp;" "&amp;$L$21&amp;" is more than RTRI Long-Term VCT  "&amp;CHAR(10),""),IF(M88&gt;M86," * RITA Long-Term VCT  "&amp;$L$20&amp;" "&amp;$M$21&amp;" is more than RTRI Long-Term VCT  "&amp;CHAR(10),""),IF(N88&gt;N86," * RITA Long-Term VCT  "&amp;$N$20&amp;" "&amp;$N$21&amp;" is more than RTRI Long-Term VCT  "&amp;CHAR(10),""),IF(O88&gt;O86," * RITA Long-Term VCT  "&amp;$N$20&amp;" "&amp;$O$21&amp;" is more than RTRI Long-Term VCT  "&amp;CHAR(10),""),IF(P88&gt;P86," * RITA Long-Term VCT  "&amp;$P$20&amp;" "&amp;$P$21&amp;" is more than RTRI Long-Term VCT  "&amp;CHAR(10),""),IF(Q88&gt;Q86," * RITA Long-Term VCT  "&amp;$P$20&amp;" "&amp;$Q$21&amp;" is more than RTRI Long-Term VCT  "&amp;CHAR(10),""),IF(R88&gt;R86," * RITA Long-Term VCT  "&amp;$R$20&amp;" "&amp;$R$21&amp;" is more than RTRI Long-Term VCT  "&amp;CHAR(10),""),IF(S88&gt;S86," * RITA Long-Term VCT  "&amp;$R$20&amp;" "&amp;$S$21&amp;" is more than RTRI Long-Term VCT  "&amp;CHAR(10),""),IF(T88&gt;T86," * RITA Long-Term VCT  "&amp;$T$20&amp;" "&amp;$T$21&amp;" is more than RTRI Long-Term VCT  "&amp;CHAR(10),""),IF(U88&gt;U86," * RITA Long-Term VCT  "&amp;$T$20&amp;" "&amp;$U$21&amp;" is more than RTRI Long-Term VCT  "&amp;CHAR(10),""),IF(V88&gt;V86," * RITA Long-Term VCT  "&amp;$V$20&amp;" "&amp;$V$21&amp;" is more than RTRI Long-Term VCT  "&amp;CHAR(10),""),IF(W88&gt;W86," * RITA Long-Term VCT  "&amp;$V$20&amp;" "&amp;$W$21&amp;" is more than RTRI Long-Term VCT  "&amp;CHAR(10),""),IF(X88&gt;X86," * RITA Long-Term VCT  "&amp;$X$20&amp;" "&amp;$X$21&amp;" is more than RTRI Long-Term VCT  "&amp;CHAR(10),""),IF(Y88&gt;Y86," * RITA Long-Term VCT  "&amp;$X$20&amp;" "&amp;$Y$21&amp;" is more than RTRI Long-Term VCT  "&amp;CHAR(10),""),IF(Z88&gt;Z86," * RITA Long-Term VCT  "&amp;$Z$20&amp;" "&amp;$Z$21&amp;" is more than RTRI Long-Term VCT  "&amp;CHAR(10),""),IF(AA88&gt;AA86," * RITA Long-Term VCT  "&amp;$Z$20&amp;" "&amp;$AA$21&amp;" is more than RTRI Long-Term VCT  "&amp;CHAR(10),""))</f>
        <v/>
      </c>
      <c r="AL86" s="924"/>
      <c r="AM86" s="32"/>
      <c r="AN86" s="393"/>
      <c r="AO86" s="14">
        <v>33</v>
      </c>
      <c r="AP86" s="83"/>
      <c r="AQ86" s="84"/>
    </row>
    <row r="87" spans="1:43" s="85" customFormat="1" ht="25.5" x14ac:dyDescent="0.75">
      <c r="A87" s="702"/>
      <c r="B87" s="1" t="s">
        <v>1215</v>
      </c>
      <c r="C87" s="904" t="s">
        <v>1229</v>
      </c>
      <c r="D87" s="146"/>
      <c r="E87" s="80"/>
      <c r="F87" s="80"/>
      <c r="G87" s="80"/>
      <c r="H87" s="80"/>
      <c r="I87" s="80"/>
      <c r="J87" s="80"/>
      <c r="K87" s="408"/>
      <c r="L87" s="252"/>
      <c r="M87" s="252"/>
      <c r="N87" s="252"/>
      <c r="O87" s="252"/>
      <c r="P87" s="252"/>
      <c r="Q87" s="252"/>
      <c r="R87" s="252"/>
      <c r="S87" s="252"/>
      <c r="T87" s="252"/>
      <c r="U87" s="252"/>
      <c r="V87" s="252"/>
      <c r="W87" s="252"/>
      <c r="X87" s="252"/>
      <c r="Y87" s="252"/>
      <c r="Z87" s="252"/>
      <c r="AA87" s="252"/>
      <c r="AB87" s="413"/>
      <c r="AC87" s="380"/>
      <c r="AD87" s="380"/>
      <c r="AE87" s="380"/>
      <c r="AF87" s="380"/>
      <c r="AG87" s="380"/>
      <c r="AH87" s="380"/>
      <c r="AI87" s="336"/>
      <c r="AJ87" s="196"/>
      <c r="AK87" s="31"/>
      <c r="AL87" s="924"/>
      <c r="AM87" s="32"/>
      <c r="AN87" s="393"/>
      <c r="AO87" s="14"/>
      <c r="AP87" s="83"/>
      <c r="AQ87" s="84"/>
    </row>
    <row r="88" spans="1:43" s="85" customFormat="1" ht="25.9" thickBot="1" x14ac:dyDescent="0.8">
      <c r="A88" s="703"/>
      <c r="B88" s="394" t="s">
        <v>1216</v>
      </c>
      <c r="C88" s="906" t="s">
        <v>1230</v>
      </c>
      <c r="D88" s="125"/>
      <c r="E88" s="105"/>
      <c r="F88" s="105"/>
      <c r="G88" s="105"/>
      <c r="H88" s="105"/>
      <c r="I88" s="105"/>
      <c r="J88" s="105"/>
      <c r="K88" s="402"/>
      <c r="L88" s="267"/>
      <c r="M88" s="267"/>
      <c r="N88" s="267"/>
      <c r="O88" s="267"/>
      <c r="P88" s="267"/>
      <c r="Q88" s="267"/>
      <c r="R88" s="267"/>
      <c r="S88" s="267"/>
      <c r="T88" s="267"/>
      <c r="U88" s="267"/>
      <c r="V88" s="267"/>
      <c r="W88" s="267"/>
      <c r="X88" s="267"/>
      <c r="Y88" s="267"/>
      <c r="Z88" s="267"/>
      <c r="AA88" s="267"/>
      <c r="AB88" s="413"/>
      <c r="AC88" s="380"/>
      <c r="AD88" s="380"/>
      <c r="AE88" s="380"/>
      <c r="AF88" s="380"/>
      <c r="AG88" s="380"/>
      <c r="AH88" s="380"/>
      <c r="AI88" s="336"/>
      <c r="AJ88" s="196"/>
      <c r="AK88" s="31"/>
      <c r="AL88" s="924"/>
      <c r="AM88" s="32"/>
      <c r="AN88" s="393"/>
      <c r="AO88" s="14"/>
      <c r="AP88" s="83"/>
      <c r="AQ88" s="84"/>
    </row>
    <row r="89" spans="1:43" s="85" customFormat="1" ht="25.5" customHeight="1" x14ac:dyDescent="0.75">
      <c r="A89" s="701" t="s">
        <v>1057</v>
      </c>
      <c r="B89" s="1" t="s">
        <v>1213</v>
      </c>
      <c r="C89" s="904" t="s">
        <v>1066</v>
      </c>
      <c r="D89" s="145"/>
      <c r="E89" s="102"/>
      <c r="F89" s="102"/>
      <c r="G89" s="102"/>
      <c r="H89" s="102"/>
      <c r="I89" s="102"/>
      <c r="J89" s="102"/>
      <c r="K89" s="401"/>
      <c r="L89" s="252"/>
      <c r="M89" s="252"/>
      <c r="N89" s="252"/>
      <c r="O89" s="252"/>
      <c r="P89" s="252"/>
      <c r="Q89" s="252"/>
      <c r="R89" s="252"/>
      <c r="S89" s="252"/>
      <c r="T89" s="252"/>
      <c r="U89" s="252"/>
      <c r="V89" s="252"/>
      <c r="W89" s="252"/>
      <c r="X89" s="252"/>
      <c r="Y89" s="252"/>
      <c r="Z89" s="252"/>
      <c r="AA89" s="252"/>
      <c r="AB89" s="413"/>
      <c r="AC89" s="380"/>
      <c r="AD89" s="380"/>
      <c r="AE89" s="380"/>
      <c r="AF89" s="380"/>
      <c r="AG89" s="380"/>
      <c r="AH89" s="380"/>
      <c r="AI89" s="336"/>
      <c r="AJ89" s="200">
        <f t="shared" si="12"/>
        <v>0</v>
      </c>
      <c r="AK89" s="31" t="str">
        <f>CONCATENATE(IF(D91&gt;D89," * RITA RECENT Other PITC "&amp;$D$20&amp;" "&amp;$D$21&amp;" is more than RTRI RECENT Other PITC "&amp;CHAR(10),""),IF(E91&gt;E89," * RITA RECENT Other PITC "&amp;$D$20&amp;" "&amp;$E$21&amp;" is more than RTRI RECENT Other PITC "&amp;CHAR(10),""),IF(F91&gt;F89," * RITA RECENT Other PITC "&amp;$F$20&amp;" "&amp;$F$21&amp;" is more than RTRI RECENT Other PITC "&amp;CHAR(10),""),IF(G91&gt;G89," * RITA RECENT Other PITC "&amp;$F$20&amp;" "&amp;$G$21&amp;" is more than RTRI RECENT Other PITC "&amp;CHAR(10),""),IF(H91&gt;H89," * RITA RECENT Other PITC "&amp;$H$20&amp;" "&amp;$H$21&amp;" is more than RTRI RECENT Other PITC "&amp;CHAR(10),""),IF(I91&gt;I89," * RITA RECENT Other PITC "&amp;$H$20&amp;" "&amp;$I$21&amp;" is more than RTRI RECENT Other PITC "&amp;CHAR(10),""),IF(J91&gt;J89," * RITA RECENT Other PITC "&amp;$J$20&amp;" "&amp;$J$21&amp;" is more than RTRI RECENT Other PITC "&amp;CHAR(10),""),IF(K91&gt;K89," * RITA RECENT Other PITC "&amp;$J$20&amp;" "&amp;$K$21&amp;" is more than RTRI RECENT Other PITC "&amp;CHAR(10),""),IF(L91&gt;L89," * RITA RECENT Other PITC "&amp;$L$20&amp;" "&amp;$L$21&amp;" is more than RTRI RECENT Other PITC "&amp;CHAR(10),""),IF(M91&gt;M89," * RITA RECENT Other PITC "&amp;$L$20&amp;" "&amp;$M$21&amp;" is more than RTRI RECENT Other PITC "&amp;CHAR(10),""),IF(N91&gt;N89," * RITA RECENT Other PITC "&amp;$N$20&amp;" "&amp;$N$21&amp;" is more than RTRI RECENT Other PITC "&amp;CHAR(10),""),IF(O91&gt;O89," * RITA RECENT Other PITC "&amp;$N$20&amp;" "&amp;$O$21&amp;" is more than RTRI RECENT Other PITC "&amp;CHAR(10),""),IF(P91&gt;P89," * RITA RECENT Other PITC "&amp;$P$20&amp;" "&amp;$P$21&amp;" is more than RTRI RECENT Other PITC "&amp;CHAR(10),""),IF(Q91&gt;Q89," * RITA RECENT Other PITC "&amp;$P$20&amp;" "&amp;$Q$21&amp;" is more than RTRI RECENT Other PITC "&amp;CHAR(10),""),IF(R91&gt;R89," * RITA RECENT Other PITC "&amp;$R$20&amp;" "&amp;$R$21&amp;" is more than RTRI RECENT Other PITC "&amp;CHAR(10),""),IF(S91&gt;S89," * RITA RECENT Other PITC "&amp;$R$20&amp;" "&amp;$S$21&amp;" is more than RTRI RECENT Other PITC "&amp;CHAR(10),""),IF(T91&gt;T89," * RITA RECENT Other PITC "&amp;$T$20&amp;" "&amp;$T$21&amp;" is more than RTRI RECENT Other PITC "&amp;CHAR(10),""),IF(U91&gt;U89," * RITA RECENT Other PITC "&amp;$T$20&amp;" "&amp;$U$21&amp;" is more than RTRI RECENT Other PITC "&amp;CHAR(10),""),IF(V91&gt;V89," * RITA RECENT Other PITC "&amp;$V$20&amp;" "&amp;$V$21&amp;" is more than RTRI RECENT Other PITC "&amp;CHAR(10),""),IF(W91&gt;W89," * RITA RECENT Other PITC "&amp;$V$20&amp;" "&amp;$W$21&amp;" is more than RTRI RECENT Other PITC "&amp;CHAR(10),""),IF(X91&gt;X89," * RITA RECENT Other PITC "&amp;$X$20&amp;" "&amp;$X$21&amp;" is more than RTRI RECENT Other PITC "&amp;CHAR(10),""),IF(Y91&gt;Y89," * RITA RECENT Other PITC "&amp;$X$20&amp;" "&amp;$Y$21&amp;" is more than RTRI RECENT Other PITC "&amp;CHAR(10),""),IF(Z91&gt;Z89," * RITA RECENT Other PITC "&amp;$Z$20&amp;" "&amp;$Z$21&amp;" is more than RTRI RECENT Other PITC "&amp;CHAR(10),""),IF(AA91&gt;AA89," * RITA RECENT Other PITC "&amp;$Z$20&amp;" "&amp;$AA$21&amp;" is more than RTRI RECENT Other PITC "&amp;CHAR(10),""))</f>
        <v/>
      </c>
      <c r="AL89" s="924"/>
      <c r="AM89" s="32"/>
      <c r="AN89" s="393"/>
      <c r="AO89" s="14">
        <v>32</v>
      </c>
      <c r="AP89" s="83"/>
      <c r="AQ89" s="84"/>
    </row>
    <row r="90" spans="1:43" s="85" customFormat="1" ht="25.9" thickBot="1" x14ac:dyDescent="0.8">
      <c r="A90" s="702"/>
      <c r="B90" s="394" t="s">
        <v>1214</v>
      </c>
      <c r="C90" s="906" t="s">
        <v>1067</v>
      </c>
      <c r="D90" s="146"/>
      <c r="E90" s="80"/>
      <c r="F90" s="80"/>
      <c r="G90" s="80"/>
      <c r="H90" s="80"/>
      <c r="I90" s="80"/>
      <c r="J90" s="80"/>
      <c r="K90" s="408"/>
      <c r="L90" s="152"/>
      <c r="M90" s="152"/>
      <c r="N90" s="152"/>
      <c r="O90" s="152"/>
      <c r="P90" s="152"/>
      <c r="Q90" s="152"/>
      <c r="R90" s="152"/>
      <c r="S90" s="152"/>
      <c r="T90" s="152"/>
      <c r="U90" s="152"/>
      <c r="V90" s="152"/>
      <c r="W90" s="152"/>
      <c r="X90" s="152"/>
      <c r="Y90" s="152"/>
      <c r="Z90" s="152"/>
      <c r="AA90" s="152"/>
      <c r="AB90" s="413"/>
      <c r="AC90" s="380"/>
      <c r="AD90" s="380"/>
      <c r="AE90" s="380"/>
      <c r="AF90" s="380"/>
      <c r="AG90" s="380"/>
      <c r="AH90" s="380"/>
      <c r="AI90" s="336"/>
      <c r="AJ90" s="204">
        <f t="shared" si="12"/>
        <v>0</v>
      </c>
      <c r="AK90" s="31" t="str">
        <f>CONCATENATE(IF(D92&gt;D90," * RITA Long-Term Other PITC  "&amp;$D$20&amp;" "&amp;$D$21&amp;" is more than RTRI Long-Term Other PITC  "&amp;CHAR(10),""),IF(E92&gt;E90," * RITA Long-Term Other PITC  "&amp;$D$20&amp;" "&amp;$E$21&amp;" is more than RTRI Long-Term Other PITC  "&amp;CHAR(10),""),IF(F92&gt;F90," * RITA Long-Term Other PITC  "&amp;$F$20&amp;" "&amp;$F$21&amp;" is more than RTRI Long-Term Other PITC  "&amp;CHAR(10),""),IF(G92&gt;G90," * RITA Long-Term Other PITC  "&amp;$F$20&amp;" "&amp;$G$21&amp;" is more than RTRI Long-Term Other PITC  "&amp;CHAR(10),""),IF(H92&gt;H90," * RITA Long-Term Other PITC  "&amp;$H$20&amp;" "&amp;$H$21&amp;" is more than RTRI Long-Term Other PITC  "&amp;CHAR(10),""),IF(I92&gt;I90," * RITA Long-Term Other PITC  "&amp;$H$20&amp;" "&amp;$I$21&amp;" is more than RTRI Long-Term Other PITC  "&amp;CHAR(10),""),IF(J92&gt;J90," * RITA Long-Term Other PITC  "&amp;$J$20&amp;" "&amp;$J$21&amp;" is more than RTRI Long-Term Other PITC  "&amp;CHAR(10),""),IF(K92&gt;K90," * RITA Long-Term Other PITC  "&amp;$J$20&amp;" "&amp;$K$21&amp;" is more than RTRI Long-Term Other PITC  "&amp;CHAR(10),""),IF(L92&gt;L90," * RITA Long-Term Other PITC  "&amp;$L$20&amp;" "&amp;$L$21&amp;" is more than RTRI Long-Term Other PITC  "&amp;CHAR(10),""),IF(M92&gt;M90," * RITA Long-Term Other PITC  "&amp;$L$20&amp;" "&amp;$M$21&amp;" is more than RTRI Long-Term Other PITC  "&amp;CHAR(10),""),IF(N92&gt;N90," * RITA Long-Term Other PITC  "&amp;$N$20&amp;" "&amp;$N$21&amp;" is more than RTRI Long-Term Other PITC  "&amp;CHAR(10),""),IF(O92&gt;O90," * RITA Long-Term Other PITC  "&amp;$N$20&amp;" "&amp;$O$21&amp;" is more than RTRI Long-Term Other PITC  "&amp;CHAR(10),""),IF(P92&gt;P90," * RITA Long-Term Other PITC  "&amp;$P$20&amp;" "&amp;$P$21&amp;" is more than RTRI Long-Term Other PITC  "&amp;CHAR(10),""),IF(Q92&gt;Q90," * RITA Long-Term Other PITC  "&amp;$P$20&amp;" "&amp;$Q$21&amp;" is more than RTRI Long-Term Other PITC  "&amp;CHAR(10),""),IF(R92&gt;R90," * RITA Long-Term Other PITC  "&amp;$R$20&amp;" "&amp;$R$21&amp;" is more than RTRI Long-Term Other PITC  "&amp;CHAR(10),""),IF(S92&gt;S90," * RITA Long-Term Other PITC  "&amp;$R$20&amp;" "&amp;$S$21&amp;" is more than RTRI Long-Term Other PITC  "&amp;CHAR(10),""),IF(T92&gt;T90," * RITA Long-Term Other PITC  "&amp;$T$20&amp;" "&amp;$T$21&amp;" is more than RTRI Long-Term Other PITC  "&amp;CHAR(10),""),IF(U92&gt;U90," * RITA Long-Term Other PITC  "&amp;$T$20&amp;" "&amp;$U$21&amp;" is more than RTRI Long-Term Other PITC  "&amp;CHAR(10),""),IF(V92&gt;V90," * RITA Long-Term Other PITC  "&amp;$V$20&amp;" "&amp;$V$21&amp;" is more than RTRI Long-Term Other PITC  "&amp;CHAR(10),""),IF(W92&gt;W90," * RITA Long-Term Other PITC  "&amp;$V$20&amp;" "&amp;$W$21&amp;" is more than RTRI Long-Term Other PITC  "&amp;CHAR(10),""),IF(X92&gt;X90," * RITA Long-Term Other PITC  "&amp;$X$20&amp;" "&amp;$X$21&amp;" is more than RTRI Long-Term Other PITC  "&amp;CHAR(10),""),IF(Y92&gt;Y90," * RITA Long-Term Other PITC  "&amp;$X$20&amp;" "&amp;$Y$21&amp;" is more than RTRI Long-Term Other PITC  "&amp;CHAR(10),""),IF(Z92&gt;Z90," * RITA Long-Term Other PITC  "&amp;$Z$20&amp;" "&amp;$Z$21&amp;" is more than RTRI Long-Term Other PITC  "&amp;CHAR(10),""),IF(AA92&gt;AA90," * RITA Long-Term Other PITC  "&amp;$Z$20&amp;" "&amp;$AA$21&amp;" is more than RTRI Long-Term Other PITC  "&amp;CHAR(10),""))</f>
        <v/>
      </c>
      <c r="AL90" s="924"/>
      <c r="AM90" s="32"/>
      <c r="AN90" s="393"/>
      <c r="AO90" s="14">
        <v>33</v>
      </c>
      <c r="AP90" s="83"/>
      <c r="AQ90" s="84"/>
    </row>
    <row r="91" spans="1:43" s="85" customFormat="1" ht="25.5" x14ac:dyDescent="0.75">
      <c r="A91" s="702"/>
      <c r="B91" s="1" t="s">
        <v>1215</v>
      </c>
      <c r="C91" s="904" t="s">
        <v>1231</v>
      </c>
      <c r="D91" s="146"/>
      <c r="E91" s="80"/>
      <c r="F91" s="80"/>
      <c r="G91" s="80"/>
      <c r="H91" s="80"/>
      <c r="I91" s="80"/>
      <c r="J91" s="80"/>
      <c r="K91" s="408"/>
      <c r="L91" s="252"/>
      <c r="M91" s="252"/>
      <c r="N91" s="252"/>
      <c r="O91" s="252"/>
      <c r="P91" s="252"/>
      <c r="Q91" s="252"/>
      <c r="R91" s="252"/>
      <c r="S91" s="252"/>
      <c r="T91" s="252"/>
      <c r="U91" s="252"/>
      <c r="V91" s="252"/>
      <c r="W91" s="252"/>
      <c r="X91" s="252"/>
      <c r="Y91" s="252"/>
      <c r="Z91" s="252"/>
      <c r="AA91" s="252"/>
      <c r="AB91" s="413"/>
      <c r="AC91" s="380"/>
      <c r="AD91" s="380"/>
      <c r="AE91" s="380"/>
      <c r="AF91" s="380"/>
      <c r="AG91" s="380"/>
      <c r="AH91" s="380"/>
      <c r="AI91" s="336"/>
      <c r="AJ91" s="196"/>
      <c r="AK91" s="31"/>
      <c r="AL91" s="924"/>
      <c r="AM91" s="32"/>
      <c r="AN91" s="393"/>
      <c r="AO91" s="14"/>
      <c r="AP91" s="83"/>
      <c r="AQ91" s="84"/>
    </row>
    <row r="92" spans="1:43" s="85" customFormat="1" ht="25.9" thickBot="1" x14ac:dyDescent="0.8">
      <c r="A92" s="703"/>
      <c r="B92" s="394" t="s">
        <v>1216</v>
      </c>
      <c r="C92" s="906" t="s">
        <v>1232</v>
      </c>
      <c r="D92" s="125"/>
      <c r="E92" s="105"/>
      <c r="F92" s="105"/>
      <c r="G92" s="105"/>
      <c r="H92" s="105"/>
      <c r="I92" s="105"/>
      <c r="J92" s="105"/>
      <c r="K92" s="402"/>
      <c r="L92" s="267"/>
      <c r="M92" s="267"/>
      <c r="N92" s="267"/>
      <c r="O92" s="267"/>
      <c r="P92" s="267"/>
      <c r="Q92" s="267"/>
      <c r="R92" s="267"/>
      <c r="S92" s="267"/>
      <c r="T92" s="267"/>
      <c r="U92" s="267"/>
      <c r="V92" s="267"/>
      <c r="W92" s="267"/>
      <c r="X92" s="267"/>
      <c r="Y92" s="267"/>
      <c r="Z92" s="267"/>
      <c r="AA92" s="267"/>
      <c r="AB92" s="413"/>
      <c r="AC92" s="380"/>
      <c r="AD92" s="380"/>
      <c r="AE92" s="380"/>
      <c r="AF92" s="380"/>
      <c r="AG92" s="380"/>
      <c r="AH92" s="380"/>
      <c r="AI92" s="336"/>
      <c r="AJ92" s="196"/>
      <c r="AK92" s="31"/>
      <c r="AL92" s="924"/>
      <c r="AM92" s="32"/>
      <c r="AN92" s="393"/>
      <c r="AO92" s="14"/>
      <c r="AP92" s="83"/>
      <c r="AQ92" s="84"/>
    </row>
    <row r="93" spans="1:43" s="85" customFormat="1" ht="25.15" customHeight="1" x14ac:dyDescent="0.75">
      <c r="A93" s="701" t="s">
        <v>1075</v>
      </c>
      <c r="B93" s="1" t="s">
        <v>1213</v>
      </c>
      <c r="C93" s="904" t="s">
        <v>1068</v>
      </c>
      <c r="D93" s="887"/>
      <c r="E93" s="73"/>
      <c r="F93" s="73"/>
      <c r="G93" s="73"/>
      <c r="H93" s="73"/>
      <c r="I93" s="73"/>
      <c r="J93" s="73"/>
      <c r="K93" s="888"/>
      <c r="L93" s="252"/>
      <c r="M93" s="252"/>
      <c r="N93" s="252"/>
      <c r="O93" s="252"/>
      <c r="P93" s="252"/>
      <c r="Q93" s="252"/>
      <c r="R93" s="252"/>
      <c r="S93" s="252"/>
      <c r="T93" s="252"/>
      <c r="U93" s="252"/>
      <c r="V93" s="252"/>
      <c r="W93" s="252"/>
      <c r="X93" s="252"/>
      <c r="Y93" s="252"/>
      <c r="Z93" s="252"/>
      <c r="AA93" s="252"/>
      <c r="AB93" s="413"/>
      <c r="AC93" s="380"/>
      <c r="AD93" s="380"/>
      <c r="AE93" s="380"/>
      <c r="AF93" s="380"/>
      <c r="AG93" s="380"/>
      <c r="AH93" s="380"/>
      <c r="AI93" s="336"/>
      <c r="AJ93" s="200">
        <f t="shared" si="12"/>
        <v>0</v>
      </c>
      <c r="AK93" s="31" t="str">
        <f>CONCATENATE(IF(D95&gt;D93," * RITA RECENT SNS "&amp;$D$20&amp;" "&amp;$D$21&amp;" is more than RTRI RECENT SNS "&amp;CHAR(10),""),IF(E95&gt;E93," * RITA RECENT SNS "&amp;$D$20&amp;" "&amp;$E$21&amp;" is more than RTRI RECENT SNS "&amp;CHAR(10),""),IF(F95&gt;F93," * RITA RECENT SNS "&amp;$F$20&amp;" "&amp;$F$21&amp;" is more than RTRI RECENT SNS "&amp;CHAR(10),""),IF(G95&gt;G93," * RITA RECENT SNS "&amp;$F$20&amp;" "&amp;$G$21&amp;" is more than RTRI RECENT SNS "&amp;CHAR(10),""),IF(H95&gt;H93," * RITA RECENT SNS "&amp;$H$20&amp;" "&amp;$H$21&amp;" is more than RTRI RECENT SNS "&amp;CHAR(10),""),IF(I95&gt;I93," * RITA RECENT SNS "&amp;$H$20&amp;" "&amp;$I$21&amp;" is more than RTRI RECENT SNS "&amp;CHAR(10),""),IF(J95&gt;J93," * RITA RECENT SNS "&amp;$J$20&amp;" "&amp;$J$21&amp;" is more than RTRI RECENT SNS "&amp;CHAR(10),""),IF(K95&gt;K93," * RITA RECENT SNS "&amp;$J$20&amp;" "&amp;$K$21&amp;" is more than RTRI RECENT SNS "&amp;CHAR(10),""),IF(L95&gt;L93," * RITA RECENT SNS "&amp;$L$20&amp;" "&amp;$L$21&amp;" is more than RTRI RECENT SNS "&amp;CHAR(10),""),IF(M95&gt;M93," * RITA RECENT SNS "&amp;$L$20&amp;" "&amp;$M$21&amp;" is more than RTRI RECENT SNS "&amp;CHAR(10),""),IF(N95&gt;N93," * RITA RECENT SNS "&amp;$N$20&amp;" "&amp;$N$21&amp;" is more than RTRI RECENT SNS "&amp;CHAR(10),""),IF(O95&gt;O93," * RITA RECENT SNS "&amp;$N$20&amp;" "&amp;$O$21&amp;" is more than RTRI RECENT SNS "&amp;CHAR(10),""),IF(P95&gt;P93," * RITA RECENT SNS "&amp;$P$20&amp;" "&amp;$P$21&amp;" is more than RTRI RECENT SNS "&amp;CHAR(10),""),IF(Q95&gt;Q93," * RITA RECENT SNS "&amp;$P$20&amp;" "&amp;$Q$21&amp;" is more than RTRI RECENT SNS "&amp;CHAR(10),""),IF(R95&gt;R93," * RITA RECENT SNS "&amp;$R$20&amp;" "&amp;$R$21&amp;" is more than RTRI RECENT SNS "&amp;CHAR(10),""),IF(S95&gt;S93," * RITA RECENT SNS "&amp;$R$20&amp;" "&amp;$S$21&amp;" is more than RTRI RECENT SNS "&amp;CHAR(10),""),IF(T95&gt;T93," * RITA RECENT SNS "&amp;$T$20&amp;" "&amp;$T$21&amp;" is more than RTRI RECENT SNS "&amp;CHAR(10),""),IF(U95&gt;U93," * RITA RECENT SNS "&amp;$T$20&amp;" "&amp;$U$21&amp;" is more than RTRI RECENT SNS "&amp;CHAR(10),""),IF(V95&gt;V93," * RITA RECENT SNS "&amp;$V$20&amp;" "&amp;$V$21&amp;" is more than RTRI RECENT SNS "&amp;CHAR(10),""),IF(W95&gt;W93," * RITA RECENT SNS "&amp;$V$20&amp;" "&amp;$W$21&amp;" is more than RTRI RECENT SNS "&amp;CHAR(10),""),IF(X95&gt;X93," * RITA RECENT SNS "&amp;$X$20&amp;" "&amp;$X$21&amp;" is more than RTRI RECENT SNS "&amp;CHAR(10),""),IF(Y95&gt;Y93," * RITA RECENT SNS "&amp;$X$20&amp;" "&amp;$Y$21&amp;" is more than RTRI RECENT SNS "&amp;CHAR(10),""),IF(Z95&gt;Z93," * RITA RECENT SNS "&amp;$Z$20&amp;" "&amp;$Z$21&amp;" is more than RTRI RECENT SNS "&amp;CHAR(10),""),IF(AA95&gt;AA93," * RITA RECENT SNS "&amp;$Z$20&amp;" "&amp;$AA$21&amp;" is more than RTRI RECENT SNS "&amp;CHAR(10),""))</f>
        <v/>
      </c>
      <c r="AL93" s="924"/>
      <c r="AM93" s="32"/>
      <c r="AN93" s="393"/>
      <c r="AO93" s="14">
        <v>32</v>
      </c>
      <c r="AP93" s="83"/>
      <c r="AQ93" s="84"/>
    </row>
    <row r="94" spans="1:43" s="85" customFormat="1" ht="28.15" customHeight="1" thickBot="1" x14ac:dyDescent="0.8">
      <c r="A94" s="702"/>
      <c r="B94" s="394" t="s">
        <v>1214</v>
      </c>
      <c r="C94" s="906" t="s">
        <v>1069</v>
      </c>
      <c r="D94" s="125"/>
      <c r="E94" s="105"/>
      <c r="F94" s="105"/>
      <c r="G94" s="105"/>
      <c r="H94" s="105"/>
      <c r="I94" s="105"/>
      <c r="J94" s="105"/>
      <c r="K94" s="402"/>
      <c r="L94" s="152"/>
      <c r="M94" s="152"/>
      <c r="N94" s="152"/>
      <c r="O94" s="152"/>
      <c r="P94" s="152"/>
      <c r="Q94" s="152"/>
      <c r="R94" s="152"/>
      <c r="S94" s="152"/>
      <c r="T94" s="152"/>
      <c r="U94" s="152"/>
      <c r="V94" s="152"/>
      <c r="W94" s="152"/>
      <c r="X94" s="152"/>
      <c r="Y94" s="152"/>
      <c r="Z94" s="152"/>
      <c r="AA94" s="152"/>
      <c r="AB94" s="414"/>
      <c r="AC94" s="415"/>
      <c r="AD94" s="415"/>
      <c r="AE94" s="415"/>
      <c r="AF94" s="415"/>
      <c r="AG94" s="415"/>
      <c r="AH94" s="415"/>
      <c r="AI94" s="337"/>
      <c r="AJ94" s="204">
        <f t="shared" si="12"/>
        <v>0</v>
      </c>
      <c r="AK94" s="31" t="str">
        <f>CONCATENATE(IF(D96&gt;D94," * RITA Long-Term SNS  "&amp;$D$20&amp;" "&amp;$D$21&amp;" is more than RTRI Long-Term SNS  "&amp;CHAR(10),""),IF(E96&gt;E94," * RITA Long-Term SNS  "&amp;$D$20&amp;" "&amp;$E$21&amp;" is more than RTRI Long-Term SNS  "&amp;CHAR(10),""),IF(F96&gt;F94," * RITA Long-Term SNS  "&amp;$F$20&amp;" "&amp;$F$21&amp;" is more than RTRI Long-Term SNS  "&amp;CHAR(10),""),IF(G96&gt;G94," * RITA Long-Term SNS  "&amp;$F$20&amp;" "&amp;$G$21&amp;" is more than RTRI Long-Term SNS  "&amp;CHAR(10),""),IF(H96&gt;H94," * RITA Long-Term SNS  "&amp;$H$20&amp;" "&amp;$H$21&amp;" is more than RTRI Long-Term SNS  "&amp;CHAR(10),""),IF(I96&gt;I94," * RITA Long-Term SNS  "&amp;$H$20&amp;" "&amp;$I$21&amp;" is more than RTRI Long-Term SNS  "&amp;CHAR(10),""),IF(J96&gt;J94," * RITA Long-Term SNS  "&amp;$J$20&amp;" "&amp;$J$21&amp;" is more than RTRI Long-Term SNS  "&amp;CHAR(10),""),IF(K96&gt;K94," * RITA Long-Term SNS  "&amp;$J$20&amp;" "&amp;$K$21&amp;" is more than RTRI Long-Term SNS  "&amp;CHAR(10),""),IF(L96&gt;L94," * RITA Long-Term SNS  "&amp;$L$20&amp;" "&amp;$L$21&amp;" is more than RTRI Long-Term SNS  "&amp;CHAR(10),""),IF(M96&gt;M94," * RITA Long-Term SNS  "&amp;$L$20&amp;" "&amp;$M$21&amp;" is more than RTRI Long-Term SNS  "&amp;CHAR(10),""),IF(N96&gt;N94," * RITA Long-Term SNS  "&amp;$N$20&amp;" "&amp;$N$21&amp;" is more than RTRI Long-Term SNS  "&amp;CHAR(10),""),IF(O96&gt;O94," * RITA Long-Term SNS  "&amp;$N$20&amp;" "&amp;$O$21&amp;" is more than RTRI Long-Term SNS  "&amp;CHAR(10),""),IF(P96&gt;P94," * RITA Long-Term SNS  "&amp;$P$20&amp;" "&amp;$P$21&amp;" is more than RTRI Long-Term SNS  "&amp;CHAR(10),""),IF(Q96&gt;Q94," * RITA Long-Term SNS  "&amp;$P$20&amp;" "&amp;$Q$21&amp;" is more than RTRI Long-Term SNS  "&amp;CHAR(10),""),IF(R96&gt;R94," * RITA Long-Term SNS  "&amp;$R$20&amp;" "&amp;$R$21&amp;" is more than RTRI Long-Term SNS  "&amp;CHAR(10),""),IF(S96&gt;S94," * RITA Long-Term SNS  "&amp;$R$20&amp;" "&amp;$S$21&amp;" is more than RTRI Long-Term SNS  "&amp;CHAR(10),""),IF(T96&gt;T94," * RITA Long-Term SNS  "&amp;$T$20&amp;" "&amp;$T$21&amp;" is more than RTRI Long-Term SNS  "&amp;CHAR(10),""),IF(U96&gt;U94," * RITA Long-Term SNS  "&amp;$T$20&amp;" "&amp;$U$21&amp;" is more than RTRI Long-Term SNS  "&amp;CHAR(10),""),IF(V96&gt;V94," * RITA Long-Term SNS  "&amp;$V$20&amp;" "&amp;$V$21&amp;" is more than RTRI Long-Term SNS  "&amp;CHAR(10),""),IF(W96&gt;W94," * RITA Long-Term SNS  "&amp;$V$20&amp;" "&amp;$W$21&amp;" is more than RTRI Long-Term SNS  "&amp;CHAR(10),""),IF(X96&gt;X94," * RITA Long-Term SNS  "&amp;$X$20&amp;" "&amp;$X$21&amp;" is more than RTRI Long-Term SNS  "&amp;CHAR(10),""),IF(Y96&gt;Y94," * RITA Long-Term SNS  "&amp;$X$20&amp;" "&amp;$Y$21&amp;" is more than RTRI Long-Term SNS  "&amp;CHAR(10),""),IF(Z96&gt;Z94," * RITA Long-Term SNS  "&amp;$Z$20&amp;" "&amp;$Z$21&amp;" is more than RTRI Long-Term SNS  "&amp;CHAR(10),""),IF(AA96&gt;AA94," * RITA Long-Term SNS  "&amp;$Z$20&amp;" "&amp;$AA$21&amp;" is more than RTRI Long-Term SNS  "&amp;CHAR(10),""))</f>
        <v/>
      </c>
      <c r="AL94" s="924"/>
      <c r="AM94" s="32"/>
      <c r="AN94" s="393"/>
      <c r="AO94" s="14">
        <v>33</v>
      </c>
      <c r="AP94" s="83"/>
      <c r="AQ94" s="84"/>
    </row>
    <row r="95" spans="1:43" s="85" customFormat="1" ht="27.4" customHeight="1" x14ac:dyDescent="0.75">
      <c r="A95" s="702"/>
      <c r="B95" s="1" t="s">
        <v>1215</v>
      </c>
      <c r="C95" s="904" t="s">
        <v>1233</v>
      </c>
      <c r="D95" s="886"/>
      <c r="E95" s="126"/>
      <c r="F95" s="126"/>
      <c r="G95" s="126"/>
      <c r="H95" s="126"/>
      <c r="I95" s="126"/>
      <c r="J95" s="126"/>
      <c r="K95" s="435"/>
      <c r="L95" s="252"/>
      <c r="M95" s="252"/>
      <c r="N95" s="252"/>
      <c r="O95" s="252"/>
      <c r="P95" s="252"/>
      <c r="Q95" s="252"/>
      <c r="R95" s="252"/>
      <c r="S95" s="252"/>
      <c r="T95" s="252"/>
      <c r="U95" s="252"/>
      <c r="V95" s="252"/>
      <c r="W95" s="252"/>
      <c r="X95" s="252"/>
      <c r="Y95" s="252"/>
      <c r="Z95" s="252"/>
      <c r="AA95" s="252"/>
      <c r="AB95" s="413"/>
      <c r="AC95" s="380"/>
      <c r="AD95" s="380"/>
      <c r="AE95" s="380"/>
      <c r="AF95" s="380"/>
      <c r="AG95" s="380"/>
      <c r="AH95" s="380"/>
      <c r="AI95" s="336"/>
      <c r="AJ95" s="196"/>
      <c r="AK95" s="31"/>
      <c r="AL95" s="924"/>
      <c r="AM95" s="32"/>
      <c r="AN95" s="393"/>
      <c r="AO95" s="14"/>
      <c r="AP95" s="83"/>
      <c r="AQ95" s="84"/>
    </row>
    <row r="96" spans="1:43" s="85" customFormat="1" ht="24.4" customHeight="1" thickBot="1" x14ac:dyDescent="0.8">
      <c r="A96" s="703"/>
      <c r="B96" s="394" t="s">
        <v>1216</v>
      </c>
      <c r="C96" s="906" t="s">
        <v>1234</v>
      </c>
      <c r="D96" s="886"/>
      <c r="E96" s="126"/>
      <c r="F96" s="126"/>
      <c r="G96" s="126"/>
      <c r="H96" s="126"/>
      <c r="I96" s="126"/>
      <c r="J96" s="126"/>
      <c r="K96" s="435"/>
      <c r="L96" s="267"/>
      <c r="M96" s="267"/>
      <c r="N96" s="267"/>
      <c r="O96" s="267"/>
      <c r="P96" s="267"/>
      <c r="Q96" s="267"/>
      <c r="R96" s="267"/>
      <c r="S96" s="267"/>
      <c r="T96" s="267"/>
      <c r="U96" s="267"/>
      <c r="V96" s="267"/>
      <c r="W96" s="267"/>
      <c r="X96" s="267"/>
      <c r="Y96" s="267"/>
      <c r="Z96" s="267"/>
      <c r="AA96" s="267"/>
      <c r="AB96" s="413"/>
      <c r="AC96" s="380"/>
      <c r="AD96" s="380"/>
      <c r="AE96" s="380"/>
      <c r="AF96" s="380"/>
      <c r="AG96" s="380"/>
      <c r="AH96" s="380"/>
      <c r="AI96" s="336"/>
      <c r="AJ96" s="196"/>
      <c r="AK96" s="31"/>
      <c r="AL96" s="924"/>
      <c r="AM96" s="32"/>
      <c r="AN96" s="393"/>
      <c r="AO96" s="14"/>
      <c r="AP96" s="83"/>
      <c r="AQ96" s="84"/>
    </row>
    <row r="97" spans="1:43" s="85" customFormat="1" ht="25.5" hidden="1" customHeight="1" x14ac:dyDescent="0.75">
      <c r="A97" s="585" t="s">
        <v>1058</v>
      </c>
      <c r="B97" s="1" t="s">
        <v>1059</v>
      </c>
      <c r="C97" s="904" t="s">
        <v>1076</v>
      </c>
      <c r="D97" s="146"/>
      <c r="E97" s="80"/>
      <c r="F97" s="80"/>
      <c r="G97" s="80"/>
      <c r="H97" s="80"/>
      <c r="I97" s="80"/>
      <c r="J97" s="80"/>
      <c r="K97" s="408"/>
      <c r="L97" s="252"/>
      <c r="M97" s="97"/>
      <c r="N97" s="97"/>
      <c r="O97" s="97"/>
      <c r="P97" s="97"/>
      <c r="Q97" s="97"/>
      <c r="R97" s="97"/>
      <c r="S97" s="97"/>
      <c r="T97" s="97"/>
      <c r="U97" s="97"/>
      <c r="V97" s="97"/>
      <c r="W97" s="97"/>
      <c r="X97" s="97"/>
      <c r="Y97" s="97"/>
      <c r="Z97" s="97"/>
      <c r="AA97" s="344"/>
      <c r="AB97" s="878"/>
      <c r="AC97" s="874"/>
      <c r="AD97" s="874"/>
      <c r="AE97" s="874"/>
      <c r="AF97" s="874"/>
      <c r="AG97" s="874"/>
      <c r="AH97" s="874"/>
      <c r="AI97" s="879"/>
      <c r="AJ97" s="437">
        <f t="shared" si="12"/>
        <v>0</v>
      </c>
      <c r="AK97" s="31"/>
      <c r="AL97" s="924"/>
      <c r="AM97" s="32"/>
      <c r="AN97" s="393"/>
      <c r="AO97" s="14">
        <v>32</v>
      </c>
      <c r="AP97" s="83"/>
      <c r="AQ97" s="84"/>
    </row>
    <row r="98" spans="1:43" s="85" customFormat="1" ht="25.9" hidden="1" customHeight="1" thickBot="1" x14ac:dyDescent="0.8">
      <c r="A98" s="586"/>
      <c r="B98" s="394" t="s">
        <v>1060</v>
      </c>
      <c r="C98" s="906" t="s">
        <v>1077</v>
      </c>
      <c r="D98" s="125"/>
      <c r="E98" s="105"/>
      <c r="F98" s="105"/>
      <c r="G98" s="105"/>
      <c r="H98" s="105"/>
      <c r="I98" s="105"/>
      <c r="J98" s="105"/>
      <c r="K98" s="402"/>
      <c r="L98" s="432"/>
      <c r="M98" s="100"/>
      <c r="N98" s="100"/>
      <c r="O98" s="100"/>
      <c r="P98" s="100"/>
      <c r="Q98" s="100"/>
      <c r="R98" s="100"/>
      <c r="S98" s="100"/>
      <c r="T98" s="100"/>
      <c r="U98" s="100"/>
      <c r="V98" s="100"/>
      <c r="W98" s="100"/>
      <c r="X98" s="100"/>
      <c r="Y98" s="100"/>
      <c r="Z98" s="100"/>
      <c r="AA98" s="345"/>
      <c r="AB98" s="397"/>
      <c r="AC98" s="398"/>
      <c r="AD98" s="398"/>
      <c r="AE98" s="398"/>
      <c r="AF98" s="398"/>
      <c r="AG98" s="398"/>
      <c r="AH98" s="398"/>
      <c r="AI98" s="399"/>
      <c r="AJ98" s="438">
        <f t="shared" si="12"/>
        <v>0</v>
      </c>
      <c r="AK98" s="31"/>
      <c r="AL98" s="925"/>
      <c r="AM98" s="32"/>
      <c r="AN98" s="393"/>
      <c r="AO98" s="14">
        <v>33</v>
      </c>
      <c r="AP98" s="83"/>
      <c r="AQ98" s="84"/>
    </row>
    <row r="99" spans="1:43" ht="25.9" thickBot="1" x14ac:dyDescent="0.8">
      <c r="A99" s="640" t="s">
        <v>112</v>
      </c>
      <c r="B99" s="641"/>
      <c r="C99" s="642"/>
      <c r="D99" s="641"/>
      <c r="E99" s="641"/>
      <c r="F99" s="641"/>
      <c r="G99" s="641"/>
      <c r="H99" s="641"/>
      <c r="I99" s="641"/>
      <c r="J99" s="641"/>
      <c r="K99" s="641"/>
      <c r="L99" s="641"/>
      <c r="M99" s="641"/>
      <c r="N99" s="641"/>
      <c r="O99" s="641"/>
      <c r="P99" s="641"/>
      <c r="Q99" s="641"/>
      <c r="R99" s="641"/>
      <c r="S99" s="641"/>
      <c r="T99" s="641"/>
      <c r="U99" s="641"/>
      <c r="V99" s="641"/>
      <c r="W99" s="641"/>
      <c r="X99" s="641"/>
      <c r="Y99" s="641"/>
      <c r="Z99" s="641"/>
      <c r="AA99" s="641"/>
      <c r="AB99" s="642"/>
      <c r="AC99" s="642"/>
      <c r="AD99" s="642"/>
      <c r="AE99" s="642"/>
      <c r="AF99" s="642"/>
      <c r="AG99" s="642"/>
      <c r="AH99" s="642"/>
      <c r="AI99" s="642"/>
      <c r="AJ99" s="641"/>
      <c r="AK99" s="641"/>
      <c r="AL99" s="642"/>
      <c r="AM99" s="641"/>
      <c r="AN99" s="643"/>
      <c r="AO99" s="14">
        <v>50</v>
      </c>
      <c r="AP99" s="76"/>
      <c r="AQ99" s="77"/>
    </row>
    <row r="100" spans="1:43" ht="26.25" customHeight="1" x14ac:dyDescent="0.75">
      <c r="A100" s="617" t="s">
        <v>37</v>
      </c>
      <c r="B100" s="644" t="s">
        <v>346</v>
      </c>
      <c r="C100" s="897" t="s">
        <v>327</v>
      </c>
      <c r="D100" s="615"/>
      <c r="E100" s="615"/>
      <c r="F100" s="615"/>
      <c r="G100" s="615"/>
      <c r="H100" s="615"/>
      <c r="I100" s="615"/>
      <c r="J100" s="614" t="s">
        <v>3</v>
      </c>
      <c r="K100" s="614"/>
      <c r="L100" s="614" t="s">
        <v>4</v>
      </c>
      <c r="M100" s="614"/>
      <c r="N100" s="614" t="s">
        <v>5</v>
      </c>
      <c r="O100" s="614"/>
      <c r="P100" s="614" t="s">
        <v>6</v>
      </c>
      <c r="Q100" s="614"/>
      <c r="R100" s="614" t="s">
        <v>7</v>
      </c>
      <c r="S100" s="614"/>
      <c r="T100" s="614" t="s">
        <v>8</v>
      </c>
      <c r="U100" s="614"/>
      <c r="V100" s="614" t="s">
        <v>23</v>
      </c>
      <c r="W100" s="614"/>
      <c r="X100" s="614" t="s">
        <v>24</v>
      </c>
      <c r="Y100" s="614"/>
      <c r="Z100" s="614" t="s">
        <v>9</v>
      </c>
      <c r="AA100" s="614"/>
      <c r="AB100" s="625"/>
      <c r="AC100" s="626"/>
      <c r="AD100" s="626"/>
      <c r="AE100" s="626"/>
      <c r="AF100" s="626"/>
      <c r="AG100" s="626"/>
      <c r="AH100" s="626"/>
      <c r="AI100" s="627"/>
      <c r="AJ100" s="692" t="s">
        <v>19</v>
      </c>
      <c r="AK100" s="657" t="s">
        <v>380</v>
      </c>
      <c r="AL100" s="638" t="s">
        <v>386</v>
      </c>
      <c r="AM100" s="659" t="s">
        <v>387</v>
      </c>
      <c r="AN100" s="654" t="s">
        <v>387</v>
      </c>
      <c r="AO100" s="14">
        <v>51</v>
      </c>
      <c r="AP100" s="76"/>
      <c r="AQ100" s="77"/>
    </row>
    <row r="101" spans="1:43" ht="27" customHeight="1" thickBot="1" x14ac:dyDescent="0.8">
      <c r="A101" s="618"/>
      <c r="B101" s="645"/>
      <c r="C101" s="892"/>
      <c r="D101" s="616"/>
      <c r="E101" s="616"/>
      <c r="F101" s="616"/>
      <c r="G101" s="616"/>
      <c r="H101" s="616"/>
      <c r="I101" s="616"/>
      <c r="J101" s="315" t="s">
        <v>10</v>
      </c>
      <c r="K101" s="315" t="s">
        <v>11</v>
      </c>
      <c r="L101" s="315" t="s">
        <v>10</v>
      </c>
      <c r="M101" s="315" t="s">
        <v>11</v>
      </c>
      <c r="N101" s="315" t="s">
        <v>10</v>
      </c>
      <c r="O101" s="315" t="s">
        <v>11</v>
      </c>
      <c r="P101" s="315" t="s">
        <v>10</v>
      </c>
      <c r="Q101" s="315" t="s">
        <v>11</v>
      </c>
      <c r="R101" s="315" t="s">
        <v>10</v>
      </c>
      <c r="S101" s="315" t="s">
        <v>11</v>
      </c>
      <c r="T101" s="315" t="s">
        <v>10</v>
      </c>
      <c r="U101" s="315" t="s">
        <v>11</v>
      </c>
      <c r="V101" s="315" t="s">
        <v>10</v>
      </c>
      <c r="W101" s="315" t="s">
        <v>11</v>
      </c>
      <c r="X101" s="315" t="s">
        <v>10</v>
      </c>
      <c r="Y101" s="315" t="s">
        <v>11</v>
      </c>
      <c r="Z101" s="315" t="s">
        <v>10</v>
      </c>
      <c r="AA101" s="315" t="s">
        <v>11</v>
      </c>
      <c r="AB101" s="409"/>
      <c r="AC101" s="396"/>
      <c r="AD101" s="396"/>
      <c r="AE101" s="396"/>
      <c r="AF101" s="396"/>
      <c r="AG101" s="396"/>
      <c r="AH101" s="396"/>
      <c r="AI101" s="410"/>
      <c r="AJ101" s="693"/>
      <c r="AK101" s="694"/>
      <c r="AL101" s="639"/>
      <c r="AM101" s="660"/>
      <c r="AN101" s="620"/>
      <c r="AO101" s="14">
        <v>52</v>
      </c>
      <c r="AP101" s="76"/>
      <c r="AQ101" s="77"/>
    </row>
    <row r="102" spans="1:43" ht="25.5" x14ac:dyDescent="0.75">
      <c r="A102" s="585" t="s">
        <v>20</v>
      </c>
      <c r="B102" s="94" t="s">
        <v>1015</v>
      </c>
      <c r="C102" s="898" t="s">
        <v>176</v>
      </c>
      <c r="D102" s="145"/>
      <c r="E102" s="102"/>
      <c r="F102" s="102"/>
      <c r="G102" s="102"/>
      <c r="H102" s="102"/>
      <c r="I102" s="401"/>
      <c r="J102" s="252"/>
      <c r="K102" s="97"/>
      <c r="L102" s="97"/>
      <c r="M102" s="97"/>
      <c r="N102" s="97"/>
      <c r="O102" s="97"/>
      <c r="P102" s="97"/>
      <c r="Q102" s="97"/>
      <c r="R102" s="97"/>
      <c r="S102" s="97"/>
      <c r="T102" s="97"/>
      <c r="U102" s="97"/>
      <c r="V102" s="97"/>
      <c r="W102" s="97"/>
      <c r="X102" s="97"/>
      <c r="Y102" s="97"/>
      <c r="Z102" s="97"/>
      <c r="AA102" s="344"/>
      <c r="AB102" s="411"/>
      <c r="AC102" s="412"/>
      <c r="AD102" s="412"/>
      <c r="AE102" s="412"/>
      <c r="AF102" s="412"/>
      <c r="AG102" s="412"/>
      <c r="AH102" s="412"/>
      <c r="AI102" s="339"/>
      <c r="AJ102" s="200">
        <f>SUM(D102:AA102)</f>
        <v>0</v>
      </c>
      <c r="AK102" s="122"/>
      <c r="AL102" s="651" t="str">
        <f>CONCATENATE(AK102,AK103,AK104,AK105,AK106)</f>
        <v/>
      </c>
      <c r="AM102" s="32"/>
      <c r="AN102" s="707" t="str">
        <f>CONCATENATE(AM102,AM103,AM104,AM105,AM106)</f>
        <v/>
      </c>
      <c r="AO102" s="14">
        <v>53</v>
      </c>
      <c r="AP102" s="76"/>
      <c r="AQ102" s="77"/>
    </row>
    <row r="103" spans="1:43" ht="25.5" x14ac:dyDescent="0.75">
      <c r="A103" s="635"/>
      <c r="B103" s="78" t="s">
        <v>977</v>
      </c>
      <c r="C103" s="899" t="s">
        <v>178</v>
      </c>
      <c r="D103" s="146"/>
      <c r="E103" s="80"/>
      <c r="F103" s="80"/>
      <c r="G103" s="80"/>
      <c r="H103" s="80"/>
      <c r="I103" s="408"/>
      <c r="J103" s="433">
        <f>SUM(J104:J106)</f>
        <v>0</v>
      </c>
      <c r="K103" s="123">
        <f t="shared" ref="K103:AA103" si="15">SUM(K104:K106)</f>
        <v>0</v>
      </c>
      <c r="L103" s="123">
        <f t="shared" si="15"/>
        <v>0</v>
      </c>
      <c r="M103" s="123">
        <f t="shared" si="15"/>
        <v>0</v>
      </c>
      <c r="N103" s="123">
        <f t="shared" si="15"/>
        <v>0</v>
      </c>
      <c r="O103" s="123">
        <f t="shared" si="15"/>
        <v>0</v>
      </c>
      <c r="P103" s="123">
        <f t="shared" si="15"/>
        <v>0</v>
      </c>
      <c r="Q103" s="123">
        <f t="shared" si="15"/>
        <v>0</v>
      </c>
      <c r="R103" s="123">
        <f t="shared" si="15"/>
        <v>0</v>
      </c>
      <c r="S103" s="123">
        <f t="shared" si="15"/>
        <v>0</v>
      </c>
      <c r="T103" s="123">
        <f t="shared" si="15"/>
        <v>0</v>
      </c>
      <c r="U103" s="123">
        <f t="shared" si="15"/>
        <v>0</v>
      </c>
      <c r="V103" s="123">
        <f t="shared" si="15"/>
        <v>0</v>
      </c>
      <c r="W103" s="123">
        <f t="shared" si="15"/>
        <v>0</v>
      </c>
      <c r="X103" s="123">
        <f t="shared" si="15"/>
        <v>0</v>
      </c>
      <c r="Y103" s="123">
        <f t="shared" si="15"/>
        <v>0</v>
      </c>
      <c r="Z103" s="123">
        <f t="shared" si="15"/>
        <v>0</v>
      </c>
      <c r="AA103" s="351">
        <f t="shared" si="15"/>
        <v>0</v>
      </c>
      <c r="AB103" s="413"/>
      <c r="AC103" s="380"/>
      <c r="AD103" s="380"/>
      <c r="AE103" s="380"/>
      <c r="AF103" s="380"/>
      <c r="AG103" s="380"/>
      <c r="AH103" s="380"/>
      <c r="AI103" s="336"/>
      <c r="AJ103" s="185">
        <f t="shared" ref="AJ103:AJ105" si="16">SUM(D103:AA103)</f>
        <v>0</v>
      </c>
      <c r="AK103" s="122"/>
      <c r="AL103" s="652"/>
      <c r="AM103" s="32"/>
      <c r="AN103" s="612"/>
      <c r="AO103" s="14">
        <v>54</v>
      </c>
      <c r="AP103" s="76"/>
      <c r="AQ103" s="77"/>
    </row>
    <row r="104" spans="1:43" ht="25.5" x14ac:dyDescent="0.75">
      <c r="A104" s="635"/>
      <c r="B104" s="78" t="s">
        <v>652</v>
      </c>
      <c r="C104" s="899" t="s">
        <v>179</v>
      </c>
      <c r="D104" s="146"/>
      <c r="E104" s="80"/>
      <c r="F104" s="80"/>
      <c r="G104" s="80"/>
      <c r="H104" s="80"/>
      <c r="I104" s="408"/>
      <c r="J104" s="253"/>
      <c r="K104" s="81"/>
      <c r="L104" s="81"/>
      <c r="M104" s="81"/>
      <c r="N104" s="81"/>
      <c r="O104" s="81"/>
      <c r="P104" s="81"/>
      <c r="Q104" s="81"/>
      <c r="R104" s="81"/>
      <c r="S104" s="81"/>
      <c r="T104" s="81"/>
      <c r="U104" s="81"/>
      <c r="V104" s="81"/>
      <c r="W104" s="81"/>
      <c r="X104" s="81"/>
      <c r="Y104" s="81"/>
      <c r="Z104" s="81"/>
      <c r="AA104" s="341"/>
      <c r="AB104" s="413"/>
      <c r="AC104" s="380"/>
      <c r="AD104" s="380"/>
      <c r="AE104" s="380"/>
      <c r="AF104" s="380"/>
      <c r="AG104" s="380"/>
      <c r="AH104" s="380"/>
      <c r="AI104" s="336"/>
      <c r="AJ104" s="185">
        <f t="shared" si="16"/>
        <v>0</v>
      </c>
      <c r="AK104" s="122"/>
      <c r="AL104" s="652"/>
      <c r="AM104" s="32"/>
      <c r="AN104" s="612"/>
      <c r="AO104" s="14">
        <v>55</v>
      </c>
      <c r="AP104" s="76"/>
      <c r="AQ104" s="77"/>
    </row>
    <row r="105" spans="1:43" ht="25.5" x14ac:dyDescent="0.75">
      <c r="A105" s="635"/>
      <c r="B105" s="78" t="s">
        <v>653</v>
      </c>
      <c r="C105" s="899" t="s">
        <v>180</v>
      </c>
      <c r="D105" s="146"/>
      <c r="E105" s="80"/>
      <c r="F105" s="80"/>
      <c r="G105" s="80"/>
      <c r="H105" s="80"/>
      <c r="I105" s="408"/>
      <c r="J105" s="253"/>
      <c r="K105" s="81"/>
      <c r="L105" s="81"/>
      <c r="M105" s="81"/>
      <c r="N105" s="81"/>
      <c r="O105" s="81"/>
      <c r="P105" s="81"/>
      <c r="Q105" s="81"/>
      <c r="R105" s="81"/>
      <c r="S105" s="81"/>
      <c r="T105" s="81"/>
      <c r="U105" s="81"/>
      <c r="V105" s="81"/>
      <c r="W105" s="81"/>
      <c r="X105" s="81"/>
      <c r="Y105" s="81"/>
      <c r="Z105" s="81"/>
      <c r="AA105" s="341"/>
      <c r="AB105" s="413"/>
      <c r="AC105" s="380"/>
      <c r="AD105" s="380"/>
      <c r="AE105" s="380"/>
      <c r="AF105" s="380"/>
      <c r="AG105" s="380"/>
      <c r="AH105" s="380"/>
      <c r="AI105" s="336"/>
      <c r="AJ105" s="185">
        <f t="shared" si="16"/>
        <v>0</v>
      </c>
      <c r="AK105" s="122"/>
      <c r="AL105" s="652"/>
      <c r="AM105" s="32"/>
      <c r="AN105" s="612"/>
      <c r="AO105" s="14">
        <v>56</v>
      </c>
      <c r="AP105" s="76"/>
      <c r="AQ105" s="77"/>
    </row>
    <row r="106" spans="1:43" ht="25.9" thickBot="1" x14ac:dyDescent="0.8">
      <c r="A106" s="586"/>
      <c r="B106" s="124" t="s">
        <v>654</v>
      </c>
      <c r="C106" s="901" t="s">
        <v>181</v>
      </c>
      <c r="D106" s="125"/>
      <c r="E106" s="105"/>
      <c r="F106" s="105"/>
      <c r="G106" s="126"/>
      <c r="H106" s="126"/>
      <c r="I106" s="435"/>
      <c r="J106" s="267"/>
      <c r="K106" s="127"/>
      <c r="L106" s="127"/>
      <c r="M106" s="127"/>
      <c r="N106" s="127"/>
      <c r="O106" s="127"/>
      <c r="P106" s="127"/>
      <c r="Q106" s="127"/>
      <c r="R106" s="127"/>
      <c r="S106" s="127"/>
      <c r="T106" s="127"/>
      <c r="U106" s="127"/>
      <c r="V106" s="127"/>
      <c r="W106" s="127"/>
      <c r="X106" s="127"/>
      <c r="Y106" s="127"/>
      <c r="Z106" s="127"/>
      <c r="AA106" s="352"/>
      <c r="AB106" s="413"/>
      <c r="AC106" s="380"/>
      <c r="AD106" s="380"/>
      <c r="AE106" s="380"/>
      <c r="AF106" s="380"/>
      <c r="AG106" s="380"/>
      <c r="AH106" s="380"/>
      <c r="AI106" s="336"/>
      <c r="AJ106" s="204">
        <f>SUM(D106:AA106)</f>
        <v>0</v>
      </c>
      <c r="AK106" s="128"/>
      <c r="AL106" s="653"/>
      <c r="AM106" s="129"/>
      <c r="AN106" s="613"/>
      <c r="AO106" s="14">
        <v>57</v>
      </c>
      <c r="AP106" s="76"/>
      <c r="AQ106" s="77"/>
    </row>
    <row r="107" spans="1:43" ht="25.5" x14ac:dyDescent="0.75">
      <c r="A107" s="130" t="s">
        <v>986</v>
      </c>
      <c r="B107" s="94" t="s">
        <v>160</v>
      </c>
      <c r="C107" s="899" t="s">
        <v>989</v>
      </c>
      <c r="D107" s="145"/>
      <c r="E107" s="102"/>
      <c r="F107" s="102"/>
      <c r="G107" s="102"/>
      <c r="H107" s="102"/>
      <c r="I107" s="401"/>
      <c r="J107" s="252"/>
      <c r="K107" s="97"/>
      <c r="L107" s="97"/>
      <c r="M107" s="97"/>
      <c r="N107" s="97"/>
      <c r="O107" s="97"/>
      <c r="P107" s="97"/>
      <c r="Q107" s="97"/>
      <c r="R107" s="97"/>
      <c r="S107" s="97"/>
      <c r="T107" s="97"/>
      <c r="U107" s="97"/>
      <c r="V107" s="97"/>
      <c r="W107" s="97"/>
      <c r="X107" s="97"/>
      <c r="Y107" s="97"/>
      <c r="Z107" s="97"/>
      <c r="AA107" s="344"/>
      <c r="AB107" s="413"/>
      <c r="AC107" s="380"/>
      <c r="AD107" s="380"/>
      <c r="AE107" s="380"/>
      <c r="AF107" s="380"/>
      <c r="AG107" s="380"/>
      <c r="AH107" s="380"/>
      <c r="AI107" s="336"/>
      <c r="AJ107" s="416"/>
      <c r="AK107" s="131"/>
      <c r="AL107" s="132"/>
      <c r="AM107" s="133"/>
      <c r="AN107" s="134"/>
      <c r="AO107" s="14">
        <v>58</v>
      </c>
      <c r="AP107" s="76"/>
      <c r="AQ107" s="77"/>
    </row>
    <row r="108" spans="1:43" ht="25.9" thickBot="1" x14ac:dyDescent="0.8">
      <c r="A108" s="135"/>
      <c r="B108" s="98" t="s">
        <v>152</v>
      </c>
      <c r="C108" s="901" t="s">
        <v>990</v>
      </c>
      <c r="D108" s="125"/>
      <c r="E108" s="105"/>
      <c r="F108" s="105"/>
      <c r="G108" s="105"/>
      <c r="H108" s="105"/>
      <c r="I108" s="402"/>
      <c r="J108" s="434"/>
      <c r="K108" s="109"/>
      <c r="L108" s="109"/>
      <c r="M108" s="109"/>
      <c r="N108" s="109"/>
      <c r="O108" s="109"/>
      <c r="P108" s="109"/>
      <c r="Q108" s="109"/>
      <c r="R108" s="109"/>
      <c r="S108" s="109"/>
      <c r="T108" s="109"/>
      <c r="U108" s="109"/>
      <c r="V108" s="109"/>
      <c r="W108" s="109"/>
      <c r="X108" s="109"/>
      <c r="Y108" s="109"/>
      <c r="Z108" s="109"/>
      <c r="AA108" s="350"/>
      <c r="AB108" s="414"/>
      <c r="AC108" s="415"/>
      <c r="AD108" s="415"/>
      <c r="AE108" s="415"/>
      <c r="AF108" s="415"/>
      <c r="AG108" s="415"/>
      <c r="AH108" s="415"/>
      <c r="AI108" s="337"/>
      <c r="AJ108" s="57"/>
      <c r="AK108" s="131"/>
      <c r="AL108" s="136"/>
      <c r="AM108" s="133"/>
      <c r="AN108" s="134"/>
      <c r="AO108" s="14">
        <v>59</v>
      </c>
      <c r="AP108" s="76"/>
      <c r="AQ108" s="77"/>
    </row>
    <row r="109" spans="1:43" ht="25.9" thickBot="1" x14ac:dyDescent="0.8">
      <c r="A109" s="640" t="s">
        <v>1130</v>
      </c>
      <c r="B109" s="641"/>
      <c r="C109" s="641"/>
      <c r="D109" s="641"/>
      <c r="E109" s="641"/>
      <c r="F109" s="641"/>
      <c r="G109" s="641"/>
      <c r="H109" s="641"/>
      <c r="I109" s="641"/>
      <c r="J109" s="641"/>
      <c r="K109" s="641"/>
      <c r="L109" s="641"/>
      <c r="M109" s="641"/>
      <c r="N109" s="641"/>
      <c r="O109" s="641"/>
      <c r="P109" s="641"/>
      <c r="Q109" s="641"/>
      <c r="R109" s="641"/>
      <c r="S109" s="641"/>
      <c r="T109" s="641"/>
      <c r="U109" s="641"/>
      <c r="V109" s="641"/>
      <c r="W109" s="641"/>
      <c r="X109" s="641"/>
      <c r="Y109" s="641"/>
      <c r="Z109" s="641"/>
      <c r="AA109" s="641"/>
      <c r="AB109" s="737"/>
      <c r="AC109" s="737"/>
      <c r="AD109" s="737"/>
      <c r="AE109" s="737"/>
      <c r="AF109" s="737"/>
      <c r="AG109" s="737"/>
      <c r="AH109" s="737"/>
      <c r="AI109" s="737"/>
      <c r="AJ109" s="641"/>
      <c r="AK109" s="641"/>
      <c r="AL109" s="641"/>
      <c r="AM109" s="641"/>
      <c r="AN109" s="643"/>
      <c r="AO109" s="14">
        <v>60</v>
      </c>
      <c r="AP109" s="76"/>
      <c r="AQ109" s="77"/>
    </row>
    <row r="110" spans="1:43" ht="26.25" customHeight="1" x14ac:dyDescent="0.75">
      <c r="A110" s="617" t="s">
        <v>37</v>
      </c>
      <c r="B110" s="644" t="s">
        <v>346</v>
      </c>
      <c r="C110" s="897" t="s">
        <v>327</v>
      </c>
      <c r="D110" s="724"/>
      <c r="E110" s="725"/>
      <c r="F110" s="725"/>
      <c r="G110" s="725"/>
      <c r="H110" s="725"/>
      <c r="I110" s="726"/>
      <c r="J110" s="647" t="s">
        <v>3</v>
      </c>
      <c r="K110" s="606"/>
      <c r="L110" s="606" t="s">
        <v>4</v>
      </c>
      <c r="M110" s="606"/>
      <c r="N110" s="606" t="s">
        <v>5</v>
      </c>
      <c r="O110" s="606"/>
      <c r="P110" s="606" t="s">
        <v>6</v>
      </c>
      <c r="Q110" s="606"/>
      <c r="R110" s="606" t="s">
        <v>7</v>
      </c>
      <c r="S110" s="606"/>
      <c r="T110" s="606" t="s">
        <v>8</v>
      </c>
      <c r="U110" s="606"/>
      <c r="V110" s="606" t="s">
        <v>23</v>
      </c>
      <c r="W110" s="606"/>
      <c r="X110" s="606" t="s">
        <v>24</v>
      </c>
      <c r="Y110" s="606"/>
      <c r="Z110" s="606" t="s">
        <v>9</v>
      </c>
      <c r="AA110" s="624"/>
      <c r="AB110" s="625"/>
      <c r="AC110" s="626"/>
      <c r="AD110" s="626"/>
      <c r="AE110" s="626"/>
      <c r="AF110" s="626"/>
      <c r="AG110" s="626"/>
      <c r="AH110" s="626"/>
      <c r="AI110" s="627"/>
      <c r="AJ110" s="628" t="s">
        <v>19</v>
      </c>
      <c r="AK110" s="630" t="s">
        <v>380</v>
      </c>
      <c r="AL110" s="632" t="s">
        <v>386</v>
      </c>
      <c r="AM110" s="660" t="s">
        <v>387</v>
      </c>
      <c r="AN110" s="619" t="s">
        <v>387</v>
      </c>
      <c r="AO110" s="14">
        <v>61</v>
      </c>
      <c r="AP110" s="76"/>
      <c r="AQ110" s="77"/>
    </row>
    <row r="111" spans="1:43" ht="27" customHeight="1" thickBot="1" x14ac:dyDescent="0.8">
      <c r="A111" s="618"/>
      <c r="B111" s="645"/>
      <c r="C111" s="892"/>
      <c r="D111" s="727"/>
      <c r="E111" s="728"/>
      <c r="F111" s="728"/>
      <c r="G111" s="728"/>
      <c r="H111" s="728"/>
      <c r="I111" s="729"/>
      <c r="J111" s="316" t="s">
        <v>10</v>
      </c>
      <c r="K111" s="70" t="s">
        <v>11</v>
      </c>
      <c r="L111" s="70" t="s">
        <v>10</v>
      </c>
      <c r="M111" s="70" t="s">
        <v>11</v>
      </c>
      <c r="N111" s="70" t="s">
        <v>10</v>
      </c>
      <c r="O111" s="70" t="s">
        <v>11</v>
      </c>
      <c r="P111" s="70" t="s">
        <v>10</v>
      </c>
      <c r="Q111" s="70" t="s">
        <v>11</v>
      </c>
      <c r="R111" s="70" t="s">
        <v>10</v>
      </c>
      <c r="S111" s="70" t="s">
        <v>11</v>
      </c>
      <c r="T111" s="70" t="s">
        <v>10</v>
      </c>
      <c r="U111" s="70" t="s">
        <v>11</v>
      </c>
      <c r="V111" s="70" t="s">
        <v>10</v>
      </c>
      <c r="W111" s="70" t="s">
        <v>11</v>
      </c>
      <c r="X111" s="70" t="s">
        <v>10</v>
      </c>
      <c r="Y111" s="70" t="s">
        <v>11</v>
      </c>
      <c r="Z111" s="70" t="s">
        <v>10</v>
      </c>
      <c r="AA111" s="395" t="s">
        <v>11</v>
      </c>
      <c r="AB111" s="397"/>
      <c r="AC111" s="398"/>
      <c r="AD111" s="398"/>
      <c r="AE111" s="398"/>
      <c r="AF111" s="398"/>
      <c r="AG111" s="398"/>
      <c r="AH111" s="398"/>
      <c r="AI111" s="399"/>
      <c r="AJ111" s="629"/>
      <c r="AK111" s="631"/>
      <c r="AL111" s="639"/>
      <c r="AM111" s="660"/>
      <c r="AN111" s="620"/>
      <c r="AO111" s="14">
        <v>62</v>
      </c>
      <c r="AP111" s="76"/>
      <c r="AQ111" s="77"/>
    </row>
    <row r="112" spans="1:43" ht="25.5" x14ac:dyDescent="0.75">
      <c r="A112" s="734" t="s">
        <v>589</v>
      </c>
      <c r="B112" s="71" t="s">
        <v>655</v>
      </c>
      <c r="C112" s="898" t="s">
        <v>186</v>
      </c>
      <c r="D112" s="72"/>
      <c r="E112" s="73"/>
      <c r="F112" s="73"/>
      <c r="G112" s="73"/>
      <c r="H112" s="73"/>
      <c r="I112" s="73"/>
      <c r="J112" s="137"/>
      <c r="K112" s="137"/>
      <c r="L112" s="137"/>
      <c r="M112" s="137"/>
      <c r="N112" s="137"/>
      <c r="O112" s="137"/>
      <c r="P112" s="137"/>
      <c r="Q112" s="137"/>
      <c r="R112" s="137"/>
      <c r="S112" s="137"/>
      <c r="T112" s="137"/>
      <c r="U112" s="137"/>
      <c r="V112" s="137"/>
      <c r="W112" s="137"/>
      <c r="X112" s="137"/>
      <c r="Y112" s="137"/>
      <c r="Z112" s="137"/>
      <c r="AA112" s="353"/>
      <c r="AB112" s="413"/>
      <c r="AC112" s="380"/>
      <c r="AD112" s="380"/>
      <c r="AE112" s="380"/>
      <c r="AF112" s="380"/>
      <c r="AG112" s="380"/>
      <c r="AH112" s="380"/>
      <c r="AI112" s="336"/>
      <c r="AJ112" s="53">
        <f>SUM(D112:AA112)</f>
        <v>0</v>
      </c>
      <c r="AK112" s="138" t="str">
        <f>CONCATENATE(IF(D115&gt;D112," * Eligible for PrEP  for Age "&amp;D20&amp;" "&amp;D21&amp;" is more than Assessed for HIV risk"&amp;CHAR(10),""),IF(E115&gt;E112," * Eligible for PrEP  for Age "&amp;D20&amp;" "&amp;E21&amp;" is more than Assessed for HIV risk"&amp;CHAR(10),""),IF(F115&gt;F112," * Eligible for PrEP  for Age "&amp;F20&amp;" "&amp;F21&amp;" is more than Assessed for HIV risk"&amp;CHAR(10),""),IF(G115&gt;G112," * Eligible for PrEP  for Age "&amp;F20&amp;" "&amp;G21&amp;" is more than Assessed for HIV risk"&amp;CHAR(10),""),IF(H115&gt;H112," * Eligible for PrEP  for Age "&amp;H20&amp;" "&amp;H21&amp;" is more than Assessed for HIV risk"&amp;CHAR(10),""),IF(I115&gt;I112," * Eligible for PrEP  for Age "&amp;H20&amp;" "&amp;I21&amp;" is more than Assessed for HIV risk"&amp;CHAR(10),""),IF(J115&gt;J112," * Eligible for PrEP  for Age "&amp;J20&amp;" "&amp;J21&amp;" is more than Assessed for HIV risk"&amp;CHAR(10),""),IF(K115&gt;K112," * Eligible for PrEP  for Age "&amp;J20&amp;" "&amp;K21&amp;" is more than Assessed for HIV risk"&amp;CHAR(10),""),IF(L115&gt;L112," * Eligible for PrEP  for Age "&amp;L20&amp;" "&amp;L21&amp;" is more than Assessed for HIV risk"&amp;CHAR(10),""),IF(M115&gt;M112," * Eligible for PrEP  for Age "&amp;L20&amp;" "&amp;M21&amp;" is more than Assessed for HIV risk"&amp;CHAR(10),""),IF(N115&gt;N112," * Eligible for PrEP  for Age "&amp;N20&amp;" "&amp;N21&amp;" is more than Assessed for HIV risk"&amp;CHAR(10),""),IF(O115&gt;O112," * Eligible for PrEP  for Age "&amp;N20&amp;" "&amp;O21&amp;" is more than Assessed for HIV risk"&amp;CHAR(10),""),IF(P115&gt;P112," * Eligible for PrEP  for Age "&amp;P20&amp;" "&amp;P21&amp;" is more than Assessed for HIV risk"&amp;CHAR(10),""),IF(Q115&gt;Q112," * Eligible for PrEP  for Age "&amp;P20&amp;" "&amp;Q21&amp;" is more than Assessed for HIV risk"&amp;CHAR(10),""),IF(R115&gt;R112," * Eligible for PrEP  for Age "&amp;R20&amp;" "&amp;R21&amp;" is more than Assessed for HIV risk"&amp;CHAR(10),""),IF(S115&gt;S112," * Eligible for PrEP  for Age "&amp;R20&amp;" "&amp;S21&amp;" is more than Assessed for HIV risk"&amp;CHAR(10),""),IF(T115&gt;T112," * Eligible for PrEP  for Age "&amp;T20&amp;" "&amp;T21&amp;" is more than Assessed for HIV risk"&amp;CHAR(10),""),IF(U115&gt;U112," * Eligible for PrEP  for Age "&amp;T20&amp;" "&amp;U21&amp;" is more than Assessed for HIV risk"&amp;CHAR(10),""),IF(V115&gt;V112," * Eligible for PrEP  for Age "&amp;V20&amp;" "&amp;V21&amp;" is more than Assessed for HIV risk"&amp;CHAR(10),""),IF(W115&gt;W112," * Eligible for PrEP  for Age "&amp;V20&amp;" "&amp;W21&amp;" is more than Assessed for HIV risk"&amp;CHAR(10),""),IF(X115&gt;X112," * Eligible for PrEP  for Age "&amp;X20&amp;" "&amp;X21&amp;" is more than Assessed for HIV risk"&amp;CHAR(10),""),IF(Y115&gt;Y112," * Eligible for PrEP  for Age "&amp;X20&amp;" "&amp;Y21&amp;" is more than Assessed for HIV risk"&amp;CHAR(10),""),IF(Z115&gt;Z112," * Eligible for PrEP  for Age "&amp;Z20&amp;" "&amp;Z21&amp;" is more than Assessed for HIV risk"&amp;CHAR(10),""),IF(AA115&gt;AA112," * Eligible for PrEP  for Age "&amp;Z20&amp;" "&amp;AA21&amp;" is more than Assessed for HIV risk"&amp;CHAR(10),""))</f>
        <v/>
      </c>
      <c r="AL112" s="704" t="str">
        <f>CONCATENATE(AK112,AK113,AK114,AK115,AK116,AK117,AK118,AK119,AK120,AK121,AK122,AK123,AK124,AK125,AK126,AK128,AK129,AK130,AK131,AK132,AK133,AK134,AK135,AK137,AK140,AK141,AK142,AK143,AK144,AK145,AK146,AK147,AK148)</f>
        <v/>
      </c>
      <c r="AM112" s="75"/>
      <c r="AN112" s="611" t="str">
        <f>CONCATENATE(AM112,AM115,AM116,AM123,AM126,AM135,AM136,AM137,AM140,AM141,AM142,AM143,AM144,AM145,AM146,AM147,AM148)</f>
        <v/>
      </c>
      <c r="AO112" s="14">
        <v>63</v>
      </c>
      <c r="AP112" s="76"/>
      <c r="AQ112" s="77"/>
    </row>
    <row r="113" spans="1:43" ht="25.5" x14ac:dyDescent="0.75">
      <c r="A113" s="649"/>
      <c r="B113" s="78" t="s">
        <v>562</v>
      </c>
      <c r="C113" s="899" t="s">
        <v>563</v>
      </c>
      <c r="D113" s="79"/>
      <c r="E113" s="80"/>
      <c r="F113" s="80"/>
      <c r="G113" s="80"/>
      <c r="H113" s="80"/>
      <c r="I113" s="80"/>
      <c r="J113" s="139"/>
      <c r="K113" s="139"/>
      <c r="L113" s="139"/>
      <c r="M113" s="139"/>
      <c r="N113" s="139"/>
      <c r="O113" s="139"/>
      <c r="P113" s="139"/>
      <c r="Q113" s="139"/>
      <c r="R113" s="139"/>
      <c r="S113" s="139"/>
      <c r="T113" s="139"/>
      <c r="U113" s="139"/>
      <c r="V113" s="139"/>
      <c r="W113" s="139"/>
      <c r="X113" s="139"/>
      <c r="Y113" s="139"/>
      <c r="Z113" s="139"/>
      <c r="AA113" s="354"/>
      <c r="AB113" s="413"/>
      <c r="AC113" s="380"/>
      <c r="AD113" s="380"/>
      <c r="AE113" s="380"/>
      <c r="AF113" s="380"/>
      <c r="AG113" s="380"/>
      <c r="AH113" s="380"/>
      <c r="AI113" s="336"/>
      <c r="AJ113" s="185">
        <f>SUM(J113:AA113)</f>
        <v>0</v>
      </c>
      <c r="AK113" s="31" t="str">
        <f>CONCATENATE(IF(D113&gt;D112," * Tested for Prep Initiation For age "&amp;$D$20&amp;" "&amp;$D$21&amp;" is more than Assessed for HIV risk"&amp;CHAR(10),""),IF(E113&gt;E112," * Tested for Prep Initiation For age "&amp;$D$20&amp;" "&amp;$E$21&amp;" is more than Assessed for HIV risk"&amp;CHAR(10),""),IF(F113&gt;F112," * Tested for Prep Initiation For age "&amp;$F$20&amp;" "&amp;$F$21&amp;" is more than Assessed for HIV risk"&amp;CHAR(10),""),IF(G113&gt;G112," * Tested for Prep Initiation For age "&amp;$F$20&amp;" "&amp;$G$21&amp;" is more than Assessed for HIV risk"&amp;CHAR(10),""),IF(H113&gt;H112," * Tested for Prep Initiation For age "&amp;$H$20&amp;" "&amp;$H$21&amp;" is more than Assessed for HIV risk"&amp;CHAR(10),""),IF(I113&gt;I112," * Tested for Prep Initiation For age "&amp;$H$20&amp;" "&amp;$I$21&amp;" is more than Assessed for HIV risk"&amp;CHAR(10),""),IF(J113&gt;J112," * Tested for Prep Initiation For age "&amp;$J$20&amp;" "&amp;$J$21&amp;" is more than Assessed for HIV risk"&amp;CHAR(10),""),IF(K113&gt;K112," * Tested for Prep Initiation For age "&amp;$J$20&amp;" "&amp;$K$21&amp;" is more than Assessed for HIV risk"&amp;CHAR(10),""),IF(L113&gt;L112," * Tested for Prep Initiation For age "&amp;$L$20&amp;" "&amp;$L$21&amp;" is more than Assessed for HIV risk"&amp;CHAR(10),""),IF(M113&gt;M112," * Tested for Prep Initiation For age "&amp;$L$20&amp;" "&amp;$M$21&amp;" is more than Assessed for HIV risk"&amp;CHAR(10),""),IF(N113&gt;N112," * Tested for Prep Initiation For age "&amp;$N$20&amp;" "&amp;$N$21&amp;" is more than Assessed for HIV risk"&amp;CHAR(10),""),IF(O113&gt;O112," * Tested for Prep Initiation For age "&amp;$N$20&amp;" "&amp;$O$21&amp;" is more than Assessed for HIV risk"&amp;CHAR(10),""),IF(P113&gt;P112," * Tested for Prep Initiation For age "&amp;$P$20&amp;" "&amp;$P$21&amp;" is more than Assessed for HIV risk"&amp;CHAR(10),""),IF(Q113&gt;Q112," * Tested for Prep Initiation For age "&amp;$P$20&amp;" "&amp;$Q$21&amp;" is more than Assessed for HIV risk"&amp;CHAR(10),""),IF(R113&gt;R112," * Tested for Prep Initiation For age "&amp;$R$20&amp;" "&amp;$R$21&amp;" is more than Assessed for HIV risk"&amp;CHAR(10),""),IF(S113&gt;S112," * Tested for Prep Initiation For age "&amp;$R$20&amp;" "&amp;$S$21&amp;" is more than Assessed for HIV risk"&amp;CHAR(10),""),IF(T113&gt;T112," * Tested for Prep Initiation For age "&amp;$T$20&amp;" "&amp;$T$21&amp;" is more than Assessed for HIV risk"&amp;CHAR(10),""),IF(U113&gt;U112," * Tested for Prep Initiation For age "&amp;$T$20&amp;" "&amp;$U$21&amp;" is more than Assessed for HIV risk"&amp;CHAR(10),""),IF(V113&gt;V112," * Tested for Prep Initiation For age "&amp;$V$20&amp;" "&amp;$V$21&amp;" is more than Assessed for HIV risk"&amp;CHAR(10),""),IF(W113&gt;W112," * Tested for Prep Initiation For age "&amp;$V$20&amp;" "&amp;$W$21&amp;" is more than Assessed for HIV risk"&amp;CHAR(10),""),IF(X113&gt;X112," * Tested for Prep Initiation For age "&amp;$X$20&amp;" "&amp;$X$21&amp;" is more than Assessed for HIV risk"&amp;CHAR(10),""),IF(Y113&gt;Y112," * Tested for Prep Initiation For age "&amp;$X$20&amp;" "&amp;$Y$21&amp;" is more than Assessed for HIV risk"&amp;CHAR(10),""),IF(Z113&gt;Z112," * Tested for Prep Initiation For age "&amp;$Z$20&amp;" "&amp;$Z$21&amp;" is more than Assessed for HIV risk"&amp;CHAR(10),""),IF(AA113&gt;AA112," * Tested for Prep Initiation For age "&amp;$Z$20&amp;" "&amp;$AA$21&amp;" is more than Assessed for HIV risk"&amp;CHAR(10),""))</f>
        <v/>
      </c>
      <c r="AL113" s="652"/>
      <c r="AM113" s="32"/>
      <c r="AN113" s="612"/>
      <c r="AO113" s="14">
        <v>64</v>
      </c>
      <c r="AP113" s="76"/>
      <c r="AQ113" s="77"/>
    </row>
    <row r="114" spans="1:43" ht="25.5" x14ac:dyDescent="0.75">
      <c r="A114" s="649"/>
      <c r="B114" s="78" t="s">
        <v>656</v>
      </c>
      <c r="C114" s="899" t="s">
        <v>564</v>
      </c>
      <c r="D114" s="79"/>
      <c r="E114" s="80"/>
      <c r="F114" s="80"/>
      <c r="G114" s="80"/>
      <c r="H114" s="80"/>
      <c r="I114" s="80"/>
      <c r="J114" s="139"/>
      <c r="K114" s="139"/>
      <c r="L114" s="139"/>
      <c r="M114" s="139"/>
      <c r="N114" s="139"/>
      <c r="O114" s="139"/>
      <c r="P114" s="139"/>
      <c r="Q114" s="139"/>
      <c r="R114" s="139"/>
      <c r="S114" s="139"/>
      <c r="T114" s="139"/>
      <c r="U114" s="139"/>
      <c r="V114" s="139"/>
      <c r="W114" s="139"/>
      <c r="X114" s="139"/>
      <c r="Y114" s="139"/>
      <c r="Z114" s="139"/>
      <c r="AA114" s="354"/>
      <c r="AB114" s="413"/>
      <c r="AC114" s="380"/>
      <c r="AD114" s="380"/>
      <c r="AE114" s="380"/>
      <c r="AF114" s="380"/>
      <c r="AG114" s="380"/>
      <c r="AH114" s="380"/>
      <c r="AI114" s="336"/>
      <c r="AJ114" s="185">
        <f>SUM(J114:AA114)</f>
        <v>0</v>
      </c>
      <c r="AK114" s="140" t="str">
        <f>CONCATENATE(IF(D114&gt;D113," * screened for Prep initiation testing positive For age "&amp;$D$20&amp;" "&amp;$D$21&amp;" is more than HIV tested for PrEP initiation"&amp;CHAR(10),""),IF(E114&gt;E113," * screened for Prep initiation testing positive For age "&amp;$D$20&amp;" "&amp;$E$21&amp;" is more than HIV tested for PrEP initiation"&amp;CHAR(10),""),IF(F114&gt;F113," * screened for Prep initiation testing positive For age "&amp;$F$20&amp;" "&amp;$F$21&amp;" is more than HIV tested for PrEP initiation"&amp;CHAR(10),""),IF(G114&gt;G113," * screened for Prep initiation testing positive For age "&amp;$F$20&amp;" "&amp;$G$21&amp;" is more than HIV tested for PrEP initiation"&amp;CHAR(10),""),IF(H114&gt;H113," * screened for Prep initiation testing positive For age "&amp;$H$20&amp;" "&amp;$H$21&amp;" is more than HIV tested for PrEP initiation"&amp;CHAR(10),""),IF(I114&gt;I113," * screened for Prep initiation testing positive For age "&amp;$H$20&amp;" "&amp;$I$21&amp;" is more than HIV tested for PrEP initiation"&amp;CHAR(10),""),IF(J114&gt;J113," * screened for Prep initiation testing positive For age "&amp;$J$20&amp;" "&amp;$J$21&amp;" is more than HIV tested for PrEP initiation"&amp;CHAR(10),""),IF(K114&gt;K113," * screened for Prep initiation testing positive For age "&amp;$J$20&amp;" "&amp;$K$21&amp;" is more than HIV tested for PrEP initiation"&amp;CHAR(10),""),IF(L114&gt;L113," * screened for Prep initiation testing positive For age "&amp;$L$20&amp;" "&amp;$L$21&amp;" is more than HIV tested for PrEP initiation"&amp;CHAR(10),""),IF(M114&gt;M113," * screened for Prep initiation testing positive For age "&amp;$L$20&amp;" "&amp;$M$21&amp;" is more than HIV tested for PrEP initiation"&amp;CHAR(10),""),IF(N114&gt;N113," * screened for Prep initiation testing positive For age "&amp;$N$20&amp;" "&amp;$N$21&amp;" is more than HIV tested for PrEP initiation"&amp;CHAR(10),""),IF(O114&gt;O113," * screened for Prep initiation testing positive For age "&amp;$N$20&amp;" "&amp;$O$21&amp;" is more than HIV tested for PrEP initiation"&amp;CHAR(10),""),IF(P114&gt;P113," * screened for Prep initiation testing positive For age "&amp;$P$20&amp;" "&amp;$P$21&amp;" is more than HIV tested for PrEP initiation"&amp;CHAR(10),""),IF(Q114&gt;Q113," * screened for Prep initiation testing positive For age "&amp;$P$20&amp;" "&amp;$Q$21&amp;" is more than HIV tested for PrEP initiation"&amp;CHAR(10),""),IF(R114&gt;R113," * screened for Prep initiation testing positive For age "&amp;$R$20&amp;" "&amp;$R$21&amp;" is more than HIV tested for PrEP initiation"&amp;CHAR(10),""),IF(S114&gt;S113," * screened for Prep initiation testing positive For age "&amp;$R$20&amp;" "&amp;$S$21&amp;" is more than HIV tested for PrEP initiation"&amp;CHAR(10),""),IF(T114&gt;T113," * screened for Prep initiation testing positive For age "&amp;$T$20&amp;" "&amp;$T$21&amp;" is more than HIV tested for PrEP initiation"&amp;CHAR(10),""),IF(U114&gt;U113," * screened for Prep initiation testing positive For age "&amp;$T$20&amp;" "&amp;$U$21&amp;" is more than HIV tested for PrEP initiation"&amp;CHAR(10),""),IF(V114&gt;V113," * screened for Prep initiation testing positive For age "&amp;$V$20&amp;" "&amp;$V$21&amp;" is more than HIV tested for PrEP initiation"&amp;CHAR(10),""),IF(W114&gt;W113," * screened for Prep initiation testing positive For age "&amp;$V$20&amp;" "&amp;$W$21&amp;" is more than HIV tested for PrEP initiation"&amp;CHAR(10),""),IF(X114&gt;X113," * screened for Prep initiation testing positive For age "&amp;$X$20&amp;" "&amp;$X$21&amp;" is more than HIV tested for PrEP initiation"&amp;CHAR(10),""),IF(Y114&gt;Y113," * screened for Prep initiation testing positive For age "&amp;$X$20&amp;" "&amp;$Y$21&amp;" is more than HIV tested for PrEP initiation"&amp;CHAR(10),""),IF(Z114&gt;Z113," * screened for Prep initiation testing positive For age "&amp;$Z$20&amp;" "&amp;$Z$21&amp;" is more than HIV tested for PrEP initiation"&amp;CHAR(10),""),IF(AA114&gt;AA113," * screened for Prep initiation testing positive For age "&amp;$Z$20&amp;" "&amp;$AA$21&amp;" is more than HIV tested for PrEP initiation"&amp;CHAR(10),""))</f>
        <v/>
      </c>
      <c r="AL114" s="652"/>
      <c r="AM114" s="32"/>
      <c r="AN114" s="612"/>
      <c r="AO114" s="14">
        <v>65</v>
      </c>
      <c r="AP114" s="76"/>
      <c r="AQ114" s="77"/>
    </row>
    <row r="115" spans="1:43" ht="25.9" thickBot="1" x14ac:dyDescent="0.8">
      <c r="A115" s="650"/>
      <c r="B115" s="89" t="s">
        <v>657</v>
      </c>
      <c r="C115" s="901" t="s">
        <v>187</v>
      </c>
      <c r="D115" s="106"/>
      <c r="E115" s="105"/>
      <c r="F115" s="105"/>
      <c r="G115" s="105"/>
      <c r="H115" s="105"/>
      <c r="I115" s="105"/>
      <c r="J115" s="92"/>
      <c r="K115" s="92"/>
      <c r="L115" s="92"/>
      <c r="M115" s="92"/>
      <c r="N115" s="92"/>
      <c r="O115" s="92"/>
      <c r="P115" s="92"/>
      <c r="Q115" s="92"/>
      <c r="R115" s="92"/>
      <c r="S115" s="92"/>
      <c r="T115" s="92"/>
      <c r="U115" s="92"/>
      <c r="V115" s="92"/>
      <c r="W115" s="92"/>
      <c r="X115" s="92"/>
      <c r="Y115" s="92"/>
      <c r="Z115" s="92"/>
      <c r="AA115" s="343"/>
      <c r="AB115" s="413"/>
      <c r="AC115" s="380"/>
      <c r="AD115" s="380"/>
      <c r="AE115" s="380"/>
      <c r="AF115" s="380"/>
      <c r="AG115" s="380"/>
      <c r="AH115" s="380"/>
      <c r="AI115" s="336"/>
      <c r="AJ115" s="204">
        <f t="shared" ref="AJ115:AJ146" si="17">SUM(D115:AA115)</f>
        <v>0</v>
      </c>
      <c r="AK115" s="140" t="str">
        <f>CONCATENATE(IF(D115&gt;(D113-D114)," * Eligible For Prep For age "&amp;$D$20&amp;" "&amp;$D$21&amp;" is more than Clients tested HIV Negative for Prep Initiation"&amp;CHAR(10),""),IF(E115&gt;(E113-E114)," * Eligible For Prep For age "&amp;$D$20&amp;" "&amp;$E$21&amp;" is more than Clients tested HIV Negative for Prep Initiation"&amp;CHAR(10),""),IF(F115&gt;(F113-F114)," * Eligible For Prep For age "&amp;$F$20&amp;" "&amp;$F$21&amp;" is more than Clients tested HIV Negative for Prep Initiation"&amp;CHAR(10),""),IF(G115&gt;(G113-G114)," * Eligible For Prep For age "&amp;$F$20&amp;" "&amp;$G$21&amp;" is more than Clients tested HIV Negative for Prep Initiation"&amp;CHAR(10),""),IF(H115&gt;(H113-H114)," * Eligible For Prep For age "&amp;$H$20&amp;" "&amp;$H$21&amp;" is more than Clients tested HIV Negative for Prep Initiation"&amp;CHAR(10),""),IF(I115&gt;(I113-I114)," * Eligible For Prep For age "&amp;$H$20&amp;" "&amp;$I$21&amp;" is more than Clients tested HIV Negative for Prep Initiation"&amp;CHAR(10),""),IF(J115&gt;(J113-J114)," * Eligible For Prep For age "&amp;$J$20&amp;" "&amp;$J$21&amp;" is more than Clients tested HIV Negative for Prep Initiation"&amp;CHAR(10),""),IF(K115&gt;(K113-K114)," * Eligible For Prep For age "&amp;$J$20&amp;" "&amp;$K$21&amp;" is more than Clients tested HIV Negative for Prep Initiation"&amp;CHAR(10),""),IF(L115&gt;(L113-L114)," * Eligible For Prep For age "&amp;$L$20&amp;" "&amp;$L$21&amp;" is more than Clients tested HIV Negative for Prep Initiation"&amp;CHAR(10),""),IF(M115&gt;(M113-M114)," * Eligible For Prep For age "&amp;$L$20&amp;" "&amp;$M$21&amp;" is more than Clients tested HIV Negative for Prep Initiation"&amp;CHAR(10),""),IF(N115&gt;(N113-N114)," * Eligible For Prep For age "&amp;$N$20&amp;" "&amp;$N$21&amp;" is more than Clients tested HIV Negative for Prep Initiation"&amp;CHAR(10),""),IF(O115&gt;(O113-O114)," * Eligible For Prep For age "&amp;$N$20&amp;" "&amp;$O$21&amp;" is more than Clients tested HIV Negative for Prep Initiation"&amp;CHAR(10),""),IF(P115&gt;(P113-P114)," * Eligible For Prep For age "&amp;$P$20&amp;" "&amp;$P$21&amp;" is more than Clients tested HIV Negative for Prep Initiation"&amp;CHAR(10),""),IF(Q115&gt;(Q113-Q114)," * Eligible For Prep For age "&amp;$P$20&amp;" "&amp;$Q$21&amp;" is more than Clients tested HIV Negative for Prep Initiation"&amp;CHAR(10),""),IF(R115&gt;(R113-R114)," * Eligible For Prep For age "&amp;$R$20&amp;" "&amp;$R$21&amp;" is more than Clients tested HIV Negative for Prep Initiation"&amp;CHAR(10),""),IF(S115&gt;(S113-S114)," * Eligible For Prep For age "&amp;$R$20&amp;" "&amp;$S$21&amp;" is more than Clients tested HIV Negative for Prep Initiation"&amp;CHAR(10),""),IF(T115&gt;(T113-T114)," * Eligible For Prep For age "&amp;$T$20&amp;" "&amp;$T$21&amp;" is more than Clients tested HIV Negative for Prep Initiation"&amp;CHAR(10),""),IF(U115&gt;(U113-U114)," * Eligible For Prep For age "&amp;$T$20&amp;" "&amp;$U$21&amp;" is more than Clients tested HIV Negative for Prep Initiation"&amp;CHAR(10),""),IF(V115&gt;(V113-V114)," * Eligible For Prep For age "&amp;$V$20&amp;" "&amp;$V$21&amp;" is more than Clients tested HIV Negative for Prep Initiation"&amp;CHAR(10),""),IF(W115&gt;(W113-W114)," * Eligible For Prep For age "&amp;$V$20&amp;" "&amp;$W$21&amp;" is more than Clients tested HIV Negative for Prep Initiation"&amp;CHAR(10),""),IF(X115&gt;(X113-X114)," * Eligible For Prep For age "&amp;$X$20&amp;" "&amp;$X$21&amp;" is more than Clients tested HIV Negative for Prep Initiation"&amp;CHAR(10),""),IF(Y115&gt;(Y113-Y114)," * Eligible For Prep For age "&amp;$X$20&amp;" "&amp;$Y$21&amp;" is more than Clients tested HIV Negative for Prep Initiation"&amp;CHAR(10),""),IF(Z115&gt;(Z113-Z114)," * Eligible For Prep For age "&amp;$Z$20&amp;" "&amp;$Z$21&amp;" is more than Clients tested HIV Negative for Prep Initiation"&amp;CHAR(10),""),IF(AA115&gt;(AA113-AA114)," * Eligible For Prep For age "&amp;$Z$20&amp;" "&amp;$AA$21&amp;" is more than Clients tested HIV Negative for Prep Initiation"&amp;CHAR(10),""))</f>
        <v/>
      </c>
      <c r="AL115" s="652"/>
      <c r="AM115" s="32"/>
      <c r="AN115" s="612"/>
      <c r="AO115" s="14">
        <v>66</v>
      </c>
      <c r="AP115" s="76"/>
      <c r="AQ115" s="77"/>
    </row>
    <row r="116" spans="1:43" ht="25.9" thickBot="1" x14ac:dyDescent="0.8">
      <c r="A116" s="141" t="s">
        <v>590</v>
      </c>
      <c r="B116" s="142" t="s">
        <v>641</v>
      </c>
      <c r="C116" s="898" t="s">
        <v>188</v>
      </c>
      <c r="D116" s="101"/>
      <c r="E116" s="102"/>
      <c r="F116" s="102"/>
      <c r="G116" s="102"/>
      <c r="H116" s="102"/>
      <c r="I116" s="102"/>
      <c r="J116" s="143">
        <f>SUM(J117:J122)</f>
        <v>0</v>
      </c>
      <c r="K116" s="143">
        <f t="shared" ref="K116:AA116" si="18">SUM(K117:K122)</f>
        <v>0</v>
      </c>
      <c r="L116" s="143">
        <f t="shared" si="18"/>
        <v>0</v>
      </c>
      <c r="M116" s="143">
        <f t="shared" si="18"/>
        <v>0</v>
      </c>
      <c r="N116" s="143">
        <f t="shared" si="18"/>
        <v>0</v>
      </c>
      <c r="O116" s="143">
        <f t="shared" si="18"/>
        <v>0</v>
      </c>
      <c r="P116" s="143">
        <f t="shared" si="18"/>
        <v>0</v>
      </c>
      <c r="Q116" s="143">
        <f t="shared" si="18"/>
        <v>0</v>
      </c>
      <c r="R116" s="143">
        <f t="shared" si="18"/>
        <v>0</v>
      </c>
      <c r="S116" s="143">
        <f t="shared" si="18"/>
        <v>0</v>
      </c>
      <c r="T116" s="143">
        <f t="shared" si="18"/>
        <v>0</v>
      </c>
      <c r="U116" s="143">
        <f t="shared" si="18"/>
        <v>0</v>
      </c>
      <c r="V116" s="143">
        <f t="shared" si="18"/>
        <v>0</v>
      </c>
      <c r="W116" s="143">
        <f t="shared" si="18"/>
        <v>0</v>
      </c>
      <c r="X116" s="143">
        <f t="shared" si="18"/>
        <v>0</v>
      </c>
      <c r="Y116" s="143">
        <f t="shared" si="18"/>
        <v>0</v>
      </c>
      <c r="Z116" s="143">
        <f t="shared" si="18"/>
        <v>0</v>
      </c>
      <c r="AA116" s="355">
        <f t="shared" si="18"/>
        <v>0</v>
      </c>
      <c r="AB116" s="413"/>
      <c r="AC116" s="380"/>
      <c r="AD116" s="380"/>
      <c r="AE116" s="380"/>
      <c r="AF116" s="380"/>
      <c r="AG116" s="380"/>
      <c r="AH116" s="380"/>
      <c r="AI116" s="336"/>
      <c r="AJ116" s="200">
        <f t="shared" si="17"/>
        <v>0</v>
      </c>
      <c r="AK116" s="122" t="str">
        <f>CONCATENATE(IF(D116&gt;D115," * Initiated new on PrEP  for Age "&amp;D20&amp;" "&amp;D21&amp;" is more than Eligible for PrEP"&amp;CHAR(10),""),IF(E116&gt;E115," * Initiated new on PrEP  for Age "&amp;D20&amp;" "&amp;E21&amp;" is more than Eligible for PrEP"&amp;CHAR(10),""),IF(F116&gt;F115," * Initiated new on PrEP  for Age "&amp;F20&amp;" "&amp;F21&amp;" is more than Eligible for PrEP"&amp;CHAR(10),""),IF(G116&gt;G115," * Initiated new on PrEP  for Age "&amp;F20&amp;" "&amp;G21&amp;" is more than Eligible for PrEP"&amp;CHAR(10),""),IF(H116&gt;H115," * Initiated new on PrEP  for Age "&amp;H20&amp;" "&amp;H21&amp;" is more than Eligible for PrEP"&amp;CHAR(10),""),IF(I116&gt;I115," * Initiated new on PrEP  for Age "&amp;H20&amp;" "&amp;I21&amp;" is more than Eligible for PrEP"&amp;CHAR(10),""),IF(J116&gt;J115," * Initiated new on PrEP  for Age "&amp;J20&amp;" "&amp;J21&amp;" is more than Eligible for PrEP"&amp;CHAR(10),""),IF(K116&gt;K115," * Initiated new on PrEP  for Age "&amp;J20&amp;" "&amp;K21&amp;" is more than Eligible for PrEP"&amp;CHAR(10),""),IF(L116&gt;L115," * Initiated new on PrEP  for Age "&amp;L20&amp;" "&amp;L21&amp;" is more than Eligible for PrEP"&amp;CHAR(10),""),IF(M116&gt;M115," * Initiated new on PrEP  for Age "&amp;L20&amp;" "&amp;M21&amp;" is more than Eligible for PrEP"&amp;CHAR(10),""),IF(N116&gt;N115," * Initiated new on PrEP  for Age "&amp;N20&amp;" "&amp;N21&amp;" is more than Eligible for PrEP"&amp;CHAR(10),""),IF(O116&gt;O115," * Initiated new on PrEP  for Age "&amp;N20&amp;" "&amp;O21&amp;" is more than Eligible for PrEP"&amp;CHAR(10),""),IF(P116&gt;P115," * Initiated new on PrEP  for Age "&amp;P20&amp;" "&amp;P21&amp;" is more than Eligible for PrEP"&amp;CHAR(10),""),IF(Q116&gt;Q115," * Initiated new on PrEP  for Age "&amp;P20&amp;" "&amp;Q21&amp;" is more than Eligible for PrEP"&amp;CHAR(10),""),IF(R116&gt;R115," * Initiated new on PrEP  for Age "&amp;R20&amp;" "&amp;R21&amp;" is more than Eligible for PrEP"&amp;CHAR(10),""),IF(S116&gt;S115," * Initiated new on PrEP  for Age "&amp;R20&amp;" "&amp;S21&amp;" is more than Eligible for PrEP"&amp;CHAR(10),""),IF(T116&gt;T115," * Initiated new on PrEP  for Age "&amp;T20&amp;" "&amp;T21&amp;" is more than Eligible for PrEP"&amp;CHAR(10),""),IF(U116&gt;U115," * Initiated new on PrEP  for Age "&amp;T20&amp;" "&amp;U21&amp;" is more than Eligible for PrEP"&amp;CHAR(10),""),IF(V116&gt;V115," * Initiated new on PrEP  for Age "&amp;V20&amp;" "&amp;V21&amp;" is more than Eligible for PrEP"&amp;CHAR(10),""),IF(W116&gt;W115," * Initiated new on PrEP  for Age "&amp;V20&amp;" "&amp;W21&amp;" is more than Eligible for PrEP"&amp;CHAR(10),""),IF(X116&gt;X115," * Initiated new on PrEP  for Age "&amp;X20&amp;" "&amp;X21&amp;" is more than Eligible for PrEP"&amp;CHAR(10),""),IF(Y116&gt;Y115," * Initiated new on PrEP  for Age "&amp;X20&amp;" "&amp;Y21&amp;" is more than Eligible for PrEP"&amp;CHAR(10),""),IF(Z116&gt;Z115," * Initiated new on PrEP  for Age "&amp;Z20&amp;" "&amp;Z21&amp;" is more than Eligible for PrEP"&amp;CHAR(10),""),IF(AA116&gt;AA115," * Initiated new on PrEP  for Age "&amp;Z20&amp;" "&amp;AA21&amp;" is more than Eligible for PrEP"&amp;CHAR(10),""))</f>
        <v/>
      </c>
      <c r="AL116" s="652"/>
      <c r="AM116" s="32" t="str">
        <f>CONCATENATE(IF(AJ116&lt;&gt;SUM(AJ147,AJ148)," * Total Sum of (PMTCT Discordant Couple + HTS Discordant Couple) is not equal to F02-03"&amp;CHAR(10),""))</f>
        <v/>
      </c>
      <c r="AN116" s="612"/>
      <c r="AO116" s="14">
        <v>67</v>
      </c>
      <c r="AP116" s="76"/>
      <c r="AQ116" s="77"/>
    </row>
    <row r="117" spans="1:43" ht="25.5" x14ac:dyDescent="0.75">
      <c r="A117" s="648" t="s">
        <v>582</v>
      </c>
      <c r="B117" s="78" t="s">
        <v>395</v>
      </c>
      <c r="C117" s="899" t="s">
        <v>583</v>
      </c>
      <c r="D117" s="79"/>
      <c r="E117" s="80"/>
      <c r="F117" s="80"/>
      <c r="G117" s="80"/>
      <c r="H117" s="80"/>
      <c r="I117" s="80"/>
      <c r="J117" s="81"/>
      <c r="K117" s="81"/>
      <c r="L117" s="81"/>
      <c r="M117" s="81"/>
      <c r="N117" s="81"/>
      <c r="O117" s="81"/>
      <c r="P117" s="81"/>
      <c r="Q117" s="81"/>
      <c r="R117" s="81"/>
      <c r="S117" s="81"/>
      <c r="T117" s="81"/>
      <c r="U117" s="81"/>
      <c r="V117" s="81"/>
      <c r="W117" s="81"/>
      <c r="X117" s="81"/>
      <c r="Y117" s="81"/>
      <c r="Z117" s="81"/>
      <c r="AA117" s="341"/>
      <c r="AB117" s="413"/>
      <c r="AC117" s="380"/>
      <c r="AD117" s="380"/>
      <c r="AE117" s="380"/>
      <c r="AF117" s="380"/>
      <c r="AG117" s="380"/>
      <c r="AH117" s="380"/>
      <c r="AI117" s="336"/>
      <c r="AJ117" s="185">
        <f t="shared" ref="AJ117:AJ120" si="19">SUM(J117:AA117)</f>
        <v>0</v>
      </c>
      <c r="AK117" s="122"/>
      <c r="AL117" s="652"/>
      <c r="AM117" s="32"/>
      <c r="AN117" s="612"/>
      <c r="AO117" s="14">
        <v>68</v>
      </c>
      <c r="AP117" s="76"/>
      <c r="AQ117" s="77"/>
    </row>
    <row r="118" spans="1:43" ht="25.5" x14ac:dyDescent="0.75">
      <c r="A118" s="649"/>
      <c r="B118" s="78" t="s">
        <v>390</v>
      </c>
      <c r="C118" s="899" t="s">
        <v>584</v>
      </c>
      <c r="D118" s="79"/>
      <c r="E118" s="80"/>
      <c r="F118" s="80"/>
      <c r="G118" s="80"/>
      <c r="H118" s="80"/>
      <c r="I118" s="80"/>
      <c r="J118" s="81"/>
      <c r="K118" s="81"/>
      <c r="L118" s="81"/>
      <c r="M118" s="81"/>
      <c r="N118" s="81"/>
      <c r="O118" s="81"/>
      <c r="P118" s="81"/>
      <c r="Q118" s="81"/>
      <c r="R118" s="81"/>
      <c r="S118" s="81"/>
      <c r="T118" s="81"/>
      <c r="U118" s="81"/>
      <c r="V118" s="81"/>
      <c r="W118" s="81"/>
      <c r="X118" s="81"/>
      <c r="Y118" s="81"/>
      <c r="Z118" s="81"/>
      <c r="AA118" s="341"/>
      <c r="AB118" s="413"/>
      <c r="AC118" s="380"/>
      <c r="AD118" s="380"/>
      <c r="AE118" s="380"/>
      <c r="AF118" s="380"/>
      <c r="AG118" s="380"/>
      <c r="AH118" s="380"/>
      <c r="AI118" s="336"/>
      <c r="AJ118" s="185">
        <f t="shared" si="19"/>
        <v>0</v>
      </c>
      <c r="AK118" s="122"/>
      <c r="AL118" s="652"/>
      <c r="AM118" s="32"/>
      <c r="AN118" s="612"/>
      <c r="AO118" s="14">
        <v>69</v>
      </c>
      <c r="AP118" s="76"/>
      <c r="AQ118" s="77"/>
    </row>
    <row r="119" spans="1:43" ht="25.5" x14ac:dyDescent="0.75">
      <c r="A119" s="649"/>
      <c r="B119" s="78" t="s">
        <v>391</v>
      </c>
      <c r="C119" s="899" t="s">
        <v>585</v>
      </c>
      <c r="D119" s="79"/>
      <c r="E119" s="80"/>
      <c r="F119" s="80"/>
      <c r="G119" s="80"/>
      <c r="H119" s="80"/>
      <c r="I119" s="80"/>
      <c r="J119" s="81"/>
      <c r="K119" s="81"/>
      <c r="L119" s="81"/>
      <c r="M119" s="81"/>
      <c r="N119" s="81"/>
      <c r="O119" s="81"/>
      <c r="P119" s="81"/>
      <c r="Q119" s="81"/>
      <c r="R119" s="81"/>
      <c r="S119" s="81"/>
      <c r="T119" s="81"/>
      <c r="U119" s="81"/>
      <c r="V119" s="81"/>
      <c r="W119" s="81"/>
      <c r="X119" s="81"/>
      <c r="Y119" s="81"/>
      <c r="Z119" s="81"/>
      <c r="AA119" s="341"/>
      <c r="AB119" s="413"/>
      <c r="AC119" s="380"/>
      <c r="AD119" s="380"/>
      <c r="AE119" s="380"/>
      <c r="AF119" s="380"/>
      <c r="AG119" s="380"/>
      <c r="AH119" s="380"/>
      <c r="AI119" s="336"/>
      <c r="AJ119" s="185">
        <f t="shared" si="19"/>
        <v>0</v>
      </c>
      <c r="AK119" s="122"/>
      <c r="AL119" s="652"/>
      <c r="AM119" s="32"/>
      <c r="AN119" s="612"/>
      <c r="AO119" s="14">
        <v>70</v>
      </c>
      <c r="AP119" s="76"/>
      <c r="AQ119" s="77"/>
    </row>
    <row r="120" spans="1:43" ht="25.5" x14ac:dyDescent="0.75">
      <c r="A120" s="649"/>
      <c r="B120" s="78" t="s">
        <v>392</v>
      </c>
      <c r="C120" s="899" t="s">
        <v>586</v>
      </c>
      <c r="D120" s="79"/>
      <c r="E120" s="80"/>
      <c r="F120" s="80"/>
      <c r="G120" s="80"/>
      <c r="H120" s="80"/>
      <c r="I120" s="80"/>
      <c r="J120" s="81"/>
      <c r="K120" s="81"/>
      <c r="L120" s="81"/>
      <c r="M120" s="81"/>
      <c r="N120" s="81"/>
      <c r="O120" s="81"/>
      <c r="P120" s="81"/>
      <c r="Q120" s="81"/>
      <c r="R120" s="81"/>
      <c r="S120" s="81"/>
      <c r="T120" s="81"/>
      <c r="U120" s="81"/>
      <c r="V120" s="81"/>
      <c r="W120" s="81"/>
      <c r="X120" s="81"/>
      <c r="Y120" s="81"/>
      <c r="Z120" s="81"/>
      <c r="AA120" s="341"/>
      <c r="AB120" s="413"/>
      <c r="AC120" s="380"/>
      <c r="AD120" s="380"/>
      <c r="AE120" s="380"/>
      <c r="AF120" s="380"/>
      <c r="AG120" s="380"/>
      <c r="AH120" s="380"/>
      <c r="AI120" s="336"/>
      <c r="AJ120" s="185">
        <f t="shared" si="19"/>
        <v>0</v>
      </c>
      <c r="AK120" s="122"/>
      <c r="AL120" s="652"/>
      <c r="AM120" s="32"/>
      <c r="AN120" s="612"/>
      <c r="AO120" s="14">
        <v>71</v>
      </c>
      <c r="AP120" s="76"/>
      <c r="AQ120" s="77"/>
    </row>
    <row r="121" spans="1:43" ht="25.5" x14ac:dyDescent="0.75">
      <c r="A121" s="649"/>
      <c r="B121" s="78" t="s">
        <v>393</v>
      </c>
      <c r="C121" s="899" t="s">
        <v>587</v>
      </c>
      <c r="D121" s="79"/>
      <c r="E121" s="80"/>
      <c r="F121" s="80"/>
      <c r="G121" s="80"/>
      <c r="H121" s="80"/>
      <c r="I121" s="80"/>
      <c r="J121" s="81"/>
      <c r="K121" s="81"/>
      <c r="L121" s="81"/>
      <c r="M121" s="81"/>
      <c r="N121" s="81"/>
      <c r="O121" s="81"/>
      <c r="P121" s="81"/>
      <c r="Q121" s="81"/>
      <c r="R121" s="81"/>
      <c r="S121" s="81"/>
      <c r="T121" s="81"/>
      <c r="U121" s="81"/>
      <c r="V121" s="81"/>
      <c r="W121" s="81"/>
      <c r="X121" s="81"/>
      <c r="Y121" s="81"/>
      <c r="Z121" s="81"/>
      <c r="AA121" s="341"/>
      <c r="AB121" s="413"/>
      <c r="AC121" s="380"/>
      <c r="AD121" s="380"/>
      <c r="AE121" s="380"/>
      <c r="AF121" s="380"/>
      <c r="AG121" s="380"/>
      <c r="AH121" s="380"/>
      <c r="AI121" s="336"/>
      <c r="AJ121" s="185">
        <f>SUM(J121:AA121)</f>
        <v>0</v>
      </c>
      <c r="AK121" s="122"/>
      <c r="AL121" s="652"/>
      <c r="AM121" s="32"/>
      <c r="AN121" s="612"/>
      <c r="AO121" s="14">
        <v>72</v>
      </c>
      <c r="AP121" s="76"/>
      <c r="AQ121" s="77"/>
    </row>
    <row r="122" spans="1:43" ht="25.9" thickBot="1" x14ac:dyDescent="0.8">
      <c r="A122" s="650"/>
      <c r="B122" s="89" t="s">
        <v>394</v>
      </c>
      <c r="C122" s="901" t="s">
        <v>588</v>
      </c>
      <c r="D122" s="106"/>
      <c r="E122" s="105"/>
      <c r="F122" s="105"/>
      <c r="G122" s="105"/>
      <c r="H122" s="105"/>
      <c r="I122" s="105"/>
      <c r="J122" s="92"/>
      <c r="K122" s="92"/>
      <c r="L122" s="92"/>
      <c r="M122" s="92"/>
      <c r="N122" s="92"/>
      <c r="O122" s="92"/>
      <c r="P122" s="92"/>
      <c r="Q122" s="92"/>
      <c r="R122" s="92"/>
      <c r="S122" s="92"/>
      <c r="T122" s="92"/>
      <c r="U122" s="92"/>
      <c r="V122" s="92"/>
      <c r="W122" s="92"/>
      <c r="X122" s="92"/>
      <c r="Y122" s="92"/>
      <c r="Z122" s="92"/>
      <c r="AA122" s="343"/>
      <c r="AB122" s="413"/>
      <c r="AC122" s="380"/>
      <c r="AD122" s="380"/>
      <c r="AE122" s="380"/>
      <c r="AF122" s="380"/>
      <c r="AG122" s="380"/>
      <c r="AH122" s="380"/>
      <c r="AI122" s="336"/>
      <c r="AJ122" s="204">
        <f>SUM(J122:AA122)</f>
        <v>0</v>
      </c>
      <c r="AK122" s="122"/>
      <c r="AL122" s="652"/>
      <c r="AM122" s="32"/>
      <c r="AN122" s="612"/>
      <c r="AO122" s="14">
        <v>73</v>
      </c>
      <c r="AP122" s="76"/>
      <c r="AQ122" s="77"/>
    </row>
    <row r="123" spans="1:43" ht="25.5" x14ac:dyDescent="0.75">
      <c r="A123" s="648" t="s">
        <v>1129</v>
      </c>
      <c r="B123" s="94" t="s">
        <v>561</v>
      </c>
      <c r="C123" s="898" t="s">
        <v>352</v>
      </c>
      <c r="D123" s="101"/>
      <c r="E123" s="102"/>
      <c r="F123" s="102"/>
      <c r="G123" s="102"/>
      <c r="H123" s="102"/>
      <c r="I123" s="102"/>
      <c r="J123" s="97"/>
      <c r="K123" s="97"/>
      <c r="L123" s="97"/>
      <c r="M123" s="97"/>
      <c r="N123" s="97"/>
      <c r="O123" s="97"/>
      <c r="P123" s="97"/>
      <c r="Q123" s="97"/>
      <c r="R123" s="97"/>
      <c r="S123" s="97"/>
      <c r="T123" s="97"/>
      <c r="U123" s="97"/>
      <c r="V123" s="97"/>
      <c r="W123" s="97"/>
      <c r="X123" s="97"/>
      <c r="Y123" s="97"/>
      <c r="Z123" s="97"/>
      <c r="AA123" s="344"/>
      <c r="AB123" s="413"/>
      <c r="AC123" s="380"/>
      <c r="AD123" s="380"/>
      <c r="AE123" s="380"/>
      <c r="AF123" s="380"/>
      <c r="AG123" s="380"/>
      <c r="AH123" s="380"/>
      <c r="AI123" s="336"/>
      <c r="AJ123" s="200">
        <f>SUM(J123:AA123)</f>
        <v>0</v>
      </c>
      <c r="AK123" s="140"/>
      <c r="AL123" s="652"/>
      <c r="AM123" s="32"/>
      <c r="AN123" s="612"/>
      <c r="AO123" s="14">
        <v>74</v>
      </c>
      <c r="AP123" s="76"/>
      <c r="AQ123" s="77"/>
    </row>
    <row r="124" spans="1:43" ht="25.5" x14ac:dyDescent="0.75">
      <c r="A124" s="649"/>
      <c r="B124" s="78" t="s">
        <v>565</v>
      </c>
      <c r="C124" s="899" t="s">
        <v>567</v>
      </c>
      <c r="D124" s="79"/>
      <c r="E124" s="80"/>
      <c r="F124" s="80"/>
      <c r="G124" s="80"/>
      <c r="H124" s="80"/>
      <c r="I124" s="80"/>
      <c r="J124" s="81"/>
      <c r="K124" s="81"/>
      <c r="L124" s="81"/>
      <c r="M124" s="81"/>
      <c r="N124" s="81"/>
      <c r="O124" s="81"/>
      <c r="P124" s="81"/>
      <c r="Q124" s="81"/>
      <c r="R124" s="81"/>
      <c r="S124" s="81"/>
      <c r="T124" s="81"/>
      <c r="U124" s="81"/>
      <c r="V124" s="81"/>
      <c r="W124" s="81"/>
      <c r="X124" s="81"/>
      <c r="Y124" s="81"/>
      <c r="Z124" s="81"/>
      <c r="AA124" s="341"/>
      <c r="AB124" s="413"/>
      <c r="AC124" s="380"/>
      <c r="AD124" s="380"/>
      <c r="AE124" s="380"/>
      <c r="AF124" s="380"/>
      <c r="AG124" s="380"/>
      <c r="AH124" s="380"/>
      <c r="AI124" s="336"/>
      <c r="AJ124" s="185">
        <f>SUM(J124:AA124)</f>
        <v>0</v>
      </c>
      <c r="AK124" s="122"/>
      <c r="AL124" s="652"/>
      <c r="AM124" s="32"/>
      <c r="AN124" s="612"/>
      <c r="AO124" s="14">
        <v>75</v>
      </c>
      <c r="AP124" s="76"/>
      <c r="AQ124" s="77"/>
    </row>
    <row r="125" spans="1:43" ht="25.5" x14ac:dyDescent="0.75">
      <c r="A125" s="649"/>
      <c r="B125" s="78" t="s">
        <v>566</v>
      </c>
      <c r="C125" s="899" t="s">
        <v>568</v>
      </c>
      <c r="D125" s="79"/>
      <c r="E125" s="80"/>
      <c r="F125" s="80"/>
      <c r="G125" s="80"/>
      <c r="H125" s="80"/>
      <c r="I125" s="80"/>
      <c r="J125" s="81"/>
      <c r="K125" s="81"/>
      <c r="L125" s="81"/>
      <c r="M125" s="81"/>
      <c r="N125" s="81"/>
      <c r="O125" s="81"/>
      <c r="P125" s="81"/>
      <c r="Q125" s="81"/>
      <c r="R125" s="81"/>
      <c r="S125" s="81"/>
      <c r="T125" s="81"/>
      <c r="U125" s="81"/>
      <c r="V125" s="81"/>
      <c r="W125" s="81"/>
      <c r="X125" s="81"/>
      <c r="Y125" s="81"/>
      <c r="Z125" s="81"/>
      <c r="AA125" s="341"/>
      <c r="AB125" s="413"/>
      <c r="AC125" s="380"/>
      <c r="AD125" s="380"/>
      <c r="AE125" s="380"/>
      <c r="AF125" s="380"/>
      <c r="AG125" s="380"/>
      <c r="AH125" s="380"/>
      <c r="AI125" s="336"/>
      <c r="AJ125" s="185">
        <f t="shared" ref="AJ125:AJ127" si="20">SUM(J125:AA125)</f>
        <v>0</v>
      </c>
      <c r="AK125" s="122"/>
      <c r="AL125" s="652"/>
      <c r="AM125" s="32"/>
      <c r="AN125" s="612"/>
      <c r="AO125" s="14">
        <v>76</v>
      </c>
      <c r="AP125" s="76"/>
      <c r="AQ125" s="77"/>
    </row>
    <row r="126" spans="1:43" ht="25.9" thickBot="1" x14ac:dyDescent="0.8">
      <c r="A126" s="650"/>
      <c r="B126" s="89" t="s">
        <v>658</v>
      </c>
      <c r="C126" s="901" t="s">
        <v>189</v>
      </c>
      <c r="D126" s="106"/>
      <c r="E126" s="105"/>
      <c r="F126" s="105"/>
      <c r="G126" s="105"/>
      <c r="H126" s="105"/>
      <c r="I126" s="105"/>
      <c r="J126" s="92"/>
      <c r="K126" s="92"/>
      <c r="L126" s="92"/>
      <c r="M126" s="92"/>
      <c r="N126" s="92"/>
      <c r="O126" s="92"/>
      <c r="P126" s="92"/>
      <c r="Q126" s="92"/>
      <c r="R126" s="92"/>
      <c r="S126" s="92"/>
      <c r="T126" s="92"/>
      <c r="U126" s="92"/>
      <c r="V126" s="92"/>
      <c r="W126" s="92"/>
      <c r="X126" s="92"/>
      <c r="Y126" s="92"/>
      <c r="Z126" s="92"/>
      <c r="AA126" s="343"/>
      <c r="AB126" s="413"/>
      <c r="AC126" s="380"/>
      <c r="AD126" s="380"/>
      <c r="AE126" s="380"/>
      <c r="AF126" s="380"/>
      <c r="AG126" s="380"/>
      <c r="AH126" s="380"/>
      <c r="AI126" s="336"/>
      <c r="AJ126" s="185">
        <f t="shared" si="20"/>
        <v>0</v>
      </c>
      <c r="AK126" s="31"/>
      <c r="AL126" s="652"/>
      <c r="AM126" s="32"/>
      <c r="AN126" s="612"/>
      <c r="AO126" s="14">
        <v>77</v>
      </c>
      <c r="AP126" s="76"/>
      <c r="AQ126" s="77"/>
    </row>
    <row r="127" spans="1:43" ht="127.5" customHeight="1" thickBot="1" x14ac:dyDescent="0.8">
      <c r="A127" s="331" t="s">
        <v>1032</v>
      </c>
      <c r="B127" s="334" t="s">
        <v>1131</v>
      </c>
      <c r="C127" s="894" t="s">
        <v>1033</v>
      </c>
      <c r="D127" s="332"/>
      <c r="E127" s="333"/>
      <c r="F127" s="333"/>
      <c r="G127" s="333"/>
      <c r="H127" s="333"/>
      <c r="I127" s="333"/>
      <c r="J127" s="256"/>
      <c r="K127" s="256"/>
      <c r="L127" s="256"/>
      <c r="M127" s="256"/>
      <c r="N127" s="256"/>
      <c r="O127" s="256"/>
      <c r="P127" s="256"/>
      <c r="Q127" s="256"/>
      <c r="R127" s="256"/>
      <c r="S127" s="256"/>
      <c r="T127" s="256"/>
      <c r="U127" s="256"/>
      <c r="V127" s="256"/>
      <c r="W127" s="256"/>
      <c r="X127" s="256"/>
      <c r="Y127" s="256"/>
      <c r="Z127" s="256"/>
      <c r="AA127" s="356"/>
      <c r="AB127" s="413"/>
      <c r="AC127" s="380"/>
      <c r="AD127" s="380"/>
      <c r="AE127" s="380"/>
      <c r="AF127" s="380"/>
      <c r="AG127" s="380"/>
      <c r="AH127" s="380"/>
      <c r="AI127" s="336"/>
      <c r="AJ127" s="185">
        <f t="shared" si="20"/>
        <v>0</v>
      </c>
      <c r="AK127" s="31"/>
      <c r="AL127" s="652"/>
      <c r="AM127" s="32"/>
      <c r="AN127" s="612"/>
      <c r="AO127" s="14"/>
      <c r="AP127" s="76"/>
      <c r="AQ127" s="77"/>
    </row>
    <row r="128" spans="1:43" ht="51.4" hidden="1" thickBot="1" x14ac:dyDescent="0.8">
      <c r="A128" s="141" t="s">
        <v>850</v>
      </c>
      <c r="B128" s="142" t="s">
        <v>1016</v>
      </c>
      <c r="C128" s="898" t="s">
        <v>570</v>
      </c>
      <c r="D128" s="101"/>
      <c r="E128" s="102"/>
      <c r="F128" s="102"/>
      <c r="G128" s="102"/>
      <c r="H128" s="102"/>
      <c r="I128" s="102"/>
      <c r="J128" s="143">
        <f>SUM(J129:J134)</f>
        <v>0</v>
      </c>
      <c r="K128" s="143">
        <f t="shared" ref="K128:AA128" si="21">SUM(K129:K134)</f>
        <v>0</v>
      </c>
      <c r="L128" s="143">
        <f t="shared" si="21"/>
        <v>0</v>
      </c>
      <c r="M128" s="143">
        <f t="shared" si="21"/>
        <v>0</v>
      </c>
      <c r="N128" s="143">
        <f t="shared" si="21"/>
        <v>0</v>
      </c>
      <c r="O128" s="143">
        <f t="shared" si="21"/>
        <v>0</v>
      </c>
      <c r="P128" s="143">
        <f t="shared" si="21"/>
        <v>0</v>
      </c>
      <c r="Q128" s="143">
        <f t="shared" si="21"/>
        <v>0</v>
      </c>
      <c r="R128" s="143">
        <f t="shared" si="21"/>
        <v>0</v>
      </c>
      <c r="S128" s="143">
        <f t="shared" si="21"/>
        <v>0</v>
      </c>
      <c r="T128" s="143">
        <f t="shared" si="21"/>
        <v>0</v>
      </c>
      <c r="U128" s="143">
        <f t="shared" si="21"/>
        <v>0</v>
      </c>
      <c r="V128" s="143">
        <f t="shared" si="21"/>
        <v>0</v>
      </c>
      <c r="W128" s="143">
        <f t="shared" si="21"/>
        <v>0</v>
      </c>
      <c r="X128" s="143">
        <f t="shared" si="21"/>
        <v>0</v>
      </c>
      <c r="Y128" s="143">
        <f t="shared" si="21"/>
        <v>0</v>
      </c>
      <c r="Z128" s="143">
        <f t="shared" si="21"/>
        <v>0</v>
      </c>
      <c r="AA128" s="355">
        <f t="shared" si="21"/>
        <v>0</v>
      </c>
      <c r="AB128" s="413"/>
      <c r="AC128" s="380"/>
      <c r="AD128" s="380"/>
      <c r="AE128" s="380"/>
      <c r="AF128" s="380"/>
      <c r="AG128" s="380"/>
      <c r="AH128" s="380"/>
      <c r="AI128" s="336"/>
      <c r="AJ128" s="417">
        <f>SUM(J128:AA128)</f>
        <v>0</v>
      </c>
      <c r="AK128" s="31"/>
      <c r="AL128" s="652"/>
      <c r="AM128" s="32"/>
      <c r="AN128" s="612"/>
      <c r="AO128" s="14">
        <v>78</v>
      </c>
      <c r="AP128" s="76"/>
      <c r="AQ128" s="77"/>
    </row>
    <row r="129" spans="1:43" ht="25.5" hidden="1" x14ac:dyDescent="0.75">
      <c r="A129" s="648" t="s">
        <v>581</v>
      </c>
      <c r="B129" s="78" t="s">
        <v>395</v>
      </c>
      <c r="C129" s="899" t="s">
        <v>591</v>
      </c>
      <c r="D129" s="79"/>
      <c r="E129" s="80"/>
      <c r="F129" s="80"/>
      <c r="G129" s="80"/>
      <c r="H129" s="80"/>
      <c r="I129" s="80"/>
      <c r="J129" s="81"/>
      <c r="K129" s="81"/>
      <c r="L129" s="81"/>
      <c r="M129" s="81"/>
      <c r="N129" s="81"/>
      <c r="O129" s="81"/>
      <c r="P129" s="81"/>
      <c r="Q129" s="81"/>
      <c r="R129" s="81"/>
      <c r="S129" s="81"/>
      <c r="T129" s="81"/>
      <c r="U129" s="81"/>
      <c r="V129" s="81"/>
      <c r="W129" s="81"/>
      <c r="X129" s="81"/>
      <c r="Y129" s="81"/>
      <c r="Z129" s="81"/>
      <c r="AA129" s="341"/>
      <c r="AB129" s="413"/>
      <c r="AC129" s="380"/>
      <c r="AD129" s="380"/>
      <c r="AE129" s="380"/>
      <c r="AF129" s="380"/>
      <c r="AG129" s="380"/>
      <c r="AH129" s="380"/>
      <c r="AI129" s="336"/>
      <c r="AJ129" s="185">
        <f>SUM(J129:AA129)</f>
        <v>0</v>
      </c>
      <c r="AK129" s="122"/>
      <c r="AL129" s="652"/>
      <c r="AM129" s="32"/>
      <c r="AN129" s="612"/>
      <c r="AO129" s="14">
        <v>79</v>
      </c>
      <c r="AP129" s="76"/>
      <c r="AQ129" s="77"/>
    </row>
    <row r="130" spans="1:43" ht="25.5" hidden="1" x14ac:dyDescent="0.75">
      <c r="A130" s="649"/>
      <c r="B130" s="78" t="s">
        <v>390</v>
      </c>
      <c r="C130" s="899" t="s">
        <v>592</v>
      </c>
      <c r="D130" s="79"/>
      <c r="E130" s="80"/>
      <c r="F130" s="80"/>
      <c r="G130" s="80"/>
      <c r="H130" s="80"/>
      <c r="I130" s="80"/>
      <c r="J130" s="81"/>
      <c r="K130" s="81"/>
      <c r="L130" s="81"/>
      <c r="M130" s="81"/>
      <c r="N130" s="81"/>
      <c r="O130" s="81"/>
      <c r="P130" s="81"/>
      <c r="Q130" s="81"/>
      <c r="R130" s="81"/>
      <c r="S130" s="81"/>
      <c r="T130" s="81"/>
      <c r="U130" s="81"/>
      <c r="V130" s="81"/>
      <c r="W130" s="81"/>
      <c r="X130" s="81"/>
      <c r="Y130" s="81"/>
      <c r="Z130" s="81"/>
      <c r="AA130" s="341"/>
      <c r="AB130" s="413"/>
      <c r="AC130" s="380"/>
      <c r="AD130" s="380"/>
      <c r="AE130" s="380"/>
      <c r="AF130" s="380"/>
      <c r="AG130" s="380"/>
      <c r="AH130" s="380"/>
      <c r="AI130" s="336"/>
      <c r="AJ130" s="185">
        <f>SUM(J130:AA130)</f>
        <v>0</v>
      </c>
      <c r="AK130" s="122"/>
      <c r="AL130" s="652"/>
      <c r="AM130" s="32"/>
      <c r="AN130" s="612"/>
      <c r="AO130" s="14">
        <v>80</v>
      </c>
      <c r="AP130" s="76"/>
      <c r="AQ130" s="77"/>
    </row>
    <row r="131" spans="1:43" ht="25.5" hidden="1" x14ac:dyDescent="0.75">
      <c r="A131" s="649"/>
      <c r="B131" s="78" t="s">
        <v>391</v>
      </c>
      <c r="C131" s="899" t="s">
        <v>593</v>
      </c>
      <c r="D131" s="79"/>
      <c r="E131" s="80"/>
      <c r="F131" s="80"/>
      <c r="G131" s="80"/>
      <c r="H131" s="80"/>
      <c r="I131" s="80"/>
      <c r="J131" s="81"/>
      <c r="K131" s="81"/>
      <c r="L131" s="81"/>
      <c r="M131" s="81"/>
      <c r="N131" s="81"/>
      <c r="O131" s="81"/>
      <c r="P131" s="81"/>
      <c r="Q131" s="81"/>
      <c r="R131" s="81"/>
      <c r="S131" s="81"/>
      <c r="T131" s="81"/>
      <c r="U131" s="81"/>
      <c r="V131" s="81"/>
      <c r="W131" s="81"/>
      <c r="X131" s="81"/>
      <c r="Y131" s="81"/>
      <c r="Z131" s="81"/>
      <c r="AA131" s="341"/>
      <c r="AB131" s="413"/>
      <c r="AC131" s="380"/>
      <c r="AD131" s="380"/>
      <c r="AE131" s="380"/>
      <c r="AF131" s="380"/>
      <c r="AG131" s="380"/>
      <c r="AH131" s="380"/>
      <c r="AI131" s="336"/>
      <c r="AJ131" s="185">
        <f t="shared" ref="AJ131:AJ134" si="22">SUM(J131:AA131)</f>
        <v>0</v>
      </c>
      <c r="AK131" s="122"/>
      <c r="AL131" s="652"/>
      <c r="AM131" s="32"/>
      <c r="AN131" s="612"/>
      <c r="AO131" s="14">
        <v>81</v>
      </c>
      <c r="AP131" s="76"/>
      <c r="AQ131" s="77"/>
    </row>
    <row r="132" spans="1:43" ht="25.5" hidden="1" x14ac:dyDescent="0.75">
      <c r="A132" s="649"/>
      <c r="B132" s="78" t="s">
        <v>392</v>
      </c>
      <c r="C132" s="899" t="s">
        <v>594</v>
      </c>
      <c r="D132" s="79"/>
      <c r="E132" s="80"/>
      <c r="F132" s="80"/>
      <c r="G132" s="80"/>
      <c r="H132" s="80"/>
      <c r="I132" s="80"/>
      <c r="J132" s="81"/>
      <c r="K132" s="81"/>
      <c r="L132" s="81"/>
      <c r="M132" s="81"/>
      <c r="N132" s="81"/>
      <c r="O132" s="81"/>
      <c r="P132" s="81"/>
      <c r="Q132" s="81"/>
      <c r="R132" s="81"/>
      <c r="S132" s="81"/>
      <c r="T132" s="81"/>
      <c r="U132" s="81"/>
      <c r="V132" s="81"/>
      <c r="W132" s="81"/>
      <c r="X132" s="81"/>
      <c r="Y132" s="81"/>
      <c r="Z132" s="81"/>
      <c r="AA132" s="341"/>
      <c r="AB132" s="413"/>
      <c r="AC132" s="380"/>
      <c r="AD132" s="380"/>
      <c r="AE132" s="380"/>
      <c r="AF132" s="380"/>
      <c r="AG132" s="380"/>
      <c r="AH132" s="380"/>
      <c r="AI132" s="336"/>
      <c r="AJ132" s="185">
        <f t="shared" si="22"/>
        <v>0</v>
      </c>
      <c r="AK132" s="122"/>
      <c r="AL132" s="652"/>
      <c r="AM132" s="32"/>
      <c r="AN132" s="612"/>
      <c r="AO132" s="14">
        <v>82</v>
      </c>
      <c r="AP132" s="76"/>
      <c r="AQ132" s="77"/>
    </row>
    <row r="133" spans="1:43" ht="25.5" hidden="1" x14ac:dyDescent="0.75">
      <c r="A133" s="649"/>
      <c r="B133" s="78" t="s">
        <v>393</v>
      </c>
      <c r="C133" s="899" t="s">
        <v>595</v>
      </c>
      <c r="D133" s="79"/>
      <c r="E133" s="80"/>
      <c r="F133" s="80"/>
      <c r="G133" s="80"/>
      <c r="H133" s="80"/>
      <c r="I133" s="80"/>
      <c r="J133" s="81"/>
      <c r="K133" s="81"/>
      <c r="L133" s="81"/>
      <c r="M133" s="81"/>
      <c r="N133" s="81"/>
      <c r="O133" s="81"/>
      <c r="P133" s="81"/>
      <c r="Q133" s="81"/>
      <c r="R133" s="81"/>
      <c r="S133" s="81"/>
      <c r="T133" s="81"/>
      <c r="U133" s="81"/>
      <c r="V133" s="81"/>
      <c r="W133" s="81"/>
      <c r="X133" s="81"/>
      <c r="Y133" s="81"/>
      <c r="Z133" s="81"/>
      <c r="AA133" s="341"/>
      <c r="AB133" s="413"/>
      <c r="AC133" s="380"/>
      <c r="AD133" s="380"/>
      <c r="AE133" s="380"/>
      <c r="AF133" s="380"/>
      <c r="AG133" s="380"/>
      <c r="AH133" s="380"/>
      <c r="AI133" s="336"/>
      <c r="AJ133" s="185">
        <f t="shared" si="22"/>
        <v>0</v>
      </c>
      <c r="AK133" s="122"/>
      <c r="AL133" s="652"/>
      <c r="AM133" s="32"/>
      <c r="AN133" s="612"/>
      <c r="AO133" s="14">
        <v>83</v>
      </c>
      <c r="AP133" s="76"/>
      <c r="AQ133" s="77"/>
    </row>
    <row r="134" spans="1:43" ht="25.9" hidden="1" thickBot="1" x14ac:dyDescent="0.8">
      <c r="A134" s="650"/>
      <c r="B134" s="89" t="s">
        <v>394</v>
      </c>
      <c r="C134" s="901" t="s">
        <v>596</v>
      </c>
      <c r="D134" s="144"/>
      <c r="E134" s="126"/>
      <c r="F134" s="126"/>
      <c r="G134" s="126"/>
      <c r="H134" s="126"/>
      <c r="I134" s="126"/>
      <c r="J134" s="127"/>
      <c r="K134" s="127"/>
      <c r="L134" s="127"/>
      <c r="M134" s="127"/>
      <c r="N134" s="127"/>
      <c r="O134" s="127"/>
      <c r="P134" s="127"/>
      <c r="Q134" s="127"/>
      <c r="R134" s="127"/>
      <c r="S134" s="127"/>
      <c r="T134" s="127"/>
      <c r="U134" s="127"/>
      <c r="V134" s="127"/>
      <c r="W134" s="127"/>
      <c r="X134" s="127"/>
      <c r="Y134" s="127"/>
      <c r="Z134" s="127"/>
      <c r="AA134" s="352"/>
      <c r="AB134" s="413"/>
      <c r="AC134" s="380"/>
      <c r="AD134" s="380"/>
      <c r="AE134" s="380"/>
      <c r="AF134" s="380"/>
      <c r="AG134" s="380"/>
      <c r="AH134" s="380"/>
      <c r="AI134" s="336"/>
      <c r="AJ134" s="418">
        <f t="shared" si="22"/>
        <v>0</v>
      </c>
      <c r="AK134" s="122"/>
      <c r="AL134" s="652"/>
      <c r="AM134" s="32"/>
      <c r="AN134" s="612"/>
      <c r="AO134" s="14">
        <v>84</v>
      </c>
      <c r="AP134" s="76"/>
      <c r="AQ134" s="77"/>
    </row>
    <row r="135" spans="1:43" ht="25.5" x14ac:dyDescent="0.75">
      <c r="A135" s="585" t="s">
        <v>1210</v>
      </c>
      <c r="B135" s="882" t="s">
        <v>1211</v>
      </c>
      <c r="C135" s="908" t="s">
        <v>191</v>
      </c>
      <c r="D135" s="145"/>
      <c r="E135" s="102"/>
      <c r="F135" s="102"/>
      <c r="G135" s="102"/>
      <c r="H135" s="102"/>
      <c r="I135" s="102"/>
      <c r="J135" s="97"/>
      <c r="K135" s="97"/>
      <c r="L135" s="97"/>
      <c r="M135" s="97"/>
      <c r="N135" s="97"/>
      <c r="O135" s="97"/>
      <c r="P135" s="97"/>
      <c r="Q135" s="97"/>
      <c r="R135" s="97"/>
      <c r="S135" s="97"/>
      <c r="T135" s="97"/>
      <c r="U135" s="97"/>
      <c r="V135" s="97"/>
      <c r="W135" s="97"/>
      <c r="X135" s="97"/>
      <c r="Y135" s="97"/>
      <c r="Z135" s="97"/>
      <c r="AA135" s="344"/>
      <c r="AB135" s="413"/>
      <c r="AC135" s="380"/>
      <c r="AD135" s="380"/>
      <c r="AE135" s="380"/>
      <c r="AF135" s="380"/>
      <c r="AG135" s="380"/>
      <c r="AH135" s="380"/>
      <c r="AI135" s="336"/>
      <c r="AJ135" s="200">
        <f t="shared" si="17"/>
        <v>0</v>
      </c>
      <c r="AK135" s="687" t="str">
        <f>CONCATENATE(IF(D136&gt;D135," * F02-07 for Age "&amp;D20&amp;" "&amp;D21&amp;" is more than F02-06"&amp;CHAR(10),""),IF(E136&gt;E135," * F02-07 for Age "&amp;D20&amp;" "&amp;E21&amp;" is more than F02-06"&amp;CHAR(10),""),IF(F136&gt;F135," * F02-07 for Age "&amp;F20&amp;" "&amp;F21&amp;" is more than F02-06"&amp;CHAR(10),""),IF(G136&gt;G135," * F02-07 for Age "&amp;F20&amp;" "&amp;G21&amp;" is more than F02-06"&amp;CHAR(10),""),IF(H136&gt;H135," * F02-07 for Age "&amp;H20&amp;" "&amp;H21&amp;" is more than F02-06"&amp;CHAR(10),""),IF(I136&gt;I135," * F02-07 for Age "&amp;H20&amp;" "&amp;I21&amp;" is more than F02-06"&amp;CHAR(10),""),IF(J136&gt;J135," * F02-07 for Age "&amp;J20&amp;" "&amp;J21&amp;" is more than F02-06"&amp;CHAR(10),""),IF(K136&gt;K135," * F02-07 for Age "&amp;J20&amp;" "&amp;K21&amp;" is more than F02-06"&amp;CHAR(10),""),IF(L136&gt;L135," * F02-07 for Age "&amp;L20&amp;" "&amp;L21&amp;" is more than F02-06"&amp;CHAR(10),""),IF(M136&gt;M135," * F02-07 for Age "&amp;L20&amp;" "&amp;M21&amp;" is more than F02-06"&amp;CHAR(10),""),IF(N136&gt;N135," * F02-07 for Age "&amp;N20&amp;" "&amp;N21&amp;" is more than F02-06"&amp;CHAR(10),""),IF(O136&gt;O135," * F02-07 for Age "&amp;N20&amp;" "&amp;O21&amp;" is more than F02-06"&amp;CHAR(10),""),IF(P136&gt;P135," * F02-07 for Age "&amp;P20&amp;" "&amp;P21&amp;" is more than F02-06"&amp;CHAR(10),""),IF(Q136&gt;Q135," * F02-07 for Age "&amp;P20&amp;" "&amp;Q21&amp;" is more than F02-06"&amp;CHAR(10),""),IF(R136&gt;R135," * F02-07 for Age "&amp;R20&amp;" "&amp;R21&amp;" is more than F02-06"&amp;CHAR(10),""),IF(S136&gt;S135," * F02-07 for Age "&amp;R20&amp;" "&amp;S21&amp;" is more than F02-06"&amp;CHAR(10),""),IF(T136&gt;T135," * F02-07 for Age "&amp;T20&amp;" "&amp;T21&amp;" is more than F02-06"&amp;CHAR(10),""),IF(U136&gt;U135," * F02-07 for Age "&amp;T20&amp;" "&amp;U21&amp;" is more than F02-06"&amp;CHAR(10),""),IF(V136&gt;V135," * F02-07 for Age "&amp;V20&amp;" "&amp;V21&amp;" is more than F02-06"&amp;CHAR(10),""),IF(W136&gt;W135," * F02-07 for Age "&amp;V20&amp;" "&amp;W21&amp;" is more than F02-06"&amp;CHAR(10),""),IF(X136&gt;X135," * F02-07 for Age "&amp;X20&amp;" "&amp;X21&amp;" is more than F02-06"&amp;CHAR(10),""),IF(Y136&gt;Y135," * F02-07 for Age "&amp;X20&amp;" "&amp;Y21&amp;" is more than F02-06"&amp;CHAR(10),""),IF(Z136&gt;Z135," * F02-07 for Age "&amp;Z20&amp;" "&amp;Z21&amp;" is more than F02-06"&amp;CHAR(10),""),IF(AA136&gt;AA135," * F02-07 for Age "&amp;Z20&amp;" "&amp;AA21&amp;" is more than F02-06"&amp;CHAR(10),""),IF(AJ136&gt;AJ135," * Total F02-07 is more than Total F02-06"&amp;CHAR(10),""))</f>
        <v/>
      </c>
      <c r="AL135" s="652"/>
      <c r="AM135" s="32"/>
      <c r="AN135" s="612"/>
      <c r="AO135" s="14">
        <v>85</v>
      </c>
      <c r="AP135" s="76"/>
      <c r="AQ135" s="77"/>
    </row>
    <row r="136" spans="1:43" ht="25.9" thickBot="1" x14ac:dyDescent="0.8">
      <c r="A136" s="635"/>
      <c r="B136" s="436" t="s">
        <v>1212</v>
      </c>
      <c r="C136" s="900" t="s">
        <v>192</v>
      </c>
      <c r="D136" s="146"/>
      <c r="E136" s="80"/>
      <c r="F136" s="80"/>
      <c r="G136" s="80"/>
      <c r="H136" s="80"/>
      <c r="I136" s="80"/>
      <c r="J136" s="81"/>
      <c r="K136" s="81"/>
      <c r="L136" s="81"/>
      <c r="M136" s="81"/>
      <c r="N136" s="81"/>
      <c r="O136" s="81"/>
      <c r="P136" s="81"/>
      <c r="Q136" s="81"/>
      <c r="R136" s="81"/>
      <c r="S136" s="81"/>
      <c r="T136" s="81"/>
      <c r="U136" s="81"/>
      <c r="V136" s="81"/>
      <c r="W136" s="81"/>
      <c r="X136" s="81"/>
      <c r="Y136" s="81"/>
      <c r="Z136" s="81"/>
      <c r="AA136" s="341"/>
      <c r="AB136" s="413"/>
      <c r="AC136" s="380"/>
      <c r="AD136" s="380"/>
      <c r="AE136" s="380"/>
      <c r="AF136" s="380"/>
      <c r="AG136" s="380"/>
      <c r="AH136" s="380"/>
      <c r="AI136" s="336"/>
      <c r="AJ136" s="185">
        <f t="shared" si="17"/>
        <v>0</v>
      </c>
      <c r="AK136" s="687"/>
      <c r="AL136" s="652"/>
      <c r="AM136" s="32"/>
      <c r="AN136" s="612"/>
      <c r="AO136" s="14">
        <v>86</v>
      </c>
      <c r="AP136" s="76"/>
      <c r="AQ136" s="77"/>
    </row>
    <row r="137" spans="1:43" ht="25.9" hidden="1" thickBot="1" x14ac:dyDescent="0.8">
      <c r="A137" s="586"/>
      <c r="B137" s="124" t="s">
        <v>659</v>
      </c>
      <c r="C137" s="916" t="s">
        <v>353</v>
      </c>
      <c r="D137" s="125"/>
      <c r="E137" s="105"/>
      <c r="F137" s="105"/>
      <c r="G137" s="105"/>
      <c r="H137" s="105"/>
      <c r="I137" s="105"/>
      <c r="J137" s="92"/>
      <c r="K137" s="92"/>
      <c r="L137" s="92"/>
      <c r="M137" s="92"/>
      <c r="N137" s="92"/>
      <c r="O137" s="92"/>
      <c r="P137" s="92"/>
      <c r="Q137" s="92"/>
      <c r="R137" s="92"/>
      <c r="S137" s="92"/>
      <c r="T137" s="92"/>
      <c r="U137" s="92"/>
      <c r="V137" s="92"/>
      <c r="W137" s="92"/>
      <c r="X137" s="92"/>
      <c r="Y137" s="92"/>
      <c r="Z137" s="92"/>
      <c r="AA137" s="343"/>
      <c r="AB137" s="413"/>
      <c r="AC137" s="380"/>
      <c r="AD137" s="380"/>
      <c r="AE137" s="380"/>
      <c r="AF137" s="380"/>
      <c r="AG137" s="380"/>
      <c r="AH137" s="380"/>
      <c r="AI137" s="336"/>
      <c r="AJ137" s="204">
        <f t="shared" si="17"/>
        <v>0</v>
      </c>
      <c r="AK137" s="122" t="str">
        <f>CONCATENATE(IF(D128&lt;SUM(D137,D135)," * Sum of Three months tests for prep and less than three months since prep initiation for Age "&amp;D110&amp;" "&amp;D111&amp;" is more than Current on Prep"&amp;CHAR(10),""),IF(E128&lt;SUM(E137,E135)," * Sum of Three months tests for prep and less than three months since prep initiation  for Age "&amp;D110&amp;" "&amp;E111&amp;" is more than Current on Prep"&amp;CHAR(10),""),IF(F128&lt;SUM(F137,F135)," * Sum of Three months tests for prep and less than three months since prep initiation  for Age "&amp;F110&amp;" "&amp;F111&amp;" is more than Current on Prep"&amp;CHAR(10),""),IF(G128&lt;SUM(G137,G135)," * Sum of Three months tests for prep and less than three months since prep initiation  for Age "&amp;F110&amp;" "&amp;G111&amp;" is more than Current on Prep"&amp;CHAR(10),""),IF(H128&lt;SUM(H137,H135)," * Sum of Three months tests for prep and less than three months since prep initiation  for Age "&amp;H110&amp;" "&amp;H111&amp;" is more than Current on Prep"&amp;CHAR(10),""),IF(I128&lt;SUM(I137,I135)," * Sum of Three months tests for prep and less than three months since prep initiation  for Age "&amp;H110&amp;" "&amp;I111&amp;" is more than Current on Prep"&amp;CHAR(10),""),IF(J128&lt;SUM(J137,J135)," * Sum of Three months tests for prep and less than three months since prep initiation  for Age "&amp;J110&amp;" "&amp;J111&amp;" is more than Current on Prep"&amp;CHAR(10),""),IF(K128&lt;SUM(K137,K135)," * Sum of Three months tests for prep and less than three months since prep initiation  for Age "&amp;J110&amp;" "&amp;K111&amp;" is more than Current on Prep"&amp;CHAR(10),""),IF(L128&lt;SUM(L137,L135)," * Sum of Three months tests for prep and less than three months since prep initiation  for Age "&amp;L110&amp;" "&amp;L111&amp;" is more than Current on Prep"&amp;CHAR(10),""),IF(M128&lt;SUM(M137,M135)," * Sum of Three months tests for prep and less than three months since prep initiation  for Age "&amp;L110&amp;" "&amp;M111&amp;" is more than Current on Prep"&amp;CHAR(10),""),IF(N128&lt;SUM(N137,N135)," * Sum of Three months tests for prep and less than three months since prep initiation  for Age "&amp;N110&amp;" "&amp;N111&amp;" is more than Current on Prep"&amp;CHAR(10),""),IF(O128&lt;SUM(O137,O135)," * Sum of Three months tests for prep and less than three months since prep initiation  for Age "&amp;N110&amp;" "&amp;O111&amp;" is more than Current on Prep"&amp;CHAR(10),""),IF(P128&lt;SUM(P137,P135)," * Sum of Three months tests for prep and less than three months since prep initiation  for Age "&amp;P110&amp;" "&amp;P111&amp;" is more than Current on Prep"&amp;CHAR(10),""),IF(Q128&lt;SUM(Q137,Q135)," * Sum of Three months tests for prep and less than three months since prep initiation  for Age "&amp;P110&amp;" "&amp;Q111&amp;" is more than Current on Prep"&amp;CHAR(10),""),IF(R128&lt;SUM(R137,R135)," * Sum of Three months tests for prep and less than three months since prep initiation  for Age "&amp;R110&amp;" "&amp;R111&amp;" is more than Current on Prep"&amp;CHAR(10),""),IF(S128&lt;SUM(S137,S135)," * Sum of Three months tests for prep and less than three months since prep initiation  for Age "&amp;R110&amp;" "&amp;S111&amp;" is more than Current on Prep"&amp;CHAR(10),""),IF(T128&lt;SUM(T137,T135)," * Sum of Three months tests for prep and less than three months since prep initiation  for Age "&amp;T110&amp;" "&amp;T111&amp;" is more than Current on Prep"&amp;CHAR(10),""),IF(U128&lt;SUM(U8,U135)," * Sum of Three months tests for prep and less than three months since prep initiation  for Age "&amp;T110&amp;" "&amp;U111&amp;" is more than Current on Prep"&amp;CHAR(10),""),IF(V128&lt;SUM(V137,V135)," * Sum of Three months tests for prep and less than three months since prep initiation  for Age "&amp;V110&amp;" "&amp;V111&amp;" is more than Current on Prep"&amp;CHAR(10),""),IF(W128&lt;SUM(W137,W135)," * Sum of Three months tests for prep and less than three months since prep initiation  for Age "&amp;V110&amp;" "&amp;W111&amp;" is more than Current on Prep"&amp;CHAR(10),""),IF(X128&lt;SUM(X137,X135)," * Sum of Three months tests for prep and less than three months since prep initiation  for Age "&amp;X110&amp;" "&amp;X111&amp;" is more than Current on Prep"&amp;CHAR(10),""),IF(Y128&lt;SUM(Y137,Y135)," * Sum of Three months tests for prep and less than three months since prep initiation  for Age "&amp;X110&amp;" "&amp;Y111&amp;" is more than Current on Prep"&amp;CHAR(10),""),IF(Z128&lt;SUM(Z137,Z135)," * Sum of Three months tests for prep and less than three months since prep initiation  for Age "&amp;Z110&amp;" "&amp;Z111&amp;" is more than Current on Prep"&amp;CHAR(10),""),IF(AA128&lt;SUM(AA137,AA135)," * Sum of Three months tests for prep and less than three months since prep initiation  for Age "&amp;Z110&amp;" "&amp;AA111&amp;" is more than Current on Prep"&amp;CHAR(10),""))</f>
        <v/>
      </c>
      <c r="AL137" s="652"/>
      <c r="AM137" s="32"/>
      <c r="AN137" s="612"/>
      <c r="AO137" s="14">
        <v>87</v>
      </c>
      <c r="AP137" s="76"/>
      <c r="AQ137" s="77"/>
    </row>
    <row r="138" spans="1:43" ht="25.5" x14ac:dyDescent="0.75">
      <c r="A138" s="927" t="s">
        <v>1237</v>
      </c>
      <c r="B138" s="928" t="s">
        <v>1235</v>
      </c>
      <c r="C138" s="916" t="s">
        <v>1238</v>
      </c>
      <c r="D138" s="332"/>
      <c r="E138" s="333"/>
      <c r="F138" s="333"/>
      <c r="G138" s="333"/>
      <c r="H138" s="333"/>
      <c r="I138" s="333"/>
      <c r="J138" s="256"/>
      <c r="K138" s="256"/>
      <c r="L138" s="256"/>
      <c r="M138" s="256"/>
      <c r="N138" s="256"/>
      <c r="O138" s="256"/>
      <c r="P138" s="256"/>
      <c r="Q138" s="256"/>
      <c r="R138" s="256"/>
      <c r="S138" s="256"/>
      <c r="T138" s="256"/>
      <c r="U138" s="256"/>
      <c r="V138" s="256"/>
      <c r="W138" s="256"/>
      <c r="X138" s="256"/>
      <c r="Y138" s="256"/>
      <c r="Z138" s="256"/>
      <c r="AA138" s="356"/>
      <c r="AB138" s="413"/>
      <c r="AC138" s="380"/>
      <c r="AD138" s="380"/>
      <c r="AE138" s="380"/>
      <c r="AF138" s="380"/>
      <c r="AG138" s="380"/>
      <c r="AH138" s="380"/>
      <c r="AI138" s="336"/>
      <c r="AJ138" s="196"/>
      <c r="AK138" s="583"/>
      <c r="AL138" s="652"/>
      <c r="AM138" s="32"/>
      <c r="AN138" s="612"/>
      <c r="AO138" s="14"/>
      <c r="AP138" s="76"/>
      <c r="AQ138" s="77"/>
    </row>
    <row r="139" spans="1:43" ht="25.9" thickBot="1" x14ac:dyDescent="0.8">
      <c r="A139" s="703"/>
      <c r="B139" s="926" t="s">
        <v>1236</v>
      </c>
      <c r="C139" s="916" t="s">
        <v>1239</v>
      </c>
      <c r="D139" s="332"/>
      <c r="E139" s="333"/>
      <c r="F139" s="333"/>
      <c r="G139" s="333"/>
      <c r="H139" s="333"/>
      <c r="I139" s="333"/>
      <c r="J139" s="256"/>
      <c r="K139" s="256"/>
      <c r="L139" s="256"/>
      <c r="M139" s="256"/>
      <c r="N139" s="256"/>
      <c r="O139" s="256"/>
      <c r="P139" s="256"/>
      <c r="Q139" s="256"/>
      <c r="R139" s="256"/>
      <c r="S139" s="256"/>
      <c r="T139" s="256"/>
      <c r="U139" s="256"/>
      <c r="V139" s="256"/>
      <c r="W139" s="256"/>
      <c r="X139" s="256"/>
      <c r="Y139" s="256"/>
      <c r="Z139" s="256"/>
      <c r="AA139" s="356"/>
      <c r="AB139" s="413"/>
      <c r="AC139" s="380"/>
      <c r="AD139" s="380"/>
      <c r="AE139" s="380"/>
      <c r="AF139" s="380"/>
      <c r="AG139" s="380"/>
      <c r="AH139" s="380"/>
      <c r="AI139" s="336"/>
      <c r="AJ139" s="196"/>
      <c r="AK139" s="583"/>
      <c r="AL139" s="652"/>
      <c r="AM139" s="32"/>
      <c r="AN139" s="612"/>
      <c r="AO139" s="14"/>
      <c r="AP139" s="76"/>
      <c r="AQ139" s="77"/>
    </row>
    <row r="140" spans="1:43" ht="25.5" x14ac:dyDescent="0.75">
      <c r="A140" s="585" t="s">
        <v>21</v>
      </c>
      <c r="B140" s="94" t="s">
        <v>660</v>
      </c>
      <c r="C140" s="898" t="s">
        <v>354</v>
      </c>
      <c r="D140" s="101"/>
      <c r="E140" s="102"/>
      <c r="F140" s="102"/>
      <c r="G140" s="102"/>
      <c r="H140" s="102"/>
      <c r="I140" s="102"/>
      <c r="J140" s="97"/>
      <c r="K140" s="97"/>
      <c r="L140" s="97"/>
      <c r="M140" s="97"/>
      <c r="N140" s="97"/>
      <c r="O140" s="97"/>
      <c r="P140" s="97"/>
      <c r="Q140" s="97"/>
      <c r="R140" s="97"/>
      <c r="S140" s="97"/>
      <c r="T140" s="97"/>
      <c r="U140" s="97"/>
      <c r="V140" s="97"/>
      <c r="W140" s="97"/>
      <c r="X140" s="97"/>
      <c r="Y140" s="97"/>
      <c r="Z140" s="97"/>
      <c r="AA140" s="344"/>
      <c r="AB140" s="413"/>
      <c r="AC140" s="380"/>
      <c r="AD140" s="380"/>
      <c r="AE140" s="380"/>
      <c r="AF140" s="380"/>
      <c r="AG140" s="380"/>
      <c r="AH140" s="380"/>
      <c r="AI140" s="336"/>
      <c r="AJ140" s="200">
        <f t="shared" si="17"/>
        <v>0</v>
      </c>
      <c r="AK140" s="122"/>
      <c r="AL140" s="652"/>
      <c r="AM140" s="32"/>
      <c r="AN140" s="612"/>
      <c r="AO140" s="14">
        <v>88</v>
      </c>
      <c r="AP140" s="76"/>
      <c r="AQ140" s="77"/>
    </row>
    <row r="141" spans="1:43" ht="25.5" x14ac:dyDescent="0.75">
      <c r="A141" s="635"/>
      <c r="B141" s="78" t="s">
        <v>1017</v>
      </c>
      <c r="C141" s="899" t="s">
        <v>355</v>
      </c>
      <c r="D141" s="79"/>
      <c r="E141" s="80"/>
      <c r="F141" s="80"/>
      <c r="G141" s="80"/>
      <c r="H141" s="80"/>
      <c r="I141" s="80"/>
      <c r="J141" s="81"/>
      <c r="K141" s="81"/>
      <c r="L141" s="81"/>
      <c r="M141" s="81"/>
      <c r="N141" s="81"/>
      <c r="O141" s="81"/>
      <c r="P141" s="81"/>
      <c r="Q141" s="81"/>
      <c r="R141" s="81"/>
      <c r="S141" s="81"/>
      <c r="T141" s="81"/>
      <c r="U141" s="81"/>
      <c r="V141" s="81"/>
      <c r="W141" s="81"/>
      <c r="X141" s="81"/>
      <c r="Y141" s="81"/>
      <c r="Z141" s="81"/>
      <c r="AA141" s="341"/>
      <c r="AB141" s="413"/>
      <c r="AC141" s="380"/>
      <c r="AD141" s="380"/>
      <c r="AE141" s="380"/>
      <c r="AF141" s="380"/>
      <c r="AG141" s="380"/>
      <c r="AH141" s="380"/>
      <c r="AI141" s="336"/>
      <c r="AJ141" s="185">
        <f t="shared" si="17"/>
        <v>0</v>
      </c>
      <c r="AK141" s="122"/>
      <c r="AL141" s="652"/>
      <c r="AM141" s="32"/>
      <c r="AN141" s="612"/>
      <c r="AO141" s="14">
        <v>89</v>
      </c>
      <c r="AP141" s="76"/>
      <c r="AQ141" s="77"/>
    </row>
    <row r="142" spans="1:43" ht="25.5" x14ac:dyDescent="0.75">
      <c r="A142" s="635"/>
      <c r="B142" s="78" t="s">
        <v>661</v>
      </c>
      <c r="C142" s="899" t="s">
        <v>194</v>
      </c>
      <c r="D142" s="79"/>
      <c r="E142" s="80"/>
      <c r="F142" s="80"/>
      <c r="G142" s="80"/>
      <c r="H142" s="80"/>
      <c r="I142" s="80"/>
      <c r="J142" s="81"/>
      <c r="K142" s="81"/>
      <c r="L142" s="81"/>
      <c r="M142" s="81"/>
      <c r="N142" s="81"/>
      <c r="O142" s="81"/>
      <c r="P142" s="81"/>
      <c r="Q142" s="81"/>
      <c r="R142" s="81"/>
      <c r="S142" s="81"/>
      <c r="T142" s="81"/>
      <c r="U142" s="81"/>
      <c r="V142" s="81"/>
      <c r="W142" s="81"/>
      <c r="X142" s="81"/>
      <c r="Y142" s="81"/>
      <c r="Z142" s="81"/>
      <c r="AA142" s="341"/>
      <c r="AB142" s="413"/>
      <c r="AC142" s="380"/>
      <c r="AD142" s="380"/>
      <c r="AE142" s="380"/>
      <c r="AF142" s="380"/>
      <c r="AG142" s="380"/>
      <c r="AH142" s="380"/>
      <c r="AI142" s="336"/>
      <c r="AJ142" s="185">
        <f t="shared" si="17"/>
        <v>0</v>
      </c>
      <c r="AK142" s="122"/>
      <c r="AL142" s="652"/>
      <c r="AM142" s="32"/>
      <c r="AN142" s="612"/>
      <c r="AO142" s="14">
        <v>90</v>
      </c>
      <c r="AP142" s="76"/>
      <c r="AQ142" s="77"/>
    </row>
    <row r="143" spans="1:43" ht="25.5" x14ac:dyDescent="0.75">
      <c r="A143" s="635"/>
      <c r="B143" s="78" t="s">
        <v>662</v>
      </c>
      <c r="C143" s="899" t="s">
        <v>195</v>
      </c>
      <c r="D143" s="79"/>
      <c r="E143" s="80"/>
      <c r="F143" s="80"/>
      <c r="G143" s="80"/>
      <c r="H143" s="80"/>
      <c r="I143" s="80"/>
      <c r="J143" s="81"/>
      <c r="K143" s="81"/>
      <c r="L143" s="81"/>
      <c r="M143" s="81"/>
      <c r="N143" s="81"/>
      <c r="O143" s="81"/>
      <c r="P143" s="81"/>
      <c r="Q143" s="81"/>
      <c r="R143" s="81"/>
      <c r="S143" s="81"/>
      <c r="T143" s="81"/>
      <c r="U143" s="81"/>
      <c r="V143" s="81"/>
      <c r="W143" s="81"/>
      <c r="X143" s="81"/>
      <c r="Y143" s="81"/>
      <c r="Z143" s="81"/>
      <c r="AA143" s="341"/>
      <c r="AB143" s="413"/>
      <c r="AC143" s="380"/>
      <c r="AD143" s="380"/>
      <c r="AE143" s="380"/>
      <c r="AF143" s="380"/>
      <c r="AG143" s="380"/>
      <c r="AH143" s="380"/>
      <c r="AI143" s="336"/>
      <c r="AJ143" s="185">
        <f t="shared" si="17"/>
        <v>0</v>
      </c>
      <c r="AK143" s="122"/>
      <c r="AL143" s="652"/>
      <c r="AM143" s="32"/>
      <c r="AN143" s="612"/>
      <c r="AO143" s="14">
        <v>91</v>
      </c>
      <c r="AP143" s="76"/>
      <c r="AQ143" s="77"/>
    </row>
    <row r="144" spans="1:43" ht="25.5" x14ac:dyDescent="0.75">
      <c r="A144" s="635"/>
      <c r="B144" s="78" t="s">
        <v>663</v>
      </c>
      <c r="C144" s="899" t="s">
        <v>196</v>
      </c>
      <c r="D144" s="79"/>
      <c r="E144" s="80"/>
      <c r="F144" s="80"/>
      <c r="G144" s="80"/>
      <c r="H144" s="80"/>
      <c r="I144" s="80"/>
      <c r="J144" s="81"/>
      <c r="K144" s="81"/>
      <c r="L144" s="81"/>
      <c r="M144" s="81"/>
      <c r="N144" s="81"/>
      <c r="O144" s="81"/>
      <c r="P144" s="81"/>
      <c r="Q144" s="81"/>
      <c r="R144" s="81"/>
      <c r="S144" s="81"/>
      <c r="T144" s="81"/>
      <c r="U144" s="81"/>
      <c r="V144" s="81"/>
      <c r="W144" s="81"/>
      <c r="X144" s="81"/>
      <c r="Y144" s="81"/>
      <c r="Z144" s="81"/>
      <c r="AA144" s="341"/>
      <c r="AB144" s="413"/>
      <c r="AC144" s="380"/>
      <c r="AD144" s="380"/>
      <c r="AE144" s="380"/>
      <c r="AF144" s="380"/>
      <c r="AG144" s="380"/>
      <c r="AH144" s="380"/>
      <c r="AI144" s="336"/>
      <c r="AJ144" s="185">
        <f t="shared" si="17"/>
        <v>0</v>
      </c>
      <c r="AK144" s="122"/>
      <c r="AL144" s="652"/>
      <c r="AM144" s="32"/>
      <c r="AN144" s="612"/>
      <c r="AO144" s="14">
        <v>92</v>
      </c>
      <c r="AP144" s="76"/>
      <c r="AQ144" s="77"/>
    </row>
    <row r="145" spans="1:43" ht="25.5" x14ac:dyDescent="0.75">
      <c r="A145" s="635"/>
      <c r="B145" s="78" t="s">
        <v>664</v>
      </c>
      <c r="C145" s="899" t="s">
        <v>197</v>
      </c>
      <c r="D145" s="79"/>
      <c r="E145" s="80"/>
      <c r="F145" s="80"/>
      <c r="G145" s="80"/>
      <c r="H145" s="80"/>
      <c r="I145" s="80"/>
      <c r="J145" s="81"/>
      <c r="K145" s="81"/>
      <c r="L145" s="81"/>
      <c r="M145" s="81"/>
      <c r="N145" s="81"/>
      <c r="O145" s="81"/>
      <c r="P145" s="81"/>
      <c r="Q145" s="81"/>
      <c r="R145" s="81"/>
      <c r="S145" s="81"/>
      <c r="T145" s="81"/>
      <c r="U145" s="81"/>
      <c r="V145" s="81"/>
      <c r="W145" s="81"/>
      <c r="X145" s="81"/>
      <c r="Y145" s="81"/>
      <c r="Z145" s="81"/>
      <c r="AA145" s="341"/>
      <c r="AB145" s="413"/>
      <c r="AC145" s="380"/>
      <c r="AD145" s="380"/>
      <c r="AE145" s="380"/>
      <c r="AF145" s="380"/>
      <c r="AG145" s="380"/>
      <c r="AH145" s="380"/>
      <c r="AI145" s="336"/>
      <c r="AJ145" s="185">
        <f t="shared" si="17"/>
        <v>0</v>
      </c>
      <c r="AK145" s="122"/>
      <c r="AL145" s="652"/>
      <c r="AM145" s="32"/>
      <c r="AN145" s="612"/>
      <c r="AO145" s="14">
        <v>93</v>
      </c>
      <c r="AP145" s="76"/>
      <c r="AQ145" s="77"/>
    </row>
    <row r="146" spans="1:43" ht="25.9" thickBot="1" x14ac:dyDescent="0.8">
      <c r="A146" s="586"/>
      <c r="B146" s="89" t="s">
        <v>665</v>
      </c>
      <c r="C146" s="901" t="s">
        <v>198</v>
      </c>
      <c r="D146" s="106"/>
      <c r="E146" s="105"/>
      <c r="F146" s="105"/>
      <c r="G146" s="105"/>
      <c r="H146" s="105"/>
      <c r="I146" s="105"/>
      <c r="J146" s="92"/>
      <c r="K146" s="92"/>
      <c r="L146" s="92"/>
      <c r="M146" s="92"/>
      <c r="N146" s="92"/>
      <c r="O146" s="92"/>
      <c r="P146" s="92"/>
      <c r="Q146" s="92"/>
      <c r="R146" s="92"/>
      <c r="S146" s="92"/>
      <c r="T146" s="92"/>
      <c r="U146" s="92"/>
      <c r="V146" s="92"/>
      <c r="W146" s="92"/>
      <c r="X146" s="92"/>
      <c r="Y146" s="92"/>
      <c r="Z146" s="92"/>
      <c r="AA146" s="343"/>
      <c r="AB146" s="413"/>
      <c r="AC146" s="380"/>
      <c r="AD146" s="380"/>
      <c r="AE146" s="380"/>
      <c r="AF146" s="380"/>
      <c r="AG146" s="380"/>
      <c r="AH146" s="380"/>
      <c r="AI146" s="336"/>
      <c r="AJ146" s="204">
        <f t="shared" si="17"/>
        <v>0</v>
      </c>
      <c r="AK146" s="122"/>
      <c r="AL146" s="652"/>
      <c r="AM146" s="32"/>
      <c r="AN146" s="612"/>
      <c r="AO146" s="14">
        <v>94</v>
      </c>
      <c r="AP146" s="76"/>
      <c r="AQ146" s="77"/>
    </row>
    <row r="147" spans="1:43" ht="25.5" x14ac:dyDescent="0.75">
      <c r="A147" s="585" t="s">
        <v>114</v>
      </c>
      <c r="B147" s="147" t="s">
        <v>666</v>
      </c>
      <c r="C147" s="898" t="s">
        <v>356</v>
      </c>
      <c r="D147" s="101"/>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346"/>
      <c r="AB147" s="413"/>
      <c r="AC147" s="380"/>
      <c r="AD147" s="380"/>
      <c r="AE147" s="380"/>
      <c r="AF147" s="380"/>
      <c r="AG147" s="380"/>
      <c r="AH147" s="380"/>
      <c r="AI147" s="336"/>
      <c r="AJ147" s="419"/>
      <c r="AK147" s="122"/>
      <c r="AL147" s="652"/>
      <c r="AM147" s="32"/>
      <c r="AN147" s="612"/>
      <c r="AO147" s="14">
        <v>95</v>
      </c>
      <c r="AP147" s="76"/>
      <c r="AQ147" s="77"/>
    </row>
    <row r="148" spans="1:43" ht="25.9" thickBot="1" x14ac:dyDescent="0.8">
      <c r="A148" s="646"/>
      <c r="B148" s="148" t="s">
        <v>667</v>
      </c>
      <c r="C148" s="901" t="s">
        <v>357</v>
      </c>
      <c r="D148" s="144"/>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357"/>
      <c r="AB148" s="414"/>
      <c r="AC148" s="415"/>
      <c r="AD148" s="415"/>
      <c r="AE148" s="415"/>
      <c r="AF148" s="415"/>
      <c r="AG148" s="415"/>
      <c r="AH148" s="415"/>
      <c r="AI148" s="337"/>
      <c r="AJ148" s="420"/>
      <c r="AK148" s="128"/>
      <c r="AL148" s="653"/>
      <c r="AM148" s="129"/>
      <c r="AN148" s="613"/>
      <c r="AO148" s="14">
        <v>96</v>
      </c>
      <c r="AP148" s="76"/>
      <c r="AQ148" s="77"/>
    </row>
    <row r="149" spans="1:43" ht="25.9" thickBot="1" x14ac:dyDescent="0.8">
      <c r="A149" s="640" t="s">
        <v>975</v>
      </c>
      <c r="B149" s="641"/>
      <c r="C149" s="641"/>
      <c r="D149" s="641"/>
      <c r="E149" s="641"/>
      <c r="F149" s="641"/>
      <c r="G149" s="641"/>
      <c r="H149" s="641"/>
      <c r="I149" s="641"/>
      <c r="J149" s="641"/>
      <c r="K149" s="641"/>
      <c r="L149" s="641"/>
      <c r="M149" s="641"/>
      <c r="N149" s="641"/>
      <c r="O149" s="641"/>
      <c r="P149" s="641"/>
      <c r="Q149" s="641"/>
      <c r="R149" s="641"/>
      <c r="S149" s="641"/>
      <c r="T149" s="641"/>
      <c r="U149" s="641"/>
      <c r="V149" s="641"/>
      <c r="W149" s="641"/>
      <c r="X149" s="641"/>
      <c r="Y149" s="641"/>
      <c r="Z149" s="641"/>
      <c r="AA149" s="641"/>
      <c r="AB149" s="737"/>
      <c r="AC149" s="737"/>
      <c r="AD149" s="737"/>
      <c r="AE149" s="737"/>
      <c r="AF149" s="737"/>
      <c r="AG149" s="737"/>
      <c r="AH149" s="737"/>
      <c r="AI149" s="737"/>
      <c r="AJ149" s="641"/>
      <c r="AK149" s="641"/>
      <c r="AL149" s="641"/>
      <c r="AM149" s="641"/>
      <c r="AN149" s="643"/>
      <c r="AO149" s="14">
        <v>97</v>
      </c>
      <c r="AP149" s="76"/>
      <c r="AQ149" s="77"/>
    </row>
    <row r="150" spans="1:43" ht="26.25" customHeight="1" x14ac:dyDescent="0.75">
      <c r="A150" s="617" t="s">
        <v>37</v>
      </c>
      <c r="B150" s="644" t="s">
        <v>346</v>
      </c>
      <c r="C150" s="897" t="s">
        <v>327</v>
      </c>
      <c r="D150" s="606" t="s">
        <v>0</v>
      </c>
      <c r="E150" s="606"/>
      <c r="F150" s="606" t="s">
        <v>1</v>
      </c>
      <c r="G150" s="606"/>
      <c r="H150" s="606" t="s">
        <v>2</v>
      </c>
      <c r="I150" s="606"/>
      <c r="J150" s="606" t="s">
        <v>3</v>
      </c>
      <c r="K150" s="606"/>
      <c r="L150" s="606" t="s">
        <v>4</v>
      </c>
      <c r="M150" s="606"/>
      <c r="N150" s="606" t="s">
        <v>5</v>
      </c>
      <c r="O150" s="606"/>
      <c r="P150" s="606" t="s">
        <v>6</v>
      </c>
      <c r="Q150" s="606"/>
      <c r="R150" s="606" t="s">
        <v>7</v>
      </c>
      <c r="S150" s="606"/>
      <c r="T150" s="606" t="s">
        <v>8</v>
      </c>
      <c r="U150" s="606"/>
      <c r="V150" s="606" t="s">
        <v>23</v>
      </c>
      <c r="W150" s="606"/>
      <c r="X150" s="606" t="s">
        <v>24</v>
      </c>
      <c r="Y150" s="606"/>
      <c r="Z150" s="606" t="s">
        <v>9</v>
      </c>
      <c r="AA150" s="624"/>
      <c r="AB150" s="625"/>
      <c r="AC150" s="626"/>
      <c r="AD150" s="626"/>
      <c r="AE150" s="626"/>
      <c r="AF150" s="626"/>
      <c r="AG150" s="626"/>
      <c r="AH150" s="626"/>
      <c r="AI150" s="627"/>
      <c r="AJ150" s="628" t="s">
        <v>19</v>
      </c>
      <c r="AK150" s="630" t="s">
        <v>380</v>
      </c>
      <c r="AL150" s="632" t="s">
        <v>386</v>
      </c>
      <c r="AM150" s="660" t="s">
        <v>387</v>
      </c>
      <c r="AN150" s="619" t="s">
        <v>387</v>
      </c>
      <c r="AO150" s="14">
        <v>98</v>
      </c>
      <c r="AP150" s="76"/>
      <c r="AQ150" s="77"/>
    </row>
    <row r="151" spans="1:43" ht="27" customHeight="1" thickBot="1" x14ac:dyDescent="0.8">
      <c r="A151" s="618"/>
      <c r="B151" s="645"/>
      <c r="C151" s="892"/>
      <c r="D151" s="70" t="s">
        <v>10</v>
      </c>
      <c r="E151" s="70" t="s">
        <v>11</v>
      </c>
      <c r="F151" s="70" t="s">
        <v>10</v>
      </c>
      <c r="G151" s="70" t="s">
        <v>11</v>
      </c>
      <c r="H151" s="70" t="s">
        <v>10</v>
      </c>
      <c r="I151" s="70" t="s">
        <v>11</v>
      </c>
      <c r="J151" s="70" t="s">
        <v>10</v>
      </c>
      <c r="K151" s="70" t="s">
        <v>11</v>
      </c>
      <c r="L151" s="70" t="s">
        <v>10</v>
      </c>
      <c r="M151" s="70" t="s">
        <v>11</v>
      </c>
      <c r="N151" s="70" t="s">
        <v>10</v>
      </c>
      <c r="O151" s="70" t="s">
        <v>11</v>
      </c>
      <c r="P151" s="70" t="s">
        <v>10</v>
      </c>
      <c r="Q151" s="70" t="s">
        <v>11</v>
      </c>
      <c r="R151" s="70" t="s">
        <v>10</v>
      </c>
      <c r="S151" s="70" t="s">
        <v>11</v>
      </c>
      <c r="T151" s="70" t="s">
        <v>10</v>
      </c>
      <c r="U151" s="70" t="s">
        <v>11</v>
      </c>
      <c r="V151" s="70" t="s">
        <v>10</v>
      </c>
      <c r="W151" s="70" t="s">
        <v>11</v>
      </c>
      <c r="X151" s="70" t="s">
        <v>10</v>
      </c>
      <c r="Y151" s="70" t="s">
        <v>11</v>
      </c>
      <c r="Z151" s="70" t="s">
        <v>10</v>
      </c>
      <c r="AA151" s="395" t="s">
        <v>11</v>
      </c>
      <c r="AB151" s="397"/>
      <c r="AC151" s="398"/>
      <c r="AD151" s="398"/>
      <c r="AE151" s="398"/>
      <c r="AF151" s="398"/>
      <c r="AG151" s="398"/>
      <c r="AH151" s="398"/>
      <c r="AI151" s="399"/>
      <c r="AJ151" s="629"/>
      <c r="AK151" s="631"/>
      <c r="AL151" s="639"/>
      <c r="AM151" s="660"/>
      <c r="AN151" s="620"/>
      <c r="AO151" s="14">
        <v>99</v>
      </c>
      <c r="AP151" s="76"/>
      <c r="AQ151" s="77"/>
    </row>
    <row r="152" spans="1:43" s="63" customFormat="1" ht="25.5" x14ac:dyDescent="0.75">
      <c r="A152" s="634" t="s">
        <v>974</v>
      </c>
      <c r="B152" s="71" t="s">
        <v>1018</v>
      </c>
      <c r="C152" s="898" t="s">
        <v>212</v>
      </c>
      <c r="D152" s="149"/>
      <c r="E152" s="74"/>
      <c r="F152" s="74"/>
      <c r="G152" s="74"/>
      <c r="H152" s="74"/>
      <c r="I152" s="74"/>
      <c r="J152" s="74"/>
      <c r="K152" s="74"/>
      <c r="L152" s="74"/>
      <c r="M152" s="74"/>
      <c r="N152" s="74"/>
      <c r="O152" s="74"/>
      <c r="P152" s="74"/>
      <c r="Q152" s="74"/>
      <c r="R152" s="74"/>
      <c r="S152" s="74"/>
      <c r="T152" s="74"/>
      <c r="U152" s="74"/>
      <c r="V152" s="74"/>
      <c r="W152" s="74"/>
      <c r="X152" s="74"/>
      <c r="Y152" s="74"/>
      <c r="Z152" s="74"/>
      <c r="AA152" s="340"/>
      <c r="AB152" s="413"/>
      <c r="AC152" s="380"/>
      <c r="AD152" s="380"/>
      <c r="AE152" s="380"/>
      <c r="AF152" s="380"/>
      <c r="AG152" s="380"/>
      <c r="AH152" s="380"/>
      <c r="AI152" s="336"/>
      <c r="AJ152" s="53">
        <f>SUM(D152:AA152)</f>
        <v>0</v>
      </c>
      <c r="AK152" s="150" t="str">
        <f>CONCATENATE(IF(D152&lt;&gt;SUM(D154,D156,D158,D160,D162)," *  Iniated On IPT New ON ART for Age "&amp;D20&amp;" "&amp;D21&amp;" is not equal to the sum of  Completed IPT New on ART+ Discontinued New on ART + LTFU New on ART + Died New on ART + Transferred Out New on ART)"&amp;CHAR(10),""),IF(E152&lt;&gt;SUM(E154,E156,E158,E160,E162)," *  Iniated On IPT New ON ART for Age "&amp;D20&amp;" "&amp;E21&amp;" is not equal to the sum of F03-03+F03-05+F03-07+F03-09+F03-11"&amp;CHAR(10),""),IF(F152&lt;&gt;SUM(F154,F156,F158,F160,F162)," *  Iniated On IPT New ON ART for Age "&amp;F20&amp;" "&amp;F21&amp;" is not equal to the sum of  Completed IPT New on ART+ Discontinued New on ART + LTFU New on ART + Died New on ART + Transferred Out New on ART)"&amp;CHAR(10),""),IF(G152&lt;&gt;SUM(G154,G156,G158,G160,G162)," *  Iniated On IPT New ON ART for Age "&amp;F20&amp;" "&amp;G21&amp;" is not equal to the sum of F03-03+F03-05+F03-07+F03-09+F03-11"&amp;CHAR(10),""),IF(H152&lt;&gt;SUM(H154,H156,H158,H160,H162)," *  Iniated On IPT New ON ART for Age "&amp;H20&amp;" "&amp;H21&amp;" is not equal to the sum of  Completed IPT New on ART+ Discontinued New on ART + LTFU New on ART + Died New on ART + Transferred Out New on ART)"&amp;CHAR(10),""),IF(I152&lt;&gt;SUM(I154,I156,I158,I160,I162)," *  Iniated On IPT New ON ART for Age "&amp;H20&amp;" "&amp;I21&amp;" is not equal to the sum of F03-03+F03-05+F03-07+F03-09+F03-11"&amp;CHAR(10),""),IF(J152&lt;&gt;SUM(J154,J156,J158,J160,J162)," *  Iniated On IPT New ON ART for Age "&amp;J20&amp;" "&amp;J21&amp;" is not equal to the sum of  Completed IPT New on ART+ Discontinued New on ART + LTFU New on ART + Died New on ART + Transferred Out New on ART)"&amp;CHAR(10),""),IF(K152&lt;&gt;SUM(K154,K156,K158,K160,K162)," *  Iniated On IPT New ON ART for Age "&amp;J20&amp;" "&amp;K21&amp;" is not equal to the sum of F03-03+F03-05+F03-07+F03-09+F03-11"&amp;CHAR(10),""),IF(L152&lt;&gt;SUM(L154,L156,L158,L160,L162)," *  Iniated On IPT New ON ART for Age "&amp;L20&amp;" "&amp;L21&amp;" is not equal to the sum of  Completed IPT New on ART+ Discontinued New on ART + LTFU New on ART + Died New on ART + Transferred Out New on ART)"&amp;CHAR(10),""),IF(M152&lt;&gt;SUM(M154,M156,M158,M160,M162)," *  Iniated On IPT New ON ART for Age "&amp;L20&amp;" "&amp;M21&amp;" is not equal to the sum of F03-03+F03-05+F03-07+F03-09+F03-11"&amp;CHAR(10),""),IF(N152&lt;&gt;SUM(N154,N156,N158,N160,N162)," *  Iniated On IPT New ON ART for Age "&amp;N20&amp;" "&amp;N21&amp;" is not equal to the sum of  Completed IPT New on ART+ Discontinued New on ART + LTFU New on ART + Died New on ART + Transferred Out New on ART)"&amp;CHAR(10),""),IF(O152&lt;&gt;SUM(O154,O156,O158,O160,O162)," *  Iniated On IPT New ON ART for Age "&amp;N20&amp;" "&amp;O21&amp;" is not equal to the sum of F03-03+F03-05+F03-07+F03-09+F03-11"&amp;CHAR(10),""),IF(P152&lt;&gt;SUM(P154,P156,P158,P160,P162)," *  Iniated On IPT New ON ART for Age "&amp;P20&amp;" "&amp;P21&amp;" is not equal to the sum of  Completed IPT New on ART+ Discontinued New on ART + LTFU New on ART + Died New on ART + Transferred Out New on ART)"&amp;CHAR(10),""),IF(Q152&lt;&gt;SUM(Q154,Q156,Q158,Q160,Q162)," *  Iniated On IPT New ON ART for Age "&amp;P20&amp;" "&amp;Q21&amp;" is not equal to the sum of F03-03+F03-05+F03-07+F03-09+F03-11"&amp;CHAR(10),""),IF(R152&lt;&gt;SUM(R154,R156,R158,R160,R162)," *  Iniated On IPT New ON ART for Age "&amp;R20&amp;" "&amp;R21&amp;" is not equal to the sum of  Completed IPT New on ART+ Discontinued New on ART + LTFU New on ART + Died New on ART + Transferred Out New on ART)"&amp;CHAR(10),""),IF(S152&lt;&gt;SUM(S154,S156,S158,S160,S162)," *  Iniated On IPT New ON ART for Age "&amp;R20&amp;" "&amp;S21&amp;" is not equal to the sum of F03-03+F03-05+F03-07+F03-09+F03-11"&amp;CHAR(10),""),IF(T152&lt;&gt;SUM(T154,T156,T158,T160,T162)," *  Iniated On IPT New ON ART for Age "&amp;T20&amp;" "&amp;T21&amp;" is not equal to the sum of  Completed IPT New on ART+ Discontinued New on ART + LTFU New on ART + Died New on ART + Transferred Out New on ART)"&amp;CHAR(10),""),IF(U152&lt;&gt;SUM(U154,U156,U158,U160,U162)," *  Iniated On IPT New ON ART for Age "&amp;T20&amp;" "&amp;U21&amp;" is not equal to the sum of F03-03+F03-05+F03-07+F03-09+F03-11"&amp;CHAR(10),""),IF(V152&lt;&gt;SUM(V154,V156,V158,V160,V162)," *  Iniated On IPT New ON ART for Age "&amp;V20&amp;" "&amp;V21&amp;" is not equal to the sum of  Completed IPT New on ART+ Discontinued New on ART + LTFU New on ART + Died New on ART + Transferred Out New on ART)"&amp;CHAR(10),""),IF(W152&lt;&gt;SUM(W154,W156,W158,W160,W162)," *  Iniated On IPT New ON ART for Age "&amp;V20&amp;" "&amp;W21&amp;" is not equal to the sum of F03-03+F03-05+F03-07+F03-09+F03-11"&amp;CHAR(10),""),IF(X152&lt;&gt;SUM(X154,X156,X158,X160,X162)," *  Iniated On IPT New ON ART for Age "&amp;X20&amp;" "&amp;X21&amp;" is not equal to the sum of  Completed IPT New on ART+ Discontinued New on ART + LTFU New on ART + Died New on ART + Transferred Out New on ART)"&amp;CHAR(10),""),IF(Y152&lt;&gt;SUM(Y154,Y156,Y158,Y160,Y162)," *  Iniated On IPT New ON ART for Age "&amp;X20&amp;" "&amp;Y21&amp;" is not equal to the sum of F03-03+F03-05+F03-07+F03-09+F03-11"&amp;CHAR(10),""),IF(Z152&lt;&gt;SUM(Z154,Z156,Z158,Z160,Z162)," *  Iniated On IPT New ON ART for Age "&amp;Z20&amp;" "&amp;Z21&amp;" is not equal to the sum of  Completed IPT New on ART+ Discontinued New on ART + LTFU New on ART + Died New on ART + Transferred Out New on ART)"&amp;CHAR(10),""),IF(AA152&lt;&gt;SUM(AA154,AA156,AA158,AA160,AA162)," *  Iniated On IPT New ON ART for Age "&amp;Z20&amp;" "&amp;AA21&amp;" is not equal to the sum of  Completed IPT New on ART+ Discontinued New on ART + LTFU New on ART + Died New on ART + Transferred Out New on ART)"&amp;CHAR(10),""))</f>
        <v/>
      </c>
      <c r="AL152" s="756" t="str">
        <f>CONCATENATE(AK152,AK153,AK154,AK155,AK156,AK157,AK158,AK159,AK160,AK161,AK162,AK163)</f>
        <v/>
      </c>
      <c r="AM152" s="151"/>
      <c r="AN152" s="611" t="str">
        <f>CONCATENATE(AM152,AM153,AM154,AM155,AM156,AM157,AM158,AM159,AM160,AM161,AM162,AM163)</f>
        <v/>
      </c>
      <c r="AO152" s="14">
        <v>100</v>
      </c>
      <c r="AP152" s="82"/>
      <c r="AQ152" s="77"/>
    </row>
    <row r="153" spans="1:43" s="63" customFormat="1" ht="25.9" thickBot="1" x14ac:dyDescent="0.8">
      <c r="A153" s="586"/>
      <c r="B153" s="89" t="s">
        <v>668</v>
      </c>
      <c r="C153" s="901" t="s">
        <v>213</v>
      </c>
      <c r="D153" s="152"/>
      <c r="E153" s="92"/>
      <c r="F153" s="92"/>
      <c r="G153" s="92"/>
      <c r="H153" s="92"/>
      <c r="I153" s="92"/>
      <c r="J153" s="92"/>
      <c r="K153" s="92"/>
      <c r="L153" s="92"/>
      <c r="M153" s="92"/>
      <c r="N153" s="92"/>
      <c r="O153" s="92"/>
      <c r="P153" s="92"/>
      <c r="Q153" s="92"/>
      <c r="R153" s="92"/>
      <c r="S153" s="92"/>
      <c r="T153" s="92"/>
      <c r="U153" s="92"/>
      <c r="V153" s="92"/>
      <c r="W153" s="92"/>
      <c r="X153" s="92"/>
      <c r="Y153" s="92"/>
      <c r="Z153" s="92"/>
      <c r="AA153" s="343"/>
      <c r="AB153" s="413"/>
      <c r="AC153" s="380"/>
      <c r="AD153" s="380"/>
      <c r="AE153" s="380"/>
      <c r="AF153" s="380"/>
      <c r="AG153" s="380"/>
      <c r="AH153" s="380"/>
      <c r="AI153" s="336"/>
      <c r="AJ153" s="204">
        <f t="shared" ref="AJ153:AJ163" si="23">SUM(D153:AA153)</f>
        <v>0</v>
      </c>
      <c r="AK153" s="122" t="str">
        <f>CONCATENATE(IF(D153&lt;&gt;SUM(D155,D157,D159,D161,D163)," * F03-02 for Age "&amp;D20&amp;" "&amp;D21&amp;" is not equal to the sum of (F03-04+F03-06+F03-08+F03-10+F03-12)"&amp;CHAR(10),""),IF(E153&lt;&gt;SUM(E155,E157,E159,E161,E163)," * F03-02 for Age "&amp;D20&amp;" "&amp;E21&amp;" is not equal to the sum of F03-04+F03-06+F03-08+F03-10+F03-12"&amp;CHAR(10),""),IF(F153&lt;&gt;SUM(F155,F157,F159,F161,F163)," * F03-02 for Age "&amp;F20&amp;" "&amp;F21&amp;" is not equal to the sum of (F03-04+F03-06+F03-08+F03-10+F03-12)"&amp;CHAR(10),""),IF(G153&lt;&gt;SUM(G155,G157,G159,G161,G163)," * F03-02 for Age "&amp;F20&amp;" "&amp;G21&amp;" is not equal to the sum of F03-04+F03-06+F03-08+F03-10+F03-12"&amp;CHAR(10),""),IF(H153&lt;&gt;SUM(H155,H157,H159,H161,H163)," * F03-02 for Age "&amp;H20&amp;" "&amp;H21&amp;" is not equal to the sum of (F03-04+F03-06+F03-08+F03-10+F03-12)"&amp;CHAR(10),""),IF(I153&lt;&gt;SUM(I155,I157,I159,I161,I163)," * F03-02 for Age "&amp;H20&amp;" "&amp;I21&amp;" is not equal to the sum of F03-04+F03-06+F03-08+F03-10+F03-12"&amp;CHAR(10),""),IF(J153&lt;&gt;SUM(J155,J157,J159,J161,J163)," * F03-02 for Age "&amp;J20&amp;" "&amp;J21&amp;" is not equal to the sum of (F03-04+F03-06+F03-08+F03-10+F03-12)"&amp;CHAR(10),""),IF(K153&lt;&gt;SUM(K155,K157,K159,K161,K163)," * F03-02 for Age "&amp;J20&amp;" "&amp;K21&amp;" is not equal to the sum of F03-04+F03-06+F03-08+F03-10+F03-12"&amp;CHAR(10),""),IF(L153&lt;&gt;SUM(L155,L157,L159,L161,L163)," * F03-02 for Age "&amp;L20&amp;" "&amp;L21&amp;" is not equal to the sum of (F03-04+F03-06+F03-08+F03-10+F03-12)"&amp;CHAR(10),""),IF(M153&lt;&gt;SUM(M155,M157,M159,M161,M163)," * F03-02 for Age "&amp;L20&amp;" "&amp;M21&amp;" is not equal to the sum of F03-04+F03-06+F03-08+F03-10+F03-12"&amp;CHAR(10),""),IF(N153&lt;&gt;SUM(N155,N157,N159,N161,N163)," * F03-02 for Age "&amp;N20&amp;" "&amp;N21&amp;" is not equal to the sum of (F03-04+F03-06+F03-08+F03-10+F03-12)"&amp;CHAR(10),""),IF(O153&lt;&gt;SUM(O155,O157,O159,O161,O163)," * F03-02 for Age "&amp;N20&amp;" "&amp;O21&amp;" is not equal to the sum of F03-04+F03-06+F03-08+F03-10+F03-12"&amp;CHAR(10),""),IF(P153&lt;&gt;SUM(P155,P157,P159,P161,P163)," * F03-02 for Age "&amp;P20&amp;" "&amp;P21&amp;" is not equal to the sum of (F03-04+F03-06+F03-08+F03-10+F03-12)"&amp;CHAR(10),""),IF(Q153&lt;&gt;SUM(Q155,Q157,Q159,Q161,Q163)," * F03-02 for Age "&amp;P20&amp;" "&amp;Q21&amp;" is not equal to the sum of F03-04+F03-06+F03-08+F03-10+F03-12"&amp;CHAR(10),""),IF(R153&lt;&gt;SUM(R155,R157,R159,R161,R163)," * F03-02 for Age "&amp;R20&amp;" "&amp;R21&amp;" is not equal to the sum of (F03-04+F03-06+F03-08+F03-10+F03-12)"&amp;CHAR(10),""),IF(S153&lt;&gt;SUM(S155,S157,S159,S161,S163)," * F03-02 for Age "&amp;R20&amp;" "&amp;S21&amp;" is not equal to the sum of F03-04+F03-06+F03-08+F03-10+F03-12"&amp;CHAR(10),""),IF(T153&lt;&gt;SUM(T155,T157,T159,T161,T163)," * F03-02 for Age "&amp;T20&amp;" "&amp;T21&amp;" is not equal to the sum of (F03-04+F03-06+F03-08+F03-10+F03-12)"&amp;CHAR(10),""),IF(U153&lt;&gt;SUM(U155,U157,U159,U161,U163)," * F03-02 for Age "&amp;T20&amp;" "&amp;U21&amp;" is not equal to the sum of F03-04+F03-06+F03-08+F03-10+F03-12"&amp;CHAR(10),""),IF(V153&lt;&gt;SUM(V155,V157,V159,V161,V163)," * F03-02 for Age "&amp;V20&amp;" "&amp;V21&amp;" is not equal to the sum of (F03-04+F03-06+F03-08+F03-10+F03-12)"&amp;CHAR(10),""),IF(W153&lt;&gt;SUM(W155,W157,W159,W161,W163)," * F03-02 for Age "&amp;V20&amp;" "&amp;W21&amp;" is not equal to the sum of F03-04+F03-06+F03-08+F03-10+F03-12"&amp;CHAR(10),""),IF(X153&lt;&gt;SUM(X155,X157,X159,X161,X163)," * F03-02 for Age "&amp;X20&amp;" "&amp;X21&amp;" is not equal to the sum of (F03-04+F03-06+F03-08+F03-10+F03-12)"&amp;CHAR(10),""),IF(Y153&lt;&gt;SUM(Y155,Y157,Y159,Y161,Y163)," * F03-02 for Age "&amp;X20&amp;" "&amp;Y21&amp;" is not equal to the sum of F03-04+F03-06+F03-08+F03-10+F03-12"&amp;CHAR(10),""),IF(Z153&lt;&gt;SUM(Z155,Z157,Z159,Z161,Z163)," * F03-02 for Age "&amp;Z20&amp;" "&amp;Z21&amp;" is not equal to the sum of (F03-04+F03-06+F03-08+F03-10+F03-12)"&amp;CHAR(10),""),IF(AA153&lt;&gt;SUM(AA155,AA157,AA159,AA161,AA163)," * F03-02 for Age "&amp;Z20&amp;" "&amp;AA21&amp;" is not equal to the sum of (F03-04+F03-06+F03-08+F03-10+F03-12)"&amp;CHAR(10),""))</f>
        <v/>
      </c>
      <c r="AL153" s="757"/>
      <c r="AM153" s="62"/>
      <c r="AN153" s="612"/>
      <c r="AO153" s="14">
        <v>101</v>
      </c>
      <c r="AP153" s="82"/>
      <c r="AQ153" s="77"/>
    </row>
    <row r="154" spans="1:43" ht="25.5" x14ac:dyDescent="0.75">
      <c r="A154" s="585" t="s">
        <v>963</v>
      </c>
      <c r="B154" s="94" t="s">
        <v>669</v>
      </c>
      <c r="C154" s="898" t="s">
        <v>214</v>
      </c>
      <c r="D154" s="153"/>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358"/>
      <c r="AB154" s="413"/>
      <c r="AC154" s="380"/>
      <c r="AD154" s="380"/>
      <c r="AE154" s="380"/>
      <c r="AF154" s="380"/>
      <c r="AG154" s="380"/>
      <c r="AH154" s="380"/>
      <c r="AI154" s="336"/>
      <c r="AJ154" s="200">
        <f t="shared" si="23"/>
        <v>0</v>
      </c>
      <c r="AK154" s="122" t="str">
        <f>CONCATENATE(IF(D154&gt;D152," * F03-03 for Age "&amp;D20&amp;" "&amp;D21&amp;" is more than F03-01"&amp;CHAR(10),""),IF(E154&gt;E152," * F03-03 for Age "&amp;D20&amp;" "&amp;E21&amp;" is more than F03-01"&amp;CHAR(10),""),IF(F154&gt;F152," * F03-03 for Age "&amp;F20&amp;" "&amp;F21&amp;" is more than F03-01"&amp;CHAR(10),""),IF(G154&gt;G152," * F03-03 for Age "&amp;F20&amp;" "&amp;G21&amp;" is more than F03-01"&amp;CHAR(10),""),IF(H154&gt;H152," * F03-03 for Age "&amp;H20&amp;" "&amp;H21&amp;" is more than F03-01"&amp;CHAR(10),""),IF(I154&gt;I152," * F03-03 for Age "&amp;H20&amp;" "&amp;I21&amp;" is more than F03-01"&amp;CHAR(10),""),IF(J154&gt;J152," * F03-03 for Age "&amp;J20&amp;" "&amp;J21&amp;" is more than F03-01"&amp;CHAR(10),""),IF(K154&gt;K152," * F03-03 for Age "&amp;J20&amp;" "&amp;K21&amp;" is more than F03-01"&amp;CHAR(10),""),IF(L154&gt;L152," * F03-03 for Age "&amp;L20&amp;" "&amp;L21&amp;" is more than F03-01"&amp;CHAR(10),""),IF(M154&gt;M152," * F03-03 for Age "&amp;L20&amp;" "&amp;M21&amp;" is more than F03-01"&amp;CHAR(10),""),IF(N154&gt;N152," * F03-03 for Age "&amp;N20&amp;" "&amp;N21&amp;" is more than F03-01"&amp;CHAR(10),""),IF(O154&gt;O152," * F03-03 for Age "&amp;N20&amp;" "&amp;O21&amp;" is more than F03-01"&amp;CHAR(10),""),IF(P154&gt;P152," * F03-03 for Age "&amp;P20&amp;" "&amp;P21&amp;" is more than F03-01"&amp;CHAR(10),""),IF(Q154&gt;Q152," * F03-03 for Age "&amp;P20&amp;" "&amp;Q21&amp;" is more than F03-01"&amp;CHAR(10),""),IF(R154&gt;R152," * F03-03 for Age "&amp;R20&amp;" "&amp;R21&amp;" is more than F03-01"&amp;CHAR(10),""),IF(S154&gt;S152," * F03-03 for Age "&amp;R20&amp;" "&amp;S21&amp;" is more than F03-01"&amp;CHAR(10),""),IF(T154&gt;T152," * F03-03 for Age "&amp;T20&amp;" "&amp;T21&amp;" is more than F03-01"&amp;CHAR(10),""),IF(U154&gt;U152," * F03-03 for Age "&amp;T20&amp;" "&amp;U21&amp;" is more than F03-01"&amp;CHAR(10),""),IF(V154&gt;V152," * F03-03 for Age "&amp;V20&amp;" "&amp;V21&amp;" is more than F03-01"&amp;CHAR(10),""),IF(W154&gt;W152," * F03-03 for Age "&amp;V20&amp;" "&amp;W21&amp;" is more than F03-01"&amp;CHAR(10),""),IF(X154&gt;X152," * F03-03 for Age "&amp;X20&amp;" "&amp;X21&amp;" is more than F03-01"&amp;CHAR(10),""),IF(Y154&gt;Y152," * F03-03 for Age "&amp;X20&amp;" "&amp;Y21&amp;" is more than F03-01"&amp;CHAR(10),""),IF(Z154&gt;Z152," * F03-03 for Age "&amp;Z20&amp;" "&amp;Z21&amp;" is more than F03-01"&amp;CHAR(10),""),IF(AA154&gt;AA152," * F03-03 for Age "&amp;Z20&amp;" "&amp;AA21&amp;" is more than F03-01"&amp;CHAR(10),""))</f>
        <v/>
      </c>
      <c r="AL154" s="757"/>
      <c r="AM154" s="32"/>
      <c r="AN154" s="612"/>
      <c r="AO154" s="14">
        <v>102</v>
      </c>
      <c r="AP154" s="76"/>
      <c r="AQ154" s="77"/>
    </row>
    <row r="155" spans="1:43" ht="25.9" thickBot="1" x14ac:dyDescent="0.8">
      <c r="A155" s="586"/>
      <c r="B155" s="89" t="s">
        <v>668</v>
      </c>
      <c r="C155" s="901" t="s">
        <v>215</v>
      </c>
      <c r="D155" s="155"/>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359"/>
      <c r="AB155" s="413"/>
      <c r="AC155" s="380"/>
      <c r="AD155" s="380"/>
      <c r="AE155" s="380"/>
      <c r="AF155" s="380"/>
      <c r="AG155" s="380"/>
      <c r="AH155" s="380"/>
      <c r="AI155" s="336"/>
      <c r="AJ155" s="204">
        <f t="shared" si="23"/>
        <v>0</v>
      </c>
      <c r="AK155" s="122" t="str">
        <f>CONCATENATE(IF(D155&gt;D153," * F03-04 for Age "&amp;D20&amp;" "&amp;D21&amp;" is more than F03-02"&amp;CHAR(10),""),IF(E155&gt;E153," * F03-04 for Age "&amp;D20&amp;" "&amp;E21&amp;" is more than F03-02"&amp;CHAR(10),""),IF(F155&gt;F153," * F03-04 for Age "&amp;F20&amp;" "&amp;F21&amp;" is more than F03-02"&amp;CHAR(10),""),IF(G155&gt;G153," * F03-04 for Age "&amp;F20&amp;" "&amp;G21&amp;" is more than F03-02"&amp;CHAR(10),""),IF(H155&gt;H153," * F03-04 for Age "&amp;H20&amp;" "&amp;H21&amp;" is more than F03-02"&amp;CHAR(10),""),IF(I155&gt;I153," * F03-04 for Age "&amp;H20&amp;" "&amp;I21&amp;" is more than F03-02"&amp;CHAR(10),""),IF(J155&gt;J153," * F03-04 for Age "&amp;J20&amp;" "&amp;J21&amp;" is more than F03-02"&amp;CHAR(10),""),IF(K155&gt;K153," * F03-04 for Age "&amp;J20&amp;" "&amp;K21&amp;" is more than F03-02"&amp;CHAR(10),""),IF(L155&gt;L153," * F03-04 for Age "&amp;L20&amp;" "&amp;L21&amp;" is more than F03-02"&amp;CHAR(10),""),IF(M155&gt;M153," * F03-04 for Age "&amp;L20&amp;" "&amp;M21&amp;" is more than F03-02"&amp;CHAR(10),""),IF(N155&gt;N153," * F03-04 for Age "&amp;N20&amp;" "&amp;N21&amp;" is more than F03-02"&amp;CHAR(10),""),IF(O155&gt;O153," * F03-04 for Age "&amp;N20&amp;" "&amp;O21&amp;" is more than F03-02"&amp;CHAR(10),""),IF(P155&gt;P153," * F03-04 for Age "&amp;P20&amp;" "&amp;P21&amp;" is more than F03-02"&amp;CHAR(10),""),IF(Q155&gt;Q153," * F03-04 for Age "&amp;P20&amp;" "&amp;Q21&amp;" is more than F03-02"&amp;CHAR(10),""),IF(R155&gt;R153," * F03-04 for Age "&amp;R20&amp;" "&amp;R21&amp;" is more than F03-02"&amp;CHAR(10),""),IF(S155&gt;S153," * F03-04 for Age "&amp;R20&amp;" "&amp;S21&amp;" is more than F03-02"&amp;CHAR(10),""),IF(T155&gt;T153," * F03-04 for Age "&amp;T20&amp;" "&amp;T21&amp;" is more than F03-02"&amp;CHAR(10),""),IF(U155&gt;U153," * F03-04 for Age "&amp;T20&amp;" "&amp;U21&amp;" is more than F03-02"&amp;CHAR(10),""),IF(V155&gt;V153," * F03-04 for Age "&amp;V20&amp;" "&amp;V21&amp;" is more than F03-02"&amp;CHAR(10),""),IF(W155&gt;W153," * F03-04 for Age "&amp;V20&amp;" "&amp;W21&amp;" is more than F03-02"&amp;CHAR(10),""),IF(X155&gt;X153," * F03-04 for Age "&amp;X20&amp;" "&amp;X21&amp;" is more than F03-02"&amp;CHAR(10),""),IF(Y155&gt;Y153," * F03-04 for Age "&amp;X20&amp;" "&amp;Y21&amp;" is more than F03-02"&amp;CHAR(10),""),IF(Z155&gt;Z153," * F03-04 for Age "&amp;Z20&amp;" "&amp;Z21&amp;" is more than F03-02"&amp;CHAR(10),""),IF(AA155&gt;AA153," * F03-04 for Age "&amp;Z20&amp;" "&amp;AA21&amp;" is more than F03-02"&amp;CHAR(10),""),IF(AJ155&gt;AJ153," * Total F03-04 is more than Total F03-02"&amp;CHAR(10),""))</f>
        <v/>
      </c>
      <c r="AL155" s="757"/>
      <c r="AM155" s="32"/>
      <c r="AN155" s="612"/>
      <c r="AO155" s="14">
        <v>103</v>
      </c>
      <c r="AP155" s="76"/>
      <c r="AQ155" s="77"/>
    </row>
    <row r="156" spans="1:43" s="15" customFormat="1" ht="25.5" x14ac:dyDescent="0.75">
      <c r="A156" s="604" t="s">
        <v>29</v>
      </c>
      <c r="B156" s="157" t="s">
        <v>670</v>
      </c>
      <c r="C156" s="909" t="s">
        <v>216</v>
      </c>
      <c r="D156" s="158"/>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360"/>
      <c r="AB156" s="413"/>
      <c r="AC156" s="380"/>
      <c r="AD156" s="380"/>
      <c r="AE156" s="380"/>
      <c r="AF156" s="380"/>
      <c r="AG156" s="380"/>
      <c r="AH156" s="380"/>
      <c r="AI156" s="336"/>
      <c r="AJ156" s="200">
        <f t="shared" si="23"/>
        <v>0</v>
      </c>
      <c r="AK156" s="122" t="str">
        <f>CONCATENATE(IF(D309&lt;SUM(D152,D153)," * Total Initiated on IPT for Age "&amp;D20&amp;" "&amp;D21&amp;" is More than Current ON ART "&amp;CHAR(10),""),IF(E309&lt;SUM(E152,E153)," * Total Initiated on IPT for Age "&amp;D20&amp;" "&amp;E21&amp;" is More than Current ON ART"&amp;CHAR(10),""),IF(F309&lt;SUM(F152,F153)," * Total Initiated on IPT for Age "&amp;F20&amp;" "&amp;F21&amp;" is More than Current ON ART "&amp;CHAR(10),""),IF(G309&lt;SUM(G152,G153)," * Total Initiated on IPT for Age "&amp;F20&amp;" "&amp;G21&amp;" is More than Current ON ART"&amp;CHAR(10),""),IF(H309&lt;SUM(H152,H153)," * Total Initiated on IPT for Age "&amp;H20&amp;" "&amp;H21&amp;" is More than Current ON ART "&amp;CHAR(10),""),IF(I309&lt;SUM(I152,I153)," * Total Initiated on IPT for Age "&amp;H20&amp;" "&amp;I21&amp;" is More than Current ON ART"&amp;CHAR(10),""),IF(J309&lt;SUM(J152,J153)," * Total Initiated on IPT for Age "&amp;J20&amp;" "&amp;J21&amp;" is More than Current ON ART "&amp;CHAR(10),""),IF(K309&lt;SUM(K152,K153)," * Total Initiated on IPT for Age "&amp;J20&amp;" "&amp;K21&amp;" is More than Current ON ART"&amp;CHAR(10),""),IF(L309&lt;SUM(L152,L153)," * Total Initiated on IPT for Age "&amp;L20&amp;" "&amp;L21&amp;" is More than Current ON ART "&amp;CHAR(10),""),IF(M309&lt;SUM(M152,M153)," * Total Initiated on IPT for Age "&amp;L20&amp;" "&amp;M21&amp;" is More than Current ON ART"&amp;CHAR(10),""),IF(N309&lt;SUM(N152,N153)," * Total Initiated on IPT for Age "&amp;N20&amp;" "&amp;N21&amp;" is More than Current ON ART "&amp;CHAR(10),""),IF(O309&lt;SUM(O152,O153)," * Total Initiated on IPT for Age "&amp;N20&amp;" "&amp;O21&amp;" is More than Current ON ART"&amp;CHAR(10),""),IF(P309&lt;SUM(P152,P153)," * Total Initiated on IPT for Age "&amp;P20&amp;" "&amp;P21&amp;" is More than Current ON ART "&amp;CHAR(10),""),IF(Q309&lt;SUM(Q152,Q153)," * Total Initiated on IPT for Age "&amp;P20&amp;" "&amp;Q21&amp;" is More than Current ON ART"&amp;CHAR(10),""),IF(R309&lt;SUM(R152,R153)," * Total Initiated on IPT for Age "&amp;R20&amp;" "&amp;R21&amp;" is More than Current ON ART "&amp;CHAR(10),""),IF(S309&lt;SUM(S152,S153)," * Total Initiated on IPT for Age "&amp;R20&amp;" "&amp;S21&amp;" is More than Current ON ART"&amp;CHAR(10),""),IF(T309&lt;SUM(T152,T153)," * Total Initiated on IPT for Age "&amp;T20&amp;" "&amp;T21&amp;" is More than Current ON ART "&amp;CHAR(10),""),IF(U309&lt;SUM(U152,U153)," * Total Initiated on IPT for Age "&amp;T20&amp;" "&amp;U21&amp;" is More than Current ON ART"&amp;CHAR(10),""),IF(V309&lt;SUM(V152,V153)," * Total Initiated on IPT for Age "&amp;V20&amp;" "&amp;V21&amp;" is More than Current ON ART "&amp;CHAR(10),""),IF(W309&lt;SUM(W152,W153)," * Total Initiated on IPT for Age "&amp;V20&amp;" "&amp;W21&amp;" is More than Current ON ART"&amp;CHAR(10),""),IF(X309&lt;SUM(X152,X153)," * Total Initiated on IPT for Age "&amp;X20&amp;" "&amp;X21&amp;" is More than Current ON ART "&amp;CHAR(10),""),IF(Y309&lt;SUM(Y152,Y153)," * Total Initiated on IPT for Age "&amp;X20&amp;" "&amp;Y21&amp;" is More than Current ON ART"&amp;CHAR(10),""),IF(Z309&lt;SUM(Z152,Z153)," * Total Initiated on IPT for Age "&amp;Z20&amp;" "&amp;Z21&amp;" is More than Current ON ART "&amp;CHAR(10),""),IF(AA309&lt;SUM(AA152,AA153)," * Total Initiated on IPT for Age "&amp;Z20&amp;" "&amp;AA21&amp;" is More than Current ON ART "&amp;CHAR(10),""))</f>
        <v/>
      </c>
      <c r="AL156" s="757"/>
      <c r="AM156" s="32"/>
      <c r="AN156" s="612"/>
      <c r="AO156" s="14">
        <v>104</v>
      </c>
      <c r="AP156" s="76"/>
      <c r="AQ156" s="160"/>
    </row>
    <row r="157" spans="1:43" s="15" customFormat="1" ht="25.9" thickBot="1" x14ac:dyDescent="0.8">
      <c r="A157" s="610"/>
      <c r="B157" s="161" t="s">
        <v>671</v>
      </c>
      <c r="C157" s="910" t="s">
        <v>217</v>
      </c>
      <c r="D157" s="162"/>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c r="AA157" s="361"/>
      <c r="AB157" s="413"/>
      <c r="AC157" s="380"/>
      <c r="AD157" s="380"/>
      <c r="AE157" s="380"/>
      <c r="AF157" s="380"/>
      <c r="AG157" s="380"/>
      <c r="AH157" s="380"/>
      <c r="AI157" s="336"/>
      <c r="AJ157" s="204">
        <f t="shared" si="23"/>
        <v>0</v>
      </c>
      <c r="AK157" s="122"/>
      <c r="AL157" s="757"/>
      <c r="AM157" s="32"/>
      <c r="AN157" s="612"/>
      <c r="AO157" s="14">
        <v>105</v>
      </c>
      <c r="AP157" s="76"/>
      <c r="AQ157" s="160"/>
    </row>
    <row r="158" spans="1:43" s="15" customFormat="1" ht="25.5" x14ac:dyDescent="0.75">
      <c r="A158" s="604" t="s">
        <v>30</v>
      </c>
      <c r="B158" s="157" t="s">
        <v>670</v>
      </c>
      <c r="C158" s="909" t="s">
        <v>218</v>
      </c>
      <c r="D158" s="158"/>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360"/>
      <c r="AB158" s="413"/>
      <c r="AC158" s="380"/>
      <c r="AD158" s="380"/>
      <c r="AE158" s="380"/>
      <c r="AF158" s="380"/>
      <c r="AG158" s="380"/>
      <c r="AH158" s="380"/>
      <c r="AI158" s="336"/>
      <c r="AJ158" s="200">
        <f t="shared" si="23"/>
        <v>0</v>
      </c>
      <c r="AK158" s="122"/>
      <c r="AL158" s="757"/>
      <c r="AM158" s="32"/>
      <c r="AN158" s="612"/>
      <c r="AO158" s="14">
        <v>106</v>
      </c>
      <c r="AP158" s="76"/>
      <c r="AQ158" s="160"/>
    </row>
    <row r="159" spans="1:43" s="15" customFormat="1" ht="25.9" thickBot="1" x14ac:dyDescent="0.8">
      <c r="A159" s="610"/>
      <c r="B159" s="161" t="s">
        <v>671</v>
      </c>
      <c r="C159" s="910" t="s">
        <v>219</v>
      </c>
      <c r="D159" s="162"/>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c r="AA159" s="361"/>
      <c r="AB159" s="413"/>
      <c r="AC159" s="380"/>
      <c r="AD159" s="380"/>
      <c r="AE159" s="380"/>
      <c r="AF159" s="380"/>
      <c r="AG159" s="380"/>
      <c r="AH159" s="380"/>
      <c r="AI159" s="336"/>
      <c r="AJ159" s="204">
        <f t="shared" si="23"/>
        <v>0</v>
      </c>
      <c r="AK159" s="122"/>
      <c r="AL159" s="757"/>
      <c r="AM159" s="32"/>
      <c r="AN159" s="612"/>
      <c r="AO159" s="14">
        <v>107</v>
      </c>
      <c r="AP159" s="76"/>
      <c r="AQ159" s="160"/>
    </row>
    <row r="160" spans="1:43" s="15" customFormat="1" ht="25.5" x14ac:dyDescent="0.75">
      <c r="A160" s="604" t="s">
        <v>31</v>
      </c>
      <c r="B160" s="157" t="s">
        <v>670</v>
      </c>
      <c r="C160" s="909" t="s">
        <v>220</v>
      </c>
      <c r="D160" s="158"/>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360"/>
      <c r="AB160" s="413"/>
      <c r="AC160" s="380"/>
      <c r="AD160" s="380"/>
      <c r="AE160" s="380"/>
      <c r="AF160" s="380"/>
      <c r="AG160" s="380"/>
      <c r="AH160" s="380"/>
      <c r="AI160" s="336"/>
      <c r="AJ160" s="200">
        <f t="shared" si="23"/>
        <v>0</v>
      </c>
      <c r="AK160" s="122"/>
      <c r="AL160" s="757"/>
      <c r="AM160" s="32"/>
      <c r="AN160" s="612"/>
      <c r="AO160" s="14">
        <v>108</v>
      </c>
      <c r="AP160" s="76"/>
      <c r="AQ160" s="160"/>
    </row>
    <row r="161" spans="1:43" s="15" customFormat="1" ht="25.9" thickBot="1" x14ac:dyDescent="0.8">
      <c r="A161" s="610"/>
      <c r="B161" s="161" t="s">
        <v>671</v>
      </c>
      <c r="C161" s="910" t="s">
        <v>221</v>
      </c>
      <c r="D161" s="162"/>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c r="AA161" s="361"/>
      <c r="AB161" s="413"/>
      <c r="AC161" s="380"/>
      <c r="AD161" s="380"/>
      <c r="AE161" s="380"/>
      <c r="AF161" s="380"/>
      <c r="AG161" s="380"/>
      <c r="AH161" s="380"/>
      <c r="AI161" s="336"/>
      <c r="AJ161" s="204">
        <f t="shared" si="23"/>
        <v>0</v>
      </c>
      <c r="AK161" s="122"/>
      <c r="AL161" s="757"/>
      <c r="AM161" s="32"/>
      <c r="AN161" s="612"/>
      <c r="AO161" s="14">
        <v>109</v>
      </c>
      <c r="AP161" s="76"/>
      <c r="AQ161" s="160"/>
    </row>
    <row r="162" spans="1:43" s="15" customFormat="1" ht="25.5" x14ac:dyDescent="0.75">
      <c r="A162" s="604" t="s">
        <v>32</v>
      </c>
      <c r="B162" s="164" t="s">
        <v>670</v>
      </c>
      <c r="C162" s="911" t="s">
        <v>222</v>
      </c>
      <c r="D162" s="165"/>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353"/>
      <c r="AB162" s="413"/>
      <c r="AC162" s="380"/>
      <c r="AD162" s="380"/>
      <c r="AE162" s="380"/>
      <c r="AF162" s="380"/>
      <c r="AG162" s="380"/>
      <c r="AH162" s="380"/>
      <c r="AI162" s="336"/>
      <c r="AJ162" s="53">
        <f t="shared" si="23"/>
        <v>0</v>
      </c>
      <c r="AK162" s="122"/>
      <c r="AL162" s="757"/>
      <c r="AM162" s="32"/>
      <c r="AN162" s="612"/>
      <c r="AO162" s="14">
        <v>110</v>
      </c>
      <c r="AP162" s="76"/>
      <c r="AQ162" s="160"/>
    </row>
    <row r="163" spans="1:43" s="15" customFormat="1" ht="25.9" thickBot="1" x14ac:dyDescent="0.8">
      <c r="A163" s="605"/>
      <c r="B163" s="166" t="s">
        <v>671</v>
      </c>
      <c r="C163" s="910" t="s">
        <v>223</v>
      </c>
      <c r="D163" s="167"/>
      <c r="E163" s="168"/>
      <c r="F163" s="168"/>
      <c r="G163" s="168"/>
      <c r="H163" s="168"/>
      <c r="I163" s="168"/>
      <c r="J163" s="168"/>
      <c r="K163" s="168"/>
      <c r="L163" s="168"/>
      <c r="M163" s="168"/>
      <c r="N163" s="168"/>
      <c r="O163" s="168"/>
      <c r="P163" s="168"/>
      <c r="Q163" s="168"/>
      <c r="R163" s="168"/>
      <c r="S163" s="168"/>
      <c r="T163" s="168"/>
      <c r="U163" s="168"/>
      <c r="V163" s="168"/>
      <c r="W163" s="168"/>
      <c r="X163" s="168"/>
      <c r="Y163" s="168"/>
      <c r="Z163" s="168"/>
      <c r="AA163" s="362"/>
      <c r="AB163" s="414"/>
      <c r="AC163" s="415"/>
      <c r="AD163" s="415"/>
      <c r="AE163" s="415"/>
      <c r="AF163" s="415"/>
      <c r="AG163" s="415"/>
      <c r="AH163" s="415"/>
      <c r="AI163" s="337"/>
      <c r="AJ163" s="418">
        <f t="shared" si="23"/>
        <v>0</v>
      </c>
      <c r="AK163" s="128"/>
      <c r="AL163" s="758"/>
      <c r="AM163" s="129"/>
      <c r="AN163" s="613"/>
      <c r="AO163" s="14">
        <v>111</v>
      </c>
      <c r="AP163" s="76"/>
      <c r="AQ163" s="160"/>
    </row>
    <row r="164" spans="1:43" ht="25.9" thickBot="1" x14ac:dyDescent="0.8">
      <c r="A164" s="640" t="s">
        <v>126</v>
      </c>
      <c r="B164" s="641"/>
      <c r="C164" s="641"/>
      <c r="D164" s="753"/>
      <c r="E164" s="753"/>
      <c r="F164" s="753"/>
      <c r="G164" s="753"/>
      <c r="H164" s="753"/>
      <c r="I164" s="753"/>
      <c r="J164" s="753"/>
      <c r="K164" s="753"/>
      <c r="L164" s="641"/>
      <c r="M164" s="641"/>
      <c r="N164" s="641"/>
      <c r="O164" s="641"/>
      <c r="P164" s="641"/>
      <c r="Q164" s="641"/>
      <c r="R164" s="641"/>
      <c r="S164" s="641"/>
      <c r="T164" s="641"/>
      <c r="U164" s="641"/>
      <c r="V164" s="641"/>
      <c r="W164" s="641"/>
      <c r="X164" s="641"/>
      <c r="Y164" s="641"/>
      <c r="Z164" s="641"/>
      <c r="AA164" s="641"/>
      <c r="AB164" s="737"/>
      <c r="AC164" s="737"/>
      <c r="AD164" s="737"/>
      <c r="AE164" s="737"/>
      <c r="AF164" s="737"/>
      <c r="AG164" s="737"/>
      <c r="AH164" s="737"/>
      <c r="AI164" s="737"/>
      <c r="AJ164" s="641"/>
      <c r="AK164" s="641"/>
      <c r="AL164" s="641"/>
      <c r="AM164" s="641"/>
      <c r="AN164" s="643"/>
      <c r="AO164" s="14">
        <v>112</v>
      </c>
      <c r="AP164" s="76"/>
      <c r="AQ164" s="77"/>
    </row>
    <row r="165" spans="1:43" ht="26.25" customHeight="1" x14ac:dyDescent="0.75">
      <c r="A165" s="617" t="s">
        <v>37</v>
      </c>
      <c r="B165" s="684" t="s">
        <v>346</v>
      </c>
      <c r="C165" s="912" t="s">
        <v>327</v>
      </c>
      <c r="D165" s="775"/>
      <c r="E165" s="776"/>
      <c r="F165" s="776"/>
      <c r="G165" s="776"/>
      <c r="H165" s="776"/>
      <c r="I165" s="776"/>
      <c r="J165" s="776"/>
      <c r="K165" s="777"/>
      <c r="L165" s="647" t="s">
        <v>4</v>
      </c>
      <c r="M165" s="606"/>
      <c r="N165" s="606" t="s">
        <v>5</v>
      </c>
      <c r="O165" s="606"/>
      <c r="P165" s="606" t="s">
        <v>6</v>
      </c>
      <c r="Q165" s="606"/>
      <c r="R165" s="606" t="s">
        <v>7</v>
      </c>
      <c r="S165" s="606"/>
      <c r="T165" s="606" t="s">
        <v>8</v>
      </c>
      <c r="U165" s="606"/>
      <c r="V165" s="606" t="s">
        <v>23</v>
      </c>
      <c r="W165" s="606"/>
      <c r="X165" s="606" t="s">
        <v>24</v>
      </c>
      <c r="Y165" s="606"/>
      <c r="Z165" s="606" t="s">
        <v>9</v>
      </c>
      <c r="AA165" s="624"/>
      <c r="AB165" s="625"/>
      <c r="AC165" s="626"/>
      <c r="AD165" s="626"/>
      <c r="AE165" s="626"/>
      <c r="AF165" s="626"/>
      <c r="AG165" s="626"/>
      <c r="AH165" s="626"/>
      <c r="AI165" s="627"/>
      <c r="AJ165" s="628" t="s">
        <v>19</v>
      </c>
      <c r="AK165" s="630" t="s">
        <v>380</v>
      </c>
      <c r="AL165" s="632" t="s">
        <v>386</v>
      </c>
      <c r="AM165" s="660" t="s">
        <v>387</v>
      </c>
      <c r="AN165" s="619" t="s">
        <v>387</v>
      </c>
      <c r="AO165" s="14">
        <v>113</v>
      </c>
      <c r="AP165" s="76"/>
      <c r="AQ165" s="77"/>
    </row>
    <row r="166" spans="1:43" ht="27" customHeight="1" thickBot="1" x14ac:dyDescent="0.8">
      <c r="A166" s="618"/>
      <c r="B166" s="685"/>
      <c r="C166" s="913"/>
      <c r="D166" s="778"/>
      <c r="E166" s="779"/>
      <c r="F166" s="779"/>
      <c r="G166" s="779"/>
      <c r="H166" s="779"/>
      <c r="I166" s="779"/>
      <c r="J166" s="779"/>
      <c r="K166" s="780"/>
      <c r="L166" s="316" t="s">
        <v>10</v>
      </c>
      <c r="M166" s="70" t="s">
        <v>11</v>
      </c>
      <c r="N166" s="70" t="s">
        <v>10</v>
      </c>
      <c r="O166" s="70" t="s">
        <v>11</v>
      </c>
      <c r="P166" s="70" t="s">
        <v>10</v>
      </c>
      <c r="Q166" s="70" t="s">
        <v>11</v>
      </c>
      <c r="R166" s="70" t="s">
        <v>10</v>
      </c>
      <c r="S166" s="70" t="s">
        <v>11</v>
      </c>
      <c r="T166" s="70" t="s">
        <v>10</v>
      </c>
      <c r="U166" s="70" t="s">
        <v>11</v>
      </c>
      <c r="V166" s="70" t="s">
        <v>10</v>
      </c>
      <c r="W166" s="70" t="s">
        <v>11</v>
      </c>
      <c r="X166" s="70" t="s">
        <v>10</v>
      </c>
      <c r="Y166" s="70" t="s">
        <v>11</v>
      </c>
      <c r="Z166" s="70" t="s">
        <v>10</v>
      </c>
      <c r="AA166" s="395" t="s">
        <v>11</v>
      </c>
      <c r="AB166" s="397"/>
      <c r="AC166" s="398"/>
      <c r="AD166" s="398"/>
      <c r="AE166" s="398"/>
      <c r="AF166" s="398"/>
      <c r="AG166" s="398"/>
      <c r="AH166" s="398"/>
      <c r="AI166" s="399"/>
      <c r="AJ166" s="629"/>
      <c r="AK166" s="631"/>
      <c r="AL166" s="639"/>
      <c r="AM166" s="660"/>
      <c r="AN166" s="620"/>
      <c r="AO166" s="14">
        <v>114</v>
      </c>
      <c r="AP166" s="76"/>
      <c r="AQ166" s="77"/>
    </row>
    <row r="167" spans="1:43" ht="25.5" x14ac:dyDescent="0.75">
      <c r="A167" s="634" t="s">
        <v>33</v>
      </c>
      <c r="B167" s="71" t="s">
        <v>672</v>
      </c>
      <c r="C167" s="914" t="s">
        <v>358</v>
      </c>
      <c r="D167" s="72"/>
      <c r="E167" s="73"/>
      <c r="F167" s="73"/>
      <c r="G167" s="73"/>
      <c r="H167" s="73"/>
      <c r="I167" s="73"/>
      <c r="J167" s="73"/>
      <c r="K167" s="73"/>
      <c r="L167" s="73"/>
      <c r="M167" s="74"/>
      <c r="N167" s="73"/>
      <c r="O167" s="74"/>
      <c r="P167" s="73"/>
      <c r="Q167" s="74"/>
      <c r="R167" s="73"/>
      <c r="S167" s="74"/>
      <c r="T167" s="73"/>
      <c r="U167" s="74"/>
      <c r="V167" s="73"/>
      <c r="W167" s="74"/>
      <c r="X167" s="170"/>
      <c r="Y167" s="74"/>
      <c r="Z167" s="170"/>
      <c r="AA167" s="340"/>
      <c r="AB167" s="413"/>
      <c r="AC167" s="380"/>
      <c r="AD167" s="380"/>
      <c r="AE167" s="380"/>
      <c r="AF167" s="380"/>
      <c r="AG167" s="380"/>
      <c r="AH167" s="380"/>
      <c r="AI167" s="336"/>
      <c r="AJ167" s="53">
        <f>SUM(D167:AA167)</f>
        <v>0</v>
      </c>
      <c r="AK167" s="150"/>
      <c r="AL167" s="704" t="str">
        <f>CONCATENATE(AK167,AK168,AK169,AK172,AK173,AK174,AK175,AK176,AK177,AK180,AK181,AK182,AK183,AK184,AK185,AK188,AK189,AK190)</f>
        <v/>
      </c>
      <c r="AM167" s="75"/>
      <c r="AN167" s="611" t="str">
        <f>CONCATENATE(AM167,AM168,AM169,AM172,AM173,AM174,AM175,AM176,AM177,AM180,AM181,AM182,AM183,AM184,AM185,AM188,AM189,AM190)</f>
        <v/>
      </c>
      <c r="AO167" s="14">
        <v>115</v>
      </c>
      <c r="AP167" s="76"/>
      <c r="AQ167" s="77"/>
    </row>
    <row r="168" spans="1:43" ht="25.5" x14ac:dyDescent="0.75">
      <c r="A168" s="635"/>
      <c r="B168" s="78" t="s">
        <v>152</v>
      </c>
      <c r="C168" s="899" t="s">
        <v>224</v>
      </c>
      <c r="D168" s="79"/>
      <c r="E168" s="80"/>
      <c r="F168" s="80"/>
      <c r="G168" s="80"/>
      <c r="H168" s="80"/>
      <c r="I168" s="80"/>
      <c r="J168" s="80"/>
      <c r="K168" s="80"/>
      <c r="L168" s="80"/>
      <c r="M168" s="81"/>
      <c r="N168" s="80"/>
      <c r="O168" s="81"/>
      <c r="P168" s="80"/>
      <c r="Q168" s="81"/>
      <c r="R168" s="80"/>
      <c r="S168" s="81"/>
      <c r="T168" s="80"/>
      <c r="U168" s="81"/>
      <c r="V168" s="80"/>
      <c r="W168" s="81"/>
      <c r="X168" s="171"/>
      <c r="Y168" s="81"/>
      <c r="Z168" s="171"/>
      <c r="AA168" s="341"/>
      <c r="AB168" s="413"/>
      <c r="AC168" s="380"/>
      <c r="AD168" s="380"/>
      <c r="AE168" s="380"/>
      <c r="AF168" s="380"/>
      <c r="AG168" s="380"/>
      <c r="AH168" s="380"/>
      <c r="AI168" s="336"/>
      <c r="AJ168" s="185">
        <f t="shared" ref="AJ168:AJ190" si="24">SUM(D168:AA168)</f>
        <v>0</v>
      </c>
      <c r="AK168" s="122" t="str">
        <f>CONCATENATE(IF(D170&lt;&gt;SUM(D172,D173,D174)," * Total CXCA Screening positive for Age "&amp;D20&amp;" "&amp;D21&amp;" is Not equal to  the sum of (Cryotherapy and Leep and Thermocoagulation)"&amp;CHAR(10),""),IF(E170&lt;&gt;SUM(E172,E173,E174)," * Total CXCA Screening positive for Age "&amp;D20&amp;" "&amp;E21&amp;" is Not equal to  the sum of (Cryotherapy and Leep and Thermocoagulation)"&amp;CHAR(10),""),IF(F170&lt;&gt;SUM(F172,F173,F174)," * Total CXCA Screening positive for Age "&amp;F20&amp;" "&amp;F21&amp;" is Not equal to  the sum of (Cryotherapy and Leep and Thermocoagulation)"&amp;CHAR(10),""),IF(G170&lt;&gt;SUM(G172,G173,G174)," * Total CXCA Screening positive for Age "&amp;F20&amp;" "&amp;G21&amp;" is Not equal to  the sum of (Cryotherapy and Leep and Thermocoagulation)"&amp;CHAR(10),""),IF(H170&lt;&gt;SUM(H172,H173,H174)," * Total CXCA Screening positive for Age "&amp;H20&amp;" "&amp;H21&amp;" is Not equal to  the sum of (Cryotherapy and Leep and Thermocoagulation)"&amp;CHAR(10),""),IF(I170&lt;&gt;SUM(I172,I173,I174)," * Total CXCA Screening positive for Age "&amp;H20&amp;" "&amp;I21&amp;" is Not equal to  the sum of (Cryotherapy and Leep and Thermocoagulation)"&amp;CHAR(10),""),IF(J170&lt;&gt;SUM(J172,J173,J174)," * Total CXCA Screening positive for Age "&amp;J20&amp;" "&amp;J21&amp;" is Not equal to  the sum of (Cryotherapy and Leep and Thermocoagulation)"&amp;CHAR(10),""),IF(K170&lt;&gt;SUM(K172,K173,K174)," * Total CXCA Screening positive for Age "&amp;J20&amp;" "&amp;K21&amp;" is Not equal to  the sum of (Cryotherapy and Leep and Thermocoagulation)"&amp;CHAR(10),""),IF(L170&lt;&gt;SUM(L172,L173,L174)," * Total CXCA Screening positive for Age "&amp;L20&amp;" "&amp;L21&amp;" is Not equal to  the sum of (Cryotherapy and Leep and Thermocoagulation)"&amp;CHAR(10),""),IF(M170&lt;&gt;SUM(M172,M173,M174)," * Total CXCA Screening positive for Age "&amp;L20&amp;" "&amp;M21&amp;" is Not equal to  the sum of (Cryotherapy and Leep and Thermocoagulation)"&amp;CHAR(10),""),IF(N170&lt;&gt;SUM(N172,N173,N174)," * Total CXCA Screening positive for Age "&amp;N20&amp;" "&amp;N21&amp;" is Not equal to  the sum of (Cryotherapy and Leep and Thermocoagulation)"&amp;CHAR(10),""),IF(O170&lt;&gt;SUM(O172,O173,O174)," * Total CXCA Screening positive for Age "&amp;N20&amp;" "&amp;O21&amp;" is Not equal to  the sum of (Cryotherapy and Leep and Thermocoagulation)"&amp;CHAR(10),""),IF(P170&lt;&gt;SUM(P172,P173,P174)," * Total CXCA Screening positive for Age "&amp;P20&amp;" "&amp;P21&amp;" is Not equal to  the sum of (Cryotherapy and Leep and Thermocoagulation)"&amp;CHAR(10),""),IF(Q170&lt;&gt;SUM(Q172,Q173,Q174)," * Total CXCA Screening positive for Age "&amp;P20&amp;" "&amp;Q21&amp;" is Not equal to  the sum of (Cryotherapy and Leep and Thermocoagulation)"&amp;CHAR(10),""),IF(R170&lt;&gt;SUM(R172,R173,R174)," * Total CXCA Screening positive for Age "&amp;R20&amp;" "&amp;R21&amp;" is Not equal to  the sum of (Cryotherapy and Leep and Thermocoagulation)"&amp;CHAR(10),""),IF(S170&lt;&gt;SUM(S172,S173,S174)," * Total CXCA Screening positive for Age "&amp;R20&amp;" "&amp;S21&amp;" is Not equal to  the sum of (Cryotherapy and Leep and Thermocoagulation)"&amp;CHAR(10),""),IF(T170&lt;&gt;SUM(T172,T173,T174)," * Total CXCA Screening positive for Age "&amp;T20&amp;" "&amp;T21&amp;" is Not equal to  the sum of (Cryotherapy and Leep and Thermocoagulation)"&amp;CHAR(10),""),IF(U170&lt;&gt;SUM(U172,U173,U174)," * Total CXCA Screening positive for Age "&amp;T20&amp;" "&amp;U21&amp;" is Not equal to  the sum of (Cryotherapy and Leep and Thermocoagulation)"&amp;CHAR(10),""),IF(V170&lt;&gt;SUM(V172,V173,V174)," * Total CXCA Screening positive for Age "&amp;V20&amp;" "&amp;V21&amp;" is Not equal to  the sum of (Cryotherapy and Leep and Thermocoagulation)"&amp;CHAR(10),""),IF(W170&lt;&gt;SUM(W172,W173,W174)," * Total CXCA Screening positive for Age "&amp;V20&amp;" "&amp;W21&amp;" is Not equal to  the sum of (Cryotherapy and Leep and Thermocoagulation)"&amp;CHAR(10),""),IF(X170&lt;&gt;SUM(X172,X173,X174)," * Total CXCA Screening positive for Age "&amp;X20&amp;" "&amp;X21&amp;" is Not equal to  the sum of (Cryotherapy and Leep and Thermocoagulation)"&amp;CHAR(10),""),IF(Y170&lt;&gt;SUM(Y172,Y173,Y174)," * Total CXCA Screening positive for Age "&amp;X20&amp;" "&amp;Y21&amp;" is Not equal to  the sum of (Cryotherapy and Leep and Thermocoagulation)"&amp;CHAR(10),""),IF(Z170&lt;&gt;SUM(Z172,Z173,Z174)," * Total CXCA Screening positive for Age "&amp;Z20&amp;" "&amp;Z21&amp;" is Not equal to  the sum of (Cryotherapy and Leep and Thermocoagulation)"&amp;CHAR(10),""),IF(AA170&lt;&gt;SUM(AA172,AA173,AA174)," * Total CXCA Screening positive for Age "&amp;Z20&amp;" "&amp;AA21&amp;" is Not equal to  the sum of (Cryotherapy and Leep and Thermocoagulation)"&amp;CHAR(10),""))</f>
        <v/>
      </c>
      <c r="AL168" s="652"/>
      <c r="AM168" s="32"/>
      <c r="AN168" s="612"/>
      <c r="AO168" s="14">
        <v>116</v>
      </c>
      <c r="AP168" s="76"/>
      <c r="AQ168" s="77"/>
    </row>
    <row r="169" spans="1:43" ht="25.5" x14ac:dyDescent="0.75">
      <c r="A169" s="635"/>
      <c r="B169" s="78" t="s">
        <v>673</v>
      </c>
      <c r="C169" s="899" t="s">
        <v>359</v>
      </c>
      <c r="D169" s="79"/>
      <c r="E169" s="80"/>
      <c r="F169" s="80"/>
      <c r="G169" s="80"/>
      <c r="H169" s="80"/>
      <c r="I169" s="80"/>
      <c r="J169" s="80"/>
      <c r="K169" s="80"/>
      <c r="L169" s="80"/>
      <c r="M169" s="81"/>
      <c r="N169" s="80"/>
      <c r="O169" s="81"/>
      <c r="P169" s="80"/>
      <c r="Q169" s="81"/>
      <c r="R169" s="80"/>
      <c r="S169" s="81"/>
      <c r="T169" s="80"/>
      <c r="U169" s="81"/>
      <c r="V169" s="80"/>
      <c r="W169" s="81"/>
      <c r="X169" s="171"/>
      <c r="Y169" s="81"/>
      <c r="Z169" s="171"/>
      <c r="AA169" s="341"/>
      <c r="AB169" s="413"/>
      <c r="AC169" s="380"/>
      <c r="AD169" s="380"/>
      <c r="AE169" s="380"/>
      <c r="AF169" s="380"/>
      <c r="AG169" s="380"/>
      <c r="AH169" s="380"/>
      <c r="AI169" s="336"/>
      <c r="AJ169" s="185">
        <f t="shared" si="24"/>
        <v>0</v>
      </c>
      <c r="AK169" s="122"/>
      <c r="AL169" s="652"/>
      <c r="AM169" s="32"/>
      <c r="AN169" s="612"/>
      <c r="AO169" s="14">
        <v>117</v>
      </c>
      <c r="AP169" s="76"/>
      <c r="AQ169" s="77"/>
    </row>
    <row r="170" spans="1:43" ht="25.5" x14ac:dyDescent="0.75">
      <c r="A170" s="635"/>
      <c r="B170" s="172" t="s">
        <v>866</v>
      </c>
      <c r="C170" s="899" t="s">
        <v>867</v>
      </c>
      <c r="D170" s="79"/>
      <c r="E170" s="80"/>
      <c r="F170" s="80"/>
      <c r="G170" s="80"/>
      <c r="H170" s="80"/>
      <c r="I170" s="80"/>
      <c r="J170" s="80"/>
      <c r="K170" s="80"/>
      <c r="L170" s="80"/>
      <c r="M170" s="173">
        <f>M169+M168</f>
        <v>0</v>
      </c>
      <c r="N170" s="174"/>
      <c r="O170" s="173">
        <f>O169+O168</f>
        <v>0</v>
      </c>
      <c r="P170" s="80"/>
      <c r="Q170" s="173">
        <f>Q169+Q168</f>
        <v>0</v>
      </c>
      <c r="R170" s="80"/>
      <c r="S170" s="173">
        <f>S169+S168</f>
        <v>0</v>
      </c>
      <c r="T170" s="80"/>
      <c r="U170" s="173">
        <f>U169+U168</f>
        <v>0</v>
      </c>
      <c r="V170" s="80"/>
      <c r="W170" s="173">
        <f>W169+W168</f>
        <v>0</v>
      </c>
      <c r="X170" s="171"/>
      <c r="Y170" s="173">
        <f>Y169+Y168</f>
        <v>0</v>
      </c>
      <c r="Z170" s="171"/>
      <c r="AA170" s="363">
        <f>AA169+AA168</f>
        <v>0</v>
      </c>
      <c r="AB170" s="413"/>
      <c r="AC170" s="380"/>
      <c r="AD170" s="380"/>
      <c r="AE170" s="380"/>
      <c r="AF170" s="380"/>
      <c r="AG170" s="380"/>
      <c r="AH170" s="380"/>
      <c r="AI170" s="336"/>
      <c r="AJ170" s="185">
        <f t="shared" si="24"/>
        <v>0</v>
      </c>
      <c r="AK170" s="122"/>
      <c r="AL170" s="652"/>
      <c r="AM170" s="32"/>
      <c r="AN170" s="612"/>
      <c r="AO170" s="14">
        <v>118</v>
      </c>
      <c r="AP170" s="76"/>
      <c r="AQ170" s="77"/>
    </row>
    <row r="171" spans="1:43" ht="25.5" x14ac:dyDescent="0.75">
      <c r="A171" s="635"/>
      <c r="B171" s="175" t="s">
        <v>1006</v>
      </c>
      <c r="C171" s="899" t="s">
        <v>1003</v>
      </c>
      <c r="D171" s="79"/>
      <c r="E171" s="80"/>
      <c r="F171" s="80"/>
      <c r="G171" s="80"/>
      <c r="H171" s="80"/>
      <c r="I171" s="80"/>
      <c r="J171" s="80"/>
      <c r="K171" s="80"/>
      <c r="L171" s="80"/>
      <c r="M171" s="176"/>
      <c r="N171" s="174"/>
      <c r="O171" s="176"/>
      <c r="P171" s="80"/>
      <c r="Q171" s="176"/>
      <c r="R171" s="80"/>
      <c r="S171" s="176"/>
      <c r="T171" s="80"/>
      <c r="U171" s="176"/>
      <c r="V171" s="80"/>
      <c r="W171" s="176"/>
      <c r="X171" s="171"/>
      <c r="Y171" s="176"/>
      <c r="Z171" s="171"/>
      <c r="AA171" s="364"/>
      <c r="AB171" s="413"/>
      <c r="AC171" s="380"/>
      <c r="AD171" s="380"/>
      <c r="AE171" s="380"/>
      <c r="AF171" s="380"/>
      <c r="AG171" s="380"/>
      <c r="AH171" s="380"/>
      <c r="AI171" s="336"/>
      <c r="AJ171" s="185"/>
      <c r="AK171" s="122"/>
      <c r="AL171" s="652"/>
      <c r="AM171" s="32"/>
      <c r="AN171" s="612"/>
      <c r="AO171" s="14">
        <v>119</v>
      </c>
      <c r="AP171" s="76"/>
      <c r="AQ171" s="77"/>
    </row>
    <row r="172" spans="1:43" ht="25.5" x14ac:dyDescent="0.75">
      <c r="A172" s="635"/>
      <c r="B172" s="78" t="s">
        <v>674</v>
      </c>
      <c r="C172" s="899" t="s">
        <v>229</v>
      </c>
      <c r="D172" s="79"/>
      <c r="E172" s="80"/>
      <c r="F172" s="80"/>
      <c r="G172" s="80"/>
      <c r="H172" s="80"/>
      <c r="I172" s="80"/>
      <c r="J172" s="80"/>
      <c r="K172" s="80"/>
      <c r="L172" s="80"/>
      <c r="M172" s="81"/>
      <c r="N172" s="80"/>
      <c r="O172" s="81"/>
      <c r="P172" s="80"/>
      <c r="Q172" s="81"/>
      <c r="R172" s="80"/>
      <c r="S172" s="81"/>
      <c r="T172" s="80"/>
      <c r="U172" s="81"/>
      <c r="V172" s="80"/>
      <c r="W172" s="81"/>
      <c r="X172" s="171"/>
      <c r="Y172" s="81"/>
      <c r="Z172" s="171"/>
      <c r="AA172" s="341"/>
      <c r="AB172" s="413"/>
      <c r="AC172" s="380"/>
      <c r="AD172" s="380"/>
      <c r="AE172" s="380"/>
      <c r="AF172" s="380"/>
      <c r="AG172" s="380"/>
      <c r="AH172" s="380"/>
      <c r="AI172" s="336"/>
      <c r="AJ172" s="185">
        <f t="shared" si="24"/>
        <v>0</v>
      </c>
      <c r="AK172" s="122"/>
      <c r="AL172" s="652"/>
      <c r="AM172" s="32"/>
      <c r="AN172" s="612"/>
      <c r="AO172" s="14">
        <v>120</v>
      </c>
      <c r="AP172" s="76"/>
      <c r="AQ172" s="77"/>
    </row>
    <row r="173" spans="1:43" ht="25.5" x14ac:dyDescent="0.75">
      <c r="A173" s="635"/>
      <c r="B173" s="78" t="s">
        <v>675</v>
      </c>
      <c r="C173" s="899" t="s">
        <v>230</v>
      </c>
      <c r="D173" s="79"/>
      <c r="E173" s="80"/>
      <c r="F173" s="80"/>
      <c r="G173" s="80"/>
      <c r="H173" s="80"/>
      <c r="I173" s="80"/>
      <c r="J173" s="80"/>
      <c r="K173" s="80"/>
      <c r="L173" s="80"/>
      <c r="M173" s="81"/>
      <c r="N173" s="80"/>
      <c r="O173" s="81"/>
      <c r="P173" s="80"/>
      <c r="Q173" s="81"/>
      <c r="R173" s="80"/>
      <c r="S173" s="81"/>
      <c r="T173" s="80"/>
      <c r="U173" s="81"/>
      <c r="V173" s="80"/>
      <c r="W173" s="81"/>
      <c r="X173" s="171"/>
      <c r="Y173" s="81"/>
      <c r="Z173" s="171"/>
      <c r="AA173" s="341"/>
      <c r="AB173" s="413"/>
      <c r="AC173" s="380"/>
      <c r="AD173" s="380"/>
      <c r="AE173" s="380"/>
      <c r="AF173" s="380"/>
      <c r="AG173" s="380"/>
      <c r="AH173" s="380"/>
      <c r="AI173" s="336"/>
      <c r="AJ173" s="185">
        <f t="shared" si="24"/>
        <v>0</v>
      </c>
      <c r="AK173" s="122"/>
      <c r="AL173" s="652"/>
      <c r="AM173" s="32"/>
      <c r="AN173" s="612"/>
      <c r="AO173" s="14">
        <v>121</v>
      </c>
      <c r="AP173" s="76"/>
      <c r="AQ173" s="77"/>
    </row>
    <row r="174" spans="1:43" ht="25.9" thickBot="1" x14ac:dyDescent="0.8">
      <c r="A174" s="586"/>
      <c r="B174" s="89" t="s">
        <v>676</v>
      </c>
      <c r="C174" s="901" t="s">
        <v>231</v>
      </c>
      <c r="D174" s="106"/>
      <c r="E174" s="105"/>
      <c r="F174" s="105"/>
      <c r="G174" s="105"/>
      <c r="H174" s="105"/>
      <c r="I174" s="105"/>
      <c r="J174" s="105"/>
      <c r="K174" s="105"/>
      <c r="L174" s="105"/>
      <c r="M174" s="92"/>
      <c r="N174" s="105"/>
      <c r="O174" s="92"/>
      <c r="P174" s="105"/>
      <c r="Q174" s="92"/>
      <c r="R174" s="105"/>
      <c r="S174" s="92"/>
      <c r="T174" s="105"/>
      <c r="U174" s="92"/>
      <c r="V174" s="105"/>
      <c r="W174" s="92"/>
      <c r="X174" s="177"/>
      <c r="Y174" s="92"/>
      <c r="Z174" s="177"/>
      <c r="AA174" s="343"/>
      <c r="AB174" s="413"/>
      <c r="AC174" s="380"/>
      <c r="AD174" s="380"/>
      <c r="AE174" s="380"/>
      <c r="AF174" s="380"/>
      <c r="AG174" s="380"/>
      <c r="AH174" s="380"/>
      <c r="AI174" s="336"/>
      <c r="AJ174" s="204">
        <f t="shared" si="24"/>
        <v>0</v>
      </c>
      <c r="AK174" s="122"/>
      <c r="AL174" s="652"/>
      <c r="AM174" s="32"/>
      <c r="AN174" s="612"/>
      <c r="AO174" s="14">
        <v>122</v>
      </c>
      <c r="AP174" s="76"/>
      <c r="AQ174" s="77"/>
    </row>
    <row r="175" spans="1:43" ht="25.5" x14ac:dyDescent="0.75">
      <c r="A175" s="585" t="s">
        <v>468</v>
      </c>
      <c r="B175" s="94" t="s">
        <v>672</v>
      </c>
      <c r="C175" s="898" t="s">
        <v>360</v>
      </c>
      <c r="D175" s="101"/>
      <c r="E175" s="102"/>
      <c r="F175" s="102"/>
      <c r="G175" s="102"/>
      <c r="H175" s="102"/>
      <c r="I175" s="102"/>
      <c r="J175" s="102"/>
      <c r="K175" s="102"/>
      <c r="L175" s="102"/>
      <c r="M175" s="97"/>
      <c r="N175" s="102"/>
      <c r="O175" s="97"/>
      <c r="P175" s="102"/>
      <c r="Q175" s="97"/>
      <c r="R175" s="102"/>
      <c r="S175" s="97"/>
      <c r="T175" s="102"/>
      <c r="U175" s="97"/>
      <c r="V175" s="102"/>
      <c r="W175" s="97"/>
      <c r="X175" s="178"/>
      <c r="Y175" s="97"/>
      <c r="Z175" s="178"/>
      <c r="AA175" s="344"/>
      <c r="AB175" s="413"/>
      <c r="AC175" s="380"/>
      <c r="AD175" s="380"/>
      <c r="AE175" s="380"/>
      <c r="AF175" s="380"/>
      <c r="AG175" s="380"/>
      <c r="AH175" s="380"/>
      <c r="AI175" s="336"/>
      <c r="AJ175" s="200">
        <f t="shared" si="24"/>
        <v>0</v>
      </c>
      <c r="AK175" s="122"/>
      <c r="AL175" s="652"/>
      <c r="AM175" s="32"/>
      <c r="AN175" s="612"/>
      <c r="AO175" s="14">
        <v>123</v>
      </c>
      <c r="AP175" s="76"/>
      <c r="AQ175" s="77"/>
    </row>
    <row r="176" spans="1:43" ht="25.5" x14ac:dyDescent="0.75">
      <c r="A176" s="635"/>
      <c r="B176" s="78" t="s">
        <v>152</v>
      </c>
      <c r="C176" s="899" t="s">
        <v>361</v>
      </c>
      <c r="D176" s="79"/>
      <c r="E176" s="80"/>
      <c r="F176" s="80"/>
      <c r="G176" s="80"/>
      <c r="H176" s="80"/>
      <c r="I176" s="80"/>
      <c r="J176" s="80"/>
      <c r="K176" s="80"/>
      <c r="L176" s="80"/>
      <c r="M176" s="81"/>
      <c r="N176" s="80"/>
      <c r="O176" s="81"/>
      <c r="P176" s="80"/>
      <c r="Q176" s="81"/>
      <c r="R176" s="80"/>
      <c r="S176" s="81"/>
      <c r="T176" s="80"/>
      <c r="U176" s="81"/>
      <c r="V176" s="80"/>
      <c r="W176" s="81"/>
      <c r="X176" s="171"/>
      <c r="Y176" s="81"/>
      <c r="Z176" s="171"/>
      <c r="AA176" s="341"/>
      <c r="AB176" s="413"/>
      <c r="AC176" s="380"/>
      <c r="AD176" s="380"/>
      <c r="AE176" s="380"/>
      <c r="AF176" s="380"/>
      <c r="AG176" s="380"/>
      <c r="AH176" s="380"/>
      <c r="AI176" s="336"/>
      <c r="AJ176" s="185">
        <f t="shared" si="24"/>
        <v>0</v>
      </c>
      <c r="AK176" s="122" t="str">
        <f>CONCATENATE(IF(D178&lt;&gt;SUM(D180,D181,D182)," * Total CXCA Screening positive for Age "&amp;D20&amp;" "&amp;D21&amp;" is Not equal to  the sum of (Cryotherapy and Leep and Thermocoagulation)"&amp;CHAR(10),""),IF(E178&lt;&gt;SUM(E180,E181,E182)," * Total CXCA Screening positive for Age "&amp;D20&amp;" "&amp;E21&amp;" is Not equal to  the sum of (Cryotherapy and Leep and Thermocoagulation)"&amp;CHAR(10),""),IF(F178&lt;&gt;SUM(F180,F181,F182)," * Total CXCA Screening positive for Age "&amp;F20&amp;" "&amp;F21&amp;" is Not equal to  the sum of (Cryotherapy and Leep and Thermocoagulation)"&amp;CHAR(10),""),IF(G178&lt;&gt;SUM(G180,G181,G182)," * Total CXCA Screening positive for Age "&amp;F20&amp;" "&amp;G21&amp;" is Not equal to  the sum of (Cryotherapy and Leep and Thermocoagulation)"&amp;CHAR(10),""),IF(H178&lt;&gt;SUM(H180,H181,H182)," * Total CXCA Screening positive for Age "&amp;H20&amp;" "&amp;H21&amp;" is Not equal to  the sum of (Cryotherapy and Leep and Thermocoagulation)"&amp;CHAR(10),""),IF(I178&lt;&gt;SUM(I180,I181,I182)," * Total CXCA Screening positive for Age "&amp;H20&amp;" "&amp;I21&amp;" is Not equal to  the sum of (Cryotherapy and Leep and Thermocoagulation)"&amp;CHAR(10),""),IF(J178&lt;&gt;SUM(J180,J181,J182)," * Total CXCA Screening positive for Age "&amp;J20&amp;" "&amp;J21&amp;" is Not equal to  the sum of (Cryotherapy and Leep and Thermocoagulation)"&amp;CHAR(10),""),IF(K178&lt;&gt;SUM(K180,K181,K182)," * Total CXCA Screening positive for Age "&amp;J20&amp;" "&amp;K21&amp;" is Not equal to  the sum of (Cryotherapy and Leep and Thermocoagulation)"&amp;CHAR(10),""),IF(L178&lt;&gt;SUM(L180,L181,L182)," * Total CXCA Screening positive for Age "&amp;L20&amp;" "&amp;L21&amp;" is Not equal to  the sum of (Cryotherapy and Leep and Thermocoagulation)"&amp;CHAR(10),""),IF(M178&lt;&gt;SUM(M180,M181,M182)," * Total CXCA Screening positive for Age "&amp;L20&amp;" "&amp;M21&amp;" is Not equal to  the sum of (Cryotherapy and Leep and Thermocoagulation)"&amp;CHAR(10),""),IF(N178&lt;&gt;SUM(N180,N181,N182)," * Total CXCA Screening positive for Age "&amp;N20&amp;" "&amp;N21&amp;" is Not equal to  the sum of (Cryotherapy and Leep and Thermocoagulation)"&amp;CHAR(10),""),IF(O178&lt;&gt;SUM(O180,O181,O182)," * Total CXCA Screening positive for Age "&amp;N20&amp;" "&amp;O21&amp;" is Not equal to  the sum of (Cryotherapy and Leep and Thermocoagulation)"&amp;CHAR(10),""),IF(P178&lt;&gt;SUM(P180,P181,P182)," * Total CXCA Screening positive for Age "&amp;P20&amp;" "&amp;P21&amp;" is Not equal to  the sum of (Cryotherapy and Leep and Thermocoagulation)"&amp;CHAR(10),""),IF(Q178&lt;&gt;SUM(Q180,Q181,Q182)," * Total CXCA Screening positive for Age "&amp;P20&amp;" "&amp;Q21&amp;" is Not equal to  the sum of (Cryotherapy and Leep and Thermocoagulation)"&amp;CHAR(10),""),IF(R178&lt;&gt;SUM(R180,R181,R182)," * Total CXCA Screening positive for Age "&amp;R20&amp;" "&amp;R21&amp;" is Not equal to  the sum of (Cryotherapy and Leep and Thermocoagulation)"&amp;CHAR(10),""),IF(S178&lt;&gt;SUM(S180,S181,S182)," * Total CXCA Screening positive for Age "&amp;R20&amp;" "&amp;S21&amp;" is Not equal to  the sum of (Cryotherapy and Leep and Thermocoagulation)"&amp;CHAR(10),""),IF(T178&lt;&gt;SUM(T180,T181,T182)," * Total CXCA Screening positive for Age "&amp;T20&amp;" "&amp;T21&amp;" is Not equal to  the sum of (Cryotherapy and Leep and Thermocoagulation)"&amp;CHAR(10),""),IF(U178&lt;&gt;SUM(U180,U181,U182)," * Total CXCA Screening positive for Age "&amp;T20&amp;" "&amp;U21&amp;" is Not equal to  the sum of (Cryotherapy and Leep and Thermocoagulation)"&amp;CHAR(10),""),IF(V178&lt;&gt;SUM(V180,V181,V182)," * Total CXCA Screening positive for Age "&amp;V20&amp;" "&amp;V21&amp;" is Not equal to  the sum of (Cryotherapy and Leep and Thermocoagulation)"&amp;CHAR(10),""),IF(W178&lt;&gt;SUM(W180,W181,W182)," * Total CXCA Screening positive for Age "&amp;V20&amp;" "&amp;W21&amp;" is Not equal to  the sum of (Cryotherapy and Leep and Thermocoagulation)"&amp;CHAR(10),""),IF(X178&lt;&gt;SUM(X180,X181,X182)," * Total CXCA Screening positive for Age "&amp;X20&amp;" "&amp;X21&amp;" is Not equal to  the sum of (Cryotherapy and Leep and Thermocoagulation)"&amp;CHAR(10),""),IF(Y178&lt;&gt;SUM(Y180,Y181,Y182)," * Total CXCA Screening positive for Age "&amp;X20&amp;" "&amp;Y21&amp;" is Not equal to  the sum of (Cryotherapy and Leep and Thermocoagulation)"&amp;CHAR(10),""),IF(Z178&lt;&gt;SUM(Z180,Z181,Z182)," * Total CXCA Screening positive for Age "&amp;Z20&amp;" "&amp;Z21&amp;" is Not equal to  the sum of (Cryotherapy and Leep and Thermocoagulation)"&amp;CHAR(10),""),IF(AA178&lt;&gt;SUM(AA180,AA181,AA182)," * Total CXCA Screening positive for Age "&amp;Z20&amp;" "&amp;AA21&amp;" is Not equal to  the sum of (Cryotherapy and Leep and Thermocoagulation)"&amp;CHAR(10),""))</f>
        <v/>
      </c>
      <c r="AL176" s="652"/>
      <c r="AM176" s="32"/>
      <c r="AN176" s="612"/>
      <c r="AO176" s="14">
        <v>124</v>
      </c>
      <c r="AP176" s="76"/>
      <c r="AQ176" s="77"/>
    </row>
    <row r="177" spans="1:43" ht="25.5" x14ac:dyDescent="0.75">
      <c r="A177" s="635"/>
      <c r="B177" s="78" t="s">
        <v>673</v>
      </c>
      <c r="C177" s="899" t="s">
        <v>239</v>
      </c>
      <c r="D177" s="79"/>
      <c r="E177" s="80"/>
      <c r="F177" s="80"/>
      <c r="G177" s="80"/>
      <c r="H177" s="80"/>
      <c r="I177" s="80"/>
      <c r="J177" s="80"/>
      <c r="K177" s="80"/>
      <c r="L177" s="80"/>
      <c r="M177" s="81"/>
      <c r="N177" s="80"/>
      <c r="O177" s="81"/>
      <c r="P177" s="80"/>
      <c r="Q177" s="81"/>
      <c r="R177" s="80"/>
      <c r="S177" s="81"/>
      <c r="T177" s="80"/>
      <c r="U177" s="81"/>
      <c r="V177" s="80"/>
      <c r="W177" s="81"/>
      <c r="X177" s="171"/>
      <c r="Y177" s="81"/>
      <c r="Z177" s="171"/>
      <c r="AA177" s="341"/>
      <c r="AB177" s="413"/>
      <c r="AC177" s="380"/>
      <c r="AD177" s="380"/>
      <c r="AE177" s="380"/>
      <c r="AF177" s="380"/>
      <c r="AG177" s="380"/>
      <c r="AH177" s="380"/>
      <c r="AI177" s="336"/>
      <c r="AJ177" s="185">
        <f t="shared" si="24"/>
        <v>0</v>
      </c>
      <c r="AK177" s="122"/>
      <c r="AL177" s="652"/>
      <c r="AM177" s="32"/>
      <c r="AN177" s="612"/>
      <c r="AO177" s="14">
        <v>125</v>
      </c>
      <c r="AP177" s="76"/>
      <c r="AQ177" s="77"/>
    </row>
    <row r="178" spans="1:43" ht="25.5" x14ac:dyDescent="0.75">
      <c r="A178" s="635"/>
      <c r="B178" s="172" t="s">
        <v>866</v>
      </c>
      <c r="C178" s="899" t="s">
        <v>868</v>
      </c>
      <c r="D178" s="79"/>
      <c r="E178" s="80"/>
      <c r="F178" s="80"/>
      <c r="G178" s="80"/>
      <c r="H178" s="80"/>
      <c r="I178" s="80"/>
      <c r="J178" s="80"/>
      <c r="K178" s="80"/>
      <c r="L178" s="80"/>
      <c r="M178" s="173">
        <f>M177+M176</f>
        <v>0</v>
      </c>
      <c r="N178" s="174"/>
      <c r="O178" s="173">
        <f>O177+O176</f>
        <v>0</v>
      </c>
      <c r="P178" s="80"/>
      <c r="Q178" s="173">
        <f>Q177+Q176</f>
        <v>0</v>
      </c>
      <c r="R178" s="80"/>
      <c r="S178" s="173">
        <f>S177+S176</f>
        <v>0</v>
      </c>
      <c r="T178" s="80"/>
      <c r="U178" s="173">
        <f>U177+U176</f>
        <v>0</v>
      </c>
      <c r="V178" s="80"/>
      <c r="W178" s="173">
        <f>W177+W176</f>
        <v>0</v>
      </c>
      <c r="X178" s="171"/>
      <c r="Y178" s="173">
        <f>Y177+Y176</f>
        <v>0</v>
      </c>
      <c r="Z178" s="171"/>
      <c r="AA178" s="363">
        <f>AA177+AA176</f>
        <v>0</v>
      </c>
      <c r="AB178" s="413"/>
      <c r="AC178" s="380"/>
      <c r="AD178" s="380"/>
      <c r="AE178" s="380"/>
      <c r="AF178" s="380"/>
      <c r="AG178" s="380"/>
      <c r="AH178" s="380"/>
      <c r="AI178" s="336"/>
      <c r="AJ178" s="185">
        <f t="shared" si="24"/>
        <v>0</v>
      </c>
      <c r="AK178" s="122"/>
      <c r="AL178" s="652"/>
      <c r="AM178" s="32"/>
      <c r="AN178" s="612"/>
      <c r="AO178" s="14">
        <v>126</v>
      </c>
      <c r="AP178" s="76"/>
      <c r="AQ178" s="77"/>
    </row>
    <row r="179" spans="1:43" ht="25.5" x14ac:dyDescent="0.75">
      <c r="A179" s="635"/>
      <c r="B179" s="175" t="s">
        <v>1006</v>
      </c>
      <c r="C179" s="899" t="s">
        <v>1005</v>
      </c>
      <c r="D179" s="79"/>
      <c r="E179" s="80"/>
      <c r="F179" s="80"/>
      <c r="G179" s="80"/>
      <c r="H179" s="80"/>
      <c r="I179" s="80"/>
      <c r="J179" s="80"/>
      <c r="K179" s="80"/>
      <c r="L179" s="80"/>
      <c r="M179" s="176"/>
      <c r="N179" s="174"/>
      <c r="O179" s="176"/>
      <c r="P179" s="80"/>
      <c r="Q179" s="176"/>
      <c r="R179" s="80"/>
      <c r="S179" s="176"/>
      <c r="T179" s="80"/>
      <c r="U179" s="176"/>
      <c r="V179" s="80"/>
      <c r="W179" s="176"/>
      <c r="X179" s="171"/>
      <c r="Y179" s="176"/>
      <c r="Z179" s="171"/>
      <c r="AA179" s="364"/>
      <c r="AB179" s="413"/>
      <c r="AC179" s="380"/>
      <c r="AD179" s="380"/>
      <c r="AE179" s="380"/>
      <c r="AF179" s="380"/>
      <c r="AG179" s="380"/>
      <c r="AH179" s="380"/>
      <c r="AI179" s="336"/>
      <c r="AJ179" s="185"/>
      <c r="AK179" s="122"/>
      <c r="AL179" s="652"/>
      <c r="AM179" s="32"/>
      <c r="AN179" s="612"/>
      <c r="AO179" s="14">
        <v>127</v>
      </c>
      <c r="AP179" s="76"/>
      <c r="AQ179" s="77"/>
    </row>
    <row r="180" spans="1:43" ht="25.5" x14ac:dyDescent="0.75">
      <c r="A180" s="635"/>
      <c r="B180" s="78" t="s">
        <v>674</v>
      </c>
      <c r="C180" s="899" t="s">
        <v>240</v>
      </c>
      <c r="D180" s="79"/>
      <c r="E180" s="80"/>
      <c r="F180" s="80"/>
      <c r="G180" s="80"/>
      <c r="H180" s="80"/>
      <c r="I180" s="80"/>
      <c r="J180" s="80"/>
      <c r="K180" s="80"/>
      <c r="L180" s="80"/>
      <c r="M180" s="81"/>
      <c r="N180" s="80"/>
      <c r="O180" s="81"/>
      <c r="P180" s="80"/>
      <c r="Q180" s="81"/>
      <c r="R180" s="80"/>
      <c r="S180" s="81"/>
      <c r="T180" s="80"/>
      <c r="U180" s="81"/>
      <c r="V180" s="80"/>
      <c r="W180" s="81"/>
      <c r="X180" s="171"/>
      <c r="Y180" s="81"/>
      <c r="Z180" s="171"/>
      <c r="AA180" s="341"/>
      <c r="AB180" s="413"/>
      <c r="AC180" s="380"/>
      <c r="AD180" s="380"/>
      <c r="AE180" s="380"/>
      <c r="AF180" s="380"/>
      <c r="AG180" s="380"/>
      <c r="AH180" s="380"/>
      <c r="AI180" s="336"/>
      <c r="AJ180" s="185">
        <f t="shared" si="24"/>
        <v>0</v>
      </c>
      <c r="AK180" s="122"/>
      <c r="AL180" s="652"/>
      <c r="AM180" s="32"/>
      <c r="AN180" s="612"/>
      <c r="AO180" s="14">
        <v>128</v>
      </c>
      <c r="AP180" s="76"/>
      <c r="AQ180" s="77"/>
    </row>
    <row r="181" spans="1:43" ht="25.5" x14ac:dyDescent="0.75">
      <c r="A181" s="635"/>
      <c r="B181" s="78" t="s">
        <v>675</v>
      </c>
      <c r="C181" s="899" t="s">
        <v>362</v>
      </c>
      <c r="D181" s="79"/>
      <c r="E181" s="80"/>
      <c r="F181" s="80"/>
      <c r="G181" s="80"/>
      <c r="H181" s="80"/>
      <c r="I181" s="80"/>
      <c r="J181" s="80"/>
      <c r="K181" s="80"/>
      <c r="L181" s="80"/>
      <c r="M181" s="81"/>
      <c r="N181" s="80"/>
      <c r="O181" s="81"/>
      <c r="P181" s="80"/>
      <c r="Q181" s="81"/>
      <c r="R181" s="80"/>
      <c r="S181" s="81"/>
      <c r="T181" s="80"/>
      <c r="U181" s="81"/>
      <c r="V181" s="80"/>
      <c r="W181" s="81"/>
      <c r="X181" s="171"/>
      <c r="Y181" s="81"/>
      <c r="Z181" s="171"/>
      <c r="AA181" s="341"/>
      <c r="AB181" s="413"/>
      <c r="AC181" s="380"/>
      <c r="AD181" s="380"/>
      <c r="AE181" s="380"/>
      <c r="AF181" s="380"/>
      <c r="AG181" s="380"/>
      <c r="AH181" s="380"/>
      <c r="AI181" s="336"/>
      <c r="AJ181" s="185">
        <f t="shared" si="24"/>
        <v>0</v>
      </c>
      <c r="AK181" s="122"/>
      <c r="AL181" s="652"/>
      <c r="AM181" s="32"/>
      <c r="AN181" s="612"/>
      <c r="AO181" s="14">
        <v>129</v>
      </c>
      <c r="AP181" s="76"/>
      <c r="AQ181" s="77"/>
    </row>
    <row r="182" spans="1:43" ht="25.9" thickBot="1" x14ac:dyDescent="0.8">
      <c r="A182" s="586"/>
      <c r="B182" s="89" t="s">
        <v>676</v>
      </c>
      <c r="C182" s="901" t="s">
        <v>242</v>
      </c>
      <c r="D182" s="106"/>
      <c r="E182" s="105"/>
      <c r="F182" s="105"/>
      <c r="G182" s="105"/>
      <c r="H182" s="105"/>
      <c r="I182" s="105"/>
      <c r="J182" s="105"/>
      <c r="K182" s="105"/>
      <c r="L182" s="105"/>
      <c r="M182" s="92"/>
      <c r="N182" s="105"/>
      <c r="O182" s="92"/>
      <c r="P182" s="105"/>
      <c r="Q182" s="92"/>
      <c r="R182" s="105"/>
      <c r="S182" s="92"/>
      <c r="T182" s="105"/>
      <c r="U182" s="92"/>
      <c r="V182" s="105"/>
      <c r="W182" s="92"/>
      <c r="X182" s="177"/>
      <c r="Y182" s="92"/>
      <c r="Z182" s="177"/>
      <c r="AA182" s="343"/>
      <c r="AB182" s="413"/>
      <c r="AC182" s="380"/>
      <c r="AD182" s="380"/>
      <c r="AE182" s="380"/>
      <c r="AF182" s="380"/>
      <c r="AG182" s="380"/>
      <c r="AH182" s="380"/>
      <c r="AI182" s="336"/>
      <c r="AJ182" s="204">
        <f t="shared" si="24"/>
        <v>0</v>
      </c>
      <c r="AK182" s="122"/>
      <c r="AL182" s="652"/>
      <c r="AM182" s="32"/>
      <c r="AN182" s="612"/>
      <c r="AO182" s="14">
        <v>130</v>
      </c>
      <c r="AP182" s="76"/>
      <c r="AQ182" s="77"/>
    </row>
    <row r="183" spans="1:43" ht="25.5" x14ac:dyDescent="0.75">
      <c r="A183" s="585" t="s">
        <v>25</v>
      </c>
      <c r="B183" s="94" t="s">
        <v>672</v>
      </c>
      <c r="C183" s="898" t="s">
        <v>363</v>
      </c>
      <c r="D183" s="101"/>
      <c r="E183" s="102"/>
      <c r="F183" s="102"/>
      <c r="G183" s="102"/>
      <c r="H183" s="102"/>
      <c r="I183" s="102"/>
      <c r="J183" s="102"/>
      <c r="K183" s="102"/>
      <c r="L183" s="102"/>
      <c r="M183" s="97"/>
      <c r="N183" s="102"/>
      <c r="O183" s="97"/>
      <c r="P183" s="102"/>
      <c r="Q183" s="97"/>
      <c r="R183" s="102"/>
      <c r="S183" s="97"/>
      <c r="T183" s="102"/>
      <c r="U183" s="97"/>
      <c r="V183" s="102"/>
      <c r="W183" s="97"/>
      <c r="X183" s="178"/>
      <c r="Y183" s="97"/>
      <c r="Z183" s="178"/>
      <c r="AA183" s="344"/>
      <c r="AB183" s="413"/>
      <c r="AC183" s="380"/>
      <c r="AD183" s="380"/>
      <c r="AE183" s="380"/>
      <c r="AF183" s="380"/>
      <c r="AG183" s="380"/>
      <c r="AH183" s="380"/>
      <c r="AI183" s="336"/>
      <c r="AJ183" s="200">
        <f t="shared" si="24"/>
        <v>0</v>
      </c>
      <c r="AK183" s="122"/>
      <c r="AL183" s="652"/>
      <c r="AM183" s="32"/>
      <c r="AN183" s="612"/>
      <c r="AO183" s="14">
        <v>131</v>
      </c>
      <c r="AP183" s="76"/>
      <c r="AQ183" s="77"/>
    </row>
    <row r="184" spans="1:43" ht="25.5" x14ac:dyDescent="0.75">
      <c r="A184" s="635"/>
      <c r="B184" s="78" t="s">
        <v>152</v>
      </c>
      <c r="C184" s="899" t="s">
        <v>364</v>
      </c>
      <c r="D184" s="79"/>
      <c r="E184" s="80"/>
      <c r="F184" s="80"/>
      <c r="G184" s="80"/>
      <c r="H184" s="80"/>
      <c r="I184" s="80"/>
      <c r="J184" s="80"/>
      <c r="K184" s="80"/>
      <c r="L184" s="80"/>
      <c r="M184" s="81"/>
      <c r="N184" s="80"/>
      <c r="O184" s="81"/>
      <c r="P184" s="80"/>
      <c r="Q184" s="81"/>
      <c r="R184" s="80"/>
      <c r="S184" s="81"/>
      <c r="T184" s="80"/>
      <c r="U184" s="81"/>
      <c r="V184" s="80"/>
      <c r="W184" s="81"/>
      <c r="X184" s="171"/>
      <c r="Y184" s="81"/>
      <c r="Z184" s="171"/>
      <c r="AA184" s="341"/>
      <c r="AB184" s="413"/>
      <c r="AC184" s="380"/>
      <c r="AD184" s="380"/>
      <c r="AE184" s="380"/>
      <c r="AF184" s="380"/>
      <c r="AG184" s="380"/>
      <c r="AH184" s="380"/>
      <c r="AI184" s="336"/>
      <c r="AJ184" s="185">
        <f t="shared" si="24"/>
        <v>0</v>
      </c>
      <c r="AK184" s="122" t="str">
        <f>CONCATENATE(IF(D186&lt;&gt;SUM(D188,D189,D190)," Total CXCA Screening positive for Age "&amp;D20&amp;" "&amp;D21&amp;" is not equal to the sum of (Cryotherapy and Leep and Thermocoagulation)"&amp;CHAR(10),""),IF(E186&lt;&gt;SUM(E188,E189,E190)," Total CXCA Screening positive for Age "&amp;D20&amp;" "&amp;E21&amp;" is not equal to the sum of (Cryotherapy and Leep and Thermocoagulation)"&amp;CHAR(10),""),IF(F186&lt;&gt;SUM(F188,F189,F190)," Total CXCA Screening positive for Age "&amp;F20&amp;" "&amp;F21&amp;" is not equal to the sum of (Cryotherapy and Leep and Thermocoagulation)"&amp;CHAR(10),""),IF(G186&lt;&gt;SUM(G188,G189,G190)," Total CXCA Screening positive for Age "&amp;F20&amp;" "&amp;G21&amp;" is not equal to the sum of (Cryotherapy and Leep and Thermocoagulation)"&amp;CHAR(10),""),IF(H186&lt;&gt;SUM(H188,H189,H190)," Total CXCA Screening positive for Age "&amp;H20&amp;" "&amp;H21&amp;" is not equal to the sum of (Cryotherapy and Leep and Thermocoagulation)"&amp;CHAR(10),""),IF(I186&lt;&gt;SUM(I188,I189,I190)," Total CXCA Screening positive for Age "&amp;H20&amp;" "&amp;I21&amp;" is not equal to the sum of (Cryotherapy and Leep and Thermocoagulation)"&amp;CHAR(10),""),IF(J186&lt;&gt;SUM(J188,J189,J190)," Total CXCA Screening positive for Age "&amp;J20&amp;" "&amp;J21&amp;" is not equal to the sum of (Cryotherapy and Leep and Thermocoagulation)"&amp;CHAR(10),""),IF(K186&lt;&gt;SUM(K188,K189,K190)," Total CXCA Screening positive for Age "&amp;J20&amp;" "&amp;K21&amp;" is not equal to the sum of (Cryotherapy and Leep and Thermocoagulation)"&amp;CHAR(10),""),IF(L186&lt;&gt;SUM(L188,L189,L190)," Total CXCA Screening positive for Age "&amp;L20&amp;" "&amp;L21&amp;" is not equal to the sum of (Cryotherapy and Leep and Thermocoagulation)"&amp;CHAR(10),""),IF(M186&lt;&gt;SUM(M188,M189,M190)," Total CXCA Screening positive for Age "&amp;L20&amp;" "&amp;M21&amp;" is not equal to the sum of (Cryotherapy and Leep and Thermocoagulation)"&amp;CHAR(10),""),IF(N186&lt;&gt;SUM(N188,N189,N190)," Total CXCA Screening positive for Age "&amp;N20&amp;" "&amp;N21&amp;" is not equal to the sum of (Cryotherapy and Leep and Thermocoagulation)"&amp;CHAR(10),""),IF(O186&lt;&gt;SUM(O188,O189,O190)," Total CXCA Screening positive for Age "&amp;N20&amp;" "&amp;O21&amp;" is not equal to the sum of (Cryotherapy and Leep and Thermocoagulation)"&amp;CHAR(10),""),IF(P186&lt;&gt;SUM(P188,P189,P190)," Total CXCA Screening positive for Age "&amp;P20&amp;" "&amp;P21&amp;" is not equal to the sum of (Cryotherapy and Leep and Thermocoagulation)"&amp;CHAR(10),""),IF(Q186&lt;&gt;SUM(Q188,Q189,Q190)," Total CXCA Screening positive for Age "&amp;P20&amp;" "&amp;Q21&amp;" is not equal to the sum of (Cryotherapy and Leep and Thermocoagulation)"&amp;CHAR(10),""),IF(R186&lt;&gt;SUM(R188,R189,R190)," Total CXCA Screening positive for Age "&amp;R20&amp;" "&amp;R21&amp;" is not equal to the sum of (Cryotherapy and Leep and Thermocoagulation)"&amp;CHAR(10),""),IF(S186&lt;&gt;SUM(S188,S189,S190)," Total CXCA Screening positive for Age "&amp;R20&amp;" "&amp;S21&amp;" is not equal to the sum of (Cryotherapy and Leep and Thermocoagulation)"&amp;CHAR(10),""),IF(T186&lt;&gt;SUM(T188,T189,T190)," Total CXCA Screening positive for Age "&amp;T20&amp;" "&amp;T21&amp;" is not equal to the sum of (Cryotherapy and Leep and Thermocoagulation)"&amp;CHAR(10),""),IF(U186&lt;&gt;SUM(U188,U189,U190)," Total CXCA Screening positive for Age "&amp;T20&amp;" "&amp;U21&amp;" is not equal to the sum of (Cryotherapy and Leep and Thermocoagulation)"&amp;CHAR(10),""),IF(V186&lt;&gt;SUM(V188,V189,V190)," Total CXCA Screening positive for Age "&amp;V20&amp;" "&amp;V21&amp;" is not equal to the sum of (Cryotherapy and Leep and Thermocoagulation)"&amp;CHAR(10),""),IF(W186&lt;&gt;SUM(W188,W189,W190)," Total CXCA Screening positive for Age "&amp;V20&amp;" "&amp;W21&amp;" is not equal to the sum of (Cryotherapy and Leep and Thermocoagulation)"&amp;CHAR(10),""),IF(X186&lt;&gt;SUM(X188,X189,X190)," Total CXCA Screening positive for Age "&amp;X20&amp;" "&amp;X21&amp;" is not equal to the sum of (Cryotherapy and Leep and Thermocoagulation)"&amp;CHAR(10),""),IF(Y186&lt;&gt;SUM(Y188,Y189,Y190)," Total CXCA Screening positive for Age "&amp;X20&amp;" "&amp;Y21&amp;" is not equal to the sum of (Cryotherapy and Leep and Thermocoagulation)"&amp;CHAR(10),""),IF(Z186&lt;&gt;SUM(Z188,Z189,Z190)," Total CXCA Screening positive for Age "&amp;Z20&amp;" "&amp;Z21&amp;" is not equal to the sum of (Cryotherapy and Leep and Thermocoagulation)"&amp;CHAR(10),""),IF(AA186&lt;&gt;SUM(AA188,AA189,AA190)," Total CXCA Screening positive for Age "&amp;Z20&amp;" "&amp;AA21&amp;" is not equal to the sum of (Cryotherapy and Leep and Thermocoagulation)"&amp;CHAR(10),""))</f>
        <v/>
      </c>
      <c r="AL184" s="652"/>
      <c r="AM184" s="32"/>
      <c r="AN184" s="612"/>
      <c r="AO184" s="14">
        <v>132</v>
      </c>
      <c r="AP184" s="76"/>
      <c r="AQ184" s="77"/>
    </row>
    <row r="185" spans="1:43" ht="25.5" x14ac:dyDescent="0.75">
      <c r="A185" s="635"/>
      <c r="B185" s="78" t="s">
        <v>673</v>
      </c>
      <c r="C185" s="899" t="s">
        <v>365</v>
      </c>
      <c r="D185" s="79"/>
      <c r="E185" s="80"/>
      <c r="F185" s="80"/>
      <c r="G185" s="80"/>
      <c r="H185" s="80"/>
      <c r="I185" s="80"/>
      <c r="J185" s="80"/>
      <c r="K185" s="80"/>
      <c r="L185" s="80"/>
      <c r="M185" s="81"/>
      <c r="N185" s="80"/>
      <c r="O185" s="81"/>
      <c r="P185" s="80"/>
      <c r="Q185" s="81"/>
      <c r="R185" s="80"/>
      <c r="S185" s="81"/>
      <c r="T185" s="80"/>
      <c r="U185" s="81"/>
      <c r="V185" s="80"/>
      <c r="W185" s="81"/>
      <c r="X185" s="171"/>
      <c r="Y185" s="81"/>
      <c r="Z185" s="171"/>
      <c r="AA185" s="341"/>
      <c r="AB185" s="413"/>
      <c r="AC185" s="380"/>
      <c r="AD185" s="380"/>
      <c r="AE185" s="380"/>
      <c r="AF185" s="380"/>
      <c r="AG185" s="380"/>
      <c r="AH185" s="380"/>
      <c r="AI185" s="336"/>
      <c r="AJ185" s="185">
        <f t="shared" si="24"/>
        <v>0</v>
      </c>
      <c r="AK185" s="122"/>
      <c r="AL185" s="652"/>
      <c r="AM185" s="32"/>
      <c r="AN185" s="612"/>
      <c r="AO185" s="14">
        <v>133</v>
      </c>
      <c r="AP185" s="76"/>
      <c r="AQ185" s="77"/>
    </row>
    <row r="186" spans="1:43" ht="25.5" x14ac:dyDescent="0.75">
      <c r="A186" s="635"/>
      <c r="B186" s="172" t="s">
        <v>866</v>
      </c>
      <c r="C186" s="899" t="s">
        <v>869</v>
      </c>
      <c r="D186" s="79"/>
      <c r="E186" s="80"/>
      <c r="F186" s="80"/>
      <c r="G186" s="80"/>
      <c r="H186" s="80"/>
      <c r="I186" s="80"/>
      <c r="J186" s="80"/>
      <c r="K186" s="80"/>
      <c r="L186" s="80"/>
      <c r="M186" s="173">
        <f>M185+M184</f>
        <v>0</v>
      </c>
      <c r="N186" s="174"/>
      <c r="O186" s="173">
        <f>O185+O184</f>
        <v>0</v>
      </c>
      <c r="P186" s="80"/>
      <c r="Q186" s="173">
        <f>Q185+Q184</f>
        <v>0</v>
      </c>
      <c r="R186" s="80"/>
      <c r="S186" s="173">
        <f>S185+S184</f>
        <v>0</v>
      </c>
      <c r="T186" s="80"/>
      <c r="U186" s="173">
        <f>U185+U184</f>
        <v>0</v>
      </c>
      <c r="V186" s="80"/>
      <c r="W186" s="173">
        <f>W185+W184</f>
        <v>0</v>
      </c>
      <c r="X186" s="171"/>
      <c r="Y186" s="173">
        <f>Y185+Y184</f>
        <v>0</v>
      </c>
      <c r="Z186" s="171"/>
      <c r="AA186" s="363">
        <f>AA185+AA184</f>
        <v>0</v>
      </c>
      <c r="AB186" s="413"/>
      <c r="AC186" s="380"/>
      <c r="AD186" s="380"/>
      <c r="AE186" s="380"/>
      <c r="AF186" s="380"/>
      <c r="AG186" s="380"/>
      <c r="AH186" s="380"/>
      <c r="AI186" s="336"/>
      <c r="AJ186" s="185">
        <f t="shared" si="24"/>
        <v>0</v>
      </c>
      <c r="AK186" s="122"/>
      <c r="AL186" s="652"/>
      <c r="AM186" s="32"/>
      <c r="AN186" s="612"/>
      <c r="AO186" s="14">
        <v>134</v>
      </c>
      <c r="AP186" s="76"/>
      <c r="AQ186" s="77"/>
    </row>
    <row r="187" spans="1:43" ht="25.5" x14ac:dyDescent="0.75">
      <c r="A187" s="635"/>
      <c r="B187" s="175" t="s">
        <v>1006</v>
      </c>
      <c r="C187" s="899" t="s">
        <v>1004</v>
      </c>
      <c r="D187" s="79"/>
      <c r="E187" s="80"/>
      <c r="F187" s="80"/>
      <c r="G187" s="80"/>
      <c r="H187" s="80"/>
      <c r="I187" s="80"/>
      <c r="J187" s="80"/>
      <c r="K187" s="80"/>
      <c r="L187" s="80"/>
      <c r="M187" s="176"/>
      <c r="N187" s="174"/>
      <c r="O187" s="176"/>
      <c r="P187" s="80"/>
      <c r="Q187" s="176"/>
      <c r="R187" s="80"/>
      <c r="S187" s="176"/>
      <c r="T187" s="80"/>
      <c r="U187" s="176"/>
      <c r="V187" s="80"/>
      <c r="W187" s="176"/>
      <c r="X187" s="171"/>
      <c r="Y187" s="176"/>
      <c r="Z187" s="171"/>
      <c r="AA187" s="364"/>
      <c r="AB187" s="413"/>
      <c r="AC187" s="380"/>
      <c r="AD187" s="380"/>
      <c r="AE187" s="380"/>
      <c r="AF187" s="380"/>
      <c r="AG187" s="380"/>
      <c r="AH187" s="380"/>
      <c r="AI187" s="336"/>
      <c r="AJ187" s="185"/>
      <c r="AK187" s="122"/>
      <c r="AL187" s="652"/>
      <c r="AM187" s="32"/>
      <c r="AN187" s="612"/>
      <c r="AO187" s="14">
        <v>135</v>
      </c>
      <c r="AP187" s="76"/>
      <c r="AQ187" s="77"/>
    </row>
    <row r="188" spans="1:43" ht="25.5" x14ac:dyDescent="0.75">
      <c r="A188" s="635"/>
      <c r="B188" s="78" t="s">
        <v>674</v>
      </c>
      <c r="C188" s="899" t="s">
        <v>250</v>
      </c>
      <c r="D188" s="79"/>
      <c r="E188" s="80"/>
      <c r="F188" s="80"/>
      <c r="G188" s="80"/>
      <c r="H188" s="80"/>
      <c r="I188" s="80"/>
      <c r="J188" s="80"/>
      <c r="K188" s="80"/>
      <c r="L188" s="80"/>
      <c r="M188" s="81"/>
      <c r="N188" s="80"/>
      <c r="O188" s="81"/>
      <c r="P188" s="80"/>
      <c r="Q188" s="81"/>
      <c r="R188" s="80"/>
      <c r="S188" s="81"/>
      <c r="T188" s="80"/>
      <c r="U188" s="81"/>
      <c r="V188" s="80"/>
      <c r="W188" s="81"/>
      <c r="X188" s="171"/>
      <c r="Y188" s="81"/>
      <c r="Z188" s="171"/>
      <c r="AA188" s="341"/>
      <c r="AB188" s="413"/>
      <c r="AC188" s="380"/>
      <c r="AD188" s="380"/>
      <c r="AE188" s="380"/>
      <c r="AF188" s="380"/>
      <c r="AG188" s="380"/>
      <c r="AH188" s="380"/>
      <c r="AI188" s="336"/>
      <c r="AJ188" s="185">
        <f t="shared" si="24"/>
        <v>0</v>
      </c>
      <c r="AK188" s="122"/>
      <c r="AL188" s="652"/>
      <c r="AM188" s="32"/>
      <c r="AN188" s="612"/>
      <c r="AO188" s="14">
        <v>136</v>
      </c>
      <c r="AP188" s="76"/>
      <c r="AQ188" s="77"/>
    </row>
    <row r="189" spans="1:43" ht="25.5" x14ac:dyDescent="0.75">
      <c r="A189" s="635"/>
      <c r="B189" s="78" t="s">
        <v>675</v>
      </c>
      <c r="C189" s="899" t="s">
        <v>366</v>
      </c>
      <c r="D189" s="79"/>
      <c r="E189" s="80"/>
      <c r="F189" s="80"/>
      <c r="G189" s="80"/>
      <c r="H189" s="80"/>
      <c r="I189" s="80"/>
      <c r="J189" s="80"/>
      <c r="K189" s="80"/>
      <c r="L189" s="80"/>
      <c r="M189" s="81"/>
      <c r="N189" s="80"/>
      <c r="O189" s="81"/>
      <c r="P189" s="80"/>
      <c r="Q189" s="81"/>
      <c r="R189" s="80"/>
      <c r="S189" s="81"/>
      <c r="T189" s="80"/>
      <c r="U189" s="81"/>
      <c r="V189" s="80"/>
      <c r="W189" s="81"/>
      <c r="X189" s="171"/>
      <c r="Y189" s="81"/>
      <c r="Z189" s="171"/>
      <c r="AA189" s="341"/>
      <c r="AB189" s="413"/>
      <c r="AC189" s="380"/>
      <c r="AD189" s="380"/>
      <c r="AE189" s="380"/>
      <c r="AF189" s="380"/>
      <c r="AG189" s="380"/>
      <c r="AH189" s="380"/>
      <c r="AI189" s="336"/>
      <c r="AJ189" s="185">
        <f t="shared" si="24"/>
        <v>0</v>
      </c>
      <c r="AK189" s="122"/>
      <c r="AL189" s="652"/>
      <c r="AM189" s="32"/>
      <c r="AN189" s="612"/>
      <c r="AO189" s="14">
        <v>137</v>
      </c>
      <c r="AP189" s="76"/>
      <c r="AQ189" s="77"/>
    </row>
    <row r="190" spans="1:43" ht="25.9" thickBot="1" x14ac:dyDescent="0.8">
      <c r="A190" s="646"/>
      <c r="B190" s="124" t="s">
        <v>676</v>
      </c>
      <c r="C190" s="901" t="s">
        <v>367</v>
      </c>
      <c r="D190" s="144"/>
      <c r="E190" s="126"/>
      <c r="F190" s="126"/>
      <c r="G190" s="126"/>
      <c r="H190" s="126"/>
      <c r="I190" s="126"/>
      <c r="J190" s="126"/>
      <c r="K190" s="126"/>
      <c r="L190" s="126"/>
      <c r="M190" s="92"/>
      <c r="N190" s="105"/>
      <c r="O190" s="92"/>
      <c r="P190" s="105"/>
      <c r="Q190" s="92"/>
      <c r="R190" s="105"/>
      <c r="S190" s="92"/>
      <c r="T190" s="105"/>
      <c r="U190" s="92"/>
      <c r="V190" s="105"/>
      <c r="W190" s="92"/>
      <c r="X190" s="177"/>
      <c r="Y190" s="92"/>
      <c r="Z190" s="177"/>
      <c r="AA190" s="343"/>
      <c r="AB190" s="414"/>
      <c r="AC190" s="415"/>
      <c r="AD190" s="415"/>
      <c r="AE190" s="415"/>
      <c r="AF190" s="415"/>
      <c r="AG190" s="415"/>
      <c r="AH190" s="415"/>
      <c r="AI190" s="337"/>
      <c r="AJ190" s="418">
        <f t="shared" si="24"/>
        <v>0</v>
      </c>
      <c r="AK190" s="128"/>
      <c r="AL190" s="653"/>
      <c r="AM190" s="129"/>
      <c r="AN190" s="613"/>
      <c r="AO190" s="14">
        <v>138</v>
      </c>
      <c r="AP190" s="76"/>
      <c r="AQ190" s="77"/>
    </row>
    <row r="191" spans="1:43" ht="25.9" thickBot="1" x14ac:dyDescent="0.8">
      <c r="A191" s="640" t="s">
        <v>127</v>
      </c>
      <c r="B191" s="641"/>
      <c r="C191" s="641"/>
      <c r="D191" s="641"/>
      <c r="E191" s="641"/>
      <c r="F191" s="641"/>
      <c r="G191" s="641"/>
      <c r="H191" s="641"/>
      <c r="I191" s="641"/>
      <c r="J191" s="641"/>
      <c r="K191" s="641"/>
      <c r="L191" s="641"/>
      <c r="M191" s="641"/>
      <c r="N191" s="641"/>
      <c r="O191" s="641"/>
      <c r="P191" s="641"/>
      <c r="Q191" s="641"/>
      <c r="R191" s="641"/>
      <c r="S191" s="641"/>
      <c r="T191" s="641"/>
      <c r="U191" s="641"/>
      <c r="V191" s="641"/>
      <c r="W191" s="641"/>
      <c r="X191" s="641"/>
      <c r="Y191" s="641"/>
      <c r="Z191" s="641"/>
      <c r="AA191" s="641"/>
      <c r="AB191" s="737"/>
      <c r="AC191" s="737"/>
      <c r="AD191" s="737"/>
      <c r="AE191" s="737"/>
      <c r="AF191" s="737"/>
      <c r="AG191" s="737"/>
      <c r="AH191" s="737"/>
      <c r="AI191" s="737"/>
      <c r="AJ191" s="641"/>
      <c r="AK191" s="641"/>
      <c r="AL191" s="641"/>
      <c r="AM191" s="641"/>
      <c r="AN191" s="643"/>
      <c r="AO191" s="14">
        <v>139</v>
      </c>
      <c r="AP191" s="76"/>
      <c r="AQ191" s="77"/>
    </row>
    <row r="192" spans="1:43" ht="26.25" customHeight="1" x14ac:dyDescent="0.75">
      <c r="A192" s="617" t="s">
        <v>37</v>
      </c>
      <c r="B192" s="644" t="s">
        <v>346</v>
      </c>
      <c r="C192" s="897" t="s">
        <v>327</v>
      </c>
      <c r="D192" s="606" t="s">
        <v>0</v>
      </c>
      <c r="E192" s="606"/>
      <c r="F192" s="606" t="s">
        <v>1</v>
      </c>
      <c r="G192" s="606"/>
      <c r="H192" s="606" t="s">
        <v>2</v>
      </c>
      <c r="I192" s="606"/>
      <c r="J192" s="606" t="s">
        <v>3</v>
      </c>
      <c r="K192" s="606"/>
      <c r="L192" s="606" t="s">
        <v>4</v>
      </c>
      <c r="M192" s="606"/>
      <c r="N192" s="606" t="s">
        <v>5</v>
      </c>
      <c r="O192" s="606"/>
      <c r="P192" s="606" t="s">
        <v>6</v>
      </c>
      <c r="Q192" s="606"/>
      <c r="R192" s="606" t="s">
        <v>7</v>
      </c>
      <c r="S192" s="606"/>
      <c r="T192" s="606" t="s">
        <v>8</v>
      </c>
      <c r="U192" s="606"/>
      <c r="V192" s="606" t="s">
        <v>23</v>
      </c>
      <c r="W192" s="606"/>
      <c r="X192" s="606" t="s">
        <v>24</v>
      </c>
      <c r="Y192" s="606"/>
      <c r="Z192" s="606" t="s">
        <v>9</v>
      </c>
      <c r="AA192" s="624"/>
      <c r="AB192" s="625"/>
      <c r="AC192" s="626"/>
      <c r="AD192" s="626"/>
      <c r="AE192" s="626"/>
      <c r="AF192" s="626"/>
      <c r="AG192" s="626"/>
      <c r="AH192" s="626"/>
      <c r="AI192" s="627"/>
      <c r="AJ192" s="628" t="s">
        <v>19</v>
      </c>
      <c r="AK192" s="630" t="s">
        <v>380</v>
      </c>
      <c r="AL192" s="632" t="s">
        <v>386</v>
      </c>
      <c r="AM192" s="660" t="s">
        <v>387</v>
      </c>
      <c r="AN192" s="619" t="s">
        <v>387</v>
      </c>
      <c r="AO192" s="14">
        <v>140</v>
      </c>
      <c r="AP192" s="76"/>
      <c r="AQ192" s="77"/>
    </row>
    <row r="193" spans="1:43" ht="27" customHeight="1" thickBot="1" x14ac:dyDescent="0.8">
      <c r="A193" s="686"/>
      <c r="B193" s="773"/>
      <c r="C193" s="902"/>
      <c r="D193" s="315" t="s">
        <v>10</v>
      </c>
      <c r="E193" s="315" t="s">
        <v>11</v>
      </c>
      <c r="F193" s="315" t="s">
        <v>10</v>
      </c>
      <c r="G193" s="315" t="s">
        <v>11</v>
      </c>
      <c r="H193" s="315" t="s">
        <v>10</v>
      </c>
      <c r="I193" s="315" t="s">
        <v>11</v>
      </c>
      <c r="J193" s="315" t="s">
        <v>10</v>
      </c>
      <c r="K193" s="315" t="s">
        <v>11</v>
      </c>
      <c r="L193" s="315" t="s">
        <v>10</v>
      </c>
      <c r="M193" s="315" t="s">
        <v>11</v>
      </c>
      <c r="N193" s="315" t="s">
        <v>10</v>
      </c>
      <c r="O193" s="315" t="s">
        <v>11</v>
      </c>
      <c r="P193" s="315" t="s">
        <v>10</v>
      </c>
      <c r="Q193" s="315" t="s">
        <v>11</v>
      </c>
      <c r="R193" s="315" t="s">
        <v>10</v>
      </c>
      <c r="S193" s="315" t="s">
        <v>11</v>
      </c>
      <c r="T193" s="315" t="s">
        <v>10</v>
      </c>
      <c r="U193" s="315" t="s">
        <v>11</v>
      </c>
      <c r="V193" s="315" t="s">
        <v>10</v>
      </c>
      <c r="W193" s="315" t="s">
        <v>11</v>
      </c>
      <c r="X193" s="315" t="s">
        <v>10</v>
      </c>
      <c r="Y193" s="315" t="s">
        <v>11</v>
      </c>
      <c r="Z193" s="315" t="s">
        <v>10</v>
      </c>
      <c r="AA193" s="875" t="s">
        <v>11</v>
      </c>
      <c r="AB193" s="397"/>
      <c r="AC193" s="398"/>
      <c r="AD193" s="398"/>
      <c r="AE193" s="398"/>
      <c r="AF193" s="398"/>
      <c r="AG193" s="398"/>
      <c r="AH193" s="398"/>
      <c r="AI193" s="399"/>
      <c r="AJ193" s="876"/>
      <c r="AK193" s="631"/>
      <c r="AL193" s="639"/>
      <c r="AM193" s="660"/>
      <c r="AN193" s="620"/>
      <c r="AO193" s="14">
        <v>141</v>
      </c>
      <c r="AP193" s="76"/>
      <c r="AQ193" s="77"/>
    </row>
    <row r="194" spans="1:43" ht="30.75" hidden="1" customHeight="1" x14ac:dyDescent="0.8">
      <c r="A194" s="701" t="s">
        <v>959</v>
      </c>
      <c r="B194" s="179" t="s">
        <v>677</v>
      </c>
      <c r="C194" s="896" t="s">
        <v>522</v>
      </c>
      <c r="D194" s="180">
        <f>D8</f>
        <v>0</v>
      </c>
      <c r="E194" s="180">
        <f>E8</f>
        <v>0</v>
      </c>
      <c r="F194" s="180">
        <f>F8</f>
        <v>0</v>
      </c>
      <c r="G194" s="180">
        <f>G8</f>
        <v>0</v>
      </c>
      <c r="H194" s="180">
        <f>H8</f>
        <v>0</v>
      </c>
      <c r="I194" s="180">
        <f>I8</f>
        <v>0</v>
      </c>
      <c r="J194" s="180">
        <f>J8</f>
        <v>0</v>
      </c>
      <c r="K194" s="180">
        <f>K8</f>
        <v>0</v>
      </c>
      <c r="L194" s="180">
        <f>L8</f>
        <v>0</v>
      </c>
      <c r="M194" s="180">
        <f>M8</f>
        <v>0</v>
      </c>
      <c r="N194" s="180">
        <f>N8</f>
        <v>0</v>
      </c>
      <c r="O194" s="180">
        <f>O8</f>
        <v>0</v>
      </c>
      <c r="P194" s="180">
        <f>P8</f>
        <v>0</v>
      </c>
      <c r="Q194" s="180">
        <f>Q8</f>
        <v>0</v>
      </c>
      <c r="R194" s="180">
        <f>R8</f>
        <v>0</v>
      </c>
      <c r="S194" s="180">
        <f>S8</f>
        <v>0</v>
      </c>
      <c r="T194" s="180">
        <f>T8</f>
        <v>0</v>
      </c>
      <c r="U194" s="180">
        <f>U8</f>
        <v>0</v>
      </c>
      <c r="V194" s="180">
        <f>V8</f>
        <v>0</v>
      </c>
      <c r="W194" s="180">
        <f>W8</f>
        <v>0</v>
      </c>
      <c r="X194" s="180">
        <f>X8</f>
        <v>0</v>
      </c>
      <c r="Y194" s="180">
        <f>Y8</f>
        <v>0</v>
      </c>
      <c r="Z194" s="180">
        <f>Z8</f>
        <v>0</v>
      </c>
      <c r="AA194" s="180">
        <f>AA8</f>
        <v>0</v>
      </c>
      <c r="AB194" s="877"/>
      <c r="AC194" s="877"/>
      <c r="AD194" s="877"/>
      <c r="AE194" s="877"/>
      <c r="AF194" s="877"/>
      <c r="AG194" s="877"/>
      <c r="AH194" s="877"/>
      <c r="AI194" s="877"/>
      <c r="AJ194" s="180">
        <f>AJ8</f>
        <v>0</v>
      </c>
      <c r="AK194" s="31" t="str">
        <f>CONCATENATE(IF(D195&gt;D194," * No Screened for GBV "&amp;$D$20&amp;" "&amp;$D$21&amp;" is more than Clients Seen at OPD"&amp;CHAR(10),""),IF(E195&gt;E194," * No Screened For GBV "&amp;$D$20&amp;" "&amp;$E$21&amp;" is more than Clients Seen at OPD"&amp;CHAR(10),""),IF(F195&gt;F194," * No Screened For GBV "&amp;$F$20&amp;" "&amp;$F$21&amp;" is more than Clients Seen at OPD"&amp;CHAR(10),""),IF(G195&gt;G194," * No Screened For GBV "&amp;$F$20&amp;" "&amp;$G$21&amp;" is more than Clients Seen at OPD"&amp;CHAR(10),""),IF(H195&gt;H194," * No Screened For GBV "&amp;$H$20&amp;" "&amp;$H$21&amp;" is more than Clients Seen at OPD"&amp;CHAR(10),""),IF(I195&gt;I194," * No Screened For GBV "&amp;$H$20&amp;" "&amp;$I$21&amp;" is more than Clients Seen at OPD"&amp;CHAR(10),""),IF(J195&gt;J194," * No Screened For GBV "&amp;$J$20&amp;" "&amp;$J$21&amp;" is more than Clients Seen at OPD"&amp;CHAR(10),""),IF(K195&gt;K194," * No Screened For GBV "&amp;$J$20&amp;" "&amp;$K$21&amp;" is more than Clients Seen at OPD"&amp;CHAR(10),""),IF(L195&gt;L194," * No Screened For GBV "&amp;$L$20&amp;" "&amp;$L$21&amp;" is more than Clients Seen at OPD"&amp;CHAR(10),""),IF(M195&gt;M194," * No Screened For GBV "&amp;$L$20&amp;" "&amp;$M$21&amp;" is more than Clients Seen at OPD"&amp;CHAR(10),""),IF(N195&gt;N194," * No Screened For GBV "&amp;$N$20&amp;" "&amp;$N$21&amp;" is more than Clients Seen at OPD"&amp;CHAR(10),""),IF(O195&gt;O194," * No Screened For GBV "&amp;$N$20&amp;" "&amp;$O$21&amp;" is more than Clients Seen at OPD"&amp;CHAR(10),""),IF(P195&gt;P194," * No Screened For GBV "&amp;$P$20&amp;" "&amp;$P$21&amp;" is more than Clients Seen at OPD"&amp;CHAR(10),""),IF(Q195&gt;Q194," * No Screened For GBV "&amp;$P$20&amp;" "&amp;$Q$21&amp;" is more than Clients Seen at OPD"&amp;CHAR(10),""),IF(R195&gt;R194," * No Screened For GBV "&amp;$R$20&amp;" "&amp;$R$21&amp;" is more than Clients Seen at OPD"&amp;CHAR(10),""),IF(S195&gt;S194," * No Screened For GBV "&amp;$R$20&amp;" "&amp;$S$21&amp;" is more than Clients Seen at OPD"&amp;CHAR(10),""),IF(T195&gt;T194," * No Screened For GBV "&amp;$T$20&amp;" "&amp;$T$21&amp;" is more than Clients Seen at OPD"&amp;CHAR(10),""),IF(U195&gt;U194," * No Screened For GBV "&amp;$T$20&amp;" "&amp;$U$21&amp;" is more than Clients Seen at OPD"&amp;CHAR(10),""),IF(V195&gt;V194," * No Screened For GBV "&amp;$V$20&amp;" "&amp;$V$21&amp;" is more than Clients Seen at OPD"&amp;CHAR(10),""),IF(W195&gt;W194," * No Screened For GBV "&amp;$V$20&amp;" "&amp;$W$21&amp;" is more than Clients Seen at OPD"&amp;CHAR(10),""),IF(X195&gt;X194," * No Screened For GBV "&amp;$X$20&amp;" "&amp;$X$21&amp;" is more than Clients Seen at OPD"&amp;CHAR(10),""),IF(Y195&gt;Y194," * No Screened For GBV "&amp;$X$20&amp;" "&amp;$Y$21&amp;" is more than Clients Seen at OPD"&amp;CHAR(10),""),IF(Z195&gt;Z194," * No Screened For GBV "&amp;$Z$20&amp;" "&amp;$Z$21&amp;" is more than Clients Seen at OPD"&amp;CHAR(10),""),IF(AA195&gt;AA194," * No Screened For GBV "&amp;$Z$20&amp;" "&amp;$AA$21&amp;" is more than Clients Seen at OPD"&amp;CHAR(10),""))</f>
        <v/>
      </c>
      <c r="AL194" s="621" t="str">
        <f>CONCATENATE(AK194,AK195,AK196,AK197,AK198,AK199,AK200,AK201,AK202)</f>
        <v/>
      </c>
      <c r="AM194" s="75"/>
      <c r="AN194" s="698" t="str">
        <f>CONCATENATE(AM194,AM231,AM232,AM233,AM234,AM235,AM236,AM237,AM238,AM239,AM240,AM241,AM242,AM243,AM244)</f>
        <v/>
      </c>
      <c r="AO194" s="14">
        <v>142</v>
      </c>
      <c r="AP194" s="76"/>
      <c r="AQ194" s="77"/>
    </row>
    <row r="195" spans="1:43" ht="25.9" hidden="1" thickBot="1" x14ac:dyDescent="0.8">
      <c r="A195" s="702"/>
      <c r="B195" s="181" t="s">
        <v>914</v>
      </c>
      <c r="C195" s="894" t="s">
        <v>523</v>
      </c>
      <c r="D195" s="18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c r="AA195" s="182"/>
      <c r="AB195" s="365"/>
      <c r="AC195" s="365"/>
      <c r="AD195" s="365"/>
      <c r="AE195" s="365"/>
      <c r="AF195" s="365"/>
      <c r="AG195" s="365"/>
      <c r="AH195" s="365"/>
      <c r="AI195" s="365"/>
      <c r="AJ195" s="30">
        <f>SUM(D195:AA195)</f>
        <v>0</v>
      </c>
      <c r="AK195" s="140"/>
      <c r="AL195" s="622"/>
      <c r="AM195" s="32"/>
      <c r="AN195" s="699"/>
      <c r="AO195" s="14">
        <v>143</v>
      </c>
      <c r="AP195" s="76"/>
      <c r="AQ195" s="77"/>
    </row>
    <row r="196" spans="1:43" ht="25.9" hidden="1" thickBot="1" x14ac:dyDescent="0.8">
      <c r="A196" s="702"/>
      <c r="B196" s="183" t="s">
        <v>918</v>
      </c>
      <c r="C196" s="894" t="s">
        <v>879</v>
      </c>
      <c r="D196" s="184">
        <f>D197+D199+D201+D202</f>
        <v>0</v>
      </c>
      <c r="E196" s="184">
        <f t="shared" ref="E196:AA196" si="25">E197+E199+E201+E202</f>
        <v>0</v>
      </c>
      <c r="F196" s="184">
        <f t="shared" si="25"/>
        <v>0</v>
      </c>
      <c r="G196" s="184">
        <f t="shared" si="25"/>
        <v>0</v>
      </c>
      <c r="H196" s="184">
        <f t="shared" si="25"/>
        <v>0</v>
      </c>
      <c r="I196" s="184">
        <f t="shared" si="25"/>
        <v>0</v>
      </c>
      <c r="J196" s="184">
        <f t="shared" si="25"/>
        <v>0</v>
      </c>
      <c r="K196" s="184">
        <f t="shared" si="25"/>
        <v>0</v>
      </c>
      <c r="L196" s="184">
        <f t="shared" si="25"/>
        <v>0</v>
      </c>
      <c r="M196" s="184">
        <f t="shared" si="25"/>
        <v>0</v>
      </c>
      <c r="N196" s="184">
        <f t="shared" si="25"/>
        <v>0</v>
      </c>
      <c r="O196" s="184">
        <f t="shared" si="25"/>
        <v>0</v>
      </c>
      <c r="P196" s="184">
        <f t="shared" si="25"/>
        <v>0</v>
      </c>
      <c r="Q196" s="184">
        <f t="shared" si="25"/>
        <v>0</v>
      </c>
      <c r="R196" s="184">
        <f t="shared" si="25"/>
        <v>0</v>
      </c>
      <c r="S196" s="184">
        <f t="shared" si="25"/>
        <v>0</v>
      </c>
      <c r="T196" s="184">
        <f t="shared" si="25"/>
        <v>0</v>
      </c>
      <c r="U196" s="184">
        <f t="shared" si="25"/>
        <v>0</v>
      </c>
      <c r="V196" s="184">
        <f t="shared" si="25"/>
        <v>0</v>
      </c>
      <c r="W196" s="184">
        <f t="shared" si="25"/>
        <v>0</v>
      </c>
      <c r="X196" s="184">
        <f t="shared" si="25"/>
        <v>0</v>
      </c>
      <c r="Y196" s="184">
        <f t="shared" si="25"/>
        <v>0</v>
      </c>
      <c r="Z196" s="184">
        <f t="shared" si="25"/>
        <v>0</v>
      </c>
      <c r="AA196" s="184">
        <f t="shared" si="25"/>
        <v>0</v>
      </c>
      <c r="AB196" s="366"/>
      <c r="AC196" s="366"/>
      <c r="AD196" s="366"/>
      <c r="AE196" s="366"/>
      <c r="AF196" s="366"/>
      <c r="AG196" s="366"/>
      <c r="AH196" s="366"/>
      <c r="AI196" s="366"/>
      <c r="AJ196" s="185">
        <f t="shared" ref="AJ196:AJ202" si="26">SUM(D196:AA196)</f>
        <v>0</v>
      </c>
      <c r="AK196" s="140"/>
      <c r="AL196" s="622"/>
      <c r="AM196" s="32"/>
      <c r="AN196" s="699"/>
      <c r="AO196" s="14">
        <v>144</v>
      </c>
      <c r="AP196" s="76"/>
      <c r="AQ196" s="77"/>
    </row>
    <row r="197" spans="1:43" ht="25.9" hidden="1" thickBot="1" x14ac:dyDescent="0.8">
      <c r="A197" s="702"/>
      <c r="B197" s="181" t="s">
        <v>870</v>
      </c>
      <c r="C197" s="894" t="s">
        <v>880</v>
      </c>
      <c r="D197" s="186"/>
      <c r="E197" s="186"/>
      <c r="F197" s="186"/>
      <c r="G197" s="186"/>
      <c r="H197" s="186"/>
      <c r="I197" s="186"/>
      <c r="J197" s="186"/>
      <c r="K197" s="186"/>
      <c r="L197" s="186"/>
      <c r="M197" s="186"/>
      <c r="N197" s="186"/>
      <c r="O197" s="186"/>
      <c r="P197" s="186"/>
      <c r="Q197" s="186"/>
      <c r="R197" s="186"/>
      <c r="S197" s="186"/>
      <c r="T197" s="186"/>
      <c r="U197" s="186"/>
      <c r="V197" s="186"/>
      <c r="W197" s="186"/>
      <c r="X197" s="186"/>
      <c r="Y197" s="186"/>
      <c r="Z197" s="186"/>
      <c r="AA197" s="186"/>
      <c r="AB197" s="367"/>
      <c r="AC197" s="367"/>
      <c r="AD197" s="367"/>
      <c r="AE197" s="367"/>
      <c r="AF197" s="367"/>
      <c r="AG197" s="367"/>
      <c r="AH197" s="367"/>
      <c r="AI197" s="367"/>
      <c r="AJ197" s="30">
        <f t="shared" si="26"/>
        <v>0</v>
      </c>
      <c r="AK197" s="31" t="str">
        <f>CONCATENATE(IF(D198&gt;D197," * OPD Sexual Violence Initiated Pep "&amp;$D$20&amp;" "&amp;$D$21&amp;" is more than OPD Sexual Violence Rape Survivors"&amp;CHAR(10),""),IF(E198&gt;E197," * OPD Sexual Violence Initiated Pep "&amp;$D$20&amp;" "&amp;$E$21&amp;" is more than OPD Sexual Violence Rape Survivors"&amp;CHAR(10),""),IF(F198&gt;F197," * OPD Sexual Violence Initiated Pep "&amp;$F$20&amp;" "&amp;$F$21&amp;" is more than OPD Sexual Violence Rape Survivors"&amp;CHAR(10),""),IF(G198&gt;G197," * OPD Sexual Violence Initiated Pep "&amp;$F$20&amp;" "&amp;$G$21&amp;" is more than OPD Sexual Violence Rape Survivors"&amp;CHAR(10),""),IF(H198&gt;H197," * OPD Sexual Violence Initiated Pep "&amp;$H$20&amp;" "&amp;$H$21&amp;" is more than OPD Sexual Violence Rape Survivors"&amp;CHAR(10),""),IF(I198&gt;I197," * OPD Sexual Violence Initiated Pep "&amp;$H$20&amp;" "&amp;$I$21&amp;" is more than OPD Sexual Violence Rape Survivors"&amp;CHAR(10),""),IF(J198&gt;J197," * OPD Sexual Violence Initiated Pep "&amp;$J$20&amp;" "&amp;$J$21&amp;" is more than OPD Sexual Violence Rape Survivors"&amp;CHAR(10),""),IF(K198&gt;K197," * OPD Sexual Violence Initiated Pep "&amp;$J$20&amp;" "&amp;$K$21&amp;" is more than OPD Sexual Violence Rape Survivors"&amp;CHAR(10),""),IF(L198&gt;L197," * OPD Sexual Violence Initiated Pep "&amp;$L$20&amp;" "&amp;$L$21&amp;" is more than OPD Sexual Violence Rape Survivors"&amp;CHAR(10),""),IF(M198&gt;M197," * OPD Sexual Violence Initiated Pep "&amp;$L$20&amp;" "&amp;$M$21&amp;" is more than OPD Sexual Violence Rape Survivors"&amp;CHAR(10),""),IF(N198&gt;N197," * OPD Sexual Violence Initiated Pep "&amp;$N$20&amp;" "&amp;$N$21&amp;" is more than OPD Sexual Violence Rape Survivors"&amp;CHAR(10),""),IF(O198&gt;O197," * OPD Sexual Violence Initiated Pep "&amp;$N$20&amp;" "&amp;$O$21&amp;" is more than OPD Sexual Violence Rape Survivors"&amp;CHAR(10),""),IF(P198&gt;P197," * OPD Sexual Violence Initiated Pep "&amp;$P$20&amp;" "&amp;$P$21&amp;" is more than OPD Sexual Violence Rape Survivors"&amp;CHAR(10),""),IF(Q198&gt;Q197," * OPD Sexual Violence Initiated Pep "&amp;$P$20&amp;" "&amp;$Q$21&amp;" is more than OPD Sexual Violence Rape Survivors"&amp;CHAR(10),""),IF(R198&gt;R197," * OPD Sexual Violence Initiated Pep "&amp;$R$20&amp;" "&amp;$R$21&amp;" is more than OPD Sexual Violence Rape Survivors"&amp;CHAR(10),""),IF(S198&gt;S197," * OPD Sexual Violence Initiated Pep "&amp;$R$20&amp;" "&amp;$S$21&amp;" is more than OPD Sexual Violence Rape Survivors"&amp;CHAR(10),""),IF(T198&gt;T197," * OPD Sexual Violence Initiated Pep "&amp;$T$20&amp;" "&amp;$T$21&amp;" is more than OPD Sexual Violence Rape Survivors"&amp;CHAR(10),""),IF(U198&gt;U197," * OPD Sexual Violence Initiated Pep "&amp;$T$20&amp;" "&amp;$U$21&amp;" is more than OPD Sexual Violence Rape Survivors"&amp;CHAR(10),""),IF(V198&gt;V197," * OPD Sexual Violence Initiated Pep "&amp;$V$20&amp;" "&amp;$V$21&amp;" is more than OPD Sexual Violence Rape Survivors"&amp;CHAR(10),""),IF(W198&gt;W197," * OPD Sexual Violence Initiated Pep "&amp;$V$20&amp;" "&amp;$W$21&amp;" is more than OPD Sexual Violence Rape Survivors"&amp;CHAR(10),""),IF(X198&gt;X197," * OPD Sexual Violence Initiated Pep "&amp;$X$20&amp;" "&amp;$X$21&amp;" is more than OPD Sexual Violence Rape Survivors"&amp;CHAR(10),""),IF(Y198&gt;Y197," * OPD Sexual Violence Initiated Pep "&amp;$X$20&amp;" "&amp;$Y$21&amp;" is more than OPD Sexual Violence Rape Survivors"&amp;CHAR(10),""),IF(Z198&gt;Z197," * OPD Sexual Violence Initiated Pep "&amp;$Z$20&amp;" "&amp;$Z$21&amp;" is more than OPD Sexual Violence Rape Survivors"&amp;CHAR(10),""),IF(AA198&gt;AA197," * OPD Sexual Violence Initiated Pep "&amp;$Z$20&amp;" "&amp;$AA$21&amp;" is more than OPD Sexual Violence Rape Survivors"&amp;CHAR(10),""))</f>
        <v/>
      </c>
      <c r="AL197" s="622"/>
      <c r="AM197" s="32"/>
      <c r="AN197" s="699"/>
      <c r="AO197" s="14">
        <v>145</v>
      </c>
      <c r="AP197" s="76"/>
      <c r="AQ197" s="77"/>
    </row>
    <row r="198" spans="1:43" ht="25.9" hidden="1" thickBot="1" x14ac:dyDescent="0.8">
      <c r="A198" s="702"/>
      <c r="B198" s="181" t="s">
        <v>871</v>
      </c>
      <c r="C198" s="894" t="s">
        <v>881</v>
      </c>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c r="AA198" s="187"/>
      <c r="AB198" s="367"/>
      <c r="AC198" s="367"/>
      <c r="AD198" s="367"/>
      <c r="AE198" s="367"/>
      <c r="AF198" s="367"/>
      <c r="AG198" s="367"/>
      <c r="AH198" s="367"/>
      <c r="AI198" s="367"/>
      <c r="AJ198" s="30">
        <f t="shared" si="26"/>
        <v>0</v>
      </c>
      <c r="AK198" s="140"/>
      <c r="AL198" s="622"/>
      <c r="AM198" s="32"/>
      <c r="AN198" s="699"/>
      <c r="AO198" s="14">
        <v>146</v>
      </c>
      <c r="AP198" s="76"/>
      <c r="AQ198" s="77"/>
    </row>
    <row r="199" spans="1:43" ht="25.9" hidden="1" thickBot="1" x14ac:dyDescent="0.8">
      <c r="A199" s="702"/>
      <c r="B199" s="181" t="s">
        <v>872</v>
      </c>
      <c r="C199" s="894" t="s">
        <v>882</v>
      </c>
      <c r="D199" s="186"/>
      <c r="E199" s="186"/>
      <c r="F199" s="186"/>
      <c r="G199" s="186"/>
      <c r="H199" s="186"/>
      <c r="I199" s="186"/>
      <c r="J199" s="186"/>
      <c r="K199" s="186"/>
      <c r="L199" s="186"/>
      <c r="M199" s="186"/>
      <c r="N199" s="186"/>
      <c r="O199" s="186"/>
      <c r="P199" s="186"/>
      <c r="Q199" s="186"/>
      <c r="R199" s="186"/>
      <c r="S199" s="186"/>
      <c r="T199" s="186"/>
      <c r="U199" s="186"/>
      <c r="V199" s="186"/>
      <c r="W199" s="186"/>
      <c r="X199" s="186"/>
      <c r="Y199" s="186"/>
      <c r="Z199" s="186"/>
      <c r="AA199" s="186"/>
      <c r="AB199" s="367"/>
      <c r="AC199" s="367"/>
      <c r="AD199" s="367"/>
      <c r="AE199" s="367"/>
      <c r="AF199" s="367"/>
      <c r="AG199" s="367"/>
      <c r="AH199" s="367"/>
      <c r="AI199" s="367"/>
      <c r="AJ199" s="30">
        <f t="shared" si="26"/>
        <v>0</v>
      </c>
      <c r="AK199" s="31" t="str">
        <f>CONCATENATE(IF(D200&gt;D199," * OPD  Physical Violence Initiated Pep "&amp;$D$20&amp;" "&amp;$D$21&amp;" is more than OPD Physical Violence Rape Survivors"&amp;CHAR(10),""),IF(E200&gt;E199," * OPD  Physical Violence Initiated Pep "&amp;$D$20&amp;" "&amp;$E$21&amp;" is more than OPD Physical Violence Rape Survivors"&amp;CHAR(10),""),IF(F200&gt;F199," * OPD  Physical Violence Initiated Pep "&amp;$F$20&amp;" "&amp;$F$21&amp;" is more than OPD Physical Violence Rape Survivors"&amp;CHAR(10),""),IF(G200&gt;G199," * OPD  Physical Violence Initiated Pep "&amp;$F$20&amp;" "&amp;$G$21&amp;" is more than OPD Physical Violence Rape Survivors"&amp;CHAR(10),""),IF(H200&gt;H199," * OPD  Physical Violence Initiated Pep "&amp;$H$20&amp;" "&amp;$H$21&amp;" is more than OPD Physical Violence Rape Survivors"&amp;CHAR(10),""),IF(I200&gt;I199," * OPD  Physical Violence Initiated Pep "&amp;$H$20&amp;" "&amp;$I$21&amp;" is more than OPD Physical Violence Rape Survivors"&amp;CHAR(10),""),IF(J200&gt;J199," * OPD  Physical Violence Initiated Pep "&amp;$J$20&amp;" "&amp;$J$21&amp;" is more than OPD Physical Violence Rape Survivors"&amp;CHAR(10),""),IF(K200&gt;K199," * OPD  Physical Violence Initiated Pep "&amp;$J$20&amp;" "&amp;$K$21&amp;" is more than OPD Physical Violence Rape Survivors"&amp;CHAR(10),""),IF(L200&gt;L199," * OPD  Physical Violence Initiated Pep "&amp;$L$20&amp;" "&amp;$L$21&amp;" is more than OPD Physical Violence Rape Survivors"&amp;CHAR(10),""),IF(M200&gt;M199," * OPD  Physical Violence Initiated Pep "&amp;$L$20&amp;" "&amp;$M$21&amp;" is more than OPD Physical Violence Rape Survivors"&amp;CHAR(10),""),IF(N200&gt;N199," * OPD  Physical Violence Initiated Pep "&amp;$N$20&amp;" "&amp;$N$21&amp;" is more than OPD Physical Violence Rape Survivors"&amp;CHAR(10),""),IF(O200&gt;O199," * OPD  Physical Violence Initiated Pep "&amp;$N$20&amp;" "&amp;$O$21&amp;" is more than OPD Physical Violence Rape Survivors"&amp;CHAR(10),""),IF(P200&gt;P199," * OPD  Physical Violence Initiated Pep "&amp;$P$20&amp;" "&amp;$P$21&amp;" is more than OPD Physical Violence Rape Survivors"&amp;CHAR(10),""),IF(Q200&gt;Q199," * OPD  Physical Violence Initiated Pep "&amp;$P$20&amp;" "&amp;$Q$21&amp;" is more than OPD Physical Violence Rape Survivors"&amp;CHAR(10),""),IF(R200&gt;R199," * OPD  Physical Violence Initiated Pep "&amp;$R$20&amp;" "&amp;$R$21&amp;" is more than OPD Physical Violence Rape Survivors"&amp;CHAR(10),""),IF(S200&gt;S199," * OPD  Physical Violence Initiated Pep "&amp;$R$20&amp;" "&amp;$S$21&amp;" is more than OPD Physical Violence Rape Survivors"&amp;CHAR(10),""),IF(T200&gt;T199," * OPD  Physical Violence Initiated Pep "&amp;$T$20&amp;" "&amp;$T$21&amp;" is more than OPD Physical Violence Rape Survivors"&amp;CHAR(10),""),IF(U200&gt;U199," * OPD  Physical Violence Initiated Pep "&amp;$T$20&amp;" "&amp;$U$21&amp;" is more than OPD Physical Violence Rape Survivors"&amp;CHAR(10),""),IF(V200&gt;V199," * OPD  Physical Violence Initiated Pep "&amp;$V$20&amp;" "&amp;$V$21&amp;" is more than OPD Physical Violence Rape Survivors"&amp;CHAR(10),""),IF(W200&gt;W199," * OPD  Physical Violence Initiated Pep "&amp;$V$20&amp;" "&amp;$W$21&amp;" is more than OPD Physical Violence Rape Survivors"&amp;CHAR(10),""),IF(X200&gt;X199," * OPD  Physical Violence Initiated Pep "&amp;$X$20&amp;" "&amp;$X$21&amp;" is more than OPD Physical Violence Rape Survivors"&amp;CHAR(10),""),IF(Y200&gt;Y199," * OPD  Physical Violence Initiated Pep "&amp;$X$20&amp;" "&amp;$Y$21&amp;" is more than OPD Physical Violence Rape Survivors"&amp;CHAR(10),""),IF(Z200&gt;Z199," * OPD  Physical Violence Initiated Pep "&amp;$Z$20&amp;" "&amp;$Z$21&amp;" is more than OPD Physical Violence Rape Survivors"&amp;CHAR(10),""),IF(AA200&gt;AA199," * OPD  Physical Violence Initiated Pep "&amp;$Z$20&amp;" "&amp;$AA$21&amp;" is more than OPD Physical Violence Rape Survivors"&amp;CHAR(10),""))</f>
        <v/>
      </c>
      <c r="AL199" s="622"/>
      <c r="AM199" s="32"/>
      <c r="AN199" s="699"/>
      <c r="AO199" s="14">
        <v>147</v>
      </c>
      <c r="AP199" s="76"/>
      <c r="AQ199" s="77"/>
    </row>
    <row r="200" spans="1:43" ht="25.9" hidden="1" thickBot="1" x14ac:dyDescent="0.8">
      <c r="A200" s="702"/>
      <c r="B200" s="181" t="s">
        <v>873</v>
      </c>
      <c r="C200" s="894" t="s">
        <v>883</v>
      </c>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c r="AA200" s="187"/>
      <c r="AB200" s="367"/>
      <c r="AC200" s="367"/>
      <c r="AD200" s="367"/>
      <c r="AE200" s="367"/>
      <c r="AF200" s="367"/>
      <c r="AG200" s="367"/>
      <c r="AH200" s="367"/>
      <c r="AI200" s="367"/>
      <c r="AJ200" s="30">
        <f t="shared" si="26"/>
        <v>0</v>
      </c>
      <c r="AK200" s="140"/>
      <c r="AL200" s="622"/>
      <c r="AM200" s="32"/>
      <c r="AN200" s="699"/>
      <c r="AO200" s="14">
        <v>148</v>
      </c>
      <c r="AP200" s="76"/>
      <c r="AQ200" s="77"/>
    </row>
    <row r="201" spans="1:43" ht="25.9" hidden="1" thickBot="1" x14ac:dyDescent="0.8">
      <c r="A201" s="702"/>
      <c r="B201" s="181" t="s">
        <v>874</v>
      </c>
      <c r="C201" s="894" t="s">
        <v>884</v>
      </c>
      <c r="D201" s="188"/>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c r="AA201" s="189"/>
      <c r="AB201" s="367"/>
      <c r="AC201" s="367"/>
      <c r="AD201" s="367"/>
      <c r="AE201" s="367"/>
      <c r="AF201" s="367"/>
      <c r="AG201" s="367"/>
      <c r="AH201" s="367"/>
      <c r="AI201" s="367"/>
      <c r="AJ201" s="30">
        <f t="shared" si="26"/>
        <v>0</v>
      </c>
      <c r="AK201" s="140"/>
      <c r="AL201" s="622"/>
      <c r="AM201" s="32"/>
      <c r="AN201" s="699"/>
      <c r="AO201" s="14">
        <v>149</v>
      </c>
      <c r="AP201" s="76"/>
      <c r="AQ201" s="77"/>
    </row>
    <row r="202" spans="1:43" ht="25.9" hidden="1" thickBot="1" x14ac:dyDescent="0.8">
      <c r="A202" s="703"/>
      <c r="B202" s="190" t="s">
        <v>909</v>
      </c>
      <c r="C202" s="895" t="s">
        <v>885</v>
      </c>
      <c r="D202" s="191"/>
      <c r="E202" s="192"/>
      <c r="F202" s="192"/>
      <c r="G202" s="192"/>
      <c r="H202" s="192"/>
      <c r="I202" s="192"/>
      <c r="J202" s="192"/>
      <c r="K202" s="192"/>
      <c r="L202" s="192"/>
      <c r="M202" s="192"/>
      <c r="N202" s="192"/>
      <c r="O202" s="192"/>
      <c r="P202" s="192"/>
      <c r="Q202" s="192"/>
      <c r="R202" s="192"/>
      <c r="S202" s="192"/>
      <c r="T202" s="192"/>
      <c r="U202" s="192"/>
      <c r="V202" s="192"/>
      <c r="W202" s="192"/>
      <c r="X202" s="192"/>
      <c r="Y202" s="192"/>
      <c r="Z202" s="192"/>
      <c r="AA202" s="193"/>
      <c r="AB202" s="367"/>
      <c r="AC202" s="367"/>
      <c r="AD202" s="367"/>
      <c r="AE202" s="367"/>
      <c r="AF202" s="367"/>
      <c r="AG202" s="367"/>
      <c r="AH202" s="367"/>
      <c r="AI202" s="367"/>
      <c r="AJ202" s="30">
        <f t="shared" si="26"/>
        <v>0</v>
      </c>
      <c r="AK202" s="140"/>
      <c r="AL202" s="705"/>
      <c r="AM202" s="75"/>
      <c r="AN202" s="699"/>
      <c r="AO202" s="14">
        <v>150</v>
      </c>
      <c r="AP202" s="76"/>
      <c r="AQ202" s="77"/>
    </row>
    <row r="203" spans="1:43" ht="25.9" hidden="1" thickBot="1" x14ac:dyDescent="0.8">
      <c r="A203" s="701" t="s">
        <v>876</v>
      </c>
      <c r="B203" s="179" t="s">
        <v>920</v>
      </c>
      <c r="C203" s="896" t="s">
        <v>886</v>
      </c>
      <c r="D203" s="180">
        <f>D11</f>
        <v>0</v>
      </c>
      <c r="E203" s="180">
        <f>E11</f>
        <v>0</v>
      </c>
      <c r="F203" s="180">
        <f>F11</f>
        <v>0</v>
      </c>
      <c r="G203" s="180">
        <f>G11</f>
        <v>0</v>
      </c>
      <c r="H203" s="180">
        <f>H11</f>
        <v>0</v>
      </c>
      <c r="I203" s="180">
        <f>I11</f>
        <v>0</v>
      </c>
      <c r="J203" s="180">
        <f>J11</f>
        <v>0</v>
      </c>
      <c r="K203" s="180">
        <f>K11</f>
        <v>0</v>
      </c>
      <c r="L203" s="180">
        <f>L11</f>
        <v>0</v>
      </c>
      <c r="M203" s="180">
        <f>M11</f>
        <v>0</v>
      </c>
      <c r="N203" s="180">
        <f>N11</f>
        <v>0</v>
      </c>
      <c r="O203" s="180">
        <f>O11</f>
        <v>0</v>
      </c>
      <c r="P203" s="180">
        <f>P11</f>
        <v>0</v>
      </c>
      <c r="Q203" s="180">
        <f>Q11</f>
        <v>0</v>
      </c>
      <c r="R203" s="180">
        <f>R11</f>
        <v>0</v>
      </c>
      <c r="S203" s="180">
        <f>S11</f>
        <v>0</v>
      </c>
      <c r="T203" s="180">
        <f>T11</f>
        <v>0</v>
      </c>
      <c r="U203" s="180">
        <f>U11</f>
        <v>0</v>
      </c>
      <c r="V203" s="180">
        <f>V11</f>
        <v>0</v>
      </c>
      <c r="W203" s="180">
        <f>W11</f>
        <v>0</v>
      </c>
      <c r="X203" s="180">
        <f>X11</f>
        <v>0</v>
      </c>
      <c r="Y203" s="180">
        <f>Y11</f>
        <v>0</v>
      </c>
      <c r="Z203" s="180">
        <f>Z11</f>
        <v>0</v>
      </c>
      <c r="AA203" s="180">
        <f>AA11</f>
        <v>0</v>
      </c>
      <c r="AB203" s="180"/>
      <c r="AC203" s="180"/>
      <c r="AD203" s="180"/>
      <c r="AE203" s="180"/>
      <c r="AF203" s="180"/>
      <c r="AG203" s="180"/>
      <c r="AH203" s="180"/>
      <c r="AI203" s="180"/>
      <c r="AJ203" s="180">
        <f>AJ11</f>
        <v>0</v>
      </c>
      <c r="AK203" s="31" t="str">
        <f>CONCATENATE(IF(D204&gt;D203," * No Screened for GBV "&amp;$D$20&amp;" "&amp;$D$21&amp;" is more than Clients Seen at IPD"&amp;CHAR(10),""),IF(E204&gt;E203," * No Screened For GBV "&amp;$D$20&amp;" "&amp;$E$21&amp;" is more than Clients Seen at IPD"&amp;CHAR(10),""),IF(F204&gt;F203," * No Screened For GBV "&amp;$F$20&amp;" "&amp;$F$21&amp;" is more than Clients Seen at IPD"&amp;CHAR(10),""),IF(G204&gt;G203," * No Screened For GBV "&amp;$F$20&amp;" "&amp;$G$21&amp;" is more than Clients Seen at IPD"&amp;CHAR(10),""),IF(H204&gt;H203," * No Screened For GBV "&amp;$H$20&amp;" "&amp;$H$21&amp;" is more than Clients Seen at IPD"&amp;CHAR(10),""),IF(I204&gt;I203," * No Screened For GBV "&amp;$H$20&amp;" "&amp;$I$21&amp;" is more than Clients Seen at IPD"&amp;CHAR(10),""),IF(J204&gt;J203," * No Screened For GBV "&amp;$J$20&amp;" "&amp;$J$21&amp;" is more than Clients Seen at IPD"&amp;CHAR(10),""),IF(K204&gt;K203," * No Screened For GBV "&amp;$J$20&amp;" "&amp;$K$21&amp;" is more than Clients Seen at IPD"&amp;CHAR(10),""),IF(L204&gt;L203," * No Screened For GBV "&amp;$L$20&amp;" "&amp;$L$21&amp;" is more than Clients Seen at IPD"&amp;CHAR(10),""),IF(M204&gt;M203," * No Screened For GBV "&amp;$L$20&amp;" "&amp;$M$21&amp;" is more than Clients Seen at IPD"&amp;CHAR(10),""),IF(N204&gt;N203," * No Screened For GBV "&amp;$N$20&amp;" "&amp;$N$21&amp;" is more than Clients Seen at IPD"&amp;CHAR(10),""),IF(O204&gt;O203," * No Screened For GBV "&amp;$N$20&amp;" "&amp;$O$21&amp;" is more than Clients Seen at IPD"&amp;CHAR(10),""),IF(P204&gt;P203," * No Screened For GBV "&amp;$P$20&amp;" "&amp;$P$21&amp;" is more than Clients Seen at IPD"&amp;CHAR(10),""),IF(Q204&gt;Q203," * No Screened For GBV "&amp;$P$20&amp;" "&amp;$Q$21&amp;" is more than Clients Seen at IPD"&amp;CHAR(10),""),IF(R204&gt;R203," * No Screened For GBV "&amp;$R$20&amp;" "&amp;$R$21&amp;" is more than Clients Seen at IPD"&amp;CHAR(10),""),IF(S204&gt;S203," * No Screened For GBV "&amp;$R$20&amp;" "&amp;$S$21&amp;" is more than Clients Seen at IPD"&amp;CHAR(10),""),IF(T204&gt;T203," * No Screened For GBV "&amp;$T$20&amp;" "&amp;$T$21&amp;" is more than Clients Seen at IPD"&amp;CHAR(10),""),IF(U204&gt;U203," * No Screened For GBV "&amp;$T$20&amp;" "&amp;$U$21&amp;" is more than Clients Seen at IPD"&amp;CHAR(10),""),IF(V204&gt;V203," * No Screened For GBV "&amp;$V$20&amp;" "&amp;$V$21&amp;" is more than Clients Seen at IPD"&amp;CHAR(10),""),IF(W204&gt;W203," * No Screened For GBV "&amp;$V$20&amp;" "&amp;$W$21&amp;" is more than Clients Seen at IPD"&amp;CHAR(10),""),IF(X204&gt;X203," * No Screened For GBV "&amp;$X$20&amp;" "&amp;$X$21&amp;" is more than Clients Seen at IPD"&amp;CHAR(10),""),IF(Y204&gt;Y203," * No Screened For GBV "&amp;$X$20&amp;" "&amp;$Y$21&amp;" is more than Clients Seen at IPD"&amp;CHAR(10),""),IF(Z204&gt;Z203," * No Screened For GBV "&amp;$Z$20&amp;" "&amp;$Z$21&amp;" is more than Clients Seen at IPD"&amp;CHAR(10),""),IF(AA204&gt;AA203," * No Screened For GBV "&amp;$Z$20&amp;" "&amp;$AA$21&amp;" is more than Clients Seen at IPD"&amp;CHAR(10),""))</f>
        <v/>
      </c>
      <c r="AL203" s="764" t="str">
        <f>CONCATENATE(AK203,AK204,AK205,AK206,AK207,AK208,AK209,AK210,AK211)</f>
        <v/>
      </c>
      <c r="AM203" s="75"/>
      <c r="AN203" s="699"/>
      <c r="AO203" s="14">
        <v>151</v>
      </c>
      <c r="AP203" s="76"/>
      <c r="AQ203" s="77"/>
    </row>
    <row r="204" spans="1:43" ht="25.9" hidden="1" thickBot="1" x14ac:dyDescent="0.8">
      <c r="A204" s="702"/>
      <c r="B204" s="181" t="s">
        <v>915</v>
      </c>
      <c r="C204" s="894" t="s">
        <v>887</v>
      </c>
      <c r="D204" s="18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c r="AA204" s="182"/>
      <c r="AB204" s="367"/>
      <c r="AC204" s="367"/>
      <c r="AD204" s="367"/>
      <c r="AE204" s="367"/>
      <c r="AF204" s="367"/>
      <c r="AG204" s="367"/>
      <c r="AH204" s="367"/>
      <c r="AI204" s="367"/>
      <c r="AJ204" s="68">
        <f t="shared" ref="AJ204:AJ229" si="27">SUM(D204:AA204)</f>
        <v>0</v>
      </c>
      <c r="AK204" s="140"/>
      <c r="AL204" s="765"/>
      <c r="AM204" s="32"/>
      <c r="AN204" s="699"/>
      <c r="AO204" s="14">
        <v>152</v>
      </c>
      <c r="AP204" s="76"/>
      <c r="AQ204" s="77"/>
    </row>
    <row r="205" spans="1:43" ht="25.9" hidden="1" thickBot="1" x14ac:dyDescent="0.8">
      <c r="A205" s="702"/>
      <c r="B205" s="183" t="s">
        <v>923</v>
      </c>
      <c r="C205" s="894" t="s">
        <v>888</v>
      </c>
      <c r="D205" s="184">
        <f>D206+D208+D210+D211</f>
        <v>0</v>
      </c>
      <c r="E205" s="184">
        <f t="shared" ref="E205" si="28">E206+E208+E210+E211</f>
        <v>0</v>
      </c>
      <c r="F205" s="184">
        <f t="shared" ref="F205" si="29">F206+F208+F210+F211</f>
        <v>0</v>
      </c>
      <c r="G205" s="184">
        <f t="shared" ref="G205" si="30">G206+G208+G210+G211</f>
        <v>0</v>
      </c>
      <c r="H205" s="184">
        <f t="shared" ref="H205" si="31">H206+H208+H210+H211</f>
        <v>0</v>
      </c>
      <c r="I205" s="184">
        <f t="shared" ref="I205" si="32">I206+I208+I210+I211</f>
        <v>0</v>
      </c>
      <c r="J205" s="184">
        <f t="shared" ref="J205" si="33">J206+J208+J210+J211</f>
        <v>0</v>
      </c>
      <c r="K205" s="184">
        <f t="shared" ref="K205" si="34">K206+K208+K210+K211</f>
        <v>0</v>
      </c>
      <c r="L205" s="184">
        <f t="shared" ref="L205" si="35">L206+L208+L210+L211</f>
        <v>0</v>
      </c>
      <c r="M205" s="184">
        <f t="shared" ref="M205" si="36">M206+M208+M210+M211</f>
        <v>0</v>
      </c>
      <c r="N205" s="184">
        <f t="shared" ref="N205" si="37">N206+N208+N210+N211</f>
        <v>0</v>
      </c>
      <c r="O205" s="184">
        <f t="shared" ref="O205" si="38">O206+O208+O210+O211</f>
        <v>0</v>
      </c>
      <c r="P205" s="184">
        <f t="shared" ref="P205" si="39">P206+P208+P210+P211</f>
        <v>0</v>
      </c>
      <c r="Q205" s="184">
        <f t="shared" ref="Q205" si="40">Q206+Q208+Q210+Q211</f>
        <v>0</v>
      </c>
      <c r="R205" s="184">
        <f t="shared" ref="R205" si="41">R206+R208+R210+R211</f>
        <v>0</v>
      </c>
      <c r="S205" s="184">
        <f t="shared" ref="S205" si="42">S206+S208+S210+S211</f>
        <v>0</v>
      </c>
      <c r="T205" s="184">
        <f t="shared" ref="T205" si="43">T206+T208+T210+T211</f>
        <v>0</v>
      </c>
      <c r="U205" s="184">
        <f t="shared" ref="U205" si="44">U206+U208+U210+U211</f>
        <v>0</v>
      </c>
      <c r="V205" s="184">
        <f t="shared" ref="V205" si="45">V206+V208+V210+V211</f>
        <v>0</v>
      </c>
      <c r="W205" s="184">
        <f t="shared" ref="W205" si="46">W206+W208+W210+W211</f>
        <v>0</v>
      </c>
      <c r="X205" s="184">
        <f t="shared" ref="X205" si="47">X206+X208+X210+X211</f>
        <v>0</v>
      </c>
      <c r="Y205" s="184">
        <f t="shared" ref="Y205" si="48">Y206+Y208+Y210+Y211</f>
        <v>0</v>
      </c>
      <c r="Z205" s="184">
        <f t="shared" ref="Z205" si="49">Z206+Z208+Z210+Z211</f>
        <v>0</v>
      </c>
      <c r="AA205" s="184">
        <f t="shared" ref="AA205" si="50">AA206+AA208+AA210+AA211</f>
        <v>0</v>
      </c>
      <c r="AB205" s="366"/>
      <c r="AC205" s="366"/>
      <c r="AD205" s="366"/>
      <c r="AE205" s="366"/>
      <c r="AF205" s="366"/>
      <c r="AG205" s="366"/>
      <c r="AH205" s="366"/>
      <c r="AI205" s="366"/>
      <c r="AJ205" s="68">
        <f t="shared" si="27"/>
        <v>0</v>
      </c>
      <c r="AK205" s="140"/>
      <c r="AL205" s="765"/>
      <c r="AM205" s="32"/>
      <c r="AN205" s="699"/>
      <c r="AO205" s="14">
        <v>153</v>
      </c>
      <c r="AP205" s="76"/>
      <c r="AQ205" s="77"/>
    </row>
    <row r="206" spans="1:43" ht="25.9" hidden="1" thickBot="1" x14ac:dyDescent="0.8">
      <c r="A206" s="702"/>
      <c r="B206" s="181" t="s">
        <v>870</v>
      </c>
      <c r="C206" s="894" t="s">
        <v>889</v>
      </c>
      <c r="D206" s="186"/>
      <c r="E206" s="186"/>
      <c r="F206" s="186"/>
      <c r="G206" s="186"/>
      <c r="H206" s="186"/>
      <c r="I206" s="186"/>
      <c r="J206" s="186"/>
      <c r="K206" s="186"/>
      <c r="L206" s="186"/>
      <c r="M206" s="186"/>
      <c r="N206" s="186"/>
      <c r="O206" s="186"/>
      <c r="P206" s="186"/>
      <c r="Q206" s="186"/>
      <c r="R206" s="186"/>
      <c r="S206" s="186"/>
      <c r="T206" s="186"/>
      <c r="U206" s="186"/>
      <c r="V206" s="186"/>
      <c r="W206" s="186"/>
      <c r="X206" s="186"/>
      <c r="Y206" s="186"/>
      <c r="Z206" s="186"/>
      <c r="AA206" s="186"/>
      <c r="AB206" s="367"/>
      <c r="AC206" s="367"/>
      <c r="AD206" s="367"/>
      <c r="AE206" s="367"/>
      <c r="AF206" s="367"/>
      <c r="AG206" s="367"/>
      <c r="AH206" s="367"/>
      <c r="AI206" s="367"/>
      <c r="AJ206" s="68">
        <f t="shared" si="27"/>
        <v>0</v>
      </c>
      <c r="AK206" s="31" t="str">
        <f>CONCATENATE(IF(D207&gt;D206," * IPD Sexual Violence Initiated Pep "&amp;$D$20&amp;" "&amp;$D$21&amp;" is more than IPD Sexual Violence Rape Survivors"&amp;CHAR(10),""),IF(E207&gt;E206," * IPD Sexual Violence Initiated Pep "&amp;$D$20&amp;" "&amp;$E$21&amp;" is more than IPD Sexual Violence Rape Survivors"&amp;CHAR(10),""),IF(F207&gt;F206," * IPD Sexual Violence Initiated Pep "&amp;$F$20&amp;" "&amp;$F$21&amp;" is more than IPD Sexual Violence Rape Survivors"&amp;CHAR(10),""),IF(G207&gt;G206," * IPD Sexual Violence Initiated Pep "&amp;$F$20&amp;" "&amp;$G$21&amp;" is more than IPD Sexual Violence Rape Survivors"&amp;CHAR(10),""),IF(H207&gt;H206," * IPD Sexual Violence Initiated Pep "&amp;$H$20&amp;" "&amp;$H$21&amp;" is more than IPD Sexual Violence Rape Survivors"&amp;CHAR(10),""),IF(I207&gt;I206," * IPD Sexual Violence Initiated Pep "&amp;$H$20&amp;" "&amp;$I$21&amp;" is more than IPD Sexual Violence Rape Survivors"&amp;CHAR(10),""),IF(J207&gt;J206," * IPD Sexual Violence Initiated Pep "&amp;$J$20&amp;" "&amp;$J$21&amp;" is more than IPD Sexual Violence Rape Survivors"&amp;CHAR(10),""),IF(K207&gt;K206," * IPD Sexual Violence Initiated Pep "&amp;$J$20&amp;" "&amp;$K$21&amp;" is more than IPD Sexual Violence Rape Survivors"&amp;CHAR(10),""),IF(L207&gt;L206," * IPD Sexual Violence Initiated Pep "&amp;$L$20&amp;" "&amp;$L$21&amp;" is more than IPD Sexual Violence Rape Survivors"&amp;CHAR(10),""),IF(M207&gt;M206," * IPD Sexual Violence Initiated Pep "&amp;$L$20&amp;" "&amp;$M$21&amp;" is more than IPD Sexual Violence Rape Survivors"&amp;CHAR(10),""),IF(N207&gt;N206," * IPD Sexual Violence Initiated Pep "&amp;$N$20&amp;" "&amp;$N$21&amp;" is more than IPD Sexual Violence Rape Survivors"&amp;CHAR(10),""),IF(O207&gt;O206," * IPD Sexual Violence Initiated Pep "&amp;$N$20&amp;" "&amp;$O$21&amp;" is more than IPD Sexual Violence Rape Survivors"&amp;CHAR(10),""),IF(P207&gt;P206," * IPD Sexual Violence Initiated Pep "&amp;$P$20&amp;" "&amp;$P$21&amp;" is more than IPD Sexual Violence Rape Survivors"&amp;CHAR(10),""),IF(Q207&gt;Q206," * IPD Sexual Violence Initiated Pep "&amp;$P$20&amp;" "&amp;$Q$21&amp;" is more than IPD Sexual Violence Rape Survivors"&amp;CHAR(10),""),IF(R207&gt;R206," * IPD Sexual Violence Initiated Pep "&amp;$R$20&amp;" "&amp;$R$21&amp;" is more than IPD Sexual Violence Rape Survivors"&amp;CHAR(10),""),IF(S207&gt;S206," * IPD Sexual Violence Initiated Pep "&amp;$R$20&amp;" "&amp;$S$21&amp;" is more than IPD Sexual Violence Rape Survivors"&amp;CHAR(10),""),IF(T207&gt;T206," * IPD Sexual Violence Initiated Pep "&amp;$T$20&amp;" "&amp;$T$21&amp;" is more than IPD Sexual Violence Rape Survivors"&amp;CHAR(10),""),IF(U207&gt;U206," * IPD Sexual Violence Initiated Pep "&amp;$T$20&amp;" "&amp;$U$21&amp;" is more than IPD Sexual Violence Rape Survivors"&amp;CHAR(10),""),IF(V207&gt;V206," * IPD Sexual Violence Initiated Pep "&amp;$V$20&amp;" "&amp;$V$21&amp;" is more than IPD Sexual Violence Rape Survivors"&amp;CHAR(10),""),IF(W207&gt;W206," * IPD Sexual Violence Initiated Pep "&amp;$V$20&amp;" "&amp;$W$21&amp;" is more than IPD Sexual Violence Rape Survivors"&amp;CHAR(10),""),IF(X207&gt;X206," * IPD Sexual Violence Initiated Pep "&amp;$X$20&amp;" "&amp;$X$21&amp;" is more than IPD Sexual Violence Rape Survivors"&amp;CHAR(10),""),IF(Y207&gt;Y206," * IPD Sexual Violence Initiated Pep "&amp;$X$20&amp;" "&amp;$Y$21&amp;" is more than IPD Sexual Violence Rape Survivors"&amp;CHAR(10),""),IF(Z207&gt;Z206," * IPD Sexual Violence Initiated Pep "&amp;$Z$20&amp;" "&amp;$Z$21&amp;" is more than IPD Sexual Violence Rape Survivors"&amp;CHAR(10),""),IF(AA207&gt;AA206," * IPD Sexual Violence Initiated Pep "&amp;$Z$20&amp;" "&amp;$AA$21&amp;" is more than IPD Sexual Violence Rape Survivors"&amp;CHAR(10),""))</f>
        <v/>
      </c>
      <c r="AL206" s="765"/>
      <c r="AM206" s="32"/>
      <c r="AN206" s="699"/>
      <c r="AO206" s="14">
        <v>154</v>
      </c>
      <c r="AP206" s="76"/>
      <c r="AQ206" s="77"/>
    </row>
    <row r="207" spans="1:43" ht="25.9" hidden="1" thickBot="1" x14ac:dyDescent="0.8">
      <c r="A207" s="702"/>
      <c r="B207" s="181" t="s">
        <v>871</v>
      </c>
      <c r="C207" s="894" t="s">
        <v>890</v>
      </c>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c r="AA207" s="187"/>
      <c r="AB207" s="367"/>
      <c r="AC207" s="367"/>
      <c r="AD207" s="367"/>
      <c r="AE207" s="367"/>
      <c r="AF207" s="367"/>
      <c r="AG207" s="367"/>
      <c r="AH207" s="367"/>
      <c r="AI207" s="367"/>
      <c r="AJ207" s="68">
        <f t="shared" si="27"/>
        <v>0</v>
      </c>
      <c r="AK207" s="140"/>
      <c r="AL207" s="765"/>
      <c r="AM207" s="32"/>
      <c r="AN207" s="699"/>
      <c r="AO207" s="14">
        <v>155</v>
      </c>
      <c r="AP207" s="76"/>
      <c r="AQ207" s="77"/>
    </row>
    <row r="208" spans="1:43" ht="25.9" hidden="1" thickBot="1" x14ac:dyDescent="0.8">
      <c r="A208" s="702"/>
      <c r="B208" s="181" t="s">
        <v>872</v>
      </c>
      <c r="C208" s="894" t="s">
        <v>891</v>
      </c>
      <c r="D208" s="186"/>
      <c r="E208" s="186"/>
      <c r="F208" s="186"/>
      <c r="G208" s="186"/>
      <c r="H208" s="186"/>
      <c r="I208" s="186"/>
      <c r="J208" s="186"/>
      <c r="K208" s="186"/>
      <c r="L208" s="186"/>
      <c r="M208" s="186"/>
      <c r="N208" s="186"/>
      <c r="O208" s="186"/>
      <c r="P208" s="186"/>
      <c r="Q208" s="186"/>
      <c r="R208" s="186"/>
      <c r="S208" s="186"/>
      <c r="T208" s="186"/>
      <c r="U208" s="186"/>
      <c r="V208" s="186"/>
      <c r="W208" s="186"/>
      <c r="X208" s="186"/>
      <c r="Y208" s="186"/>
      <c r="Z208" s="186"/>
      <c r="AA208" s="186"/>
      <c r="AB208" s="367"/>
      <c r="AC208" s="367"/>
      <c r="AD208" s="367"/>
      <c r="AE208" s="367"/>
      <c r="AF208" s="367"/>
      <c r="AG208" s="367"/>
      <c r="AH208" s="367"/>
      <c r="AI208" s="367"/>
      <c r="AJ208" s="68">
        <f t="shared" si="27"/>
        <v>0</v>
      </c>
      <c r="AK208" s="31" t="str">
        <f>CONCATENATE(IF(D209&gt;D208," * IPD  Physical Violence Initiated Pep "&amp;$D$20&amp;" "&amp;$D$21&amp;" is more than IPD Physical Violence Rape Survivors"&amp;CHAR(10),""),IF(E209&gt;E208," * IPD  Physical Violence Initiated Pep "&amp;$D$20&amp;" "&amp;$E$21&amp;" is more than IPD Physical Violence Rape Survivors"&amp;CHAR(10),""),IF(F209&gt;F208," * IPD  Physical Violence Initiated Pep "&amp;$F$20&amp;" "&amp;$F$21&amp;" is more than IPD Physical Violence Rape Survivors"&amp;CHAR(10),""),IF(G209&gt;G208," * IPD  Physical Violence Initiated Pep "&amp;$F$20&amp;" "&amp;$G$21&amp;" is more than IPD Physical Violence Rape Survivors"&amp;CHAR(10),""),IF(H209&gt;H208," * IPD  Physical Violence Initiated Pep "&amp;$H$20&amp;" "&amp;$H$21&amp;" is more than IPD Physical Violence Rape Survivors"&amp;CHAR(10),""),IF(I209&gt;I208," * IPD  Physical Violence Initiated Pep "&amp;$H$20&amp;" "&amp;$I$21&amp;" is more than IPD Physical Violence Rape Survivors"&amp;CHAR(10),""),IF(J209&gt;J208," * IPD  Physical Violence Initiated Pep "&amp;$J$20&amp;" "&amp;$J$21&amp;" is more than IPD Physical Violence Rape Survivors"&amp;CHAR(10),""),IF(K209&gt;K208," * IPD  Physical Violence Initiated Pep "&amp;$J$20&amp;" "&amp;$K$21&amp;" is more than IPD Physical Violence Rape Survivors"&amp;CHAR(10),""),IF(L209&gt;L208," * IPD  Physical Violence Initiated Pep "&amp;$L$20&amp;" "&amp;$L$21&amp;" is more than IPD Physical Violence Rape Survivors"&amp;CHAR(10),""),IF(M209&gt;M208," * IPD  Physical Violence Initiated Pep "&amp;$L$20&amp;" "&amp;$M$21&amp;" is more than IPD Physical Violence Rape Survivors"&amp;CHAR(10),""),IF(N209&gt;N208," * IPD  Physical Violence Initiated Pep "&amp;$N$20&amp;" "&amp;$N$21&amp;" is more than IPD Physical Violence Rape Survivors"&amp;CHAR(10),""),IF(O209&gt;O208," * IPD  Physical Violence Initiated Pep "&amp;$N$20&amp;" "&amp;$O$21&amp;" is more than IPD Physical Violence Rape Survivors"&amp;CHAR(10),""),IF(P209&gt;P208," * IPD  Physical Violence Initiated Pep "&amp;$P$20&amp;" "&amp;$P$21&amp;" is more than IPD Physical Violence Rape Survivors"&amp;CHAR(10),""),IF(Q209&gt;Q208," * IPD  Physical Violence Initiated Pep "&amp;$P$20&amp;" "&amp;$Q$21&amp;" is more than IPD Physical Violence Rape Survivors"&amp;CHAR(10),""),IF(R209&gt;R208," * IPD  Physical Violence Initiated Pep "&amp;$R$20&amp;" "&amp;$R$21&amp;" is more than IPD Physical Violence Rape Survivors"&amp;CHAR(10),""),IF(S209&gt;S208," * IPD  Physical Violence Initiated Pep "&amp;$R$20&amp;" "&amp;$S$21&amp;" is more than IPD Physical Violence Rape Survivors"&amp;CHAR(10),""),IF(T209&gt;T208," * IPD  Physical Violence Initiated Pep "&amp;$T$20&amp;" "&amp;$T$21&amp;" is more than IPD Physical Violence Rape Survivors"&amp;CHAR(10),""),IF(U209&gt;U208," * IPD  Physical Violence Initiated Pep "&amp;$T$20&amp;" "&amp;$U$21&amp;" is more than IPD Physical Violence Rape Survivors"&amp;CHAR(10),""),IF(V209&gt;V208," * IPD  Physical Violence Initiated Pep "&amp;$V$20&amp;" "&amp;$V$21&amp;" is more than IPD Physical Violence Rape Survivors"&amp;CHAR(10),""),IF(W209&gt;W208," * IPD  Physical Violence Initiated Pep "&amp;$V$20&amp;" "&amp;$W$21&amp;" is more than IPD Physical Violence Rape Survivors"&amp;CHAR(10),""),IF(X209&gt;X208," * IPD  Physical Violence Initiated Pep "&amp;$X$20&amp;" "&amp;$X$21&amp;" is more than IPD Physical Violence Rape Survivors"&amp;CHAR(10),""),IF(Y209&gt;Y208," * IPD  Physical Violence Initiated Pep "&amp;$X$20&amp;" "&amp;$Y$21&amp;" is more than IPD Physical Violence Rape Survivors"&amp;CHAR(10),""),IF(Z209&gt;Z208," * IPD  Physical Violence Initiated Pep "&amp;$Z$20&amp;" "&amp;$Z$21&amp;" is more than IPD Physical Violence Rape Survivors"&amp;CHAR(10),""),IF(AA209&gt;AA208," * IPD  Physical Violence Initiated Pep "&amp;$Z$20&amp;" "&amp;$AA$21&amp;" is more than IPD Physical Violence Rape Survivors"&amp;CHAR(10),""))</f>
        <v/>
      </c>
      <c r="AL208" s="765"/>
      <c r="AM208" s="32"/>
      <c r="AN208" s="699"/>
      <c r="AO208" s="14">
        <v>156</v>
      </c>
      <c r="AP208" s="76"/>
      <c r="AQ208" s="77"/>
    </row>
    <row r="209" spans="1:43" ht="25.9" hidden="1" thickBot="1" x14ac:dyDescent="0.8">
      <c r="A209" s="702"/>
      <c r="B209" s="181" t="s">
        <v>873</v>
      </c>
      <c r="C209" s="894" t="s">
        <v>892</v>
      </c>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c r="AA209" s="187"/>
      <c r="AB209" s="367"/>
      <c r="AC209" s="367"/>
      <c r="AD209" s="367"/>
      <c r="AE209" s="367"/>
      <c r="AF209" s="367"/>
      <c r="AG209" s="367"/>
      <c r="AH209" s="367"/>
      <c r="AI209" s="367"/>
      <c r="AJ209" s="68">
        <f t="shared" si="27"/>
        <v>0</v>
      </c>
      <c r="AK209" s="140"/>
      <c r="AL209" s="765"/>
      <c r="AM209" s="32"/>
      <c r="AN209" s="699"/>
      <c r="AO209" s="14">
        <v>157</v>
      </c>
      <c r="AP209" s="76"/>
      <c r="AQ209" s="77"/>
    </row>
    <row r="210" spans="1:43" ht="25.9" hidden="1" thickBot="1" x14ac:dyDescent="0.8">
      <c r="A210" s="702"/>
      <c r="B210" s="181" t="s">
        <v>874</v>
      </c>
      <c r="C210" s="894" t="s">
        <v>893</v>
      </c>
      <c r="D210" s="188"/>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c r="AA210" s="189"/>
      <c r="AB210" s="367"/>
      <c r="AC210" s="367"/>
      <c r="AD210" s="367"/>
      <c r="AE210" s="367"/>
      <c r="AF210" s="367"/>
      <c r="AG210" s="367"/>
      <c r="AH210" s="367"/>
      <c r="AI210" s="367"/>
      <c r="AJ210" s="53">
        <f t="shared" si="27"/>
        <v>0</v>
      </c>
      <c r="AK210" s="140"/>
      <c r="AL210" s="765"/>
      <c r="AM210" s="32"/>
      <c r="AN210" s="699"/>
      <c r="AO210" s="14">
        <v>158</v>
      </c>
      <c r="AP210" s="76"/>
      <c r="AQ210" s="77"/>
    </row>
    <row r="211" spans="1:43" ht="25.9" hidden="1" thickBot="1" x14ac:dyDescent="0.8">
      <c r="A211" s="703"/>
      <c r="B211" s="190" t="s">
        <v>909</v>
      </c>
      <c r="C211" s="895" t="s">
        <v>894</v>
      </c>
      <c r="D211" s="191"/>
      <c r="E211" s="192"/>
      <c r="F211" s="192"/>
      <c r="G211" s="192"/>
      <c r="H211" s="192"/>
      <c r="I211" s="192"/>
      <c r="J211" s="192"/>
      <c r="K211" s="192"/>
      <c r="L211" s="192"/>
      <c r="M211" s="192"/>
      <c r="N211" s="192"/>
      <c r="O211" s="192"/>
      <c r="P211" s="192"/>
      <c r="Q211" s="192"/>
      <c r="R211" s="192"/>
      <c r="S211" s="192"/>
      <c r="T211" s="192"/>
      <c r="U211" s="192"/>
      <c r="V211" s="192"/>
      <c r="W211" s="192"/>
      <c r="X211" s="192"/>
      <c r="Y211" s="192"/>
      <c r="Z211" s="192"/>
      <c r="AA211" s="193"/>
      <c r="AB211" s="367"/>
      <c r="AC211" s="367"/>
      <c r="AD211" s="367"/>
      <c r="AE211" s="367"/>
      <c r="AF211" s="367"/>
      <c r="AG211" s="367"/>
      <c r="AH211" s="367"/>
      <c r="AI211" s="367"/>
      <c r="AJ211" s="53">
        <f t="shared" si="27"/>
        <v>0</v>
      </c>
      <c r="AK211" s="140"/>
      <c r="AL211" s="838"/>
      <c r="AM211" s="75"/>
      <c r="AN211" s="699"/>
      <c r="AO211" s="14">
        <v>159</v>
      </c>
      <c r="AP211" s="76"/>
      <c r="AQ211" s="77"/>
    </row>
    <row r="212" spans="1:43" ht="25.9" hidden="1" thickBot="1" x14ac:dyDescent="0.8">
      <c r="A212" s="701" t="s">
        <v>878</v>
      </c>
      <c r="B212" s="179" t="s">
        <v>921</v>
      </c>
      <c r="C212" s="896" t="s">
        <v>895</v>
      </c>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c r="AA212" s="194"/>
      <c r="AB212" s="368"/>
      <c r="AC212" s="368"/>
      <c r="AD212" s="368"/>
      <c r="AE212" s="368"/>
      <c r="AF212" s="368"/>
      <c r="AG212" s="368"/>
      <c r="AH212" s="368"/>
      <c r="AI212" s="368"/>
      <c r="AJ212" s="53">
        <f t="shared" si="27"/>
        <v>0</v>
      </c>
      <c r="AK212" s="31" t="str">
        <f>CONCATENATE(IF(D213&gt;D212," * No Screened for GBV "&amp;$D$20&amp;" "&amp;$D$21&amp;" is more than Clients Seen at CCC"&amp;CHAR(10),""),IF(E213&gt;E212," * No Screened For GBV "&amp;$D$20&amp;" "&amp;$E$21&amp;" is more than Clients Seen at CCC"&amp;CHAR(10),""),IF(F213&gt;F212," * No Screened For GBV "&amp;$F$20&amp;" "&amp;$F$21&amp;" is more than Clients Seen at CCC"&amp;CHAR(10),""),IF(G213&gt;G212," * No Screened For GBV "&amp;$F$20&amp;" "&amp;$G$21&amp;" is more than Clients Seen at CCC"&amp;CHAR(10),""),IF(H213&gt;H212," * No Screened For GBV "&amp;$H$20&amp;" "&amp;$H$21&amp;" is more than Clients Seen at CCC"&amp;CHAR(10),""),IF(I213&gt;I212," * No Screened For GBV "&amp;$H$20&amp;" "&amp;$I$21&amp;" is more than Clients Seen at CCC"&amp;CHAR(10),""),IF(J213&gt;J212," * No Screened For GBV "&amp;$J$20&amp;" "&amp;$J$21&amp;" is more than Clients Seen at CCC"&amp;CHAR(10),""),IF(K213&gt;K212," * No Screened For GBV "&amp;$J$20&amp;" "&amp;$K$21&amp;" is more than Clients Seen at CCC"&amp;CHAR(10),""),IF(L213&gt;L212," * No Screened For GBV "&amp;$L$20&amp;" "&amp;$L$21&amp;" is more than Clients Seen at CCC"&amp;CHAR(10),""),IF(M213&gt;M212," * No Screened For GBV "&amp;$L$20&amp;" "&amp;$M$21&amp;" is more than Clients Seen at CCC"&amp;CHAR(10),""),IF(N213&gt;N212," * No Screened For GBV "&amp;$N$20&amp;" "&amp;$N$21&amp;" is more than Clients Seen at CCC"&amp;CHAR(10),""),IF(O213&gt;O212," * No Screened For GBV "&amp;$N$20&amp;" "&amp;$O$21&amp;" is more than Clients Seen at CCC"&amp;CHAR(10),""),IF(P213&gt;P212," * No Screened For GBV "&amp;$P$20&amp;" "&amp;$P$21&amp;" is more than Clients Seen at CCC"&amp;CHAR(10),""),IF(Q213&gt;Q212," * No Screened For GBV "&amp;$P$20&amp;" "&amp;$Q$21&amp;" is more than Clients Seen at CCC"&amp;CHAR(10),""),IF(R213&gt;R212," * No Screened For GBV "&amp;$R$20&amp;" "&amp;$R$21&amp;" is more than Clients Seen at CCC"&amp;CHAR(10),""),IF(S213&gt;S212," * No Screened For GBV "&amp;$R$20&amp;" "&amp;$S$21&amp;" is more than Clients Seen at CCC"&amp;CHAR(10),""),IF(T213&gt;T212," * No Screened For GBV "&amp;$T$20&amp;" "&amp;$T$21&amp;" is more than Clients Seen at CCC"&amp;CHAR(10),""),IF(U213&gt;U212," * No Screened For GBV "&amp;$T$20&amp;" "&amp;$U$21&amp;" is more than Clients Seen at CCC"&amp;CHAR(10),""),IF(V213&gt;V212," * No Screened For GBV "&amp;$V$20&amp;" "&amp;$V$21&amp;" is more than Clients Seen at CCC"&amp;CHAR(10),""),IF(W213&gt;W212," * No Screened For GBV "&amp;$V$20&amp;" "&amp;$W$21&amp;" is more than Clients Seen at CCC"&amp;CHAR(10),""),IF(X213&gt;X212," * No Screened For GBV "&amp;$X$20&amp;" "&amp;$X$21&amp;" is more than Clients Seen at CCC"&amp;CHAR(10),""),IF(Y213&gt;Y212," * No Screened For GBV "&amp;$X$20&amp;" "&amp;$Y$21&amp;" is more than Clients Seen at CCC"&amp;CHAR(10),""),IF(Z213&gt;Z212," * No Screened For GBV "&amp;$Z$20&amp;" "&amp;$Z$21&amp;" is more than Clients Seen at CCC"&amp;CHAR(10),""),IF(AA213&gt;AA212," * No Screened For GBV "&amp;$Z$20&amp;" "&amp;$AA$21&amp;" is more than Clients Seen at CCC"&amp;CHAR(10),""))</f>
        <v/>
      </c>
      <c r="AL212" s="764" t="str">
        <f>CONCATENATE(AK212,AK213,AK214,AK215,AK216,AK217,AK218,AK219,AK220)</f>
        <v/>
      </c>
      <c r="AM212" s="75"/>
      <c r="AN212" s="699"/>
      <c r="AO212" s="14">
        <v>160</v>
      </c>
      <c r="AP212" s="76"/>
      <c r="AQ212" s="77"/>
    </row>
    <row r="213" spans="1:43" ht="25.9" hidden="1" thickBot="1" x14ac:dyDescent="0.8">
      <c r="A213" s="702"/>
      <c r="B213" s="181" t="s">
        <v>916</v>
      </c>
      <c r="C213" s="894" t="s">
        <v>896</v>
      </c>
      <c r="D213" s="18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c r="AA213" s="182"/>
      <c r="AB213" s="367"/>
      <c r="AC213" s="367"/>
      <c r="AD213" s="367"/>
      <c r="AE213" s="367"/>
      <c r="AF213" s="367"/>
      <c r="AG213" s="367"/>
      <c r="AH213" s="367"/>
      <c r="AI213" s="367"/>
      <c r="AJ213" s="53">
        <f t="shared" si="27"/>
        <v>0</v>
      </c>
      <c r="AK213" s="140"/>
      <c r="AL213" s="765"/>
      <c r="AM213" s="32"/>
      <c r="AN213" s="699"/>
      <c r="AO213" s="14">
        <v>161</v>
      </c>
      <c r="AP213" s="76"/>
      <c r="AQ213" s="77"/>
    </row>
    <row r="214" spans="1:43" ht="25.9" hidden="1" thickBot="1" x14ac:dyDescent="0.8">
      <c r="A214" s="702"/>
      <c r="B214" s="183" t="s">
        <v>924</v>
      </c>
      <c r="C214" s="894" t="s">
        <v>897</v>
      </c>
      <c r="D214" s="184">
        <f>D215+D217+D219+D220</f>
        <v>0</v>
      </c>
      <c r="E214" s="184">
        <f t="shared" ref="E214" si="51">E215+E217+E219+E220</f>
        <v>0</v>
      </c>
      <c r="F214" s="184">
        <f t="shared" ref="F214" si="52">F215+F217+F219+F220</f>
        <v>0</v>
      </c>
      <c r="G214" s="184">
        <f t="shared" ref="G214" si="53">G215+G217+G219+G220</f>
        <v>0</v>
      </c>
      <c r="H214" s="184">
        <f t="shared" ref="H214" si="54">H215+H217+H219+H220</f>
        <v>0</v>
      </c>
      <c r="I214" s="184">
        <f t="shared" ref="I214" si="55">I215+I217+I219+I220</f>
        <v>0</v>
      </c>
      <c r="J214" s="184">
        <f t="shared" ref="J214" si="56">J215+J217+J219+J220</f>
        <v>0</v>
      </c>
      <c r="K214" s="184">
        <f t="shared" ref="K214" si="57">K215+K217+K219+K220</f>
        <v>0</v>
      </c>
      <c r="L214" s="184">
        <f t="shared" ref="L214" si="58">L215+L217+L219+L220</f>
        <v>0</v>
      </c>
      <c r="M214" s="184">
        <f t="shared" ref="M214" si="59">M215+M217+M219+M220</f>
        <v>0</v>
      </c>
      <c r="N214" s="184">
        <f t="shared" ref="N214" si="60">N215+N217+N219+N220</f>
        <v>0</v>
      </c>
      <c r="O214" s="184">
        <f t="shared" ref="O214" si="61">O215+O217+O219+O220</f>
        <v>0</v>
      </c>
      <c r="P214" s="184">
        <f t="shared" ref="P214" si="62">P215+P217+P219+P220</f>
        <v>0</v>
      </c>
      <c r="Q214" s="184">
        <f t="shared" ref="Q214" si="63">Q215+Q217+Q219+Q220</f>
        <v>0</v>
      </c>
      <c r="R214" s="184">
        <f t="shared" ref="R214" si="64">R215+R217+R219+R220</f>
        <v>0</v>
      </c>
      <c r="S214" s="184">
        <f t="shared" ref="S214" si="65">S215+S217+S219+S220</f>
        <v>0</v>
      </c>
      <c r="T214" s="184">
        <f t="shared" ref="T214" si="66">T215+T217+T219+T220</f>
        <v>0</v>
      </c>
      <c r="U214" s="184">
        <f t="shared" ref="U214" si="67">U215+U217+U219+U220</f>
        <v>0</v>
      </c>
      <c r="V214" s="184">
        <f t="shared" ref="V214" si="68">V215+V217+V219+V220</f>
        <v>0</v>
      </c>
      <c r="W214" s="184">
        <f t="shared" ref="W214" si="69">W215+W217+W219+W220</f>
        <v>0</v>
      </c>
      <c r="X214" s="184">
        <f t="shared" ref="X214" si="70">X215+X217+X219+X220</f>
        <v>0</v>
      </c>
      <c r="Y214" s="184">
        <f t="shared" ref="Y214" si="71">Y215+Y217+Y219+Y220</f>
        <v>0</v>
      </c>
      <c r="Z214" s="184">
        <f t="shared" ref="Z214" si="72">Z215+Z217+Z219+Z220</f>
        <v>0</v>
      </c>
      <c r="AA214" s="184">
        <f t="shared" ref="AA214" si="73">AA215+AA217+AA219+AA220</f>
        <v>0</v>
      </c>
      <c r="AB214" s="366"/>
      <c r="AC214" s="366"/>
      <c r="AD214" s="366"/>
      <c r="AE214" s="366"/>
      <c r="AF214" s="366"/>
      <c r="AG214" s="366"/>
      <c r="AH214" s="366"/>
      <c r="AI214" s="366"/>
      <c r="AJ214" s="53">
        <f t="shared" si="27"/>
        <v>0</v>
      </c>
      <c r="AK214" s="140"/>
      <c r="AL214" s="765"/>
      <c r="AM214" s="32"/>
      <c r="AN214" s="699"/>
      <c r="AO214" s="14">
        <v>162</v>
      </c>
      <c r="AP214" s="76"/>
      <c r="AQ214" s="77"/>
    </row>
    <row r="215" spans="1:43" ht="25.9" hidden="1" thickBot="1" x14ac:dyDescent="0.8">
      <c r="A215" s="702"/>
      <c r="B215" s="181" t="s">
        <v>870</v>
      </c>
      <c r="C215" s="894" t="s">
        <v>898</v>
      </c>
      <c r="D215" s="186"/>
      <c r="E215" s="186"/>
      <c r="F215" s="186"/>
      <c r="G215" s="186"/>
      <c r="H215" s="186"/>
      <c r="I215" s="186"/>
      <c r="J215" s="186"/>
      <c r="K215" s="186"/>
      <c r="L215" s="186"/>
      <c r="M215" s="186"/>
      <c r="N215" s="186"/>
      <c r="O215" s="186"/>
      <c r="P215" s="186"/>
      <c r="Q215" s="186"/>
      <c r="R215" s="186"/>
      <c r="S215" s="186"/>
      <c r="T215" s="186"/>
      <c r="U215" s="186"/>
      <c r="V215" s="186"/>
      <c r="W215" s="186"/>
      <c r="X215" s="186"/>
      <c r="Y215" s="186"/>
      <c r="Z215" s="186"/>
      <c r="AA215" s="186"/>
      <c r="AB215" s="367"/>
      <c r="AC215" s="367"/>
      <c r="AD215" s="367"/>
      <c r="AE215" s="367"/>
      <c r="AF215" s="367"/>
      <c r="AG215" s="367"/>
      <c r="AH215" s="367"/>
      <c r="AI215" s="367"/>
      <c r="AJ215" s="53">
        <f t="shared" si="27"/>
        <v>0</v>
      </c>
      <c r="AK215" s="31" t="str">
        <f>CONCATENATE(IF(D216&gt;D215," * CCC Sexual Violence Initiated Pep "&amp;$D$20&amp;" "&amp;$D$21&amp;" is more than CCC Sexual Violence Rape Survivors"&amp;CHAR(10),""),IF(E216&gt;E215," * CCC Sexual Violence Initiated Pep "&amp;$D$20&amp;" "&amp;$E$21&amp;" is more than CCC Sexual Violence Rape Survivors"&amp;CHAR(10),""),IF(F216&gt;F215," * CCC Sexual Violence Initiated Pep "&amp;$F$20&amp;" "&amp;$F$21&amp;" is more than CCC Sexual Violence Rape Survivors"&amp;CHAR(10),""),IF(G216&gt;G215," * CCC Sexual Violence Initiated Pep "&amp;$F$20&amp;" "&amp;$G$21&amp;" is more than CCC Sexual Violence Rape Survivors"&amp;CHAR(10),""),IF(H216&gt;H215," * CCC Sexual Violence Initiated Pep "&amp;$H$20&amp;" "&amp;$H$21&amp;" is more than CCC Sexual Violence Rape Survivors"&amp;CHAR(10),""),IF(I216&gt;I215," * CCC Sexual Violence Initiated Pep "&amp;$H$20&amp;" "&amp;$I$21&amp;" is more than CCC Sexual Violence Rape Survivors"&amp;CHAR(10),""),IF(J216&gt;J215," * CCC Sexual Violence Initiated Pep "&amp;$J$20&amp;" "&amp;$J$21&amp;" is more than CCC Sexual Violence Rape Survivors"&amp;CHAR(10),""),IF(K216&gt;K215," * CCC Sexual Violence Initiated Pep "&amp;$J$20&amp;" "&amp;$K$21&amp;" is more than CCC Sexual Violence Rape Survivors"&amp;CHAR(10),""),IF(L216&gt;L215," * CCC Sexual Violence Initiated Pep "&amp;$L$20&amp;" "&amp;$L$21&amp;" is more than CCC Sexual Violence Rape Survivors"&amp;CHAR(10),""),IF(M216&gt;M215," * CCC Sexual Violence Initiated Pep "&amp;$L$20&amp;" "&amp;$M$21&amp;" is more than CCC Sexual Violence Rape Survivors"&amp;CHAR(10),""),IF(N216&gt;N215," * CCC Sexual Violence Initiated Pep "&amp;$N$20&amp;" "&amp;$N$21&amp;" is more than CCC Sexual Violence Rape Survivors"&amp;CHAR(10),""),IF(O216&gt;O215," * CCC Sexual Violence Initiated Pep "&amp;$N$20&amp;" "&amp;$O$21&amp;" is more than CCC Sexual Violence Rape Survivors"&amp;CHAR(10),""),IF(P216&gt;P215," * CCC Sexual Violence Initiated Pep "&amp;$P$20&amp;" "&amp;$P$21&amp;" is more than CCC Sexual Violence Rape Survivors"&amp;CHAR(10),""),IF(Q216&gt;Q215," * CCC Sexual Violence Initiated Pep "&amp;$P$20&amp;" "&amp;$Q$21&amp;" is more than CCC Sexual Violence Rape Survivors"&amp;CHAR(10),""),IF(R216&gt;R215," * CCC Sexual Violence Initiated Pep "&amp;$R$20&amp;" "&amp;$R$21&amp;" is more than CCC Sexual Violence Rape Survivors"&amp;CHAR(10),""),IF(S216&gt;S215," * CCC Sexual Violence Initiated Pep "&amp;$R$20&amp;" "&amp;$S$21&amp;" is more than CCC Sexual Violence Rape Survivors"&amp;CHAR(10),""),IF(T216&gt;T215," * CCC Sexual Violence Initiated Pep "&amp;$T$20&amp;" "&amp;$T$21&amp;" is more than CCC Sexual Violence Rape Survivors"&amp;CHAR(10),""),IF(U216&gt;U215," * CCC Sexual Violence Initiated Pep "&amp;$T$20&amp;" "&amp;$U$21&amp;" is more than CCC Sexual Violence Rape Survivors"&amp;CHAR(10),""),IF(V216&gt;V215," * CCC Sexual Violence Initiated Pep "&amp;$V$20&amp;" "&amp;$V$21&amp;" is more than CCC Sexual Violence Rape Survivors"&amp;CHAR(10),""),IF(W216&gt;W215," * CCC Sexual Violence Initiated Pep "&amp;$V$20&amp;" "&amp;$W$21&amp;" is more than CCC Sexual Violence Rape Survivors"&amp;CHAR(10),""),IF(X216&gt;X215," * CCC Sexual Violence Initiated Pep "&amp;$X$20&amp;" "&amp;$X$21&amp;" is more than CCC Sexual Violence Rape Survivors"&amp;CHAR(10),""),IF(Y216&gt;Y215," * CCC Sexual Violence Initiated Pep "&amp;$X$20&amp;" "&amp;$Y$21&amp;" is more than CCC Sexual Violence Rape Survivors"&amp;CHAR(10),""),IF(Z216&gt;Z215," * CCC Sexual Violence Initiated Pep "&amp;$Z$20&amp;" "&amp;$Z$21&amp;" is more than CCC Sexual Violence Rape Survivors"&amp;CHAR(10),""),IF(AA216&gt;AA215," * CCC Sexual Violence Initiated Pep "&amp;$Z$20&amp;" "&amp;$AA$21&amp;" is more than CCC Sexual Violence Rape Survivors"&amp;CHAR(10),""))</f>
        <v/>
      </c>
      <c r="AL215" s="765"/>
      <c r="AM215" s="32"/>
      <c r="AN215" s="699"/>
      <c r="AO215" s="14">
        <v>163</v>
      </c>
      <c r="AP215" s="76"/>
      <c r="AQ215" s="77"/>
    </row>
    <row r="216" spans="1:43" ht="25.9" hidden="1" thickBot="1" x14ac:dyDescent="0.8">
      <c r="A216" s="702"/>
      <c r="B216" s="181" t="s">
        <v>871</v>
      </c>
      <c r="C216" s="894" t="s">
        <v>899</v>
      </c>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c r="AA216" s="187"/>
      <c r="AB216" s="367"/>
      <c r="AC216" s="367"/>
      <c r="AD216" s="367"/>
      <c r="AE216" s="367"/>
      <c r="AF216" s="367"/>
      <c r="AG216" s="367"/>
      <c r="AH216" s="367"/>
      <c r="AI216" s="367"/>
      <c r="AJ216" s="53">
        <f t="shared" si="27"/>
        <v>0</v>
      </c>
      <c r="AK216" s="140"/>
      <c r="AL216" s="765"/>
      <c r="AM216" s="32"/>
      <c r="AN216" s="699"/>
      <c r="AO216" s="14">
        <v>164</v>
      </c>
      <c r="AP216" s="76"/>
      <c r="AQ216" s="77"/>
    </row>
    <row r="217" spans="1:43" ht="25.9" hidden="1" thickBot="1" x14ac:dyDescent="0.8">
      <c r="A217" s="702"/>
      <c r="B217" s="181" t="s">
        <v>872</v>
      </c>
      <c r="C217" s="894" t="s">
        <v>900</v>
      </c>
      <c r="D217" s="186"/>
      <c r="E217" s="186"/>
      <c r="F217" s="186"/>
      <c r="G217" s="186"/>
      <c r="H217" s="186"/>
      <c r="I217" s="186"/>
      <c r="J217" s="186"/>
      <c r="K217" s="186"/>
      <c r="L217" s="186"/>
      <c r="M217" s="186"/>
      <c r="N217" s="186"/>
      <c r="O217" s="186"/>
      <c r="P217" s="186"/>
      <c r="Q217" s="186"/>
      <c r="R217" s="186"/>
      <c r="S217" s="186"/>
      <c r="T217" s="186"/>
      <c r="U217" s="186"/>
      <c r="V217" s="186"/>
      <c r="W217" s="186"/>
      <c r="X217" s="186"/>
      <c r="Y217" s="186"/>
      <c r="Z217" s="186"/>
      <c r="AA217" s="186"/>
      <c r="AB217" s="367"/>
      <c r="AC217" s="367"/>
      <c r="AD217" s="367"/>
      <c r="AE217" s="367"/>
      <c r="AF217" s="367"/>
      <c r="AG217" s="367"/>
      <c r="AH217" s="367"/>
      <c r="AI217" s="367"/>
      <c r="AJ217" s="53">
        <f t="shared" si="27"/>
        <v>0</v>
      </c>
      <c r="AK217" s="31" t="str">
        <f>CONCATENATE(IF(D218&gt;D217," * CCC  Physical Violence Initiated Pep "&amp;$D$20&amp;" "&amp;$D$21&amp;" is more than CCC Physical Violence Rape Survivors"&amp;CHAR(10),""),IF(E218&gt;E217," * CCC  Physical Violence Initiated Pep "&amp;$D$20&amp;" "&amp;$E$21&amp;" is more than CCC Physical Violence Rape Survivors"&amp;CHAR(10),""),IF(F218&gt;F217," * CCC  Physical Violence Initiated Pep "&amp;$F$20&amp;" "&amp;$F$21&amp;" is more than CCC Physical Violence Rape Survivors"&amp;CHAR(10),""),IF(G218&gt;G217," * CCC  Physical Violence Initiated Pep "&amp;$F$20&amp;" "&amp;$G$21&amp;" is more than CCC Physical Violence Rape Survivors"&amp;CHAR(10),""),IF(H218&gt;H217," * CCC  Physical Violence Initiated Pep "&amp;$H$20&amp;" "&amp;$H$21&amp;" is more than CCC Physical Violence Rape Survivors"&amp;CHAR(10),""),IF(I218&gt;I217," * CCC  Physical Violence Initiated Pep "&amp;$H$20&amp;" "&amp;$I$21&amp;" is more than CCC Physical Violence Rape Survivors"&amp;CHAR(10),""),IF(J218&gt;J217," * CCC  Physical Violence Initiated Pep "&amp;$J$20&amp;" "&amp;$J$21&amp;" is more than CCC Physical Violence Rape Survivors"&amp;CHAR(10),""),IF(K218&gt;K217," * CCC  Physical Violence Initiated Pep "&amp;$J$20&amp;" "&amp;$K$21&amp;" is more than CCC Physical Violence Rape Survivors"&amp;CHAR(10),""),IF(L218&gt;L217," * CCC  Physical Violence Initiated Pep "&amp;$L$20&amp;" "&amp;$L$21&amp;" is more than CCC Physical Violence Rape Survivors"&amp;CHAR(10),""),IF(M218&gt;M217," * CCC  Physical Violence Initiated Pep "&amp;$L$20&amp;" "&amp;$M$21&amp;" is more than CCC Physical Violence Rape Survivors"&amp;CHAR(10),""),IF(N218&gt;N217," * CCC  Physical Violence Initiated Pep "&amp;$N$20&amp;" "&amp;$N$21&amp;" is more than CCC Physical Violence Rape Survivors"&amp;CHAR(10),""),IF(O218&gt;O217," * CCC  Physical Violence Initiated Pep "&amp;$N$20&amp;" "&amp;$O$21&amp;" is more than CCC Physical Violence Rape Survivors"&amp;CHAR(10),""),IF(P218&gt;P217," * CCC  Physical Violence Initiated Pep "&amp;$P$20&amp;" "&amp;$P$21&amp;" is more than CCC Physical Violence Rape Survivors"&amp;CHAR(10),""),IF(Q218&gt;Q217," * CCC  Physical Violence Initiated Pep "&amp;$P$20&amp;" "&amp;$Q$21&amp;" is more than CCC Physical Violence Rape Survivors"&amp;CHAR(10),""),IF(R218&gt;R217," * CCC  Physical Violence Initiated Pep "&amp;$R$20&amp;" "&amp;$R$21&amp;" is more than CCC Physical Violence Rape Survivors"&amp;CHAR(10),""),IF(S218&gt;S217," * CCC  Physical Violence Initiated Pep "&amp;$R$20&amp;" "&amp;$S$21&amp;" is more than CCC Physical Violence Rape Survivors"&amp;CHAR(10),""),IF(T218&gt;T217," * CCC  Physical Violence Initiated Pep "&amp;$T$20&amp;" "&amp;$T$21&amp;" is more than CCC Physical Violence Rape Survivors"&amp;CHAR(10),""),IF(U218&gt;U217," * CCC  Physical Violence Initiated Pep "&amp;$T$20&amp;" "&amp;$U$21&amp;" is more than CCC Physical Violence Rape Survivors"&amp;CHAR(10),""),IF(V218&gt;V217," * CCC  Physical Violence Initiated Pep "&amp;$V$20&amp;" "&amp;$V$21&amp;" is more than CCC Physical Violence Rape Survivors"&amp;CHAR(10),""),IF(W218&gt;W217," * CCC  Physical Violence Initiated Pep "&amp;$V$20&amp;" "&amp;$W$21&amp;" is more than CCC Physical Violence Rape Survivors"&amp;CHAR(10),""),IF(X218&gt;X217," * CCC  Physical Violence Initiated Pep "&amp;$X$20&amp;" "&amp;$X$21&amp;" is more than CCC Physical Violence Rape Survivors"&amp;CHAR(10),""),IF(Y218&gt;Y217," * CCC  Physical Violence Initiated Pep "&amp;$X$20&amp;" "&amp;$Y$21&amp;" is more than CCC Physical Violence Rape Survivors"&amp;CHAR(10),""),IF(Z218&gt;Z217," * CCC  Physical Violence Initiated Pep "&amp;$Z$20&amp;" "&amp;$Z$21&amp;" is more than CCC Physical Violence Rape Survivors"&amp;CHAR(10),""),IF(AA218&gt;AA217," * CCC  Physical Violence Initiated Pep "&amp;$Z$20&amp;" "&amp;$AA$21&amp;" is more than CCC Physical Violence Rape Survivors"&amp;CHAR(10),""))</f>
        <v/>
      </c>
      <c r="AL217" s="765"/>
      <c r="AM217" s="32"/>
      <c r="AN217" s="699"/>
      <c r="AO217" s="14">
        <v>165</v>
      </c>
      <c r="AP217" s="76"/>
      <c r="AQ217" s="77"/>
    </row>
    <row r="218" spans="1:43" ht="25.9" hidden="1" thickBot="1" x14ac:dyDescent="0.8">
      <c r="A218" s="702"/>
      <c r="B218" s="181" t="s">
        <v>873</v>
      </c>
      <c r="C218" s="894" t="s">
        <v>901</v>
      </c>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c r="AA218" s="187"/>
      <c r="AB218" s="367"/>
      <c r="AC218" s="367"/>
      <c r="AD218" s="367"/>
      <c r="AE218" s="367"/>
      <c r="AF218" s="367"/>
      <c r="AG218" s="367"/>
      <c r="AH218" s="367"/>
      <c r="AI218" s="367"/>
      <c r="AJ218" s="53">
        <f t="shared" si="27"/>
        <v>0</v>
      </c>
      <c r="AK218" s="140"/>
      <c r="AL218" s="765"/>
      <c r="AM218" s="32"/>
      <c r="AN218" s="699"/>
      <c r="AO218" s="14">
        <v>166</v>
      </c>
      <c r="AP218" s="76"/>
      <c r="AQ218" s="77"/>
    </row>
    <row r="219" spans="1:43" ht="25.9" hidden="1" thickBot="1" x14ac:dyDescent="0.8">
      <c r="A219" s="702"/>
      <c r="B219" s="181" t="s">
        <v>874</v>
      </c>
      <c r="C219" s="894" t="s">
        <v>902</v>
      </c>
      <c r="D219" s="188"/>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c r="AA219" s="189"/>
      <c r="AB219" s="367"/>
      <c r="AC219" s="367"/>
      <c r="AD219" s="367"/>
      <c r="AE219" s="367"/>
      <c r="AF219" s="367"/>
      <c r="AG219" s="367"/>
      <c r="AH219" s="367"/>
      <c r="AI219" s="367"/>
      <c r="AJ219" s="53">
        <f t="shared" si="27"/>
        <v>0</v>
      </c>
      <c r="AK219" s="140"/>
      <c r="AL219" s="765"/>
      <c r="AM219" s="32"/>
      <c r="AN219" s="699"/>
      <c r="AO219" s="14">
        <v>167</v>
      </c>
      <c r="AP219" s="76"/>
      <c r="AQ219" s="77"/>
    </row>
    <row r="220" spans="1:43" ht="25.9" hidden="1" thickBot="1" x14ac:dyDescent="0.8">
      <c r="A220" s="703"/>
      <c r="B220" s="190" t="s">
        <v>909</v>
      </c>
      <c r="C220" s="895" t="s">
        <v>903</v>
      </c>
      <c r="D220" s="191"/>
      <c r="E220" s="192"/>
      <c r="F220" s="192"/>
      <c r="G220" s="192"/>
      <c r="H220" s="192"/>
      <c r="I220" s="192"/>
      <c r="J220" s="192"/>
      <c r="K220" s="192"/>
      <c r="L220" s="192"/>
      <c r="M220" s="192"/>
      <c r="N220" s="192"/>
      <c r="O220" s="192"/>
      <c r="P220" s="192"/>
      <c r="Q220" s="192"/>
      <c r="R220" s="192"/>
      <c r="S220" s="192"/>
      <c r="T220" s="192"/>
      <c r="U220" s="192"/>
      <c r="V220" s="192"/>
      <c r="W220" s="192"/>
      <c r="X220" s="192"/>
      <c r="Y220" s="192"/>
      <c r="Z220" s="192"/>
      <c r="AA220" s="193"/>
      <c r="AB220" s="367"/>
      <c r="AC220" s="367"/>
      <c r="AD220" s="367"/>
      <c r="AE220" s="367"/>
      <c r="AF220" s="367"/>
      <c r="AG220" s="367"/>
      <c r="AH220" s="367"/>
      <c r="AI220" s="367"/>
      <c r="AJ220" s="53">
        <f t="shared" si="27"/>
        <v>0</v>
      </c>
      <c r="AK220" s="140"/>
      <c r="AL220" s="838"/>
      <c r="AM220" s="75"/>
      <c r="AN220" s="699"/>
      <c r="AO220" s="14">
        <v>168</v>
      </c>
      <c r="AP220" s="76"/>
      <c r="AQ220" s="77"/>
    </row>
    <row r="221" spans="1:43" ht="25.9" hidden="1" thickBot="1" x14ac:dyDescent="0.8">
      <c r="A221" s="701" t="s">
        <v>877</v>
      </c>
      <c r="B221" s="179" t="s">
        <v>922</v>
      </c>
      <c r="C221" s="896" t="s">
        <v>904</v>
      </c>
      <c r="D221" s="180">
        <f>D15</f>
        <v>0</v>
      </c>
      <c r="E221" s="180">
        <f>E15</f>
        <v>0</v>
      </c>
      <c r="F221" s="180">
        <f>F15</f>
        <v>0</v>
      </c>
      <c r="G221" s="180">
        <f>G15</f>
        <v>0</v>
      </c>
      <c r="H221" s="180">
        <f>H15</f>
        <v>0</v>
      </c>
      <c r="I221" s="180">
        <f>I15</f>
        <v>0</v>
      </c>
      <c r="J221" s="180">
        <f>J15</f>
        <v>0</v>
      </c>
      <c r="K221" s="180">
        <f>K15</f>
        <v>0</v>
      </c>
      <c r="L221" s="180">
        <f>L15</f>
        <v>0</v>
      </c>
      <c r="M221" s="180">
        <f>M15</f>
        <v>0</v>
      </c>
      <c r="N221" s="180">
        <f>N15</f>
        <v>0</v>
      </c>
      <c r="O221" s="180">
        <f>O15</f>
        <v>0</v>
      </c>
      <c r="P221" s="180">
        <f>P15</f>
        <v>0</v>
      </c>
      <c r="Q221" s="180">
        <f>Q15</f>
        <v>0</v>
      </c>
      <c r="R221" s="180">
        <f>R15</f>
        <v>0</v>
      </c>
      <c r="S221" s="180">
        <f>S15</f>
        <v>0</v>
      </c>
      <c r="T221" s="180">
        <f>T15</f>
        <v>0</v>
      </c>
      <c r="U221" s="180">
        <f>U15</f>
        <v>0</v>
      </c>
      <c r="V221" s="180">
        <f>V15</f>
        <v>0</v>
      </c>
      <c r="W221" s="180">
        <f>W15</f>
        <v>0</v>
      </c>
      <c r="X221" s="180">
        <f>X15</f>
        <v>0</v>
      </c>
      <c r="Y221" s="180">
        <f>Y15</f>
        <v>0</v>
      </c>
      <c r="Z221" s="180">
        <f>Z15</f>
        <v>0</v>
      </c>
      <c r="AA221" s="180">
        <f>AA15</f>
        <v>0</v>
      </c>
      <c r="AB221" s="369"/>
      <c r="AC221" s="369"/>
      <c r="AD221" s="369"/>
      <c r="AE221" s="369"/>
      <c r="AF221" s="369"/>
      <c r="AG221" s="369"/>
      <c r="AH221" s="369"/>
      <c r="AI221" s="369"/>
      <c r="AJ221" s="53">
        <f t="shared" si="27"/>
        <v>0</v>
      </c>
      <c r="AK221" s="31" t="str">
        <f>CONCATENATE(IF(D222&gt;D221," * No Screened for GBV "&amp;$D$20&amp;" "&amp;$D$21&amp;" is more than Clients Seen at MCH"&amp;CHAR(10),""),IF(E222&gt;E221," * No Screened For GBV "&amp;$D$20&amp;" "&amp;$E$21&amp;" is more than Clients Seen at MCH"&amp;CHAR(10),""),IF(F222&gt;F221," * No Screened For GBV "&amp;$F$20&amp;" "&amp;$F$21&amp;" is more than Clients Seen at MCH"&amp;CHAR(10),""),IF(G222&gt;G221," * No Screened For GBV "&amp;$F$20&amp;" "&amp;$G$21&amp;" is more than Clients Seen at MCH"&amp;CHAR(10),""),IF(H222&gt;H221," * No Screened For GBV "&amp;$H$20&amp;" "&amp;$H$21&amp;" is more than Clients Seen at MCH"&amp;CHAR(10),""),IF(I222&gt;I221," * No Screened For GBV "&amp;$H$20&amp;" "&amp;$I$21&amp;" is more than Clients Seen at MCH"&amp;CHAR(10),""),IF(J222&gt;J221," * No Screened For GBV "&amp;$J$20&amp;" "&amp;$J$21&amp;" is more than Clients Seen at MCH"&amp;CHAR(10),""),IF(K222&gt;K221," * No Screened For GBV "&amp;$J$20&amp;" "&amp;$K$21&amp;" is more than Clients Seen at MCH"&amp;CHAR(10),""),IF(L222&gt;L221," * No Screened For GBV "&amp;$L$20&amp;" "&amp;$L$21&amp;" is more than Clients Seen at MCH"&amp;CHAR(10),""),IF(M222&gt;M221," * No Screened For GBV "&amp;$L$20&amp;" "&amp;$M$21&amp;" is more than Clients Seen at MCH"&amp;CHAR(10),""),IF(N222&gt;N221," * No Screened For GBV "&amp;$N$20&amp;" "&amp;$N$21&amp;" is more than Clients Seen at MCH"&amp;CHAR(10),""),IF(O222&gt;O221," * No Screened For GBV "&amp;$N$20&amp;" "&amp;$O$21&amp;" is more than Clients Seen at MCH"&amp;CHAR(10),""),IF(P222&gt;P221," * No Screened For GBV "&amp;$P$20&amp;" "&amp;$P$21&amp;" is more than Clients Seen at MCH"&amp;CHAR(10),""),IF(Q222&gt;Q221," * No Screened For GBV "&amp;$P$20&amp;" "&amp;$Q$21&amp;" is more than Clients Seen at MCH"&amp;CHAR(10),""),IF(R222&gt;R221," * No Screened For GBV "&amp;$R$20&amp;" "&amp;$R$21&amp;" is more than Clients Seen at MCH"&amp;CHAR(10),""),IF(S222&gt;S221," * No Screened For GBV "&amp;$R$20&amp;" "&amp;$S$21&amp;" is more than Clients Seen at MCH"&amp;CHAR(10),""),IF(T222&gt;T221," * No Screened For GBV "&amp;$T$20&amp;" "&amp;$T$21&amp;" is more than Clients Seen at MCH"&amp;CHAR(10),""),IF(U222&gt;U221," * No Screened For GBV "&amp;$T$20&amp;" "&amp;$U$21&amp;" is more than Clients Seen at MCH"&amp;CHAR(10),""),IF(V222&gt;V221," * No Screened For GBV "&amp;$V$20&amp;" "&amp;$V$21&amp;" is more than Clients Seen at MCH"&amp;CHAR(10),""),IF(W222&gt;W221," * No Screened For GBV "&amp;$V$20&amp;" "&amp;$W$21&amp;" is more than Clients Seen at MCH"&amp;CHAR(10),""),IF(X222&gt;X221," * No Screened For GBV "&amp;$X$20&amp;" "&amp;$X$21&amp;" is more than Clients Seen at MCH"&amp;CHAR(10),""),IF(Y222&gt;Y221," * No Screened For GBV "&amp;$X$20&amp;" "&amp;$Y$21&amp;" is more than Clients Seen at MCH"&amp;CHAR(10),""),IF(Z222&gt;Z221," * No Screened For GBV "&amp;$Z$20&amp;" "&amp;$Z$21&amp;" is more than Clients Seen at MCH"&amp;CHAR(10),""),IF(AA222&gt;AA221," * No Screened For GBV "&amp;$Z$20&amp;" "&amp;$AA$21&amp;" is more than Clients Seen at MCH"&amp;CHAR(10),""))</f>
        <v/>
      </c>
      <c r="AL221" s="764" t="str">
        <f>CONCATENATE(AK221,AK222,AK223,AK224,AK225,AK226,AK227,AK228,AK229)</f>
        <v/>
      </c>
      <c r="AM221" s="75"/>
      <c r="AN221" s="699"/>
      <c r="AO221" s="14">
        <v>169</v>
      </c>
      <c r="AP221" s="76"/>
      <c r="AQ221" s="77"/>
    </row>
    <row r="222" spans="1:43" ht="25.9" hidden="1" thickBot="1" x14ac:dyDescent="0.8">
      <c r="A222" s="702"/>
      <c r="B222" s="181" t="s">
        <v>917</v>
      </c>
      <c r="C222" s="894" t="s">
        <v>905</v>
      </c>
      <c r="D222" s="18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c r="AA222" s="182"/>
      <c r="AB222" s="367"/>
      <c r="AC222" s="367"/>
      <c r="AD222" s="367"/>
      <c r="AE222" s="367"/>
      <c r="AF222" s="367"/>
      <c r="AG222" s="367"/>
      <c r="AH222" s="367"/>
      <c r="AI222" s="367"/>
      <c r="AJ222" s="53">
        <f t="shared" si="27"/>
        <v>0</v>
      </c>
      <c r="AK222" s="140"/>
      <c r="AL222" s="765"/>
      <c r="AM222" s="32"/>
      <c r="AN222" s="699"/>
      <c r="AO222" s="14">
        <v>170</v>
      </c>
      <c r="AP222" s="76"/>
      <c r="AQ222" s="77"/>
    </row>
    <row r="223" spans="1:43" ht="25.9" hidden="1" thickBot="1" x14ac:dyDescent="0.8">
      <c r="A223" s="702"/>
      <c r="B223" s="183" t="s">
        <v>925</v>
      </c>
      <c r="C223" s="894" t="s">
        <v>906</v>
      </c>
      <c r="D223" s="184">
        <f>D224+D226+D228+D229</f>
        <v>0</v>
      </c>
      <c r="E223" s="184">
        <f t="shared" ref="E223" si="74">E224+E226+E228+E229</f>
        <v>0</v>
      </c>
      <c r="F223" s="184">
        <f t="shared" ref="F223" si="75">F224+F226+F228+F229</f>
        <v>0</v>
      </c>
      <c r="G223" s="184">
        <f t="shared" ref="G223" si="76">G224+G226+G228+G229</f>
        <v>0</v>
      </c>
      <c r="H223" s="184">
        <f t="shared" ref="H223" si="77">H224+H226+H228+H229</f>
        <v>0</v>
      </c>
      <c r="I223" s="184">
        <f t="shared" ref="I223" si="78">I224+I226+I228+I229</f>
        <v>0</v>
      </c>
      <c r="J223" s="184">
        <f t="shared" ref="J223" si="79">J224+J226+J228+J229</f>
        <v>0</v>
      </c>
      <c r="K223" s="184">
        <f t="shared" ref="K223" si="80">K224+K226+K228+K229</f>
        <v>0</v>
      </c>
      <c r="L223" s="184">
        <f t="shared" ref="L223" si="81">L224+L226+L228+L229</f>
        <v>0</v>
      </c>
      <c r="M223" s="184">
        <f t="shared" ref="M223" si="82">M224+M226+M228+M229</f>
        <v>0</v>
      </c>
      <c r="N223" s="184">
        <f t="shared" ref="N223" si="83">N224+N226+N228+N229</f>
        <v>0</v>
      </c>
      <c r="O223" s="184">
        <f t="shared" ref="O223" si="84">O224+O226+O228+O229</f>
        <v>0</v>
      </c>
      <c r="P223" s="184">
        <f t="shared" ref="P223" si="85">P224+P226+P228+P229</f>
        <v>0</v>
      </c>
      <c r="Q223" s="184">
        <f t="shared" ref="Q223" si="86">Q224+Q226+Q228+Q229</f>
        <v>0</v>
      </c>
      <c r="R223" s="184">
        <f t="shared" ref="R223" si="87">R224+R226+R228+R229</f>
        <v>0</v>
      </c>
      <c r="S223" s="184">
        <f t="shared" ref="S223" si="88">S224+S226+S228+S229</f>
        <v>0</v>
      </c>
      <c r="T223" s="184">
        <f t="shared" ref="T223" si="89">T224+T226+T228+T229</f>
        <v>0</v>
      </c>
      <c r="U223" s="184">
        <f t="shared" ref="U223" si="90">U224+U226+U228+U229</f>
        <v>0</v>
      </c>
      <c r="V223" s="184">
        <f t="shared" ref="V223" si="91">V224+V226+V228+V229</f>
        <v>0</v>
      </c>
      <c r="W223" s="184">
        <f t="shared" ref="W223" si="92">W224+W226+W228+W229</f>
        <v>0</v>
      </c>
      <c r="X223" s="184">
        <f t="shared" ref="X223" si="93">X224+X226+X228+X229</f>
        <v>0</v>
      </c>
      <c r="Y223" s="184">
        <f t="shared" ref="Y223" si="94">Y224+Y226+Y228+Y229</f>
        <v>0</v>
      </c>
      <c r="Z223" s="184">
        <f t="shared" ref="Z223" si="95">Z224+Z226+Z228+Z229</f>
        <v>0</v>
      </c>
      <c r="AA223" s="184">
        <f t="shared" ref="AA223" si="96">AA224+AA226+AA228+AA229</f>
        <v>0</v>
      </c>
      <c r="AB223" s="366"/>
      <c r="AC223" s="366"/>
      <c r="AD223" s="366"/>
      <c r="AE223" s="366"/>
      <c r="AF223" s="366"/>
      <c r="AG223" s="366"/>
      <c r="AH223" s="366"/>
      <c r="AI223" s="366"/>
      <c r="AJ223" s="53">
        <f t="shared" si="27"/>
        <v>0</v>
      </c>
      <c r="AK223" s="140"/>
      <c r="AL223" s="765"/>
      <c r="AM223" s="32"/>
      <c r="AN223" s="699"/>
      <c r="AO223" s="14">
        <v>171</v>
      </c>
      <c r="AP223" s="76"/>
      <c r="AQ223" s="77"/>
    </row>
    <row r="224" spans="1:43" ht="25.9" hidden="1" thickBot="1" x14ac:dyDescent="0.8">
      <c r="A224" s="702"/>
      <c r="B224" s="181" t="s">
        <v>870</v>
      </c>
      <c r="C224" s="894" t="s">
        <v>907</v>
      </c>
      <c r="D224" s="186"/>
      <c r="E224" s="186"/>
      <c r="F224" s="186"/>
      <c r="G224" s="186"/>
      <c r="H224" s="186"/>
      <c r="I224" s="186"/>
      <c r="J224" s="186"/>
      <c r="K224" s="186"/>
      <c r="L224" s="186"/>
      <c r="M224" s="186"/>
      <c r="N224" s="186"/>
      <c r="O224" s="186"/>
      <c r="P224" s="186"/>
      <c r="Q224" s="186"/>
      <c r="R224" s="186"/>
      <c r="S224" s="186"/>
      <c r="T224" s="186"/>
      <c r="U224" s="186"/>
      <c r="V224" s="186"/>
      <c r="W224" s="186"/>
      <c r="X224" s="186"/>
      <c r="Y224" s="186"/>
      <c r="Z224" s="186"/>
      <c r="AA224" s="186"/>
      <c r="AB224" s="367"/>
      <c r="AC224" s="367"/>
      <c r="AD224" s="367"/>
      <c r="AE224" s="367"/>
      <c r="AF224" s="367"/>
      <c r="AG224" s="367"/>
      <c r="AH224" s="367"/>
      <c r="AI224" s="367"/>
      <c r="AJ224" s="53">
        <f t="shared" si="27"/>
        <v>0</v>
      </c>
      <c r="AK224" s="31" t="str">
        <f>CONCATENATE(IF(D225&gt;D224," * OPD Sexual Violence Initiated Pep "&amp;$D$20&amp;" "&amp;$D$21&amp;" is more than OPD Sexual Violence Rape Survivors"&amp;CHAR(10),""),IF(E225&gt;E224," * OPD Sexual Violence Initiated Pep "&amp;$D$20&amp;" "&amp;$E$21&amp;" is more than OPD Sexual Violence Rape Survivors"&amp;CHAR(10),""),IF(F225&gt;F224," * OPD Sexual Violence Initiated Pep "&amp;$F$20&amp;" "&amp;$F$21&amp;" is more than OPD Sexual Violence Rape Survivors"&amp;CHAR(10),""),IF(G225&gt;G224," * OPD Sexual Violence Initiated Pep "&amp;$F$20&amp;" "&amp;$G$21&amp;" is more than OPD Sexual Violence Rape Survivors"&amp;CHAR(10),""),IF(H225&gt;H224," * OPD Sexual Violence Initiated Pep "&amp;$H$20&amp;" "&amp;$H$21&amp;" is more than OPD Sexual Violence Rape Survivors"&amp;CHAR(10),""),IF(I225&gt;I224," * OPD Sexual Violence Initiated Pep "&amp;$H$20&amp;" "&amp;$I$21&amp;" is more than OPD Sexual Violence Rape Survivors"&amp;CHAR(10),""),IF(J225&gt;J224," * OPD Sexual Violence Initiated Pep "&amp;$J$20&amp;" "&amp;$J$21&amp;" is more than OPD Sexual Violence Rape Survivors"&amp;CHAR(10),""),IF(K225&gt;K224," * OPD Sexual Violence Initiated Pep "&amp;$J$20&amp;" "&amp;$K$21&amp;" is more than OPD Sexual Violence Rape Survivors"&amp;CHAR(10),""),IF(L225&gt;L224," * OPD Sexual Violence Initiated Pep "&amp;$L$20&amp;" "&amp;$L$21&amp;" is more than OPD Sexual Violence Rape Survivors"&amp;CHAR(10),""),IF(M225&gt;M224," * OPD Sexual Violence Initiated Pep "&amp;$L$20&amp;" "&amp;$M$21&amp;" is more than OPD Sexual Violence Rape Survivors"&amp;CHAR(10),""),IF(N225&gt;N224," * OPD Sexual Violence Initiated Pep "&amp;$N$20&amp;" "&amp;$N$21&amp;" is more than OPD Sexual Violence Rape Survivors"&amp;CHAR(10),""),IF(O225&gt;O224," * OPD Sexual Violence Initiated Pep "&amp;$N$20&amp;" "&amp;$O$21&amp;" is more than OPD Sexual Violence Rape Survivors"&amp;CHAR(10),""),IF(P225&gt;P224," * OPD Sexual Violence Initiated Pep "&amp;$P$20&amp;" "&amp;$P$21&amp;" is more than OPD Sexual Violence Rape Survivors"&amp;CHAR(10),""),IF(Q225&gt;Q224," * OPD Sexual Violence Initiated Pep "&amp;$P$20&amp;" "&amp;$Q$21&amp;" is more than OPD Sexual Violence Rape Survivors"&amp;CHAR(10),""),IF(R225&gt;R224," * OPD Sexual Violence Initiated Pep "&amp;$R$20&amp;" "&amp;$R$21&amp;" is more than OPD Sexual Violence Rape Survivors"&amp;CHAR(10),""),IF(S225&gt;S224," * OPD Sexual Violence Initiated Pep "&amp;$R$20&amp;" "&amp;$S$21&amp;" is more than OPD Sexual Violence Rape Survivors"&amp;CHAR(10),""),IF(T225&gt;T224," * OPD Sexual Violence Initiated Pep "&amp;$T$20&amp;" "&amp;$T$21&amp;" is more than OPD Sexual Violence Rape Survivors"&amp;CHAR(10),""),IF(U225&gt;U224," * OPD Sexual Violence Initiated Pep "&amp;$T$20&amp;" "&amp;$U$21&amp;" is more than OPD Sexual Violence Rape Survivors"&amp;CHAR(10),""),IF(V225&gt;V224," * OPD Sexual Violence Initiated Pep "&amp;$V$20&amp;" "&amp;$V$21&amp;" is more than OPD Sexual Violence Rape Survivors"&amp;CHAR(10),""),IF(W225&gt;W224," * OPD Sexual Violence Initiated Pep "&amp;$V$20&amp;" "&amp;$W$21&amp;" is more than OPD Sexual Violence Rape Survivors"&amp;CHAR(10),""),IF(X225&gt;X224," * OPD Sexual Violence Initiated Pep "&amp;$X$20&amp;" "&amp;$X$21&amp;" is more than OPD Sexual Violence Rape Survivors"&amp;CHAR(10),""),IF(Y225&gt;Y224," * OPD Sexual Violence Initiated Pep "&amp;$X$20&amp;" "&amp;$Y$21&amp;" is more than OPD Sexual Violence Rape Survivors"&amp;CHAR(10),""),IF(Z225&gt;Z224," * OPD Sexual Violence Initiated Pep "&amp;$Z$20&amp;" "&amp;$Z$21&amp;" is more than OPD Sexual Violence Rape Survivors"&amp;CHAR(10),""),IF(AA225&gt;AA224," * OPD Sexual Violence Initiated Pep "&amp;$Z$20&amp;" "&amp;$AA$21&amp;" is more than OPD Sexual Violence Rape Survivors"&amp;CHAR(10),""))</f>
        <v/>
      </c>
      <c r="AL224" s="765"/>
      <c r="AM224" s="32"/>
      <c r="AN224" s="699"/>
      <c r="AO224" s="14">
        <v>172</v>
      </c>
      <c r="AP224" s="76"/>
      <c r="AQ224" s="77"/>
    </row>
    <row r="225" spans="1:43" ht="25.9" hidden="1" thickBot="1" x14ac:dyDescent="0.8">
      <c r="A225" s="702"/>
      <c r="B225" s="181" t="s">
        <v>871</v>
      </c>
      <c r="C225" s="894" t="s">
        <v>908</v>
      </c>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c r="AA225" s="187"/>
      <c r="AB225" s="367"/>
      <c r="AC225" s="367"/>
      <c r="AD225" s="367"/>
      <c r="AE225" s="367"/>
      <c r="AF225" s="367"/>
      <c r="AG225" s="367"/>
      <c r="AH225" s="367"/>
      <c r="AI225" s="367"/>
      <c r="AJ225" s="53">
        <f t="shared" si="27"/>
        <v>0</v>
      </c>
      <c r="AK225" s="140"/>
      <c r="AL225" s="765"/>
      <c r="AM225" s="32"/>
      <c r="AN225" s="699"/>
      <c r="AO225" s="14">
        <v>173</v>
      </c>
      <c r="AP225" s="76"/>
      <c r="AQ225" s="77"/>
    </row>
    <row r="226" spans="1:43" ht="25.9" hidden="1" thickBot="1" x14ac:dyDescent="0.8">
      <c r="A226" s="702"/>
      <c r="B226" s="181" t="s">
        <v>872</v>
      </c>
      <c r="C226" s="894" t="s">
        <v>910</v>
      </c>
      <c r="D226" s="186"/>
      <c r="E226" s="186"/>
      <c r="F226" s="186"/>
      <c r="G226" s="186"/>
      <c r="H226" s="186"/>
      <c r="I226" s="186"/>
      <c r="J226" s="186"/>
      <c r="K226" s="186"/>
      <c r="L226" s="186"/>
      <c r="M226" s="186"/>
      <c r="N226" s="186"/>
      <c r="O226" s="186"/>
      <c r="P226" s="186"/>
      <c r="Q226" s="186"/>
      <c r="R226" s="186"/>
      <c r="S226" s="186"/>
      <c r="T226" s="186"/>
      <c r="U226" s="186"/>
      <c r="V226" s="186"/>
      <c r="W226" s="186"/>
      <c r="X226" s="186"/>
      <c r="Y226" s="186"/>
      <c r="Z226" s="186"/>
      <c r="AA226" s="186"/>
      <c r="AB226" s="367"/>
      <c r="AC226" s="367"/>
      <c r="AD226" s="367"/>
      <c r="AE226" s="367"/>
      <c r="AF226" s="367"/>
      <c r="AG226" s="367"/>
      <c r="AH226" s="367"/>
      <c r="AI226" s="367"/>
      <c r="AJ226" s="53">
        <f t="shared" si="27"/>
        <v>0</v>
      </c>
      <c r="AK226" s="31" t="str">
        <f>CONCATENATE(IF(D227&gt;D226," * MCH  Physical Violence Initiated Pep "&amp;$D$20&amp;" "&amp;$D$21&amp;" is more than MCH Physical Violence Rape Survivors"&amp;CHAR(10),""),IF(E227&gt;E226," * MCH  Physical Violence Initiated Pep "&amp;$D$20&amp;" "&amp;$E$21&amp;" is more than MCH Physical Violence Rape Survivors"&amp;CHAR(10),""),IF(F227&gt;F226," * MCH  Physical Violence Initiated Pep "&amp;$F$20&amp;" "&amp;$F$21&amp;" is more than MCH Physical Violence Rape Survivors"&amp;CHAR(10),""),IF(G227&gt;G226," * MCH  Physical Violence Initiated Pep "&amp;$F$20&amp;" "&amp;$G$21&amp;" is more than MCH Physical Violence Rape Survivors"&amp;CHAR(10),""),IF(H227&gt;H226," * MCH  Physical Violence Initiated Pep "&amp;$H$20&amp;" "&amp;$H$21&amp;" is more than MCH Physical Violence Rape Survivors"&amp;CHAR(10),""),IF(I227&gt;I226," * MCH  Physical Violence Initiated Pep "&amp;$H$20&amp;" "&amp;$I$21&amp;" is more than MCH Physical Violence Rape Survivors"&amp;CHAR(10),""),IF(J227&gt;J226," * MCH  Physical Violence Initiated Pep "&amp;$J$20&amp;" "&amp;$J$21&amp;" is more than MCH Physical Violence Rape Survivors"&amp;CHAR(10),""),IF(K227&gt;K226," * MCH  Physical Violence Initiated Pep "&amp;$J$20&amp;" "&amp;$K$21&amp;" is more than MCH Physical Violence Rape Survivors"&amp;CHAR(10),""),IF(L227&gt;L226," * MCH  Physical Violence Initiated Pep "&amp;$L$20&amp;" "&amp;$L$21&amp;" is more than MCH Physical Violence Rape Survivors"&amp;CHAR(10),""),IF(M227&gt;M226," * MCH  Physical Violence Initiated Pep "&amp;$L$20&amp;" "&amp;$M$21&amp;" is more than MCH Physical Violence Rape Survivors"&amp;CHAR(10),""),IF(N227&gt;N226," * MCH  Physical Violence Initiated Pep "&amp;$N$20&amp;" "&amp;$N$21&amp;" is more than MCH Physical Violence Rape Survivors"&amp;CHAR(10),""),IF(O227&gt;O226," * MCH  Physical Violence Initiated Pep "&amp;$N$20&amp;" "&amp;$O$21&amp;" is more than MCH Physical Violence Rape Survivors"&amp;CHAR(10),""),IF(P227&gt;P226," * MCH  Physical Violence Initiated Pep "&amp;$P$20&amp;" "&amp;$P$21&amp;" is more than MCH Physical Violence Rape Survivors"&amp;CHAR(10),""),IF(Q227&gt;Q226," * MCH  Physical Violence Initiated Pep "&amp;$P$20&amp;" "&amp;$Q$21&amp;" is more than MCH Physical Violence Rape Survivors"&amp;CHAR(10),""),IF(R227&gt;R226," * MCH  Physical Violence Initiated Pep "&amp;$R$20&amp;" "&amp;$R$21&amp;" is more than MCH Physical Violence Rape Survivors"&amp;CHAR(10),""),IF(S227&gt;S226," * MCH  Physical Violence Initiated Pep "&amp;$R$20&amp;" "&amp;$S$21&amp;" is more than MCH Physical Violence Rape Survivors"&amp;CHAR(10),""),IF(T227&gt;T226," * MCH  Physical Violence Initiated Pep "&amp;$T$20&amp;" "&amp;$T$21&amp;" is more than MCH Physical Violence Rape Survivors"&amp;CHAR(10),""),IF(U227&gt;U226," * MCH  Physical Violence Initiated Pep "&amp;$T$20&amp;" "&amp;$U$21&amp;" is more than MCH Physical Violence Rape Survivors"&amp;CHAR(10),""),IF(V227&gt;V226," * MCH  Physical Violence Initiated Pep "&amp;$V$20&amp;" "&amp;$V$21&amp;" is more than MCH Physical Violence Rape Survivors"&amp;CHAR(10),""),IF(W227&gt;W226," * MCH  Physical Violence Initiated Pep "&amp;$V$20&amp;" "&amp;$W$21&amp;" is more than MCH Physical Violence Rape Survivors"&amp;CHAR(10),""),IF(X227&gt;X226," * MCH  Physical Violence Initiated Pep "&amp;$X$20&amp;" "&amp;$X$21&amp;" is more than MCH Physical Violence Rape Survivors"&amp;CHAR(10),""),IF(Y227&gt;Y226," * MCH  Physical Violence Initiated Pep "&amp;$X$20&amp;" "&amp;$Y$21&amp;" is more than MCH Physical Violence Rape Survivors"&amp;CHAR(10),""),IF(Z227&gt;Z226," * MCH  Physical Violence Initiated Pep "&amp;$Z$20&amp;" "&amp;$Z$21&amp;" is more than MCH Physical Violence Rape Survivors"&amp;CHAR(10),""),IF(AA227&gt;AA226," * MCH  Physical Violence Initiated Pep "&amp;$Z$20&amp;" "&amp;$AA$21&amp;" is more than MCH Physical Violence Rape Survivors"&amp;CHAR(10),""))</f>
        <v/>
      </c>
      <c r="AL226" s="765"/>
      <c r="AM226" s="32"/>
      <c r="AN226" s="699"/>
      <c r="AO226" s="14">
        <v>174</v>
      </c>
      <c r="AP226" s="76"/>
      <c r="AQ226" s="77"/>
    </row>
    <row r="227" spans="1:43" ht="25.9" hidden="1" thickBot="1" x14ac:dyDescent="0.8">
      <c r="A227" s="702"/>
      <c r="B227" s="181" t="s">
        <v>873</v>
      </c>
      <c r="C227" s="894" t="s">
        <v>911</v>
      </c>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c r="AA227" s="187"/>
      <c r="AB227" s="367"/>
      <c r="AC227" s="367"/>
      <c r="AD227" s="367"/>
      <c r="AE227" s="367"/>
      <c r="AF227" s="367"/>
      <c r="AG227" s="367"/>
      <c r="AH227" s="367"/>
      <c r="AI227" s="367"/>
      <c r="AJ227" s="53">
        <f t="shared" si="27"/>
        <v>0</v>
      </c>
      <c r="AK227" s="140"/>
      <c r="AL227" s="765"/>
      <c r="AM227" s="32"/>
      <c r="AN227" s="699"/>
      <c r="AO227" s="14">
        <v>175</v>
      </c>
      <c r="AP227" s="76"/>
      <c r="AQ227" s="77"/>
    </row>
    <row r="228" spans="1:43" ht="25.9" hidden="1" thickBot="1" x14ac:dyDescent="0.8">
      <c r="A228" s="702"/>
      <c r="B228" s="181" t="s">
        <v>874</v>
      </c>
      <c r="C228" s="894" t="s">
        <v>912</v>
      </c>
      <c r="D228" s="188"/>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c r="AA228" s="189"/>
      <c r="AB228" s="367"/>
      <c r="AC228" s="367"/>
      <c r="AD228" s="367"/>
      <c r="AE228" s="367"/>
      <c r="AF228" s="367"/>
      <c r="AG228" s="367"/>
      <c r="AH228" s="367"/>
      <c r="AI228" s="367"/>
      <c r="AJ228" s="53">
        <f t="shared" si="27"/>
        <v>0</v>
      </c>
      <c r="AK228" s="140"/>
      <c r="AL228" s="765"/>
      <c r="AM228" s="32"/>
      <c r="AN228" s="699"/>
      <c r="AO228" s="14">
        <v>176</v>
      </c>
      <c r="AP228" s="76"/>
      <c r="AQ228" s="77"/>
    </row>
    <row r="229" spans="1:43" ht="25.9" hidden="1" thickBot="1" x14ac:dyDescent="0.8">
      <c r="A229" s="703"/>
      <c r="B229" s="195" t="s">
        <v>909</v>
      </c>
      <c r="C229" s="894" t="s">
        <v>913</v>
      </c>
      <c r="D229" s="191"/>
      <c r="E229" s="192"/>
      <c r="F229" s="192"/>
      <c r="G229" s="192"/>
      <c r="H229" s="192"/>
      <c r="I229" s="192"/>
      <c r="J229" s="192"/>
      <c r="K229" s="192"/>
      <c r="L229" s="192"/>
      <c r="M229" s="192"/>
      <c r="N229" s="192"/>
      <c r="O229" s="192"/>
      <c r="P229" s="192"/>
      <c r="Q229" s="192"/>
      <c r="R229" s="192"/>
      <c r="S229" s="192"/>
      <c r="T229" s="192"/>
      <c r="U229" s="192"/>
      <c r="V229" s="192"/>
      <c r="W229" s="192"/>
      <c r="X229" s="192"/>
      <c r="Y229" s="192"/>
      <c r="Z229" s="192"/>
      <c r="AA229" s="193"/>
      <c r="AB229" s="367"/>
      <c r="AC229" s="367"/>
      <c r="AD229" s="367"/>
      <c r="AE229" s="367"/>
      <c r="AF229" s="367"/>
      <c r="AG229" s="367"/>
      <c r="AH229" s="367"/>
      <c r="AI229" s="367"/>
      <c r="AJ229" s="196">
        <f t="shared" si="27"/>
        <v>0</v>
      </c>
      <c r="AK229" s="140"/>
      <c r="AL229" s="838"/>
      <c r="AM229" s="32"/>
      <c r="AN229" s="699"/>
      <c r="AO229" s="14">
        <v>177</v>
      </c>
      <c r="AP229" s="76"/>
      <c r="AQ229" s="77"/>
    </row>
    <row r="230" spans="1:43" ht="25.5" x14ac:dyDescent="0.75">
      <c r="A230" s="774" t="s">
        <v>968</v>
      </c>
      <c r="B230" s="197" t="s">
        <v>967</v>
      </c>
      <c r="C230" s="898" t="s">
        <v>185</v>
      </c>
      <c r="D230" s="198"/>
      <c r="E230" s="199"/>
      <c r="F230" s="199"/>
      <c r="G230" s="199"/>
      <c r="H230" s="199"/>
      <c r="I230" s="199"/>
      <c r="J230" s="199"/>
      <c r="K230" s="199"/>
      <c r="L230" s="199"/>
      <c r="M230" s="199"/>
      <c r="N230" s="199"/>
      <c r="O230" s="199"/>
      <c r="P230" s="199"/>
      <c r="Q230" s="199"/>
      <c r="R230" s="199"/>
      <c r="S230" s="199"/>
      <c r="T230" s="199"/>
      <c r="U230" s="199"/>
      <c r="V230" s="199"/>
      <c r="W230" s="199"/>
      <c r="X230" s="199"/>
      <c r="Y230" s="199"/>
      <c r="Z230" s="199"/>
      <c r="AA230" s="421"/>
      <c r="AB230" s="411"/>
      <c r="AC230" s="412"/>
      <c r="AD230" s="412"/>
      <c r="AE230" s="412"/>
      <c r="AF230" s="412"/>
      <c r="AG230" s="412"/>
      <c r="AH230" s="412"/>
      <c r="AI230" s="339"/>
      <c r="AJ230" s="200">
        <f>SUM(D230:AA230)</f>
        <v>0</v>
      </c>
      <c r="AK230" s="140" t="str">
        <f>CONCATENATE(IF(D231&gt;D230," * Initiated Pep for Age "&amp;D20&amp;" "&amp;D21&amp;" is more than Rape survivors"&amp;CHAR(10),""),IF(E231&gt;E230," * Initiated Pep for Age "&amp;D20&amp;" "&amp;E21&amp;" is more than Rape survivors"&amp;CHAR(10),""),IF(F231&gt;F230," * Initiated Pep for Age "&amp;F20&amp;" "&amp;F21&amp;" is more than Rape survivors"&amp;CHAR(10),""),IF(G231&gt;G230," * Initiated Pep for Age "&amp;F20&amp;" "&amp;G21&amp;" is more than Rape survivors"&amp;CHAR(10),""),IF(H231&gt;H230," * Initiated Pep for Age "&amp;H20&amp;" "&amp;H21&amp;" is more than Rape survivors"&amp;CHAR(10),""),IF(I231&gt;I230," * Initiated Pep for Age "&amp;H20&amp;" "&amp;I21&amp;" is more than Rape survivors"&amp;CHAR(10),""),IF(J231&gt;J230," * Initiated Pep for Age "&amp;J20&amp;" "&amp;J21&amp;" is more than Rape survivors"&amp;CHAR(10),""),IF(K231&gt;K230," * Initiated Pep for Age "&amp;J20&amp;" "&amp;K21&amp;" is more than Rape survivors"&amp;CHAR(10),""),IF(L231&gt;L230," * Initiated Pep for Age "&amp;L20&amp;" "&amp;L21&amp;" is more than Rape survivors"&amp;CHAR(10),""),IF(M231&gt;M230," * Initiated Pep for Age "&amp;L20&amp;" "&amp;M21&amp;" is more than Rape survivors"&amp;CHAR(10),""),IF(N231&gt;N230," * Initiated Pep for Age "&amp;N20&amp;" "&amp;N21&amp;" is more than Rape survivors"&amp;CHAR(10),""),IF(O231&gt;O230," * Initiated Pep for Age "&amp;N20&amp;" "&amp;O21&amp;" is more than Rape survivors"&amp;CHAR(10),""),IF(P231&gt;P230," * Initiated Pep for Age "&amp;P20&amp;" "&amp;P21&amp;" is more than Rape survivors"&amp;CHAR(10),""),IF(Q231&gt;Q230," * Initiated Pep for Age "&amp;P20&amp;" "&amp;Q21&amp;" is more than Rape survivors"&amp;CHAR(10),""),IF(R231&gt;R230," * Initiated Pep for Age "&amp;R20&amp;" "&amp;R21&amp;" is more than Rape survivors"&amp;CHAR(10),""),IF(S231&gt;S230," * Initiated Pep for Age "&amp;R20&amp;" "&amp;S21&amp;" is more than Rape survivors"&amp;CHAR(10),""),IF(T231&gt;T230," * Initiated Pep for Age "&amp;T20&amp;" "&amp;T21&amp;" is more than Rape survivors"&amp;CHAR(10),""),IF(U231&gt;U230," * Initiated Pep for Age "&amp;T20&amp;" "&amp;U21&amp;" is more than Rape survivors"&amp;CHAR(10),""),IF(V231&gt;V230," * Initiated Pep for Age "&amp;V20&amp;" "&amp;V21&amp;" is more than Rape survivors"&amp;CHAR(10),""),IF(W231&gt;W230," * Initiated Pep for Age "&amp;V20&amp;" "&amp;W21&amp;" is more than Rape survivors"&amp;CHAR(10),""),IF(X231&gt;X230," * Initiated Pep for Age "&amp;X20&amp;" "&amp;X21&amp;" is more than Rape survivors"&amp;CHAR(10),""),IF(Y231&gt;Y230," * Initiated Pep for Age "&amp;X20&amp;" "&amp;Y21&amp;" is more than Rape survivors"&amp;CHAR(10),""),IF(Z231&gt;Z230," * Initiated Pep for Age "&amp;Z20&amp;" "&amp;Z21&amp;" is more than Rape survivors"&amp;CHAR(10),""),IF(AA231&gt;AA230," * Initiated Pep for Age "&amp;Z20&amp;" "&amp;AA21&amp;" is more than Rape survivors"&amp;CHAR(10),""))</f>
        <v/>
      </c>
      <c r="AL230" s="839" t="str">
        <f>CONCATENATE(AK194,AK232,AK233,AK234,AK235,AK237,AK239,AK241,AK243,AK244,AK231,AK236,AK230)</f>
        <v/>
      </c>
      <c r="AM230" s="32"/>
      <c r="AN230" s="699"/>
      <c r="AO230" s="14">
        <v>178</v>
      </c>
      <c r="AP230" s="76"/>
      <c r="AQ230" s="77"/>
    </row>
    <row r="231" spans="1:43" ht="25.9" thickBot="1" x14ac:dyDescent="0.8">
      <c r="A231" s="681"/>
      <c r="B231" s="201" t="s">
        <v>926</v>
      </c>
      <c r="C231" s="914" t="s">
        <v>184</v>
      </c>
      <c r="D231" s="202"/>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422"/>
      <c r="AB231" s="413"/>
      <c r="AC231" s="380"/>
      <c r="AD231" s="380"/>
      <c r="AE231" s="380"/>
      <c r="AF231" s="380"/>
      <c r="AG231" s="380"/>
      <c r="AH231" s="380"/>
      <c r="AI231" s="336"/>
      <c r="AJ231" s="204">
        <f t="shared" ref="AJ231:AJ244" si="97">SUM(D231:AA231)</f>
        <v>0</v>
      </c>
      <c r="AK231" s="140"/>
      <c r="AL231" s="622"/>
      <c r="AM231" s="32"/>
      <c r="AN231" s="699"/>
      <c r="AO231" s="14">
        <v>179</v>
      </c>
      <c r="AP231" s="76"/>
      <c r="AQ231" s="77"/>
    </row>
    <row r="232" spans="1:43" ht="25.9" thickBot="1" x14ac:dyDescent="0.8">
      <c r="A232" s="585" t="s">
        <v>969</v>
      </c>
      <c r="B232" s="197" t="s">
        <v>679</v>
      </c>
      <c r="C232" s="914" t="s">
        <v>251</v>
      </c>
      <c r="D232" s="205"/>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371"/>
      <c r="AB232" s="413"/>
      <c r="AC232" s="380"/>
      <c r="AD232" s="380"/>
      <c r="AE232" s="380"/>
      <c r="AF232" s="380"/>
      <c r="AG232" s="380"/>
      <c r="AH232" s="380"/>
      <c r="AI232" s="336"/>
      <c r="AJ232" s="423">
        <f>SUM(D232:AA232)</f>
        <v>0</v>
      </c>
      <c r="AK232" s="122" t="str">
        <f>CONCATENATE(IF(D233&gt;D232," * Initiated Pep for Age "&amp;D19&amp;" "&amp;D20&amp;" is more than No of Clients"&amp;CHAR(10),""),IF(E233&gt;E232," * Initiated Pep for Age "&amp;D19&amp;" "&amp;E20&amp;" is more than No of Clients"&amp;CHAR(10),""),IF(F233&gt;F232," * Initiated Pep for Age "&amp;F19&amp;" "&amp;F20&amp;" is more than No of Clients"&amp;CHAR(10),""),IF(G233&gt;G232," * Initiated Pep for Age "&amp;F19&amp;" "&amp;G20&amp;" is more than No of Clients"&amp;CHAR(10),""),IF(H233&gt;H232," * Initiated Pep for Age "&amp;H19&amp;" "&amp;H20&amp;" is more than No of Clients"&amp;CHAR(10),""),IF(I233&gt;I232," * Initiated Pep for Age "&amp;H19&amp;" "&amp;I20&amp;" is more than No of Clients"&amp;CHAR(10),""),IF(J233&gt;J232," * Initiated Pep for Age "&amp;J19&amp;" "&amp;J20&amp;" is more than No of Clients"&amp;CHAR(10),""),IF(K233&gt;K232," * Initiated Pep for Age "&amp;J19&amp;" "&amp;K20&amp;" is more than No of Clients"&amp;CHAR(10),""),IF(L233&gt;L232," * Initiated Pep for Age "&amp;L19&amp;" "&amp;L20&amp;" is more than No of Clients"&amp;CHAR(10),""),IF(M233&gt;M232," * Initiated Pep for Age "&amp;L19&amp;" "&amp;M20&amp;" is more than No of Clients"&amp;CHAR(10),""),IF(N233&gt;N232," * Initiated Pep for Age "&amp;N19&amp;" "&amp;N20&amp;" is more than No of Clients"&amp;CHAR(10),""),IF(O233&gt;O232," * Initiated Pep for Age "&amp;N19&amp;" "&amp;O20&amp;" is more than No of Clients"&amp;CHAR(10),""),IF(P233&gt;P232," * Initiated Pep for Age "&amp;P19&amp;" "&amp;P20&amp;" is more than No of Clients"&amp;CHAR(10),""),IF(Q233&gt;Q232," * Initiated Pep for Age "&amp;P19&amp;" "&amp;Q20&amp;" is more than No of Clients"&amp;CHAR(10),""),IF(R233&gt;R232," * Initiated Pep for Age "&amp;R19&amp;" "&amp;R20&amp;" is more than No of Clients"&amp;CHAR(10),""),IF(S233&gt;S232," * Initiated Pep for Age "&amp;R19&amp;" "&amp;S20&amp;" is more than No of Clients"&amp;CHAR(10),""),IF(T233&gt;T232," * Initiated Pep for Age "&amp;T19&amp;" "&amp;T20&amp;" is more than No of Clients"&amp;CHAR(10),""),IF(U233&gt;U232," * Initiated Pep for Age "&amp;T19&amp;" "&amp;U20&amp;" is more than No of Clients"&amp;CHAR(10),""),IF(V233&gt;V232," * Initiated Pep for Age "&amp;V19&amp;" "&amp;V20&amp;" is more than No of Clients"&amp;CHAR(10),""),IF(W233&gt;W232," * Initiated Pep for Age "&amp;V19&amp;" "&amp;W20&amp;" is more than No of Clients"&amp;CHAR(10),""),IF(X233&gt;X232," * Initiated Pep for Age "&amp;X19&amp;" "&amp;X20&amp;" is more than No of Clients"&amp;CHAR(10),""),IF(Y233&gt;Y232," * Initiated Pep for Age "&amp;X19&amp;" "&amp;Y20&amp;" is more than No of Clients"&amp;CHAR(10),""),IF(Z233&gt;Z232," * Initiated Pep for Age "&amp;Z19&amp;" "&amp;Z20&amp;" is more than No of Clients"&amp;CHAR(10),""),IF(AA233&gt;AA232," * Initiated Pep for Age "&amp;Z19&amp;" "&amp;AA20&amp;" is more than No of Clients"&amp;CHAR(10),""))</f>
        <v/>
      </c>
      <c r="AL232" s="622"/>
      <c r="AM232" s="32"/>
      <c r="AN232" s="699"/>
      <c r="AO232" s="14">
        <v>180</v>
      </c>
      <c r="AP232" s="76"/>
      <c r="AQ232" s="77"/>
    </row>
    <row r="233" spans="1:43" ht="25.9" hidden="1" thickBot="1" x14ac:dyDescent="0.8">
      <c r="A233" s="586"/>
      <c r="B233" s="201" t="s">
        <v>678</v>
      </c>
      <c r="C233" s="915" t="s">
        <v>255</v>
      </c>
      <c r="D233" s="207"/>
      <c r="E233" s="208"/>
      <c r="F233" s="208"/>
      <c r="G233" s="208"/>
      <c r="H233" s="208"/>
      <c r="I233" s="208"/>
      <c r="J233" s="208"/>
      <c r="K233" s="208"/>
      <c r="L233" s="208"/>
      <c r="M233" s="208"/>
      <c r="N233" s="208"/>
      <c r="O233" s="208"/>
      <c r="P233" s="208"/>
      <c r="Q233" s="208"/>
      <c r="R233" s="208"/>
      <c r="S233" s="208"/>
      <c r="T233" s="208"/>
      <c r="U233" s="208"/>
      <c r="V233" s="208"/>
      <c r="W233" s="208"/>
      <c r="X233" s="208"/>
      <c r="Y233" s="208"/>
      <c r="Z233" s="208"/>
      <c r="AA233" s="370"/>
      <c r="AB233" s="413"/>
      <c r="AC233" s="380"/>
      <c r="AD233" s="380"/>
      <c r="AE233" s="380"/>
      <c r="AF233" s="380"/>
      <c r="AG233" s="380"/>
      <c r="AH233" s="380"/>
      <c r="AI233" s="336"/>
      <c r="AJ233" s="57">
        <f t="shared" si="97"/>
        <v>0</v>
      </c>
      <c r="AK233" s="122"/>
      <c r="AL233" s="622"/>
      <c r="AM233" s="32"/>
      <c r="AN233" s="699"/>
      <c r="AO233" s="14">
        <v>181</v>
      </c>
      <c r="AP233" s="76"/>
      <c r="AQ233" s="77"/>
    </row>
    <row r="234" spans="1:43" s="15" customFormat="1" ht="25.5" x14ac:dyDescent="0.75">
      <c r="A234" s="648" t="s">
        <v>26</v>
      </c>
      <c r="B234" s="147" t="s">
        <v>680</v>
      </c>
      <c r="C234" s="914" t="s">
        <v>256</v>
      </c>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372"/>
      <c r="AB234" s="413"/>
      <c r="AC234" s="380"/>
      <c r="AD234" s="380"/>
      <c r="AE234" s="380"/>
      <c r="AF234" s="380"/>
      <c r="AG234" s="380"/>
      <c r="AH234" s="380"/>
      <c r="AI234" s="336"/>
      <c r="AJ234" s="53">
        <f t="shared" si="97"/>
        <v>0</v>
      </c>
      <c r="AK234" s="122" t="str">
        <f>CONCATENATE(IF(D234&gt;D230," * Total Rape Survivors for Age "&amp;D20&amp;" "&amp;D21&amp;" is less than Screened For STI"&amp;CHAR(10),""),IF(E234&gt;E230," * Total Rape Survivors for Age "&amp;D20&amp;" "&amp;E21&amp;" is less than Screened For STI"&amp;CHAR(10),""),IF(F234&gt;F230," * Total Rape Survivors for Age "&amp;F20&amp;" "&amp;F21&amp;" is less than Screened For STI"&amp;CHAR(10),""),IF(G234&gt;G230," * Total Rape Survivors for Age "&amp;F20&amp;" "&amp;G21&amp;" is less than Screened For STI"&amp;CHAR(10),""),IF(H234&gt;H230," * Total Rape Survivors for Age "&amp;H20&amp;" "&amp;H21&amp;" is less than Screened For STI"&amp;CHAR(10),""),IF(I234&gt;I230," * Total Rape Survivors for Age "&amp;H20&amp;" "&amp;I21&amp;" is less than Screened For STI"&amp;CHAR(10),""),IF(J234&gt;J230," * Total Rape Survivors for Age "&amp;J20&amp;" "&amp;J21&amp;" is less than Screened For STI"&amp;CHAR(10),""),IF(K234&gt;K230," * Total Rape Survivors for Age "&amp;J20&amp;" "&amp;K21&amp;" is less than Screened For STI"&amp;CHAR(10),""),IF(L234&gt;L230," * Total Rape Survivors for Age "&amp;L20&amp;" "&amp;L21&amp;" is less than Screened For STI"&amp;CHAR(10),""),IF(M234&gt;M230," * Total Rape Survivors for Age "&amp;L20&amp;" "&amp;M21&amp;" is less than Screened For STI"&amp;CHAR(10),""),IF(N234&gt;N230," * Total Rape Survivors for Age "&amp;N20&amp;" "&amp;N21&amp;" is less than Screened For STI"&amp;CHAR(10),""),IF(O234&gt;O230," * Total Rape Survivors for Age "&amp;N20&amp;" "&amp;O21&amp;" is less than Screened For STI"&amp;CHAR(10),""),IF(P234&gt;P230," * Total Rape Survivors for Age "&amp;P20&amp;" "&amp;P21&amp;" is less than Screened For STI"&amp;CHAR(10),""),IF(Q234&gt;Q230," * Total Rape Survivors for Age "&amp;P20&amp;" "&amp;Q21&amp;" is less than Screened For STI"&amp;CHAR(10),""),IF(R234&gt;R230," * Total Rape Survivors for Age "&amp;R20&amp;" "&amp;R21&amp;" is less than Screened For STI"&amp;CHAR(10),""),IF(S234&gt;S230," * Total Rape Survivors for Age "&amp;R20&amp;" "&amp;S21&amp;" is less than Screened For STI"&amp;CHAR(10),""),IF(T234&gt;T230," * Total Rape Survivors for Age "&amp;T20&amp;" "&amp;T21&amp;" is less than Screened For STI"&amp;CHAR(10),""),IF(U234&gt;U230," * Total Rape Survivors for Age "&amp;T20&amp;" "&amp;U21&amp;" is less than Screened For STI"&amp;CHAR(10),""),IF(V234&gt;V230," * Total Rape Survivors for Age "&amp;V20&amp;" "&amp;V21&amp;" is less than Screened For STI"&amp;CHAR(10),""),IF(W234&gt;W230," * Total Rape Survivors for Age "&amp;V20&amp;" "&amp;W21&amp;" is less than Screened For STI"&amp;CHAR(10),""),IF(X234&gt;X230," * Total Rape Survivors for Age "&amp;X20&amp;" "&amp;X21&amp;" is less than Screened For STI"&amp;CHAR(10),""),IF(Y234&gt;Y230," * Total Rape Survivors for Age "&amp;X20&amp;" "&amp;Y21&amp;" is less than Screened For STI"&amp;CHAR(10),""),IF(Z234&gt;Z230," * Total Rape Survivors for Age "&amp;Z20&amp;" "&amp;Z21&amp;" is less than Screened For STI"&amp;CHAR(10),""),IF(AA234&gt;AA230," * Total Rape Survivors for Age "&amp;Z20&amp;" "&amp;AA21&amp;" is less than Screened For STI"&amp;CHAR(10),""),IF(AJ234&gt;AJ230," * Total Total Rape Survivors is less than Total Screened For STI"&amp;CHAR(10),""))</f>
        <v/>
      </c>
      <c r="AL234" s="622"/>
      <c r="AM234" s="32"/>
      <c r="AN234" s="699"/>
      <c r="AO234" s="14">
        <v>182</v>
      </c>
      <c r="AP234" s="76"/>
      <c r="AQ234" s="160"/>
    </row>
    <row r="235" spans="1:43" s="15" customFormat="1" ht="25.5" x14ac:dyDescent="0.75">
      <c r="A235" s="649"/>
      <c r="B235" s="210" t="s">
        <v>681</v>
      </c>
      <c r="C235" s="899" t="s">
        <v>257</v>
      </c>
      <c r="D235" s="211"/>
      <c r="E235" s="212"/>
      <c r="F235" s="212"/>
      <c r="G235" s="212"/>
      <c r="H235" s="212"/>
      <c r="I235" s="212"/>
      <c r="J235" s="212"/>
      <c r="K235" s="212"/>
      <c r="L235" s="212"/>
      <c r="M235" s="212"/>
      <c r="N235" s="212"/>
      <c r="O235" s="212"/>
      <c r="P235" s="212"/>
      <c r="Q235" s="212"/>
      <c r="R235" s="212"/>
      <c r="S235" s="212"/>
      <c r="T235" s="212"/>
      <c r="U235" s="212"/>
      <c r="V235" s="212"/>
      <c r="W235" s="212"/>
      <c r="X235" s="212"/>
      <c r="Y235" s="212"/>
      <c r="Z235" s="212"/>
      <c r="AA235" s="373"/>
      <c r="AB235" s="413"/>
      <c r="AC235" s="380"/>
      <c r="AD235" s="380"/>
      <c r="AE235" s="380"/>
      <c r="AF235" s="380"/>
      <c r="AG235" s="380"/>
      <c r="AH235" s="380"/>
      <c r="AI235" s="336"/>
      <c r="AJ235" s="185">
        <f t="shared" si="97"/>
        <v>0</v>
      </c>
      <c r="AK235" s="140" t="str">
        <f>CONCATENATE(IF(D235&gt;D234," * Screened For STI for Age "&amp;D20&amp;" "&amp;D21&amp;" is more than Tested For STI"&amp;CHAR(10),""),IF(E235&gt;E234," * Screened For STI for Age "&amp;D20&amp;" "&amp;E21&amp;" is more than Tested For STI"&amp;CHAR(10),""),IF(F235&gt;F234," * Screened For STI for Age "&amp;F20&amp;" "&amp;F21&amp;" is more than Tested For STI"&amp;CHAR(10),""),IF(G235&gt;G234," * Screened For STI for Age "&amp;F20&amp;" "&amp;G21&amp;" is more than Tested For STI"&amp;CHAR(10),""),IF(H235&gt;H234," * Screened For STI for Age "&amp;H20&amp;" "&amp;H21&amp;" is more than Tested For STI"&amp;CHAR(10),""),IF(I235&gt;I234," * Screened For STI for Age "&amp;H20&amp;" "&amp;I21&amp;" is more than Tested For STI"&amp;CHAR(10),""),IF(J235&gt;J234," * Screened For STI for Age "&amp;J20&amp;" "&amp;J21&amp;" is more than Tested For STI"&amp;CHAR(10),""),IF(K235&gt;K234," * Screened For STI for Age "&amp;J20&amp;" "&amp;K21&amp;" is more than Tested For STI"&amp;CHAR(10),""),IF(L235&gt;L234," * Screened For STI for Age "&amp;L20&amp;" "&amp;L21&amp;" is more than Tested For STI"&amp;CHAR(10),""),IF(M235&gt;M234," * Screened For STI for Age "&amp;L20&amp;" "&amp;M21&amp;" is more than Tested For STI"&amp;CHAR(10),""),IF(N235&gt;N234," * Screened For STI for Age "&amp;N20&amp;" "&amp;N21&amp;" is more than Tested For STI"&amp;CHAR(10),""),IF(O235&gt;O234," * Screened For STI for Age "&amp;N20&amp;" "&amp;O21&amp;" is more than Tested For STI"&amp;CHAR(10),""),IF(P235&gt;P234," * Screened For STI for Age "&amp;P20&amp;" "&amp;P21&amp;" is more than Tested For STI"&amp;CHAR(10),""),IF(Q235&gt;Q234," * Screened For STI for Age "&amp;P20&amp;" "&amp;Q21&amp;" is more than Tested For STI"&amp;CHAR(10),""),IF(R235&gt;R234," * Screened For STI for Age "&amp;R20&amp;" "&amp;R21&amp;" is more than Tested For STI"&amp;CHAR(10),""),IF(S235&gt;S234," * Screened For STI for Age "&amp;R20&amp;" "&amp;S21&amp;" is more than Tested For STI"&amp;CHAR(10),""),IF(T235&gt;T234," * Screened For STI for Age "&amp;T20&amp;" "&amp;T21&amp;" is more than Tested For STI"&amp;CHAR(10),""),IF(U235&gt;U234," * Screened For STI for Age "&amp;T20&amp;" "&amp;U21&amp;" is more than Tested For STI"&amp;CHAR(10),""),IF(V235&gt;V234," * Screened For STI for Age "&amp;V20&amp;" "&amp;V21&amp;" is more than Tested For STI"&amp;CHAR(10),""),IF(W235&gt;W234," * Screened For STI for Age "&amp;V20&amp;" "&amp;W21&amp;" is more than Tested For STI"&amp;CHAR(10),""),IF(X235&gt;X234," * Screened For STI for Age "&amp;X20&amp;" "&amp;X21&amp;" is more than Tested For STI"&amp;CHAR(10),""),IF(Y235&gt;Y234," * Screened For STI for Age "&amp;X20&amp;" "&amp;Y21&amp;" is more than Tested For STI"&amp;CHAR(10),""),IF(Z235&gt;Z234," * Screened For STI for Age "&amp;Z20&amp;" "&amp;Z21&amp;" is more than Tested For STI"&amp;CHAR(10),""),IF(AA235&gt;AA234," * Screened For STI for Age "&amp;AA20&amp;" "&amp;AA21&amp;" is more than Tested For STI"&amp;CHAR(10),""))</f>
        <v/>
      </c>
      <c r="AL235" s="622"/>
      <c r="AM235" s="32"/>
      <c r="AN235" s="699"/>
      <c r="AO235" s="14">
        <v>183</v>
      </c>
      <c r="AP235" s="76"/>
      <c r="AQ235" s="160"/>
    </row>
    <row r="236" spans="1:43" s="15" customFormat="1" ht="25.5" x14ac:dyDescent="0.75">
      <c r="A236" s="649"/>
      <c r="B236" s="210" t="s">
        <v>682</v>
      </c>
      <c r="C236" s="899" t="s">
        <v>258</v>
      </c>
      <c r="D236" s="213"/>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c r="AA236" s="354"/>
      <c r="AB236" s="413"/>
      <c r="AC236" s="380"/>
      <c r="AD236" s="380"/>
      <c r="AE236" s="380"/>
      <c r="AF236" s="380"/>
      <c r="AG236" s="380"/>
      <c r="AH236" s="380"/>
      <c r="AI236" s="336"/>
      <c r="AJ236" s="185">
        <f t="shared" si="97"/>
        <v>0</v>
      </c>
      <c r="AK236" s="140" t="str">
        <f>CONCATENATE(IF(D236&gt;D235," * F05-07 for Age "&amp;D20&amp;" "&amp;D21&amp;" is more than F05-06"&amp;CHAR(10),""),IF(E236&gt;E235," * F05-07 for Age "&amp;D20&amp;" "&amp;E21&amp;" is more than F05-06"&amp;CHAR(10),""),IF(F236&gt;F235," * F05-07 for Age "&amp;F20&amp;" "&amp;F21&amp;" is more than F05-06"&amp;CHAR(10),""),IF(G236&gt;G235," * F05-07 for Age "&amp;F20&amp;" "&amp;G21&amp;" is more than F05-06"&amp;CHAR(10),""),IF(H236&gt;H235," * F05-07 for Age "&amp;H20&amp;" "&amp;H21&amp;" is more than F05-06"&amp;CHAR(10),""),IF(I236&gt;I235," * F05-07 for Age "&amp;H20&amp;" "&amp;I21&amp;" is more than F05-06"&amp;CHAR(10),""),IF(J236&gt;J235," * F05-07 for Age "&amp;J20&amp;" "&amp;J21&amp;" is more than F05-06"&amp;CHAR(10),""),IF(K236&gt;K235," * F05-07 for Age "&amp;J20&amp;" "&amp;K21&amp;" is more than F05-06"&amp;CHAR(10),""),IF(L236&gt;L235," * F05-07 for Age "&amp;L20&amp;" "&amp;L21&amp;" is more than F05-06"&amp;CHAR(10),""),IF(M236&gt;M235," * F05-07 for Age "&amp;L20&amp;" "&amp;M21&amp;" is more than F05-06"&amp;CHAR(10),""),IF(N236&gt;N235," * F05-07 for Age "&amp;N20&amp;" "&amp;N21&amp;" is more than F05-06"&amp;CHAR(10),""),IF(O236&gt;O235," * F05-07 for Age "&amp;N20&amp;" "&amp;O21&amp;" is more than F05-06"&amp;CHAR(10),""),IF(P236&gt;P235," * F05-07 for Age "&amp;P20&amp;" "&amp;P21&amp;" is more than F05-06"&amp;CHAR(10),""),IF(Q236&gt;Q235," * F05-07 for Age "&amp;P20&amp;" "&amp;Q21&amp;" is more than F05-06"&amp;CHAR(10),""),IF(R236&gt;R235," * F05-07 for Age "&amp;R20&amp;" "&amp;R21&amp;" is more than F05-06"&amp;CHAR(10),""),IF(S236&gt;S235," * F05-07 for Age "&amp;R20&amp;" "&amp;S21&amp;" is more than F05-06"&amp;CHAR(10),""),IF(T236&gt;T235," * F05-07 for Age "&amp;T20&amp;" "&amp;T21&amp;" is more than F05-06"&amp;CHAR(10),""),IF(U236&gt;U235," * F05-07 for Age "&amp;T20&amp;" "&amp;U21&amp;" is more than F05-06"&amp;CHAR(10),""),IF(V236&gt;V235," * F05-07 for Age "&amp;V20&amp;" "&amp;V21&amp;" is more than F05-06"&amp;CHAR(10),""),IF(W236&gt;W235," * F05-07 for Age "&amp;V20&amp;" "&amp;W21&amp;" is more than F05-06"&amp;CHAR(10),""),IF(X236&gt;X235," * F05-07 for Age "&amp;X20&amp;" "&amp;X21&amp;" is more than F05-06"&amp;CHAR(10),""),IF(Y236&gt;Y235," * F05-07 for Age "&amp;X20&amp;" "&amp;Y21&amp;" is more than F05-06"&amp;CHAR(10),""),IF(Z236&gt;Z235," * F05-07 for Age "&amp;Z20&amp;" "&amp;Z21&amp;" is more than F05-06"&amp;CHAR(10),""),IF(AA236&gt;AA235," * F05-07 for Age "&amp;Z20&amp;" "&amp;AA21&amp;" is more than F05-06"&amp;CHAR(10),""),IF(AJ236&gt;AJ235," * Total F05-07 is more than Total F05-06"&amp;CHAR(10),""))</f>
        <v/>
      </c>
      <c r="AL236" s="622"/>
      <c r="AM236" s="32"/>
      <c r="AN236" s="699"/>
      <c r="AO236" s="14">
        <v>184</v>
      </c>
      <c r="AP236" s="76"/>
      <c r="AQ236" s="160"/>
    </row>
    <row r="237" spans="1:43" s="15" customFormat="1" ht="25.5" x14ac:dyDescent="0.75">
      <c r="A237" s="649"/>
      <c r="B237" s="210" t="s">
        <v>683</v>
      </c>
      <c r="C237" s="899" t="s">
        <v>259</v>
      </c>
      <c r="D237" s="126"/>
      <c r="E237" s="126"/>
      <c r="F237" s="126"/>
      <c r="G237" s="126"/>
      <c r="H237" s="126"/>
      <c r="I237" s="126"/>
      <c r="J237" s="126"/>
      <c r="K237" s="212"/>
      <c r="L237" s="126"/>
      <c r="M237" s="212"/>
      <c r="N237" s="126"/>
      <c r="O237" s="212"/>
      <c r="P237" s="126"/>
      <c r="Q237" s="212"/>
      <c r="R237" s="126"/>
      <c r="S237" s="212"/>
      <c r="T237" s="126"/>
      <c r="U237" s="212"/>
      <c r="V237" s="126"/>
      <c r="W237" s="212"/>
      <c r="X237" s="126"/>
      <c r="Y237" s="212"/>
      <c r="Z237" s="126"/>
      <c r="AA237" s="373"/>
      <c r="AB237" s="413"/>
      <c r="AC237" s="380"/>
      <c r="AD237" s="380"/>
      <c r="AE237" s="380"/>
      <c r="AF237" s="380"/>
      <c r="AG237" s="380"/>
      <c r="AH237" s="380"/>
      <c r="AI237" s="336"/>
      <c r="AJ237" s="185">
        <f t="shared" si="97"/>
        <v>0</v>
      </c>
      <c r="AK237" s="140" t="str">
        <f>CONCATENATE(IF(D237&gt;D230," * Given Emergency Contraceptive Pill for Age "&amp;D20&amp;" "&amp;D21&amp;" is more than Sexual Violence Rape Survivors"&amp;CHAR(10),""),IF(E237&gt;E230," * Given Emergency Contraceptive Pill for Age "&amp;D20&amp;" "&amp;E21&amp;" is more than Sexual Violence Rape Survivors"&amp;CHAR(10),""),IF(F237&gt;F230," * Given Emergency Contraceptive Pill for Age "&amp;F20&amp;" "&amp;F21&amp;" is more than Sexual Violence Rape Survivors"&amp;CHAR(10),""),IF(G237&gt;G230," * Given Emergency Contraceptive Pill for Age "&amp;F20&amp;" "&amp;G21&amp;" is more than Sexual Violence Rape Survivors"&amp;CHAR(10),""),IF(H237&gt;H230," * Given Emergency Contraceptive Pill for Age "&amp;H20&amp;" "&amp;H21&amp;" is more than Sexual Violence Rape Survivors"&amp;CHAR(10),""),IF(I237&gt;I230," * Given Emergency Contraceptive Pill for Age "&amp;H20&amp;" "&amp;I21&amp;" is more than Sexual Violence Rape Survivors"&amp;CHAR(10),""),IF(J237&gt;J230," * Given Emergency Contraceptive Pill for Age "&amp;J20&amp;" "&amp;J21&amp;" is more than Sexual Violence Rape Survivors"&amp;CHAR(10),""),IF(K237&gt;K230," * Given Emergency Contraceptive Pill for Age "&amp;J20&amp;" "&amp;K21&amp;" is more than Sexual Violence Rape Survivors"&amp;CHAR(10),""),IF(L237&gt;L230," * Given Emergency Contraceptive Pill for Age "&amp;L20&amp;" "&amp;L21&amp;" is more than Sexual Violence Rape Survivors"&amp;CHAR(10),""),IF(M237&gt;M230," * Given Emergency Contraceptive Pill for Age "&amp;L20&amp;" "&amp;M21&amp;" is more than Sexual Violence Rape Survivors"&amp;CHAR(10),""),IF(N237&gt;N230," * Given Emergency Contraceptive Pill for Age "&amp;N20&amp;" "&amp;N21&amp;" is more than Sexual Violence Rape Survivors"&amp;CHAR(10),""),IF(O237&gt;O230," * Given Emergency Contraceptive Pill for Age "&amp;N20&amp;" "&amp;O21&amp;" is more than Sexual Violence Rape Survivors"&amp;CHAR(10),""),IF(P237&gt;P230," * Given Emergency Contraceptive Pill for Age "&amp;P20&amp;" "&amp;P21&amp;" is more than Sexual Violence Rape Survivors"&amp;CHAR(10),""),IF(Q237&gt;Q230," * Given Emergency Contraceptive Pill for Age "&amp;P20&amp;" "&amp;Q21&amp;" is more than Sexual Violence Rape Survivors"&amp;CHAR(10),""),IF(R237&gt;R230," * Given Emergency Contraceptive Pill for Age "&amp;R20&amp;" "&amp;R21&amp;" is more than Sexual Violence Rape Survivors"&amp;CHAR(10),""),IF(S237&gt;S230," * Given Emergency Contraceptive Pill for Age "&amp;R20&amp;" "&amp;S21&amp;" is more than Sexual Violence Rape Survivors"&amp;CHAR(10),""),IF(T237&gt;T230," * Given Emergency Contraceptive Pill for Age "&amp;T20&amp;" "&amp;T21&amp;" is more than Sexual Violence Rape Survivors"&amp;CHAR(10),""),IF(U237&gt;U230," * Given Emergency Contraceptive Pill for Age "&amp;T20&amp;" "&amp;U21&amp;" is more than Sexual Violence Rape Survivors"&amp;CHAR(10),""),IF(V237&gt;V230," * Given Emergency Contraceptive Pill for Age "&amp;V20&amp;" "&amp;V21&amp;" is more than Sexual Violence Rape Survivors"&amp;CHAR(10),""),IF(W237&gt;W230," * Given Emergency Contraceptive Pill for Age "&amp;V20&amp;" "&amp;W21&amp;" is more than Sexual Violence Rape Survivors"&amp;CHAR(10),""),IF(X237&gt;X230," * Given Emergency Contraceptive Pill for Age "&amp;X20&amp;" "&amp;X21&amp;" is more than Sexual Violence Rape Survivors"&amp;CHAR(10),""),IF(Y237&gt;Y230," * Given Emergency Contraceptive Pill for Age "&amp;X20&amp;" "&amp;Y21&amp;" is more than Sexual Violence Rape Survivors"&amp;CHAR(10),""),IF(Z237&gt;Z230," * Given Emergency Contraceptive Pill for Age "&amp;Z20&amp;" "&amp;Z21&amp;" is more than Sexual Violence Rape Survivors"&amp;CHAR(10),""),IF(AA237&gt;AA230," * Given Emergency Contraceptive Pill for Age "&amp;Z20&amp;" "&amp;AA21&amp;" is more than Sexual Violence Rape Survivors"&amp;CHAR(10),""))</f>
        <v/>
      </c>
      <c r="AL237" s="622"/>
      <c r="AM237" s="32"/>
      <c r="AN237" s="699"/>
      <c r="AO237" s="14">
        <v>185</v>
      </c>
      <c r="AP237" s="76"/>
      <c r="AQ237" s="160"/>
    </row>
    <row r="238" spans="1:43" s="15" customFormat="1" ht="25.5" x14ac:dyDescent="0.75">
      <c r="A238" s="649"/>
      <c r="B238" s="210" t="s">
        <v>684</v>
      </c>
      <c r="C238" s="899" t="s">
        <v>260</v>
      </c>
      <c r="D238" s="126"/>
      <c r="E238" s="126"/>
      <c r="F238" s="126"/>
      <c r="G238" s="126"/>
      <c r="H238" s="126"/>
      <c r="I238" s="126"/>
      <c r="J238" s="126"/>
      <c r="K238" s="213"/>
      <c r="L238" s="126"/>
      <c r="M238" s="213"/>
      <c r="N238" s="126"/>
      <c r="O238" s="213"/>
      <c r="P238" s="126"/>
      <c r="Q238" s="213"/>
      <c r="R238" s="126"/>
      <c r="S238" s="213"/>
      <c r="T238" s="126"/>
      <c r="U238" s="213"/>
      <c r="V238" s="126"/>
      <c r="W238" s="213"/>
      <c r="X238" s="126"/>
      <c r="Y238" s="213"/>
      <c r="Z238" s="126"/>
      <c r="AA238" s="374"/>
      <c r="AB238" s="413"/>
      <c r="AC238" s="380"/>
      <c r="AD238" s="380"/>
      <c r="AE238" s="380"/>
      <c r="AF238" s="380"/>
      <c r="AG238" s="380"/>
      <c r="AH238" s="380"/>
      <c r="AI238" s="336"/>
      <c r="AJ238" s="185">
        <f t="shared" si="97"/>
        <v>0</v>
      </c>
      <c r="AK238" s="140" t="str">
        <f>CONCATENATE(IF(D238&gt;D237," * Given Emergency Contraceptive Pill for Age "&amp;D20&amp;" "&amp;D21&amp;" is more than Eligible for Emergency Contraceptive Pill"&amp;CHAR(10),""),IF(E238&gt;E237," * Given Emergency Contraceptive Pill for Age "&amp;D20&amp;" "&amp;E21&amp;" is more than Eligible for Emergency Contraceptive Pill"&amp;CHAR(10),""),IF(F238&gt;F237," * Given Emergency Contraceptive Pill for Age "&amp;F20&amp;" "&amp;F21&amp;" is more than Eligible for Emergency Contraceptive Pill"&amp;CHAR(10),""),IF(G238&gt;G237," * Given Emergency Contraceptive Pill for Age "&amp;F20&amp;" "&amp;G21&amp;" is more than Eligible for Emergency Contraceptive Pill"&amp;CHAR(10),""),IF(H238&gt;H237," * Given Emergency Contraceptive Pill for Age "&amp;H20&amp;" "&amp;H21&amp;" is more than Eligible for Emergency Contraceptive Pill"&amp;CHAR(10),""),IF(I238&gt;I237," * Given Emergency Contraceptive Pill for Age "&amp;H20&amp;" "&amp;I21&amp;" is more than Eligible for Emergency Contraceptive Pill"&amp;CHAR(10),""),IF(J238&gt;J237," * Given Emergency Contraceptive Pill for Age "&amp;J20&amp;" "&amp;J21&amp;" is more than Eligible for Emergency Contraceptive Pill"&amp;CHAR(10),""),IF(K238&gt;K237," * Given Emergency Contraceptive Pill for Age "&amp;J20&amp;" "&amp;K21&amp;" is more than Eligible for Emergency Contraceptive Pill"&amp;CHAR(10),""),IF(L238&gt;L237," * Given Emergency Contraceptive Pill for Age "&amp;L20&amp;" "&amp;L21&amp;" is more than Eligible for Emergency Contraceptive Pill"&amp;CHAR(10),""),IF(M238&gt;M237," * Given Emergency Contraceptive Pill for Age "&amp;L20&amp;" "&amp;M21&amp;" is more than Eligible for Emergency Contraceptive Pill"&amp;CHAR(10),""),IF(N238&gt;N237," * Given Emergency Contraceptive Pill for Age "&amp;N20&amp;" "&amp;N21&amp;" is more than Eligible for Emergency Contraceptive Pill"&amp;CHAR(10),""),IF(O238&gt;O237," * Given Emergency Contraceptive Pill for Age "&amp;N20&amp;" "&amp;O21&amp;" is more than Eligible for Emergency Contraceptive Pill"&amp;CHAR(10),""),IF(P238&gt;P237," * Given Emergency Contraceptive Pill for Age "&amp;P20&amp;" "&amp;P21&amp;" is more than Eligible for Emergency Contraceptive Pill"&amp;CHAR(10),""),IF(Q238&gt;Q237," * Given Emergency Contraceptive Pill for Age "&amp;P20&amp;" "&amp;Q21&amp;" is more than Eligible for Emergency Contraceptive Pill"&amp;CHAR(10),""),IF(R238&gt;R237," * Given Emergency Contraceptive Pill for Age "&amp;R20&amp;" "&amp;R21&amp;" is more than Eligible for Emergency Contraceptive Pill"&amp;CHAR(10),""),IF(S238&gt;S237," * Given Emergency Contraceptive Pill for Age "&amp;R20&amp;" "&amp;S21&amp;" is more than Eligible for Emergency Contraceptive Pill"&amp;CHAR(10),""),IF(T238&gt;T237," * Given Emergency Contraceptive Pill for Age "&amp;T20&amp;" "&amp;T21&amp;" is more than Eligible for Emergency Contraceptive Pill"&amp;CHAR(10),""),IF(U238&gt;U237," * Given Emergency Contraceptive Pill for Age "&amp;T20&amp;" "&amp;U21&amp;" is more than Eligible for Emergency Contraceptive Pill"&amp;CHAR(10),""),IF(V238&gt;V237," * Given Emergency Contraceptive Pill for Age "&amp;V20&amp;" "&amp;V21&amp;" is more than Eligible for Emergency Contraceptive Pill"&amp;CHAR(10),""),IF(W238&gt;W237," * Given Emergency Contraceptive Pill for Age "&amp;V20&amp;" "&amp;W21&amp;" is more than Eligible for Emergency Contraceptive Pill"&amp;CHAR(10),""),IF(X238&gt;X237," * Given Emergency Contraceptive Pill for Age "&amp;X20&amp;" "&amp;X21&amp;" is more than Eligible for Emergency Contraceptive Pill"&amp;CHAR(10),""),IF(Y238&gt;Y237," * Given Emergency Contraceptive Pill for Age "&amp;X20&amp;" "&amp;Y21&amp;" is more than Eligible for Emergency Contraceptive Pill"&amp;CHAR(10),""),IF(Z238&gt;Z237," * Given Emergency Contraceptive Pill for Age "&amp;Z20&amp;" "&amp;Z21&amp;" is more than Eligible for Emergency Contraceptive Pill"&amp;CHAR(10),""),IF(AA238&gt;AA237," * Given Emergency Contraceptive Pill for Age "&amp;Z20&amp;" "&amp;AA21&amp;" is more than Eligible for Emergency Contraceptive Pill"&amp;CHAR(10),""))</f>
        <v/>
      </c>
      <c r="AL238" s="622"/>
      <c r="AM238" s="32"/>
      <c r="AN238" s="699"/>
      <c r="AO238" s="14">
        <v>186</v>
      </c>
      <c r="AP238" s="76"/>
      <c r="AQ238" s="160"/>
    </row>
    <row r="239" spans="1:43" s="15" customFormat="1" ht="25.5" x14ac:dyDescent="0.75">
      <c r="A239" s="649"/>
      <c r="B239" s="210" t="s">
        <v>685</v>
      </c>
      <c r="C239" s="899" t="s">
        <v>261</v>
      </c>
      <c r="D239" s="211"/>
      <c r="E239" s="212"/>
      <c r="F239" s="212"/>
      <c r="G239" s="212"/>
      <c r="H239" s="212"/>
      <c r="I239" s="212"/>
      <c r="J239" s="212"/>
      <c r="K239" s="212"/>
      <c r="L239" s="212"/>
      <c r="M239" s="212"/>
      <c r="N239" s="212"/>
      <c r="O239" s="212"/>
      <c r="P239" s="212"/>
      <c r="Q239" s="212"/>
      <c r="R239" s="212"/>
      <c r="S239" s="212"/>
      <c r="T239" s="212"/>
      <c r="U239" s="212"/>
      <c r="V239" s="212"/>
      <c r="W239" s="212"/>
      <c r="X239" s="212"/>
      <c r="Y239" s="212"/>
      <c r="Z239" s="212"/>
      <c r="AA239" s="373"/>
      <c r="AB239" s="413"/>
      <c r="AC239" s="380"/>
      <c r="AD239" s="380"/>
      <c r="AE239" s="380"/>
      <c r="AF239" s="380"/>
      <c r="AG239" s="380"/>
      <c r="AH239" s="380"/>
      <c r="AI239" s="336"/>
      <c r="AJ239" s="185">
        <f t="shared" si="97"/>
        <v>0</v>
      </c>
      <c r="AK239" s="687" t="str">
        <f>CONCATENATE(IF(D240&gt;D239," * F05-11 for Age "&amp;D20&amp;" "&amp;D21&amp;" is more than F05-10"&amp;CHAR(10),""),IF(E240&gt;E239," * F05-11 for Age "&amp;D20&amp;" "&amp;E21&amp;" is more than F05-10"&amp;CHAR(10),""),IF(F240&gt;F239," * F05-11 for Age "&amp;F20&amp;" "&amp;F21&amp;" is more than F05-10"&amp;CHAR(10),""),IF(G240&gt;G239," * F05-11 for Age "&amp;F20&amp;" "&amp;G21&amp;" is more than F05-10"&amp;CHAR(10),""),IF(H240&gt;H239," * F05-11 for Age "&amp;H20&amp;" "&amp;H21&amp;" is more than F05-10"&amp;CHAR(10),""),IF(I240&gt;I239," * F05-11 for Age "&amp;H20&amp;" "&amp;I21&amp;" is more than F05-10"&amp;CHAR(10),""),IF(J240&gt;J239," * F05-11 for Age "&amp;J20&amp;" "&amp;J21&amp;" is more than F05-10"&amp;CHAR(10),""),IF(K240&gt;K239," * F05-11 for Age "&amp;J20&amp;" "&amp;K21&amp;" is more than F05-10"&amp;CHAR(10),""),IF(L240&gt;L239," * F05-11 for Age "&amp;L20&amp;" "&amp;L21&amp;" is more than F05-10"&amp;CHAR(10),""),IF(M240&gt;M239," * F05-11 for Age "&amp;L20&amp;" "&amp;M21&amp;" is more than F05-10"&amp;CHAR(10),""),IF(N240&gt;N239," * F05-11 for Age "&amp;N20&amp;" "&amp;N21&amp;" is more than F05-10"&amp;CHAR(10),""),IF(O240&gt;O239," * F05-11 for Age "&amp;N20&amp;" "&amp;O21&amp;" is more than F05-10"&amp;CHAR(10),""),IF(P240&gt;P239," * F05-11 for Age "&amp;P20&amp;" "&amp;P21&amp;" is more than F05-10"&amp;CHAR(10),""),IF(Q240&gt;Q239," * F05-11 for Age "&amp;P20&amp;" "&amp;Q21&amp;" is more than F05-10"&amp;CHAR(10),""),IF(R240&gt;R239," * F05-11 for Age "&amp;R20&amp;" "&amp;R21&amp;" is more than F05-10"&amp;CHAR(10),""),IF(S240&gt;S239," * F05-11 for Age "&amp;R20&amp;" "&amp;S21&amp;" is more than F05-10"&amp;CHAR(10),""),IF(T240&gt;T239," * F05-11 for Age "&amp;T20&amp;" "&amp;T21&amp;" is more than F05-10"&amp;CHAR(10),""),IF(U240&gt;U239," * F05-11 for Age "&amp;T20&amp;" "&amp;U21&amp;" is more than F05-10"&amp;CHAR(10),""),IF(V240&gt;V239," * F05-11 for Age "&amp;V20&amp;" "&amp;V21&amp;" is more than F05-10"&amp;CHAR(10),""),IF(W240&gt;W239," * F05-11 for Age "&amp;V20&amp;" "&amp;W21&amp;" is more than F05-10"&amp;CHAR(10),""),IF(X240&gt;X239," * F05-11 for Age "&amp;X20&amp;" "&amp;X21&amp;" is more than F05-10"&amp;CHAR(10),""),IF(Y240&gt;Y239," * F05-11 for Age "&amp;X20&amp;" "&amp;Y21&amp;" is more than F05-10"&amp;CHAR(10),""),IF(Z240&gt;Z239," * F05-11 for Age "&amp;Z20&amp;" "&amp;Z21&amp;" is more than F05-10"&amp;CHAR(10),""),IF(AA240&gt;AA239," * F05-11 for Age "&amp;Z20&amp;" "&amp;AA21&amp;" is more than F05-10"&amp;CHAR(10),""),IF(AJ240&gt;AJ239," * Total F05-11 is more than Total F05-10"&amp;CHAR(10),""))</f>
        <v/>
      </c>
      <c r="AL239" s="622"/>
      <c r="AM239" s="32"/>
      <c r="AN239" s="699"/>
      <c r="AO239" s="14">
        <v>187</v>
      </c>
      <c r="AP239" s="76"/>
      <c r="AQ239" s="160"/>
    </row>
    <row r="240" spans="1:43" s="15" customFormat="1" ht="29.25" thickBot="1" x14ac:dyDescent="0.8">
      <c r="A240" s="650"/>
      <c r="B240" s="214" t="s">
        <v>1019</v>
      </c>
      <c r="C240" s="901" t="s">
        <v>262</v>
      </c>
      <c r="D240" s="162"/>
      <c r="E240" s="162"/>
      <c r="F240" s="162"/>
      <c r="G240" s="162"/>
      <c r="H240" s="162"/>
      <c r="I240" s="162"/>
      <c r="J240" s="162"/>
      <c r="K240" s="162"/>
      <c r="L240" s="162"/>
      <c r="M240" s="162"/>
      <c r="N240" s="162"/>
      <c r="O240" s="162"/>
      <c r="P240" s="162"/>
      <c r="Q240" s="162"/>
      <c r="R240" s="162"/>
      <c r="S240" s="162"/>
      <c r="T240" s="162"/>
      <c r="U240" s="162"/>
      <c r="V240" s="162"/>
      <c r="W240" s="162"/>
      <c r="X240" s="162"/>
      <c r="Y240" s="162"/>
      <c r="Z240" s="162"/>
      <c r="AA240" s="375"/>
      <c r="AB240" s="413"/>
      <c r="AC240" s="380"/>
      <c r="AD240" s="380"/>
      <c r="AE240" s="380"/>
      <c r="AF240" s="380"/>
      <c r="AG240" s="380"/>
      <c r="AH240" s="380"/>
      <c r="AI240" s="336"/>
      <c r="AJ240" s="204">
        <f t="shared" si="97"/>
        <v>0</v>
      </c>
      <c r="AK240" s="687"/>
      <c r="AL240" s="622"/>
      <c r="AM240" s="32"/>
      <c r="AN240" s="699"/>
      <c r="AO240" s="14">
        <v>188</v>
      </c>
      <c r="AP240" s="76"/>
      <c r="AQ240" s="160"/>
    </row>
    <row r="241" spans="1:43" s="15" customFormat="1" ht="25.5" x14ac:dyDescent="0.75">
      <c r="A241" s="648" t="s">
        <v>111</v>
      </c>
      <c r="B241" s="147" t="s">
        <v>686</v>
      </c>
      <c r="C241" s="898" t="s">
        <v>263</v>
      </c>
      <c r="D241" s="153"/>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358"/>
      <c r="AB241" s="413"/>
      <c r="AC241" s="380"/>
      <c r="AD241" s="380"/>
      <c r="AE241" s="380"/>
      <c r="AF241" s="380"/>
      <c r="AG241" s="380"/>
      <c r="AH241" s="380"/>
      <c r="AI241" s="336"/>
      <c r="AJ241" s="200">
        <f t="shared" si="97"/>
        <v>0</v>
      </c>
      <c r="AK241" s="687" t="str">
        <f>CONCATENATE(IF(D242&gt;D241," * F05-13 for Age "&amp;D20&amp;" "&amp;D21&amp;" is more than F05-12"&amp;CHAR(10),""),IF(E242&gt;E241," * F05-13 for Age "&amp;D20&amp;" "&amp;E21&amp;" is more than F05-12"&amp;CHAR(10),""),IF(F242&gt;F241," * F05-13 for Age "&amp;F20&amp;" "&amp;F21&amp;" is more than F05-12"&amp;CHAR(10),""),IF(G242&gt;G241," * F05-13 for Age "&amp;F20&amp;" "&amp;G21&amp;" is more than F05-12"&amp;CHAR(10),""),IF(H242&gt;H241," * F05-13 for Age "&amp;H20&amp;" "&amp;H21&amp;" is more than F05-12"&amp;CHAR(10),""),IF(I242&gt;I241," * F05-13 for Age "&amp;H20&amp;" "&amp;I21&amp;" is more than F05-12"&amp;CHAR(10),""),IF(J242&gt;J241," * F05-13 for Age "&amp;J20&amp;" "&amp;J21&amp;" is more than F05-12"&amp;CHAR(10),""),IF(K242&gt;K241," * F05-13 for Age "&amp;J20&amp;" "&amp;K21&amp;" is more than F05-12"&amp;CHAR(10),""),IF(L242&gt;L241," * F05-13 for Age "&amp;L20&amp;" "&amp;L21&amp;" is more than F05-12"&amp;CHAR(10),""),IF(M242&gt;M241," * F05-13 for Age "&amp;L20&amp;" "&amp;M21&amp;" is more than F05-12"&amp;CHAR(10),""),IF(N242&gt;N241," * F05-13 for Age "&amp;N20&amp;" "&amp;N21&amp;" is more than F05-12"&amp;CHAR(10),""),IF(O242&gt;O241," * F05-13 for Age "&amp;N20&amp;" "&amp;O21&amp;" is more than F05-12"&amp;CHAR(10),""),IF(P242&gt;P241," * F05-13 for Age "&amp;P20&amp;" "&amp;P21&amp;" is more than F05-12"&amp;CHAR(10),""),IF(Q242&gt;Q241," * F05-13 for Age "&amp;P20&amp;" "&amp;Q21&amp;" is more than F05-12"&amp;CHAR(10),""),IF(R242&gt;R241," * F05-13 for Age "&amp;R20&amp;" "&amp;R21&amp;" is more than F05-12"&amp;CHAR(10),""),IF(S242&gt;S241," * F05-13 for Age "&amp;R20&amp;" "&amp;S21&amp;" is more than F05-12"&amp;CHAR(10),""),IF(T242&gt;T241," * F05-13 for Age "&amp;T20&amp;" "&amp;T21&amp;" is more than F05-12"&amp;CHAR(10),""),IF(U242&gt;U241," * F05-13 for Age "&amp;T20&amp;" "&amp;U21&amp;" is more than F05-12"&amp;CHAR(10),""),IF(V242&gt;V241," * F05-13 for Age "&amp;V20&amp;" "&amp;V21&amp;" is more than F05-12"&amp;CHAR(10),""),IF(W242&gt;W241," * F05-13 for Age "&amp;V20&amp;" "&amp;W21&amp;" is more than F05-12"&amp;CHAR(10),""),IF(X242&gt;X241," * F05-13 for Age "&amp;X20&amp;" "&amp;X21&amp;" is more than F05-12"&amp;CHAR(10),""),IF(Y242&gt;Y241," * F05-13 for Age "&amp;X20&amp;" "&amp;Y21&amp;" is more than F05-12"&amp;CHAR(10),""),IF(Z242&gt;Z241," * F05-13 for Age "&amp;Z20&amp;" "&amp;Z21&amp;" is more than F05-12"&amp;CHAR(10),""),IF(AA242&gt;AA241," * F05-13 for Age "&amp;Z20&amp;" "&amp;AA21&amp;" is more than F05-12"&amp;CHAR(10),""),IF(AJ242&gt;AJ241," * Total F05-13 is more than Total F05-12"&amp;CHAR(10),""))</f>
        <v/>
      </c>
      <c r="AL241" s="622"/>
      <c r="AM241" s="32"/>
      <c r="AN241" s="699"/>
      <c r="AO241" s="14">
        <v>189</v>
      </c>
      <c r="AP241" s="76"/>
      <c r="AQ241" s="160"/>
    </row>
    <row r="242" spans="1:43" s="15" customFormat="1" ht="25.5" x14ac:dyDescent="0.75">
      <c r="A242" s="649"/>
      <c r="B242" s="210" t="s">
        <v>687</v>
      </c>
      <c r="C242" s="899" t="s">
        <v>264</v>
      </c>
      <c r="D242" s="211"/>
      <c r="E242" s="212"/>
      <c r="F242" s="212"/>
      <c r="G242" s="212"/>
      <c r="H242" s="212"/>
      <c r="I242" s="212"/>
      <c r="J242" s="212"/>
      <c r="K242" s="212"/>
      <c r="L242" s="212"/>
      <c r="M242" s="212"/>
      <c r="N242" s="212"/>
      <c r="O242" s="212"/>
      <c r="P242" s="212"/>
      <c r="Q242" s="212"/>
      <c r="R242" s="212"/>
      <c r="S242" s="212"/>
      <c r="T242" s="212"/>
      <c r="U242" s="212"/>
      <c r="V242" s="212"/>
      <c r="W242" s="212"/>
      <c r="X242" s="212"/>
      <c r="Y242" s="212"/>
      <c r="Z242" s="212"/>
      <c r="AA242" s="373"/>
      <c r="AB242" s="413"/>
      <c r="AC242" s="380"/>
      <c r="AD242" s="380"/>
      <c r="AE242" s="380"/>
      <c r="AF242" s="380"/>
      <c r="AG242" s="380"/>
      <c r="AH242" s="380"/>
      <c r="AI242" s="336"/>
      <c r="AJ242" s="185">
        <f t="shared" si="97"/>
        <v>0</v>
      </c>
      <c r="AK242" s="687"/>
      <c r="AL242" s="622"/>
      <c r="AM242" s="32"/>
      <c r="AN242" s="699"/>
      <c r="AO242" s="14">
        <v>190</v>
      </c>
      <c r="AP242" s="76"/>
      <c r="AQ242" s="160"/>
    </row>
    <row r="243" spans="1:43" s="15" customFormat="1" ht="25.5" x14ac:dyDescent="0.75">
      <c r="A243" s="649"/>
      <c r="B243" s="210" t="s">
        <v>688</v>
      </c>
      <c r="C243" s="899" t="s">
        <v>321</v>
      </c>
      <c r="D243" s="213"/>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c r="AA243" s="354"/>
      <c r="AB243" s="413"/>
      <c r="AC243" s="380"/>
      <c r="AD243" s="380"/>
      <c r="AE243" s="380"/>
      <c r="AF243" s="380"/>
      <c r="AG243" s="380"/>
      <c r="AH243" s="380"/>
      <c r="AI243" s="336"/>
      <c r="AJ243" s="185">
        <f t="shared" si="97"/>
        <v>0</v>
      </c>
      <c r="AK243" s="122" t="str">
        <f>CONCATENATE(IF(D243&gt;D241," * F05-14 for Age "&amp;D20&amp;" "&amp;D21&amp;" is more than F05-12"&amp;CHAR(10),""),IF(E243&gt;E241," * F05-14 for Age "&amp;D20&amp;" "&amp;E21&amp;" is more than F05-12"&amp;CHAR(10),""),IF(F243&gt;F241," * F05-14 for Age "&amp;F20&amp;" "&amp;F21&amp;" is more than F05-12"&amp;CHAR(10),""),IF(G243&gt;G241," * F05-14 for Age "&amp;F20&amp;" "&amp;G21&amp;" is more than F05-12"&amp;CHAR(10),""),IF(H243&gt;H241," * F05-14 for Age "&amp;H20&amp;" "&amp;H21&amp;" is more than F05-12"&amp;CHAR(10),""),IF(I243&gt;I241," * F05-14 for Age "&amp;H20&amp;" "&amp;I21&amp;" is more than F05-12"&amp;CHAR(10),""),IF(J243&gt;J241," * F05-14 for Age "&amp;J20&amp;" "&amp;J21&amp;" is more than F05-12"&amp;CHAR(10),""),IF(K243&gt;K241," * F05-14 for Age "&amp;J20&amp;" "&amp;K21&amp;" is more than F05-12"&amp;CHAR(10),""),IF(L243&gt;L241," * F05-14 for Age "&amp;L20&amp;" "&amp;L21&amp;" is more than F05-12"&amp;CHAR(10),""),IF(M243&gt;M241," * F05-14 for Age "&amp;L20&amp;" "&amp;M21&amp;" is more than F05-12"&amp;CHAR(10),""),IF(N243&gt;N241," * F05-14 for Age "&amp;N20&amp;" "&amp;N21&amp;" is more than F05-12"&amp;CHAR(10),""),IF(O243&gt;O241," * F05-14 for Age "&amp;N20&amp;" "&amp;O21&amp;" is more than F05-12"&amp;CHAR(10),""),IF(P243&gt;P241," * F05-14 for Age "&amp;P20&amp;" "&amp;P21&amp;" is more than F05-12"&amp;CHAR(10),""),IF(Q243&gt;Q241," * F05-14 for Age "&amp;P20&amp;" "&amp;Q21&amp;" is more than F05-12"&amp;CHAR(10),""),IF(R243&gt;R241," * F05-14 for Age "&amp;R20&amp;" "&amp;R21&amp;" is more than F05-12"&amp;CHAR(10),""),IF(S243&gt;S241," * F05-14 for Age "&amp;R20&amp;" "&amp;S21&amp;" is more than F05-12"&amp;CHAR(10),""),IF(T243&gt;T241," * F05-14 for Age "&amp;T20&amp;" "&amp;T21&amp;" is more than F05-12"&amp;CHAR(10),""),IF(U243&gt;U241," * F05-14 for Age "&amp;T20&amp;" "&amp;U21&amp;" is more than F05-12"&amp;CHAR(10),""),IF(V243&gt;V241," * F05-14 for Age "&amp;V20&amp;" "&amp;V21&amp;" is more than F05-12"&amp;CHAR(10),""),IF(W243&gt;W241," * F05-14 for Age "&amp;V20&amp;" "&amp;W21&amp;" is more than F05-12"&amp;CHAR(10),""),IF(X243&gt;X241," * F05-14 for Age "&amp;X20&amp;" "&amp;X21&amp;" is more than F05-12"&amp;CHAR(10),""),IF(Y243&gt;Y241," * F05-14 for Age "&amp;X20&amp;" "&amp;Y21&amp;" is more than F05-12"&amp;CHAR(10),""),IF(Z243&gt;Z241," * F05-14 for Age "&amp;Z20&amp;" "&amp;Z21&amp;" is more than F05-12"&amp;CHAR(10),""),IF(AA243&gt;AA241," * F05-14 for Age "&amp;Z20&amp;" "&amp;AA21&amp;" is more than F05-12"&amp;CHAR(10),""),IF(AJ243&gt;AJ241," * Total F05-14 is more than Total F05-12"&amp;CHAR(10),""))</f>
        <v/>
      </c>
      <c r="AL243" s="622"/>
      <c r="AM243" s="32"/>
      <c r="AN243" s="699"/>
      <c r="AO243" s="14">
        <v>191</v>
      </c>
      <c r="AP243" s="76"/>
      <c r="AQ243" s="160"/>
    </row>
    <row r="244" spans="1:43" s="15" customFormat="1" ht="25.9" thickBot="1" x14ac:dyDescent="0.8">
      <c r="A244" s="847"/>
      <c r="B244" s="148" t="s">
        <v>689</v>
      </c>
      <c r="C244" s="901" t="s">
        <v>322</v>
      </c>
      <c r="D244" s="144"/>
      <c r="E244" s="126"/>
      <c r="F244" s="126"/>
      <c r="G244" s="126"/>
      <c r="H244" s="126"/>
      <c r="I244" s="126"/>
      <c r="J244" s="126"/>
      <c r="K244" s="139"/>
      <c r="L244" s="126"/>
      <c r="M244" s="139"/>
      <c r="N244" s="126"/>
      <c r="O244" s="139"/>
      <c r="P244" s="126"/>
      <c r="Q244" s="139"/>
      <c r="R244" s="126"/>
      <c r="S244" s="139"/>
      <c r="T244" s="126"/>
      <c r="U244" s="139"/>
      <c r="V244" s="126"/>
      <c r="W244" s="139"/>
      <c r="X244" s="126"/>
      <c r="Y244" s="139"/>
      <c r="Z244" s="126"/>
      <c r="AA244" s="354"/>
      <c r="AB244" s="414"/>
      <c r="AC244" s="415"/>
      <c r="AD244" s="415"/>
      <c r="AE244" s="415"/>
      <c r="AF244" s="415"/>
      <c r="AG244" s="415"/>
      <c r="AH244" s="415"/>
      <c r="AI244" s="337"/>
      <c r="AJ244" s="418">
        <f t="shared" si="97"/>
        <v>0</v>
      </c>
      <c r="AK244" s="128" t="str">
        <f>CONCATENATE(IF(D244&gt;D241," * F05-15 for Age "&amp;D20&amp;" "&amp;D21&amp;" is more than F05-12"&amp;CHAR(10),""),IF(E244&gt;E241," * F05-15 for Age "&amp;D20&amp;" "&amp;E21&amp;" is more than F05-12"&amp;CHAR(10),""),IF(F244&gt;F241," * F05-15 for Age "&amp;F20&amp;" "&amp;F21&amp;" is more than F05-12"&amp;CHAR(10),""),IF(G244&gt;G241," * F05-15 for Age "&amp;F20&amp;" "&amp;G21&amp;" is more than F05-12"&amp;CHAR(10),""),IF(H244&gt;H241," * F05-15 for Age "&amp;H20&amp;" "&amp;H21&amp;" is more than F05-12"&amp;CHAR(10),""),IF(I244&gt;I241," * F05-15 for Age "&amp;H20&amp;" "&amp;I21&amp;" is more than F05-12"&amp;CHAR(10),""),IF(J244&gt;J241," * F05-15 for Age "&amp;J20&amp;" "&amp;J21&amp;" is more than F05-12"&amp;CHAR(10),""),IF(K244&gt;K241," * F05-15 for Age "&amp;J20&amp;" "&amp;K21&amp;" is more than F05-12"&amp;CHAR(10),""),IF(L244&gt;L241," * F05-15 for Age "&amp;L20&amp;" "&amp;L21&amp;" is more than F05-12"&amp;CHAR(10),""),IF(M244&gt;M241," * F05-15 for Age "&amp;L20&amp;" "&amp;M21&amp;" is more than F05-12"&amp;CHAR(10),""),IF(N244&gt;N241," * F05-15 for Age "&amp;N20&amp;" "&amp;N21&amp;" is more than F05-12"&amp;CHAR(10),""),IF(O244&gt;O241," * F05-15 for Age "&amp;N20&amp;" "&amp;O21&amp;" is more than F05-12"&amp;CHAR(10),""),IF(P244&gt;P241," * F05-15 for Age "&amp;P20&amp;" "&amp;P21&amp;" is more than F05-12"&amp;CHAR(10),""),IF(Q244&gt;Q241," * F05-15 for Age "&amp;P20&amp;" "&amp;Q21&amp;" is more than F05-12"&amp;CHAR(10),""),IF(R244&gt;R241," * F05-15 for Age "&amp;R20&amp;" "&amp;R21&amp;" is more than F05-12"&amp;CHAR(10),""),IF(S244&gt;S241," * F05-15 for Age "&amp;R20&amp;" "&amp;S21&amp;" is more than F05-12"&amp;CHAR(10),""),IF(T244&gt;T241," * F05-15 for Age "&amp;T20&amp;" "&amp;T21&amp;" is more than F05-12"&amp;CHAR(10),""),IF(U244&gt;U241," * F05-15 for Age "&amp;T20&amp;" "&amp;U21&amp;" is more than F05-12"&amp;CHAR(10),""),IF(V244&gt;V241," * F05-15 for Age "&amp;V20&amp;" "&amp;V21&amp;" is more than F05-12"&amp;CHAR(10),""),IF(W244&gt;W241," * F05-15 for Age "&amp;V20&amp;" "&amp;W21&amp;" is more than F05-12"&amp;CHAR(10),""),IF(X244&gt;X241," * F05-15 for Age "&amp;X20&amp;" "&amp;X21&amp;" is more than F05-12"&amp;CHAR(10),""),IF(Y244&gt;Y241," * F05-15 for Age "&amp;X20&amp;" "&amp;Y21&amp;" is more than F05-12"&amp;CHAR(10),""),IF(Z244&gt;Z241," * F05-15 for Age "&amp;Z20&amp;" "&amp;Z21&amp;" is more than F05-12"&amp;CHAR(10),""),IF(AA244&gt;AA241," * F05-15 for Age "&amp;Z20&amp;" "&amp;AA21&amp;" is more than F05-12"&amp;CHAR(10),""),IF(AJ244&gt;AJ241," * Total F05-12 is more than Total F05-12"&amp;CHAR(10),""))</f>
        <v/>
      </c>
      <c r="AL244" s="623"/>
      <c r="AM244" s="129"/>
      <c r="AN244" s="700"/>
      <c r="AO244" s="14">
        <v>192</v>
      </c>
      <c r="AP244" s="76"/>
      <c r="AQ244" s="160"/>
    </row>
    <row r="245" spans="1:43" ht="25.9" thickBot="1" x14ac:dyDescent="0.8">
      <c r="A245" s="640" t="s">
        <v>129</v>
      </c>
      <c r="B245" s="641"/>
      <c r="C245" s="641"/>
      <c r="D245" s="641"/>
      <c r="E245" s="641"/>
      <c r="F245" s="641"/>
      <c r="G245" s="641"/>
      <c r="H245" s="641"/>
      <c r="I245" s="641"/>
      <c r="J245" s="641"/>
      <c r="K245" s="641"/>
      <c r="L245" s="641"/>
      <c r="M245" s="641"/>
      <c r="N245" s="641"/>
      <c r="O245" s="641"/>
      <c r="P245" s="641"/>
      <c r="Q245" s="641"/>
      <c r="R245" s="641"/>
      <c r="S245" s="641"/>
      <c r="T245" s="641"/>
      <c r="U245" s="641"/>
      <c r="V245" s="641"/>
      <c r="W245" s="641"/>
      <c r="X245" s="641"/>
      <c r="Y245" s="641"/>
      <c r="Z245" s="641"/>
      <c r="AA245" s="641"/>
      <c r="AB245" s="737"/>
      <c r="AC245" s="737"/>
      <c r="AD245" s="737"/>
      <c r="AE245" s="737"/>
      <c r="AF245" s="737"/>
      <c r="AG245" s="737"/>
      <c r="AH245" s="737"/>
      <c r="AI245" s="737"/>
      <c r="AJ245" s="641"/>
      <c r="AK245" s="641"/>
      <c r="AL245" s="641"/>
      <c r="AM245" s="641"/>
      <c r="AN245" s="643"/>
      <c r="AO245" s="14">
        <v>193</v>
      </c>
      <c r="AP245" s="76"/>
      <c r="AQ245" s="77"/>
    </row>
    <row r="246" spans="1:43" ht="26.25" customHeight="1" x14ac:dyDescent="0.75">
      <c r="A246" s="617" t="s">
        <v>37</v>
      </c>
      <c r="B246" s="684" t="s">
        <v>346</v>
      </c>
      <c r="C246" s="897" t="s">
        <v>327</v>
      </c>
      <c r="D246" s="647" t="s">
        <v>0</v>
      </c>
      <c r="E246" s="606"/>
      <c r="F246" s="606" t="s">
        <v>1</v>
      </c>
      <c r="G246" s="606"/>
      <c r="H246" s="606" t="s">
        <v>2</v>
      </c>
      <c r="I246" s="606"/>
      <c r="J246" s="606" t="s">
        <v>3</v>
      </c>
      <c r="K246" s="606"/>
      <c r="L246" s="606" t="s">
        <v>4</v>
      </c>
      <c r="M246" s="606"/>
      <c r="N246" s="606" t="s">
        <v>5</v>
      </c>
      <c r="O246" s="606"/>
      <c r="P246" s="606" t="s">
        <v>6</v>
      </c>
      <c r="Q246" s="606"/>
      <c r="R246" s="606" t="s">
        <v>7</v>
      </c>
      <c r="S246" s="606"/>
      <c r="T246" s="606" t="s">
        <v>8</v>
      </c>
      <c r="U246" s="606"/>
      <c r="V246" s="606" t="s">
        <v>23</v>
      </c>
      <c r="W246" s="606"/>
      <c r="X246" s="606" t="s">
        <v>24</v>
      </c>
      <c r="Y246" s="606"/>
      <c r="Z246" s="606" t="s">
        <v>9</v>
      </c>
      <c r="AA246" s="624"/>
      <c r="AB246" s="625"/>
      <c r="AC246" s="626"/>
      <c r="AD246" s="626"/>
      <c r="AE246" s="626"/>
      <c r="AF246" s="626"/>
      <c r="AG246" s="626"/>
      <c r="AH246" s="626"/>
      <c r="AI246" s="627"/>
      <c r="AJ246" s="628" t="s">
        <v>19</v>
      </c>
      <c r="AK246" s="630" t="s">
        <v>380</v>
      </c>
      <c r="AL246" s="632" t="s">
        <v>386</v>
      </c>
      <c r="AM246" s="660" t="s">
        <v>387</v>
      </c>
      <c r="AN246" s="619" t="s">
        <v>387</v>
      </c>
      <c r="AO246" s="14">
        <v>194</v>
      </c>
      <c r="AP246" s="76"/>
      <c r="AQ246" s="77"/>
    </row>
    <row r="247" spans="1:43" ht="27" customHeight="1" thickBot="1" x14ac:dyDescent="0.8">
      <c r="A247" s="618"/>
      <c r="B247" s="685"/>
      <c r="C247" s="892"/>
      <c r="D247" s="316" t="s">
        <v>10</v>
      </c>
      <c r="E247" s="70" t="s">
        <v>11</v>
      </c>
      <c r="F247" s="70" t="s">
        <v>10</v>
      </c>
      <c r="G247" s="70" t="s">
        <v>11</v>
      </c>
      <c r="H247" s="70" t="s">
        <v>10</v>
      </c>
      <c r="I247" s="70" t="s">
        <v>11</v>
      </c>
      <c r="J247" s="70" t="s">
        <v>10</v>
      </c>
      <c r="K247" s="70" t="s">
        <v>11</v>
      </c>
      <c r="L247" s="70" t="s">
        <v>10</v>
      </c>
      <c r="M247" s="70" t="s">
        <v>11</v>
      </c>
      <c r="N247" s="70" t="s">
        <v>10</v>
      </c>
      <c r="O247" s="70" t="s">
        <v>11</v>
      </c>
      <c r="P247" s="70" t="s">
        <v>10</v>
      </c>
      <c r="Q247" s="70" t="s">
        <v>11</v>
      </c>
      <c r="R247" s="70" t="s">
        <v>10</v>
      </c>
      <c r="S247" s="70" t="s">
        <v>11</v>
      </c>
      <c r="T247" s="70" t="s">
        <v>10</v>
      </c>
      <c r="U247" s="70" t="s">
        <v>11</v>
      </c>
      <c r="V247" s="70" t="s">
        <v>10</v>
      </c>
      <c r="W247" s="70" t="s">
        <v>11</v>
      </c>
      <c r="X247" s="70" t="s">
        <v>10</v>
      </c>
      <c r="Y247" s="70" t="s">
        <v>11</v>
      </c>
      <c r="Z247" s="70" t="s">
        <v>10</v>
      </c>
      <c r="AA247" s="395" t="s">
        <v>11</v>
      </c>
      <c r="AB247" s="397"/>
      <c r="AC247" s="398"/>
      <c r="AD247" s="398"/>
      <c r="AE247" s="398"/>
      <c r="AF247" s="398"/>
      <c r="AG247" s="398"/>
      <c r="AH247" s="398"/>
      <c r="AI247" s="399"/>
      <c r="AJ247" s="629"/>
      <c r="AK247" s="631"/>
      <c r="AL247" s="639"/>
      <c r="AM247" s="660"/>
      <c r="AN247" s="620"/>
      <c r="AO247" s="14">
        <v>195</v>
      </c>
      <c r="AP247" s="76"/>
      <c r="AQ247" s="77"/>
    </row>
    <row r="248" spans="1:43" ht="31.15" customHeight="1" x14ac:dyDescent="0.75">
      <c r="A248" s="607" t="s">
        <v>115</v>
      </c>
      <c r="B248" s="215" t="s">
        <v>690</v>
      </c>
      <c r="C248" s="914" t="s">
        <v>368</v>
      </c>
      <c r="D248" s="72"/>
      <c r="E248" s="73"/>
      <c r="F248" s="73"/>
      <c r="G248" s="73"/>
      <c r="H248" s="73"/>
      <c r="I248" s="73"/>
      <c r="J248" s="73"/>
      <c r="K248" s="137"/>
      <c r="L248" s="73"/>
      <c r="M248" s="137"/>
      <c r="N248" s="73"/>
      <c r="O248" s="137"/>
      <c r="P248" s="73"/>
      <c r="Q248" s="137"/>
      <c r="R248" s="73"/>
      <c r="S248" s="137"/>
      <c r="T248" s="73"/>
      <c r="U248" s="137"/>
      <c r="V248" s="73"/>
      <c r="W248" s="137"/>
      <c r="X248" s="73"/>
      <c r="Y248" s="137"/>
      <c r="Z248" s="73"/>
      <c r="AA248" s="376"/>
      <c r="AB248" s="413"/>
      <c r="AC248" s="380"/>
      <c r="AD248" s="380"/>
      <c r="AE248" s="380"/>
      <c r="AF248" s="380"/>
      <c r="AG248" s="380"/>
      <c r="AH248" s="380"/>
      <c r="AI248" s="336"/>
      <c r="AJ248" s="424">
        <f>SUM(D248:AA248)</f>
        <v>0</v>
      </c>
      <c r="AK248" s="150" t="str">
        <f>CONCATENATE(IF(D248&lt;SUM(D249,D250)," * Sum of (KP at ANC1 and initial test at ANC1) for Age "&amp;D20&amp;" "&amp;D21&amp;" is more than New 1st ANC Clients"&amp;CHAR(10),""),IF(E248&lt;SUM(E249,E250,E190)," * Sum of (KP at ANC1 and initial test at ANC1) for Age "&amp;D20&amp;" "&amp;E21&amp;" is more than New 1st ANC Clients"&amp;CHAR(10),""),IF(F248&lt;SUM(F249,F250)," * Sum of (KP at ANC1 and initial test at ANC1) for Age "&amp;F20&amp;" "&amp;F21&amp;" is more than New 1st ANC Clients"&amp;CHAR(10),""),IF(G248&lt;SUM(G249,G250,G190)," * Sum of (KP at ANC1 and initial test at ANC1) for Age "&amp;F20&amp;" "&amp;G21&amp;" is more than New 1st ANC Clients"&amp;CHAR(10),""),IF(H248&lt;SUM(H249,H250)," * Sum of (KP at ANC1 and initial test at ANC1) for Age "&amp;H20&amp;" "&amp;H21&amp;" is more than New 1st ANC Clients"&amp;CHAR(10),""),IF(I248&lt;SUM(I249,I250,I190)," * Sum of (KP at ANC1 and initial test at ANC1) for Age "&amp;H20&amp;" "&amp;I21&amp;" is more than New 1st ANC Clients"&amp;CHAR(10),""),IF(J248&lt;SUM(J249,J250)," * Sum of (KP at ANC1 and initial test at ANC1) for Age "&amp;J20&amp;" "&amp;J21&amp;" is more than New 1st ANC Clients"&amp;CHAR(10),""),IF(K248&lt;SUM(K249,K250,K190)," * Sum of (KP at ANC1 and initial test at ANC1) for Age "&amp;J20&amp;" "&amp;K21&amp;" is more than New 1st ANC Clients"&amp;CHAR(10),""),IF(L248&lt;SUM(L249,L250)," * Sum of (KP at ANC1 and initial test at ANC1) for Age "&amp;L20&amp;" "&amp;L21&amp;" is more than New 1st ANC Clients"&amp;CHAR(10),""),IF(M248&lt;SUM(M249,M250,M190)," * Sum of (KP at ANC1 and initial test at ANC1) for Age "&amp;L20&amp;" "&amp;M21&amp;" is more than New 1st ANC Clients"&amp;CHAR(10),""),IF(N248&lt;SUM(N249,N250)," * Sum of (KP at ANC1 and initial test at ANC1) for Age "&amp;N20&amp;" "&amp;N21&amp;" is more than New 1st ANC Clients"&amp;CHAR(10),""),IF(O248&lt;SUM(O249,O250,O190)," * Sum of (KP at ANC1 and initial test at ANC1) for Age "&amp;N20&amp;" "&amp;O21&amp;" is more than New 1st ANC Clients"&amp;CHAR(10),""),IF(P248&lt;SUM(P249,P250)," * Sum of (KP at ANC1 and initial test at ANC1) for Age "&amp;P20&amp;" "&amp;P21&amp;" is more than New 1st ANC Clients"&amp;CHAR(10),""),IF(Q248&lt;SUM(Q249,Q250,Q190)," * Sum of (KP at ANC1 and initial test at ANC1) for Age "&amp;P20&amp;" "&amp;Q21&amp;" is more than New 1st ANC Clients"&amp;CHAR(10),""),IF(R248&lt;SUM(R249,R250)," * Sum of (KP at ANC1 and initial test at ANC1) for Age "&amp;R20&amp;" "&amp;R21&amp;" is more than New 1st ANC Clients"&amp;CHAR(10),""),IF(S248&lt;SUM(S249,S250,S190)," * Sum of (KP at ANC1 and initial test at ANC1) for Age "&amp;R20&amp;" "&amp;S21&amp;" is more than New 1st ANC Clients"&amp;CHAR(10),""),IF(T248&lt;SUM(T249,T250)," * Sum of (KP at ANC1 and initial test at ANC1) for Age "&amp;T20&amp;" "&amp;T21&amp;" is more than New 1st ANC Clients"&amp;CHAR(10),""),IF(U248&lt;SUM(U249,U250,U190)," * Sum of (KP at ANC1 and initial test at ANC1) for Age "&amp;T20&amp;" "&amp;U21&amp;" is more than New 1st ANC Clients"&amp;CHAR(10),""),IF(V248&lt;SUM(V249,V250)," * Sum of (KP at ANC1 and initial test at ANC1) for Age "&amp;V20&amp;" "&amp;V21&amp;" is more than New 1st ANC Clients"&amp;CHAR(10),""),IF(W248&lt;SUM(W249,W250,W190)," * Sum of (KP at ANC1 and initial test at ANC1) for Age "&amp;V20&amp;" "&amp;W21&amp;" is more than New 1st ANC Clients"&amp;CHAR(10),""),IF(X248&lt;SUM(X249,X250)," * Sum of (KP at ANC1 and initial test at ANC1) for Age "&amp;X20&amp;" "&amp;X21&amp;" is more than New 1st ANC Clients"&amp;CHAR(10),""),IF(Y248&lt;SUM(Y249,Y250,Y190)," * Sum of (KP at ANC1 and initial test at ANC1) for Age "&amp;X20&amp;" "&amp;Y21&amp;" is more than New 1st ANC Clients"&amp;CHAR(10),""),IF(Z248&lt;SUM(Z249,Z250)," * Sum of (KP at ANC1 and initial test at ANC1) for Age "&amp;Z20&amp;" "&amp;Z21&amp;" is more than New 1st ANC Clients"&amp;CHAR(10),""),IF(AA248&lt;SUM(AA249,AA250,AA190)," * Sum of (KP at ANC1 and initial test at ANC1) for Age "&amp;Z20&amp;" "&amp;AA21&amp;" is more than New 1st ANC Clients"&amp;CHAR(10),""),IF(AJ248&lt;SUM(AJ249,AJ250)," * Total Sum of (KP at ANC1 and initial test at ANC1) is more than New 1st ANC Clients"&amp;CHAR(10),""))</f>
        <v/>
      </c>
      <c r="AL248" s="764" t="str">
        <f>CONCATENATE(AK248,AK249,AK250,AK251,AK254,AK258,AK262,AK268,AK261,AK260,AK252,AK253,AK257,AK264,AK265,AK266,AK267)</f>
        <v/>
      </c>
      <c r="AM248" s="216"/>
      <c r="AN248" s="845" t="str">
        <f>CONCATENATE(AM248,AM249,AM250,AM251,AM254,AM255,AM258,AM259,AM262,AM263,AM268,AM269,AM252,AM253,AM256,AM257,AM260,AM261,AM264,AM265,AM266,AM267)</f>
        <v/>
      </c>
      <c r="AO248" s="14">
        <v>196</v>
      </c>
      <c r="AP248" s="76"/>
      <c r="AQ248" s="77"/>
    </row>
    <row r="249" spans="1:43" ht="31.15" customHeight="1" x14ac:dyDescent="0.75">
      <c r="A249" s="608"/>
      <c r="B249" s="217" t="s">
        <v>691</v>
      </c>
      <c r="C249" s="899" t="s">
        <v>275</v>
      </c>
      <c r="D249" s="79"/>
      <c r="E249" s="80"/>
      <c r="F249" s="80"/>
      <c r="G249" s="80"/>
      <c r="H249" s="80"/>
      <c r="I249" s="80"/>
      <c r="J249" s="80"/>
      <c r="K249" s="218"/>
      <c r="L249" s="219"/>
      <c r="M249" s="218"/>
      <c r="N249" s="219"/>
      <c r="O249" s="218"/>
      <c r="P249" s="219"/>
      <c r="Q249" s="218"/>
      <c r="R249" s="219"/>
      <c r="S249" s="218"/>
      <c r="T249" s="219"/>
      <c r="U249" s="218"/>
      <c r="V249" s="219"/>
      <c r="W249" s="218"/>
      <c r="X249" s="219"/>
      <c r="Y249" s="218"/>
      <c r="Z249" s="80"/>
      <c r="AA249" s="377"/>
      <c r="AB249" s="413"/>
      <c r="AC249" s="380"/>
      <c r="AD249" s="380"/>
      <c r="AE249" s="380"/>
      <c r="AF249" s="380"/>
      <c r="AG249" s="380"/>
      <c r="AH249" s="380"/>
      <c r="AI249" s="336"/>
      <c r="AJ249" s="425">
        <f t="shared" ref="AJ249:AJ277" si="98">SUM(D249:AA249)</f>
        <v>0</v>
      </c>
      <c r="AK249" s="122" t="str">
        <f>CONCATENATE(IF(D282&gt;D249," * ON HAART at 1st ANC for Age "&amp;D20&amp;" "&amp;D21&amp;" is more than KP at 1st ANC "&amp;CHAR(10),""),IF(E282&gt;E249," * ON HAART at 1st ANC for Age "&amp;D20&amp;" "&amp;E21&amp;" is more than KP at 1st ANC "&amp;CHAR(10),""),IF(F282&gt;F249," * ON HAART at 1st ANC for Age "&amp;F20&amp;" "&amp;F21&amp;" is more than KP at 1st ANC "&amp;CHAR(10),""),IF(G282&gt;G249," * ON HAART at 1st ANC for Age "&amp;F20&amp;" "&amp;G21&amp;" is more than KP at 1st ANC "&amp;CHAR(10),""),IF(H282&gt;H249," * ON HAART at 1st ANC for Age "&amp;H20&amp;" "&amp;H21&amp;" is more than KP at 1st ANC "&amp;CHAR(10),""),IF(I282&gt;I249," * ON HAART at 1st ANC for Age "&amp;H20&amp;" "&amp;I21&amp;" is more than KP at 1st ANC "&amp;CHAR(10),""),IF(J282&gt;J249," * ON HAART at 1st ANC for Age "&amp;J20&amp;" "&amp;J21&amp;" is more than KP at 1st ANC "&amp;CHAR(10),""),IF(K282&gt;K249," * ON HAART at 1st ANC for Age "&amp;J20&amp;" "&amp;K21&amp;" is more than KP at 1st ANC "&amp;CHAR(10),""),IF(L282&gt;L249," * ON HAART at 1st ANC for Age "&amp;L20&amp;" "&amp;L21&amp;" is more than KP at 1st ANC "&amp;CHAR(10),""),IF(M282&gt;M249," * ON HAART at 1st ANC for Age "&amp;L20&amp;" "&amp;M21&amp;" is more than KP at 1st ANC "&amp;CHAR(10),""),IF(N282&gt;N249," * ON HAART at 1st ANC for Age "&amp;N20&amp;" "&amp;N21&amp;" is more than KP at 1st ANC "&amp;CHAR(10),""),IF(O282&gt;O249," * ON HAART at 1st ANC for Age "&amp;N20&amp;" "&amp;O21&amp;" is more than KP at 1st ANC "&amp;CHAR(10),""),IF(P282&gt;P249," * ON HAART at 1st ANC for Age "&amp;P20&amp;" "&amp;P21&amp;" is more than KP at 1st ANC "&amp;CHAR(10),""),IF(Q282&gt;Q249," * ON HAART at 1st ANC for Age "&amp;P20&amp;" "&amp;Q21&amp;" is more than KP at 1st ANC "&amp;CHAR(10),""),IF(R282&gt;R249," * ON HAART at 1st ANC for Age "&amp;R20&amp;" "&amp;R21&amp;" is more than KP at 1st ANC "&amp;CHAR(10),""),IF(S282&gt;S249," * ON HAART at 1st ANC for Age "&amp;R20&amp;" "&amp;S21&amp;" is more than KP at 1st ANC "&amp;CHAR(10),""),IF(T282&gt;T249," * ON HAART at 1st ANC for Age "&amp;T20&amp;" "&amp;T21&amp;" is more than KP at 1st ANC "&amp;CHAR(10),""),IF(U282&gt;U249," * ON HAART at 1st ANC for Age "&amp;T20&amp;" "&amp;U21&amp;" is more than KP at 1st ANC "&amp;CHAR(10),""),IF(V282&gt;V249," * ON HAART at 1st ANC for Age "&amp;V20&amp;" "&amp;V21&amp;" is more than KP at 1st ANC "&amp;CHAR(10),""),IF(W282&gt;W249," * ON HAART at 1st ANC for Age "&amp;V20&amp;" "&amp;W21&amp;" is more than KP at 1st ANC "&amp;CHAR(10),""),IF(X282&gt;X249," * ON HAART at 1st ANC for Age "&amp;X20&amp;" "&amp;X21&amp;" is more than KP at 1st ANC "&amp;CHAR(10),""),IF(Y282&gt;Y249," * ON HAART at 1st ANC for Age "&amp;X20&amp;" "&amp;Y21&amp;" is more than KP at 1st ANC "&amp;CHAR(10),""),IF(Z282&gt;Z249," * ON HAART at 1st ANC for Age "&amp;Z20&amp;" "&amp;Z21&amp;" is more than KP at 1st ANC "&amp;CHAR(10),""),IF(AA282&gt;AA249," * ON HAART at 1st ANC for Age "&amp;Z20&amp;" "&amp;AA21&amp;" is more than KP at 1st ANC "&amp;CHAR(10),""))</f>
        <v/>
      </c>
      <c r="AL249" s="765"/>
      <c r="AM249" s="220" t="str">
        <f>CONCATENATE(IF(D248&gt;SUM(D249,D250)," * Sum of (KP at ANC1 and initial test at ANC1) for Age "&amp;D20&amp;" "&amp;D21&amp;" is less than New 1st ANC Clients"&amp;CHAR(10),""),IF(E248&gt;SUM(E249,E250,E190)," * Sum of (KP at ANC1 and initial test at ANC1) for Age "&amp;D20&amp;" "&amp;E21&amp;" is less than New 1st ANC Clients"&amp;CHAR(10),""),IF(F248&gt;SUM(F249,F250)," * Sum of (KP at ANC1 and initial test at ANC1) for Age "&amp;F20&amp;" "&amp;F21&amp;" is less than New 1st ANC Clients"&amp;CHAR(10),""),IF(G248&gt;SUM(G249,G250,G190)," * Sum of (KP at ANC1 and initial test at ANC1) for Age "&amp;F20&amp;" "&amp;G21&amp;" is less than New 1st ANC Clients"&amp;CHAR(10),""),IF(H248&gt;SUM(H249,H250)," * Sum of (KP at ANC1 and initial test at ANC1) for Age "&amp;H20&amp;" "&amp;H21&amp;" is less than New 1st ANC Clients"&amp;CHAR(10),""),IF(I248&gt;SUM(I249,I250,I190)," * Sum of (KP at ANC1 and initial test at ANC1) for Age "&amp;H20&amp;" "&amp;I21&amp;" is less than New 1st ANC Clients"&amp;CHAR(10),""),IF(J248&gt;SUM(J249,J250)," * Sum of (KP at ANC1 and initial test at ANC1) for Age "&amp;J20&amp;" "&amp;J21&amp;" is less than New 1st ANC Clients"&amp;CHAR(10),""),IF(K248&gt;SUM(K249,K250,K190)," * Sum of (KP at ANC1 and initial test at ANC1) for Age "&amp;J20&amp;" "&amp;K21&amp;" is less than New 1st ANC Clients"&amp;CHAR(10),""),IF(L248&gt;SUM(L249,L250)," * Sum of (KP at ANC1 and initial test at ANC1) for Age "&amp;L20&amp;" "&amp;L21&amp;" is less than New 1st ANC Clients"&amp;CHAR(10),""),IF(M248&gt;SUM(M249,M250,M190)," * Sum of (KP at ANC1 and initial test at ANC1) for Age "&amp;L20&amp;" "&amp;M21&amp;" is less than New 1st ANC Clients"&amp;CHAR(10),""),IF(N248&gt;SUM(N249,N250)," * Sum of (KP at ANC1 and initial test at ANC1) for Age "&amp;N20&amp;" "&amp;N21&amp;" is less than New 1st ANC Clients"&amp;CHAR(10),""),IF(O248&gt;SUM(O249,O250,O190)," * Sum of (KP at ANC1 and initial test at ANC1) for Age "&amp;N20&amp;" "&amp;O21&amp;" is less than New 1st ANC Clients"&amp;CHAR(10),""),IF(P248&gt;SUM(P249,P250)," * Sum of (KP at ANC1 and initial test at ANC1) for Age "&amp;P20&amp;" "&amp;P21&amp;" is less than New 1st ANC Clients"&amp;CHAR(10),""),IF(Q248&gt;SUM(Q249,Q250,Q190)," * Sum of (KP at ANC1 and initial test at ANC1) for Age "&amp;P20&amp;" "&amp;Q21&amp;" is less than New 1st ANC Clients"&amp;CHAR(10),""),IF(R248&gt;SUM(R249,R250)," * Sum of (KP at ANC1 and initial test at ANC1) for Age "&amp;R20&amp;" "&amp;R21&amp;" is less than New 1st ANC Clients"&amp;CHAR(10),""),IF(S248&gt;SUM(S249,S250,S190)," * Sum of (KP at ANC1 and initial test at ANC1) for Age "&amp;R20&amp;" "&amp;S21&amp;" is less than New 1st ANC Clients"&amp;CHAR(10),""),IF(T248&gt;SUM(T249,T250)," * Sum of (KP at ANC1 and initial test at ANC1) for Age "&amp;T20&amp;" "&amp;T21&amp;" is less than New 1st ANC Clients"&amp;CHAR(10),""),IF(U248&gt;SUM(U249,U250,U190)," * Sum of (KP at ANC1 and initial test at ANC1) for Age "&amp;T20&amp;" "&amp;U21&amp;" is less than New 1st ANC Clients"&amp;CHAR(10),""),IF(V248&gt;SUM(V249,V250)," * Sum of (KP at ANC1 and initial test at ANC1) for Age "&amp;V20&amp;" "&amp;V21&amp;" is less than New 1st ANC Clients"&amp;CHAR(10),""),IF(W248&gt;SUM(W249,W250,W190)," * Sum of (KP at ANC1 and initial test at ANC1) for Age "&amp;V20&amp;" "&amp;W21&amp;" is less than New 1st ANC Clients"&amp;CHAR(10),""),IF(X248&gt;SUM(X249,X250)," * Sum of (KP at ANC1 and initial test at ANC1) for Age "&amp;X20&amp;" "&amp;X21&amp;" is less than New 1st ANC Clients"&amp;CHAR(10),""),IF(Y248&gt;SUM(Y249,Y250,Y190)," * Sum of (KP at ANC1 and initial test at ANC1) for Age "&amp;X20&amp;" "&amp;Y21&amp;" is less than New 1st ANC Clients"&amp;CHAR(10),""),IF(Z248&gt;SUM(Z249,Z250)," * Sum of (KP at ANC1 and initial test at ANC1) for Age "&amp;Z20&amp;" "&amp;Z21&amp;" is less than New 1st ANC Clients"&amp;CHAR(10),""),IF(AA248&gt;SUM(AA249,AA250,AA190)," * Sum of (KP at ANC1 and initial test at ANC1) for Age "&amp;Z20&amp;" "&amp;AA21&amp;" is less than New 1st ANC Clients"&amp;CHAR(10),""))</f>
        <v/>
      </c>
      <c r="AN249" s="671"/>
      <c r="AO249" s="14">
        <v>197</v>
      </c>
      <c r="AP249" s="76"/>
      <c r="AQ249" s="77"/>
    </row>
    <row r="250" spans="1:43" ht="25.5" x14ac:dyDescent="0.75">
      <c r="A250" s="608"/>
      <c r="B250" s="78" t="s">
        <v>692</v>
      </c>
      <c r="C250" s="899" t="s">
        <v>276</v>
      </c>
      <c r="D250" s="79"/>
      <c r="E250" s="80"/>
      <c r="F250" s="80"/>
      <c r="G250" s="80"/>
      <c r="H250" s="80"/>
      <c r="I250" s="80"/>
      <c r="J250" s="80"/>
      <c r="K250" s="81"/>
      <c r="L250" s="80"/>
      <c r="M250" s="81"/>
      <c r="N250" s="80"/>
      <c r="O250" s="81"/>
      <c r="P250" s="80"/>
      <c r="Q250" s="81"/>
      <c r="R250" s="80"/>
      <c r="S250" s="81"/>
      <c r="T250" s="80"/>
      <c r="U250" s="81"/>
      <c r="V250" s="80"/>
      <c r="W250" s="81"/>
      <c r="X250" s="80"/>
      <c r="Y250" s="81"/>
      <c r="Z250" s="80"/>
      <c r="AA250" s="377"/>
      <c r="AB250" s="413"/>
      <c r="AC250" s="380"/>
      <c r="AD250" s="380"/>
      <c r="AE250" s="380"/>
      <c r="AF250" s="380"/>
      <c r="AG250" s="380"/>
      <c r="AH250" s="380"/>
      <c r="AI250" s="336"/>
      <c r="AJ250" s="425">
        <f t="shared" si="98"/>
        <v>0</v>
      </c>
      <c r="AK250" s="122" t="str">
        <f>CONCATENATE(IF(D250&gt;D248," * F06-03 for Age "&amp;D20&amp;" "&amp;D21&amp;" is more than F06-01"&amp;CHAR(10),""),IF(E250&gt;E248," * F06-03 for Age "&amp;D20&amp;" "&amp;E21&amp;" is more than F06-01"&amp;CHAR(10),""),IF(F250&gt;F248," * F06-03 for Age "&amp;F20&amp;" "&amp;F21&amp;" is more than F06-01"&amp;CHAR(10),""),IF(G250&gt;G248," * F06-03 for Age "&amp;F20&amp;" "&amp;G21&amp;" is more than F06-01"&amp;CHAR(10),""),IF(H250&gt;H248," * F06-03 for Age "&amp;H20&amp;" "&amp;H21&amp;" is more than F06-01"&amp;CHAR(10),""),IF(I250&gt;I248," * F06-03 for Age "&amp;H20&amp;" "&amp;I21&amp;" is more than F06-01"&amp;CHAR(10),""),IF(J250&gt;J248," * F06-03 for Age "&amp;J20&amp;" "&amp;J21&amp;" is more than F06-01"&amp;CHAR(10),""),IF(K250&gt;K248," * F06-03 for Age "&amp;J20&amp;" "&amp;K21&amp;" is more than F06-01"&amp;CHAR(10),""),IF(L250&gt;L248," * F06-03 for Age "&amp;L20&amp;" "&amp;L21&amp;" is more than F06-01"&amp;CHAR(10),""),IF(M250&gt;M248," * F06-03 for Age "&amp;L20&amp;" "&amp;M21&amp;" is more than F06-01"&amp;CHAR(10),""),IF(N250&gt;N248," * F06-03 for Age "&amp;N20&amp;" "&amp;N21&amp;" is more than F06-01"&amp;CHAR(10),""),IF(O250&gt;O248," * F06-03 for Age "&amp;N20&amp;" "&amp;O21&amp;" is more than F06-01"&amp;CHAR(10),""),IF(P250&gt;P248," * F06-03 for Age "&amp;P20&amp;" "&amp;P21&amp;" is more than F06-01"&amp;CHAR(10),""),IF(Q250&gt;Q248," * F06-03 for Age "&amp;P20&amp;" "&amp;Q21&amp;" is more than F06-01"&amp;CHAR(10),""),IF(R250&gt;R248," * F06-03 for Age "&amp;R20&amp;" "&amp;R21&amp;" is more than F06-01"&amp;CHAR(10),""),IF(S250&gt;S248," * F06-03 for Age "&amp;R20&amp;" "&amp;S21&amp;" is more than F06-01"&amp;CHAR(10),""),IF(T250&gt;T248," * F06-03 for Age "&amp;T20&amp;" "&amp;T21&amp;" is more than F06-01"&amp;CHAR(10),""),IF(U250&gt;U248," * F06-03 for Age "&amp;T20&amp;" "&amp;U21&amp;" is more than F06-01"&amp;CHAR(10),""),IF(V250&gt;V248," * F06-03 for Age "&amp;V20&amp;" "&amp;V21&amp;" is more than F06-01"&amp;CHAR(10),""),IF(W250&gt;W248," * F06-03 for Age "&amp;V20&amp;" "&amp;W21&amp;" is more than F06-01"&amp;CHAR(10),""),IF(X250&gt;X248," * F06-03 for Age "&amp;X20&amp;" "&amp;X21&amp;" is more than F06-01"&amp;CHAR(10),""),IF(Y250&gt;Y248," * F06-03 for Age "&amp;X20&amp;" "&amp;Y21&amp;" is more than F06-01"&amp;CHAR(10),""),IF(Z250&gt;Z248," * F06-03 for Age "&amp;Z20&amp;" "&amp;Z21&amp;" is more than F06-01"&amp;CHAR(10),""),IF(AA250&gt;AA248," * F06-03 for Age "&amp;Z20&amp;" "&amp;AA21&amp;" is more than F06-01"&amp;CHAR(10),""),IF(AJ250&gt;AJ248," * Total F06-03 is more than Total F06-01"&amp;CHAR(10),""))</f>
        <v/>
      </c>
      <c r="AL250" s="765"/>
      <c r="AM250" s="32"/>
      <c r="AN250" s="671"/>
      <c r="AO250" s="14">
        <v>198</v>
      </c>
      <c r="AP250" s="76"/>
      <c r="AQ250" s="77"/>
    </row>
    <row r="251" spans="1:43" ht="25.5" x14ac:dyDescent="0.75">
      <c r="A251" s="608"/>
      <c r="B251" s="175" t="s">
        <v>693</v>
      </c>
      <c r="C251" s="899" t="s">
        <v>369</v>
      </c>
      <c r="D251" s="79"/>
      <c r="E251" s="80"/>
      <c r="F251" s="80"/>
      <c r="G251" s="80"/>
      <c r="H251" s="80"/>
      <c r="I251" s="80"/>
      <c r="J251" s="80"/>
      <c r="K251" s="218"/>
      <c r="L251" s="80"/>
      <c r="M251" s="218"/>
      <c r="N251" s="80"/>
      <c r="O251" s="218"/>
      <c r="P251" s="80"/>
      <c r="Q251" s="218"/>
      <c r="R251" s="80"/>
      <c r="S251" s="218"/>
      <c r="T251" s="80"/>
      <c r="U251" s="218"/>
      <c r="V251" s="80"/>
      <c r="W251" s="218"/>
      <c r="X251" s="80"/>
      <c r="Y251" s="218"/>
      <c r="Z251" s="80"/>
      <c r="AA251" s="377"/>
      <c r="AB251" s="413"/>
      <c r="AC251" s="380"/>
      <c r="AD251" s="380"/>
      <c r="AE251" s="380"/>
      <c r="AF251" s="380"/>
      <c r="AG251" s="380"/>
      <c r="AH251" s="380"/>
      <c r="AI251" s="336"/>
      <c r="AJ251" s="425">
        <f t="shared" si="98"/>
        <v>0</v>
      </c>
      <c r="AK251" s="122" t="str">
        <f>CONCATENATE(IF(D251&gt;D250," * New positive at ANC1 for Age "&amp;D20&amp;" "&amp;D21&amp;" is more than initial test at ANC1"&amp;CHAR(10),""),IF(E251&gt;E250," * New positive at ANC1 for Age "&amp;D20&amp;" "&amp;E21&amp;" is more than initial test at ANC1"&amp;CHAR(10),""),IF(F251&gt;F250," * New positive at ANC1 for Age "&amp;F20&amp;" "&amp;F21&amp;" is more than initial test at ANC1"&amp;CHAR(10),""),IF(G251&gt;G250," * New positive at ANC1 for Age "&amp;F20&amp;" "&amp;G21&amp;" is more than initial test at ANC1"&amp;CHAR(10),""),IF(H251&gt;H250," * New positive at ANC1 for Age "&amp;H20&amp;" "&amp;H21&amp;" is more than initial test at ANC1"&amp;CHAR(10),""),IF(I251&gt;I250," * New positive at ANC1 for Age "&amp;H20&amp;" "&amp;I21&amp;" is more than initial test at ANC1"&amp;CHAR(10),""),IF(J251&gt;J250," * New positive at ANC1 for Age "&amp;J20&amp;" "&amp;J21&amp;" is more than initial test at ANC1"&amp;CHAR(10),""),IF(K251&gt;K250," * New positive at ANC1 for Age "&amp;J20&amp;" "&amp;K21&amp;" is more than initial test at ANC1"&amp;CHAR(10),""),IF(L251&gt;L250," * New positive at ANC1 for Age "&amp;L20&amp;" "&amp;L21&amp;" is more than initial test at ANC1"&amp;CHAR(10),""),IF(M251&gt;M250," * New positive at ANC1 for Age "&amp;L20&amp;" "&amp;M21&amp;" is more than initial test at ANC1"&amp;CHAR(10),""),IF(N251&gt;N250," * New positive at ANC1 for Age "&amp;N20&amp;" "&amp;N21&amp;" is more than initial test at ANC1"&amp;CHAR(10),""),IF(O251&gt;O250," * New positive at ANC1 for Age "&amp;N20&amp;" "&amp;O21&amp;" is more than initial test at ANC1"&amp;CHAR(10),""),IF(P251&gt;P250," * New positive at ANC1 for Age "&amp;P20&amp;" "&amp;P21&amp;" is more than initial test at ANC1"&amp;CHAR(10),""),IF(Q251&gt;Q250," * New positive at ANC1 for Age "&amp;P20&amp;" "&amp;Q21&amp;" is more than initial test at ANC1"&amp;CHAR(10),""),IF(R251&gt;R250," * New positive at ANC1 for Age "&amp;R20&amp;" "&amp;R21&amp;" is more than initial test at ANC1"&amp;CHAR(10),""),IF(S251&gt;S250," * New positive at ANC1 for Age "&amp;R20&amp;" "&amp;S21&amp;" is more than initial test at ANC1"&amp;CHAR(10),""),IF(T251&gt;T250," * New positive at ANC1 for Age "&amp;T20&amp;" "&amp;T21&amp;" is more than initial test at ANC1"&amp;CHAR(10),""),IF(U251&gt;U250," * New positive at ANC1 for Age "&amp;T20&amp;" "&amp;U21&amp;" is more than initial test at ANC1"&amp;CHAR(10),""),IF(V251&gt;V250," * New positive at ANC1 for Age "&amp;V20&amp;" "&amp;V21&amp;" is more than initial test at ANC1"&amp;CHAR(10),""),IF(W251&gt;W250," * New positive at ANC1 for Age "&amp;V20&amp;" "&amp;W21&amp;" is more than initial test at ANC1"&amp;CHAR(10),""),IF(X251&gt;X250," * New positive at ANC1 for Age "&amp;X20&amp;" "&amp;X21&amp;" is more than initial test at ANC1"&amp;CHAR(10),""),IF(Y251&gt;Y250," * New positive at ANC1 for Age "&amp;X20&amp;" "&amp;Y21&amp;" is more than initial test at ANC1"&amp;CHAR(10),""),IF(Z251&gt;Z250," * New positive at ANC1 for Age "&amp;Z20&amp;" "&amp;Z21&amp;" is more than initial test at ANC1"&amp;CHAR(10),""),IF(AA251&gt;AA250," * New positive at ANC1 for Age "&amp;Z20&amp;" "&amp;AA21&amp;" is more than initial test at ANC1"&amp;CHAR(10),""),IF(AJ251&gt;AJ250," * Total New positive at ANC1 is more than Total initial test at ANC1"&amp;CHAR(10),""))</f>
        <v/>
      </c>
      <c r="AL251" s="765"/>
      <c r="AM251" s="32"/>
      <c r="AN251" s="671"/>
      <c r="AO251" s="14">
        <v>199</v>
      </c>
      <c r="AP251" s="76"/>
      <c r="AQ251" s="77"/>
    </row>
    <row r="252" spans="1:43" ht="25.5" x14ac:dyDescent="0.75">
      <c r="A252" s="608"/>
      <c r="B252" s="221" t="s">
        <v>476</v>
      </c>
      <c r="C252" s="899" t="s">
        <v>480</v>
      </c>
      <c r="D252" s="79"/>
      <c r="E252" s="80"/>
      <c r="F252" s="80"/>
      <c r="G252" s="80"/>
      <c r="H252" s="80"/>
      <c r="I252" s="80"/>
      <c r="J252" s="80"/>
      <c r="K252" s="222">
        <f>K250+K249</f>
        <v>0</v>
      </c>
      <c r="L252" s="80"/>
      <c r="M252" s="222">
        <f>M250+M249</f>
        <v>0</v>
      </c>
      <c r="N252" s="80"/>
      <c r="O252" s="222">
        <f>O250+O249</f>
        <v>0</v>
      </c>
      <c r="P252" s="80"/>
      <c r="Q252" s="222">
        <f>Q250+Q249</f>
        <v>0</v>
      </c>
      <c r="R252" s="80"/>
      <c r="S252" s="222">
        <f>S250+S249</f>
        <v>0</v>
      </c>
      <c r="T252" s="80"/>
      <c r="U252" s="222">
        <f>U250+U249</f>
        <v>0</v>
      </c>
      <c r="V252" s="80"/>
      <c r="W252" s="222">
        <f>W250+W249</f>
        <v>0</v>
      </c>
      <c r="X252" s="80"/>
      <c r="Y252" s="222">
        <f>Y250+Y249</f>
        <v>0</v>
      </c>
      <c r="Z252" s="80"/>
      <c r="AA252" s="377"/>
      <c r="AB252" s="413"/>
      <c r="AC252" s="380"/>
      <c r="AD252" s="380"/>
      <c r="AE252" s="380"/>
      <c r="AF252" s="380"/>
      <c r="AG252" s="380"/>
      <c r="AH252" s="380"/>
      <c r="AI252" s="336"/>
      <c r="AJ252" s="425">
        <f t="shared" si="98"/>
        <v>0</v>
      </c>
      <c r="AK252" s="122"/>
      <c r="AL252" s="765"/>
      <c r="AM252" s="32"/>
      <c r="AN252" s="671"/>
      <c r="AO252" s="14">
        <v>200</v>
      </c>
      <c r="AP252" s="76"/>
      <c r="AQ252" s="77"/>
    </row>
    <row r="253" spans="1:43" ht="25.9" thickBot="1" x14ac:dyDescent="0.8">
      <c r="A253" s="609"/>
      <c r="B253" s="223" t="s">
        <v>481</v>
      </c>
      <c r="C253" s="901" t="s">
        <v>497</v>
      </c>
      <c r="D253" s="106"/>
      <c r="E253" s="105"/>
      <c r="F253" s="105"/>
      <c r="G253" s="105"/>
      <c r="H253" s="105"/>
      <c r="I253" s="105"/>
      <c r="J253" s="105"/>
      <c r="K253" s="224">
        <f>K251+K249</f>
        <v>0</v>
      </c>
      <c r="L253" s="105"/>
      <c r="M253" s="224">
        <f>M251+M249</f>
        <v>0</v>
      </c>
      <c r="N253" s="105"/>
      <c r="O253" s="224">
        <f>O251+O249</f>
        <v>0</v>
      </c>
      <c r="P253" s="105"/>
      <c r="Q253" s="224">
        <f>Q251+Q249</f>
        <v>0</v>
      </c>
      <c r="R253" s="105"/>
      <c r="S253" s="224">
        <f>S251+S249</f>
        <v>0</v>
      </c>
      <c r="T253" s="105"/>
      <c r="U253" s="224">
        <f>U251+U249</f>
        <v>0</v>
      </c>
      <c r="V253" s="105"/>
      <c r="W253" s="224">
        <f>W251+W249</f>
        <v>0</v>
      </c>
      <c r="X253" s="105"/>
      <c r="Y253" s="224">
        <f>Y251+Y249</f>
        <v>0</v>
      </c>
      <c r="Z253" s="105"/>
      <c r="AA253" s="347"/>
      <c r="AB253" s="413"/>
      <c r="AC253" s="380"/>
      <c r="AD253" s="380"/>
      <c r="AE253" s="380"/>
      <c r="AF253" s="380"/>
      <c r="AG253" s="380"/>
      <c r="AH253" s="380"/>
      <c r="AI253" s="336"/>
      <c r="AJ253" s="426">
        <f t="shared" si="98"/>
        <v>0</v>
      </c>
      <c r="AK253" s="122"/>
      <c r="AL253" s="765"/>
      <c r="AM253" s="32"/>
      <c r="AN253" s="671"/>
      <c r="AO253" s="14">
        <v>201</v>
      </c>
      <c r="AP253" s="76"/>
      <c r="AQ253" s="77"/>
    </row>
    <row r="254" spans="1:43" ht="25.5" x14ac:dyDescent="0.75">
      <c r="A254" s="585" t="s">
        <v>1020</v>
      </c>
      <c r="B254" s="225" t="s">
        <v>694</v>
      </c>
      <c r="C254" s="898" t="s">
        <v>281</v>
      </c>
      <c r="D254" s="101"/>
      <c r="E254" s="102"/>
      <c r="F254" s="102"/>
      <c r="G254" s="102"/>
      <c r="H254" s="102"/>
      <c r="I254" s="102"/>
      <c r="J254" s="102"/>
      <c r="K254" s="97"/>
      <c r="L254" s="102"/>
      <c r="M254" s="97"/>
      <c r="N254" s="102"/>
      <c r="O254" s="97"/>
      <c r="P254" s="102"/>
      <c r="Q254" s="97"/>
      <c r="R254" s="102"/>
      <c r="S254" s="97"/>
      <c r="T254" s="102"/>
      <c r="U254" s="97"/>
      <c r="V254" s="102"/>
      <c r="W254" s="97"/>
      <c r="X254" s="102"/>
      <c r="Y254" s="97"/>
      <c r="Z254" s="102"/>
      <c r="AA254" s="346"/>
      <c r="AB254" s="413"/>
      <c r="AC254" s="380"/>
      <c r="AD254" s="380"/>
      <c r="AE254" s="380"/>
      <c r="AF254" s="380"/>
      <c r="AG254" s="380"/>
      <c r="AH254" s="380"/>
      <c r="AI254" s="336"/>
      <c r="AJ254" s="427">
        <f t="shared" si="98"/>
        <v>0</v>
      </c>
      <c r="AK254" s="687" t="str">
        <f>CONCATENATE(IF(D255&gt;D254," * Initial positive results at ANC 2 and above for Age "&amp;D20&amp;" "&amp;D21&amp;" is more than Initial test at ANC 2 and above"&amp;CHAR(10),""),IF(E255&gt;E254," * Initial positive results at ANC 2 and above for Age "&amp;D20&amp;" "&amp;E21&amp;" is more than Initial test at ANC 2 and above"&amp;CHAR(10),""),IF(F255&gt;F254," * Initial positive results at ANC 2 and above for Age "&amp;F20&amp;" "&amp;F21&amp;" is more than Initial test at ANC 2 and above"&amp;CHAR(10),""),IF(G255&gt;G254," * Initial positive results at ANC 2 and above for Age "&amp;F20&amp;" "&amp;G21&amp;" is more than Initial test at ANC 2 and above"&amp;CHAR(10),""),IF(H255&gt;H254," * Initial positive results at ANC 2 and above for Age "&amp;H20&amp;" "&amp;H21&amp;" is more than Initial test at ANC 2 and above"&amp;CHAR(10),""),IF(I255&gt;I254," * Initial positive results at ANC 2 and above for Age "&amp;H20&amp;" "&amp;I21&amp;" is more than Initial test at ANC 2 and above"&amp;CHAR(10),""),IF(J255&gt;J254," * Initial positive results at ANC 2 and above for Age "&amp;J20&amp;" "&amp;J21&amp;" is more than Initial test at ANC 2 and above"&amp;CHAR(10),""),IF(K255&gt;K254," * Initial positive results at ANC 2 and above for Age "&amp;J20&amp;" "&amp;K21&amp;" is more than Initial test at ANC 2 and above"&amp;CHAR(10),""),IF(L255&gt;L254," * Initial positive results at ANC 2 and above for Age "&amp;L20&amp;" "&amp;L21&amp;" is more than Initial test at ANC 2 and above"&amp;CHAR(10),""),IF(M255&gt;M254," * Initial positive results at ANC 2 and above for Age "&amp;L20&amp;" "&amp;M21&amp;" is more than Initial test at ANC 2 and above"&amp;CHAR(10),""),IF(N255&gt;N254," * Initial positive results at ANC 2 and above for Age "&amp;N20&amp;" "&amp;N21&amp;" is more than Initial test at ANC 2 and above"&amp;CHAR(10),""),IF(O255&gt;O254," * Initial positive results at ANC 2 and above for Age "&amp;N20&amp;" "&amp;O21&amp;" is more than Initial test at ANC 2 and above"&amp;CHAR(10),""),IF(P255&gt;P254," * Initial positive results at ANC 2 and above for Age "&amp;P20&amp;" "&amp;P21&amp;" is more than Initial test at ANC 2 and above"&amp;CHAR(10),""),IF(Q255&gt;Q254," * Initial positive results at ANC 2 and above for Age "&amp;P20&amp;" "&amp;Q21&amp;" is more than Initial test at ANC 2 and above"&amp;CHAR(10),""),IF(R255&gt;R254," * Initial positive results at ANC 2 and above for Age "&amp;R20&amp;" "&amp;R21&amp;" is more than Initial test at ANC 2 and above"&amp;CHAR(10),""),IF(S255&gt;S254," * Initial positive results at ANC 2 and above for Age "&amp;R20&amp;" "&amp;S21&amp;" is more than Initial test at ANC 2 and above"&amp;CHAR(10),""),IF(T255&gt;T254," * Initial positive results at ANC 2 and above for Age "&amp;T20&amp;" "&amp;T21&amp;" is more than Initial test at ANC 2 and above"&amp;CHAR(10),""),IF(U255&gt;U254," * Initial positive results at ANC 2 and above for Age "&amp;T20&amp;" "&amp;U21&amp;" is more than Initial test at ANC 2 and above"&amp;CHAR(10),""),IF(V255&gt;V254," * Initial positive results at ANC 2 and above for Age "&amp;V20&amp;" "&amp;V21&amp;" is more than Initial test at ANC 2 and above"&amp;CHAR(10),""),IF(W255&gt;W254," * Initial positive results at ANC 2 and above for Age "&amp;V20&amp;" "&amp;W21&amp;" is more than Initial test at ANC 2 and above"&amp;CHAR(10),""),IF(X255&gt;X254," * Initial positive results at ANC 2 and above for Age "&amp;X20&amp;" "&amp;X21&amp;" is more than Initial test at ANC 2 and above"&amp;CHAR(10),""),IF(Y255&gt;Y254," * Initial positive results at ANC 2 and above for Age "&amp;X20&amp;" "&amp;Y21&amp;" is more than Initial test at ANC 2 and above"&amp;CHAR(10),""),IF(Z255&gt;Z254," * Initial positive results at ANC 2 and above for Age "&amp;Z20&amp;" "&amp;Z21&amp;" is more than Initial test at ANC 2 and above"&amp;CHAR(10),""),IF(AA255&gt;AA254," * Initial positive results at ANC 2 and above for Age "&amp;Z20&amp;" "&amp;AA21&amp;" is more than Initial test at ANC 2 and above"&amp;CHAR(10),""))</f>
        <v/>
      </c>
      <c r="AL254" s="765"/>
      <c r="AM254" s="32"/>
      <c r="AN254" s="671"/>
      <c r="AO254" s="14">
        <v>202</v>
      </c>
      <c r="AP254" s="76"/>
      <c r="AQ254" s="77"/>
    </row>
    <row r="255" spans="1:43" ht="25.5" x14ac:dyDescent="0.75">
      <c r="A255" s="635"/>
      <c r="B255" s="226" t="s">
        <v>478</v>
      </c>
      <c r="C255" s="899" t="s">
        <v>282</v>
      </c>
      <c r="D255" s="79"/>
      <c r="E255" s="80"/>
      <c r="F255" s="80"/>
      <c r="G255" s="80"/>
      <c r="H255" s="80"/>
      <c r="I255" s="80"/>
      <c r="J255" s="80"/>
      <c r="K255" s="218"/>
      <c r="L255" s="219"/>
      <c r="M255" s="218"/>
      <c r="N255" s="219"/>
      <c r="O255" s="218"/>
      <c r="P255" s="219"/>
      <c r="Q255" s="218"/>
      <c r="R255" s="219"/>
      <c r="S255" s="218"/>
      <c r="T255" s="219"/>
      <c r="U255" s="218"/>
      <c r="V255" s="219"/>
      <c r="W255" s="218"/>
      <c r="X255" s="219"/>
      <c r="Y255" s="218"/>
      <c r="Z255" s="80"/>
      <c r="AA255" s="377"/>
      <c r="AB255" s="413"/>
      <c r="AC255" s="380"/>
      <c r="AD255" s="380"/>
      <c r="AE255" s="380"/>
      <c r="AF255" s="380"/>
      <c r="AG255" s="380"/>
      <c r="AH255" s="380"/>
      <c r="AI255" s="336"/>
      <c r="AJ255" s="425">
        <f t="shared" si="98"/>
        <v>0</v>
      </c>
      <c r="AK255" s="687"/>
      <c r="AL255" s="765"/>
      <c r="AM255" s="32"/>
      <c r="AN255" s="671"/>
      <c r="AO255" s="14">
        <v>203</v>
      </c>
      <c r="AP255" s="76"/>
      <c r="AQ255" s="77"/>
    </row>
    <row r="256" spans="1:43" ht="31.15" customHeight="1" x14ac:dyDescent="0.75">
      <c r="A256" s="635"/>
      <c r="B256" s="78" t="s">
        <v>483</v>
      </c>
      <c r="C256" s="899" t="s">
        <v>485</v>
      </c>
      <c r="D256" s="79"/>
      <c r="E256" s="80"/>
      <c r="F256" s="80"/>
      <c r="G256" s="80"/>
      <c r="H256" s="80"/>
      <c r="I256" s="80"/>
      <c r="J256" s="80"/>
      <c r="K256" s="81"/>
      <c r="L256" s="80"/>
      <c r="M256" s="81"/>
      <c r="N256" s="80"/>
      <c r="O256" s="81"/>
      <c r="P256" s="80"/>
      <c r="Q256" s="81"/>
      <c r="R256" s="80"/>
      <c r="S256" s="81"/>
      <c r="T256" s="80"/>
      <c r="U256" s="81"/>
      <c r="V256" s="80"/>
      <c r="W256" s="81"/>
      <c r="X256" s="80"/>
      <c r="Y256" s="81"/>
      <c r="Z256" s="80"/>
      <c r="AA256" s="377"/>
      <c r="AB256" s="413"/>
      <c r="AC256" s="380"/>
      <c r="AD256" s="380"/>
      <c r="AE256" s="380"/>
      <c r="AF256" s="380"/>
      <c r="AG256" s="380"/>
      <c r="AH256" s="380"/>
      <c r="AI256" s="336"/>
      <c r="AJ256" s="425">
        <f t="shared" si="98"/>
        <v>0</v>
      </c>
      <c r="AK256" s="31" t="str">
        <f>CONCATENATE(IF(D257&gt;D256," * Retesting at ANC 2 and above For age "&amp;$D$20&amp;" "&amp;$D$21&amp;" is less than  than Retesting positive result at ANC 2 and above"&amp;CHAR(10),""),IF(E257&gt;E256," * Retesting at ANC 2 and above For age "&amp;$D$20&amp;" "&amp;$E$21&amp;" is less than  than Retesting positive result at ANC 2 and above"&amp;CHAR(10),""),IF(F257&gt;F256," * Retesting at ANC 2 and above For age "&amp;$F$20&amp;" "&amp;$F$21&amp;" is less than  than Retesting positive result at ANC 2 and above"&amp;CHAR(10),""),IF(G257&gt;G256," * Retesting at ANC 2 and above For age "&amp;$F$20&amp;" "&amp;$G$21&amp;" is less than  than Retesting positive result at ANC 2 and above"&amp;CHAR(10),""),IF(H257&gt;H256," * Retesting at ANC 2 and above For age "&amp;$H$20&amp;" "&amp;$H$21&amp;" is less than  than Retesting positive result at ANC 2 and above"&amp;CHAR(10),""),IF(I257&gt;I256," * Retesting at ANC 2 and above For age "&amp;$H$20&amp;" "&amp;$I$21&amp;" is less than  than Retesting positive result at ANC 2 and above"&amp;CHAR(10),""),IF(J257&gt;J256," * Retesting at ANC 2 and above For age "&amp;$J$20&amp;" "&amp;$J$21&amp;" is less than  than Retesting positive result at ANC 2 and above"&amp;CHAR(10),""),IF(K257&gt;K256," * Retesting at ANC 2 and above For age "&amp;$J$20&amp;" "&amp;$K$21&amp;" is less than  than Retesting positive result at ANC 2 and above"&amp;CHAR(10),""),IF(L257&gt;L256," * Retesting at ANC 2 and above For age "&amp;$L$20&amp;" "&amp;$L$21&amp;" is less than  than Retesting positive result at ANC 2 and above"&amp;CHAR(10),""),IF(M257&gt;M256," * Retesting at ANC 2 and above For age "&amp;$L$20&amp;" "&amp;$M$21&amp;" is less than  than Retesting positive result at ANC 2 and above"&amp;CHAR(10),""),IF(N257&gt;N256," * Retesting at ANC 2 and above For age "&amp;$N$20&amp;" "&amp;$N$21&amp;" is less than  than Retesting positive result at ANC 2 and above"&amp;CHAR(10),""),IF(O257&gt;O256," * Retesting at ANC 2 and above For age "&amp;$N$20&amp;" "&amp;$O$21&amp;" is less than  than Retesting positive result at ANC 2 and above"&amp;CHAR(10),""),IF(P257&gt;P256," * Retesting at ANC 2 and above For age "&amp;$P$20&amp;" "&amp;$P$21&amp;" is less than  than Retesting positive result at ANC 2 and above"&amp;CHAR(10),""),IF(Q257&gt;Q256," * Retesting at ANC 2 and above For age "&amp;$P$20&amp;" "&amp;$Q$21&amp;" is less than  than Retesting positive result at ANC 2 and above"&amp;CHAR(10),""),IF(R257&gt;R256," * Retesting at ANC 2 and above For age "&amp;$R$20&amp;" "&amp;$R$21&amp;" is less than  than Retesting positive result at ANC 2 and above"&amp;CHAR(10),""),IF(S257&gt;S256," * Retesting at ANC 2 and above For age "&amp;$R$20&amp;" "&amp;$S$21&amp;" is less than  than Retesting positive result at ANC 2 and above"&amp;CHAR(10),""),IF(T257&gt;T256," * Retesting at ANC 2 and above For age "&amp;$T$20&amp;" "&amp;$T$21&amp;" is less than  than Retesting positive result at ANC 2 and above"&amp;CHAR(10),""),IF(U257&gt;U256," * Retesting at ANC 2 and above For age "&amp;$T$20&amp;" "&amp;$U$21&amp;" is less than  than Retesting positive result at ANC 2 and above"&amp;CHAR(10),""),IF(V257&gt;V256," * Retesting at ANC 2 and above For age "&amp;$V$20&amp;" "&amp;$V$21&amp;" is less than  than Retesting positive result at ANC 2 and above"&amp;CHAR(10),""),IF(W257&gt;W256," * Retesting at ANC 2 and above For age "&amp;$V$20&amp;" "&amp;$W$21&amp;" is less than  than Retesting positive result at ANC 2 and above"&amp;CHAR(10),""),IF(X257&gt;X256," * Retesting at ANC 2 and above For age "&amp;$X$20&amp;" "&amp;$X$21&amp;" is less than  than Retesting positive result at ANC 2 and above"&amp;CHAR(10),""),IF(Y257&gt;Y256," * Retesting at ANC 2 and above For age "&amp;$X$20&amp;" "&amp;$Y$21&amp;" is less than  than Retesting positive result at ANC 2 and above"&amp;CHAR(10),""),IF(Z257&gt;Z256," * Retesting at ANC 2 and above For age "&amp;$Z$20&amp;" "&amp;$Z$21&amp;" is less than  than Retesting positive result at ANC 2 and above"&amp;CHAR(10),""),IF(AA257&gt;AA256," * Retesting at ANC 2 and above For age "&amp;$Z$20&amp;" "&amp;$AA$21&amp;" is less than  than Retesting positive result at ANC 2 and above"&amp;CHAR(10),""))</f>
        <v/>
      </c>
      <c r="AL256" s="765"/>
      <c r="AM256" s="32"/>
      <c r="AN256" s="671"/>
      <c r="AO256" s="14">
        <v>204</v>
      </c>
      <c r="AP256" s="76"/>
      <c r="AQ256" s="77"/>
    </row>
    <row r="257" spans="1:43" ht="25.9" thickBot="1" x14ac:dyDescent="0.8">
      <c r="A257" s="586"/>
      <c r="B257" s="98" t="s">
        <v>484</v>
      </c>
      <c r="C257" s="901" t="s">
        <v>486</v>
      </c>
      <c r="D257" s="106"/>
      <c r="E257" s="105"/>
      <c r="F257" s="105"/>
      <c r="G257" s="105"/>
      <c r="H257" s="105"/>
      <c r="I257" s="105"/>
      <c r="J257" s="227"/>
      <c r="K257" s="100"/>
      <c r="L257" s="227"/>
      <c r="M257" s="100"/>
      <c r="N257" s="227"/>
      <c r="O257" s="100"/>
      <c r="P257" s="227"/>
      <c r="Q257" s="100"/>
      <c r="R257" s="227"/>
      <c r="S257" s="100"/>
      <c r="T257" s="227"/>
      <c r="U257" s="100"/>
      <c r="V257" s="227"/>
      <c r="W257" s="100"/>
      <c r="X257" s="227"/>
      <c r="Y257" s="100"/>
      <c r="Z257" s="105"/>
      <c r="AA257" s="347"/>
      <c r="AB257" s="413"/>
      <c r="AC257" s="380"/>
      <c r="AD257" s="380"/>
      <c r="AE257" s="380"/>
      <c r="AF257" s="380"/>
      <c r="AG257" s="380"/>
      <c r="AH257" s="380"/>
      <c r="AI257" s="336"/>
      <c r="AJ257" s="426">
        <f t="shared" si="98"/>
        <v>0</v>
      </c>
      <c r="AK257" s="140"/>
      <c r="AL257" s="765"/>
      <c r="AM257" s="32"/>
      <c r="AN257" s="671"/>
      <c r="AO257" s="14">
        <v>205</v>
      </c>
      <c r="AP257" s="76"/>
      <c r="AQ257" s="77"/>
    </row>
    <row r="258" spans="1:43" ht="25.5" x14ac:dyDescent="0.75">
      <c r="A258" s="730" t="s">
        <v>487</v>
      </c>
      <c r="B258" s="94" t="s">
        <v>695</v>
      </c>
      <c r="C258" s="898" t="s">
        <v>370</v>
      </c>
      <c r="D258" s="101"/>
      <c r="E258" s="102"/>
      <c r="F258" s="102"/>
      <c r="G258" s="102"/>
      <c r="H258" s="102"/>
      <c r="I258" s="102"/>
      <c r="J258" s="102"/>
      <c r="K258" s="97"/>
      <c r="L258" s="102"/>
      <c r="M258" s="97"/>
      <c r="N258" s="102"/>
      <c r="O258" s="97"/>
      <c r="P258" s="102"/>
      <c r="Q258" s="97"/>
      <c r="R258" s="102"/>
      <c r="S258" s="97"/>
      <c r="T258" s="102"/>
      <c r="U258" s="97"/>
      <c r="V258" s="102"/>
      <c r="W258" s="97"/>
      <c r="X258" s="102"/>
      <c r="Y258" s="97"/>
      <c r="Z258" s="102"/>
      <c r="AA258" s="346"/>
      <c r="AB258" s="413"/>
      <c r="AC258" s="380"/>
      <c r="AD258" s="380"/>
      <c r="AE258" s="380"/>
      <c r="AF258" s="380"/>
      <c r="AG258" s="380"/>
      <c r="AH258" s="380"/>
      <c r="AI258" s="336"/>
      <c r="AJ258" s="427">
        <f t="shared" si="98"/>
        <v>0</v>
      </c>
      <c r="AK258" s="687" t="str">
        <f>CONCATENATE(IF(D259&gt;D258," * F06-08 for Age "&amp;D20&amp;" "&amp;D21&amp;" is more than F06-07"&amp;CHAR(10),""),IF(E259&gt;E258," * F06-08 for Age "&amp;D20&amp;" "&amp;E21&amp;" is more than F06-07"&amp;CHAR(10),""),IF(F259&gt;F258," * F06-08 for Age "&amp;F20&amp;" "&amp;F21&amp;" is more than F06-07"&amp;CHAR(10),""),IF(G259&gt;G258," * F06-08 for Age "&amp;F20&amp;" "&amp;G21&amp;" is more than F06-07"&amp;CHAR(10),""),IF(H259&gt;H258," * F06-08 for Age "&amp;H20&amp;" "&amp;H21&amp;" is more than F06-07"&amp;CHAR(10),""),IF(I259&gt;I258," * F06-08 for Age "&amp;H20&amp;" "&amp;I21&amp;" is more than F06-07"&amp;CHAR(10),""),IF(J259&gt;J258," * F06-08 for Age "&amp;J20&amp;" "&amp;J21&amp;" is more than F06-07"&amp;CHAR(10),""),IF(K259&gt;K258," * F06-08 for Age "&amp;J20&amp;" "&amp;K21&amp;" is more than F06-07"&amp;CHAR(10),""),IF(L259&gt;L258," * F06-08 for Age "&amp;L20&amp;" "&amp;L21&amp;" is more than F06-07"&amp;CHAR(10),""),IF(M259&gt;M258," * F06-08 for Age "&amp;L20&amp;" "&amp;M21&amp;" is more than F06-07"&amp;CHAR(10),""),IF(N259&gt;N258," * F06-08 for Age "&amp;N20&amp;" "&amp;N21&amp;" is more than F06-07"&amp;CHAR(10),""),IF(O259&gt;O258," * F06-08 for Age "&amp;N20&amp;" "&amp;O21&amp;" is more than F06-07"&amp;CHAR(10),""),IF(P259&gt;P258," * F06-08 for Age "&amp;P20&amp;" "&amp;P21&amp;" is more than F06-07"&amp;CHAR(10),""),IF(Q259&gt;Q258," * F06-08 for Age "&amp;P20&amp;" "&amp;Q21&amp;" is more than F06-07"&amp;CHAR(10),""),IF(R259&gt;R258," * F06-08 for Age "&amp;R20&amp;" "&amp;R21&amp;" is more than F06-07"&amp;CHAR(10),""),IF(S259&gt;S258," * F06-08 for Age "&amp;R20&amp;" "&amp;S21&amp;" is more than F06-07"&amp;CHAR(10),""),IF(T259&gt;T258," * F06-08 for Age "&amp;T20&amp;" "&amp;T21&amp;" is more than F06-07"&amp;CHAR(10),""),IF(U259&gt;U258," * F06-08 for Age "&amp;T20&amp;" "&amp;U21&amp;" is more than F06-07"&amp;CHAR(10),""),IF(V259&gt;V258," * F06-08 for Age "&amp;V20&amp;" "&amp;V21&amp;" is more than F06-07"&amp;CHAR(10),""),IF(W259&gt;W258," * F06-08 for Age "&amp;V20&amp;" "&amp;W21&amp;" is more than F06-07"&amp;CHAR(10),""),IF(X259&gt;X258," * F06-08 for Age "&amp;X20&amp;" "&amp;X21&amp;" is more than F06-07"&amp;CHAR(10),""),IF(Y259&gt;Y258," * F06-08 for Age "&amp;X20&amp;" "&amp;Y21&amp;" is more than F06-07"&amp;CHAR(10),""),IF(Z259&gt;Z258," * F06-08 for Age "&amp;Z20&amp;" "&amp;Z21&amp;" is more than F06-07"&amp;CHAR(10),""),IF(AA259&gt;AA258," * F06-08 for Age "&amp;Z20&amp;" "&amp;AA21&amp;" is more than F06-07"&amp;CHAR(10),""),IF(AJ259&gt;AJ258," * Total F06-08 is more than Total F06-07"&amp;CHAR(10),""))</f>
        <v/>
      </c>
      <c r="AL258" s="765"/>
      <c r="AM258" s="32"/>
      <c r="AN258" s="671"/>
      <c r="AO258" s="14">
        <v>206</v>
      </c>
      <c r="AP258" s="76"/>
      <c r="AQ258" s="77"/>
    </row>
    <row r="259" spans="1:43" ht="25.5" x14ac:dyDescent="0.75">
      <c r="A259" s="731"/>
      <c r="B259" s="226" t="s">
        <v>696</v>
      </c>
      <c r="C259" s="899" t="s">
        <v>371</v>
      </c>
      <c r="D259" s="79"/>
      <c r="E259" s="80"/>
      <c r="F259" s="80"/>
      <c r="G259" s="80"/>
      <c r="H259" s="80"/>
      <c r="I259" s="80"/>
      <c r="J259" s="80"/>
      <c r="K259" s="218"/>
      <c r="L259" s="219"/>
      <c r="M259" s="218"/>
      <c r="N259" s="219"/>
      <c r="O259" s="218"/>
      <c r="P259" s="219"/>
      <c r="Q259" s="218"/>
      <c r="R259" s="219"/>
      <c r="S259" s="218"/>
      <c r="T259" s="219"/>
      <c r="U259" s="218"/>
      <c r="V259" s="219"/>
      <c r="W259" s="218"/>
      <c r="X259" s="219"/>
      <c r="Y259" s="218"/>
      <c r="Z259" s="219"/>
      <c r="AA259" s="377"/>
      <c r="AB259" s="413"/>
      <c r="AC259" s="380"/>
      <c r="AD259" s="380"/>
      <c r="AE259" s="380"/>
      <c r="AF259" s="380"/>
      <c r="AG259" s="380"/>
      <c r="AH259" s="380"/>
      <c r="AI259" s="336"/>
      <c r="AJ259" s="425">
        <f t="shared" si="98"/>
        <v>0</v>
      </c>
      <c r="AK259" s="687"/>
      <c r="AL259" s="765"/>
      <c r="AM259" s="32"/>
      <c r="AN259" s="671"/>
      <c r="AO259" s="14">
        <v>207</v>
      </c>
      <c r="AP259" s="76"/>
      <c r="AQ259" s="77"/>
    </row>
    <row r="260" spans="1:43" ht="25.5" x14ac:dyDescent="0.75">
      <c r="A260" s="731"/>
      <c r="B260" s="78" t="s">
        <v>697</v>
      </c>
      <c r="C260" s="899" t="s">
        <v>646</v>
      </c>
      <c r="D260" s="79"/>
      <c r="E260" s="80"/>
      <c r="F260" s="80"/>
      <c r="G260" s="80"/>
      <c r="H260" s="80"/>
      <c r="I260" s="80"/>
      <c r="J260" s="80"/>
      <c r="K260" s="81"/>
      <c r="L260" s="80"/>
      <c r="M260" s="81"/>
      <c r="N260" s="80"/>
      <c r="O260" s="81"/>
      <c r="P260" s="80"/>
      <c r="Q260" s="81"/>
      <c r="R260" s="80"/>
      <c r="S260" s="81"/>
      <c r="T260" s="80"/>
      <c r="U260" s="81"/>
      <c r="V260" s="80"/>
      <c r="W260" s="81"/>
      <c r="X260" s="80"/>
      <c r="Y260" s="81"/>
      <c r="Z260" s="80"/>
      <c r="AA260" s="377"/>
      <c r="AB260" s="413"/>
      <c r="AC260" s="380"/>
      <c r="AD260" s="380"/>
      <c r="AE260" s="380"/>
      <c r="AF260" s="380"/>
      <c r="AG260" s="380"/>
      <c r="AH260" s="380"/>
      <c r="AI260" s="336"/>
      <c r="AJ260" s="425">
        <f t="shared" si="98"/>
        <v>0</v>
      </c>
      <c r="AK260" s="31" t="str">
        <f>CONCATENATE(IF(D261&gt;D260," * Retesting at L&amp;D For age "&amp;$D$20&amp;" "&amp;$D$21&amp;" is less than  than Retesting positive result at L&amp;D"&amp;CHAR(10),""),IF(E261&gt;E260," * Retesting at L&amp;D For age "&amp;$D$20&amp;" "&amp;$E$21&amp;" is less than  than Retesting positive result at L&amp;D"&amp;CHAR(10),""),IF(F261&gt;F260," * Retesting at L&amp;D For age "&amp;$F$20&amp;" "&amp;$F$21&amp;" is less than  than Retesting positive result at L&amp;D"&amp;CHAR(10),""),IF(G261&gt;G260," * Retesting at L&amp;D For age "&amp;$F$20&amp;" "&amp;$G$21&amp;" is less than  than Retesting positive result at L&amp;D"&amp;CHAR(10),""),IF(H261&gt;H260," * Retesting at L&amp;D For age "&amp;$H$20&amp;" "&amp;$H$21&amp;" is less than  than Retesting positive result at L&amp;D"&amp;CHAR(10),""),IF(I261&gt;I260," * Retesting at L&amp;D For age "&amp;$H$20&amp;" "&amp;$I$21&amp;" is less than  than Retesting positive result at L&amp;D"&amp;CHAR(10),""),IF(J261&gt;J260," * Retesting at L&amp;D For age "&amp;$J$20&amp;" "&amp;$J$21&amp;" is less than  than Retesting positive result at L&amp;D"&amp;CHAR(10),""),IF(K261&gt;K260," * Retesting at L&amp;D For age "&amp;$J$20&amp;" "&amp;$K$21&amp;" is less than  than Retesting positive result at L&amp;D"&amp;CHAR(10),""),IF(L261&gt;L260," * Retesting at L&amp;D For age "&amp;$L$20&amp;" "&amp;$L$21&amp;" is less than  than Retesting positive result at L&amp;D"&amp;CHAR(10),""),IF(M261&gt;M260," * Retesting at L&amp;D For age "&amp;$L$20&amp;" "&amp;$M$21&amp;" is less than  than Retesting positive result at L&amp;D"&amp;CHAR(10),""),IF(N261&gt;N260," * Retesting at L&amp;D For age "&amp;$N$20&amp;" "&amp;$N$21&amp;" is less than  than Retesting positive result at L&amp;D"&amp;CHAR(10),""),IF(O261&gt;O260," * Retesting at L&amp;D For age "&amp;$N$20&amp;" "&amp;$O$21&amp;" is less than  than Retesting positive result at L&amp;D"&amp;CHAR(10),""),IF(P261&gt;P260," * Retesting at L&amp;D For age "&amp;$P$20&amp;" "&amp;$P$21&amp;" is less than  than Retesting positive result at L&amp;D"&amp;CHAR(10),""),IF(Q261&gt;Q260," * Retesting at L&amp;D For age "&amp;$P$20&amp;" "&amp;$Q$21&amp;" is less than  than Retesting positive result at L&amp;D"&amp;CHAR(10),""),IF(R261&gt;R260," * Retesting at L&amp;D For age "&amp;$R$20&amp;" "&amp;$R$21&amp;" is less than  than Retesting positive result at L&amp;D"&amp;CHAR(10),""),IF(S261&gt;S260," * Retesting at L&amp;D For age "&amp;$R$20&amp;" "&amp;$S$21&amp;" is less than  than Retesting positive result at L&amp;D"&amp;CHAR(10),""),IF(T261&gt;T260," * Retesting at L&amp;D For age "&amp;$T$20&amp;" "&amp;$T$21&amp;" is less than  than Retesting positive result at L&amp;D"&amp;CHAR(10),""),IF(U261&gt;U260," * Retesting at L&amp;D For age "&amp;$T$20&amp;" "&amp;$U$21&amp;" is less than  than Retesting positive result at L&amp;D"&amp;CHAR(10),""),IF(V261&gt;V260," * Retesting at L&amp;D For age "&amp;$V$20&amp;" "&amp;$V$21&amp;" is less than  than Retesting positive result at L&amp;D"&amp;CHAR(10),""),IF(W261&gt;W260," * Retesting at L&amp;D For age "&amp;$V$20&amp;" "&amp;$W$21&amp;" is less than  than Retesting positive result at L&amp;D"&amp;CHAR(10),""),IF(X261&gt;X260," * Retesting at L&amp;D For age "&amp;$X$20&amp;" "&amp;$X$21&amp;" is less than  than Retesting positive result at L&amp;D"&amp;CHAR(10),""),IF(Y261&gt;Y260," * Retesting at L&amp;D For age "&amp;$X$20&amp;" "&amp;$Y$21&amp;" is less than  than Retesting positive result at L&amp;D"&amp;CHAR(10),""),IF(Z261&gt;Z260," * Retesting at L&amp;D For age "&amp;$Z$20&amp;" "&amp;$Z$21&amp;" is less than  than Retesting positive result at L&amp;D"&amp;CHAR(10),""),IF(AA261&gt;AA260," * Retesting at L&amp;D For age "&amp;$Z$20&amp;" "&amp;$AA$21&amp;" is less than  than Retesting positive result at L&amp;D"&amp;CHAR(10),""))</f>
        <v/>
      </c>
      <c r="AL260" s="765"/>
      <c r="AM260" s="32"/>
      <c r="AN260" s="671"/>
      <c r="AO260" s="14">
        <v>208</v>
      </c>
      <c r="AP260" s="76"/>
      <c r="AQ260" s="77"/>
    </row>
    <row r="261" spans="1:43" ht="25.9" thickBot="1" x14ac:dyDescent="0.8">
      <c r="A261" s="743"/>
      <c r="B261" s="98" t="s">
        <v>698</v>
      </c>
      <c r="C261" s="901" t="s">
        <v>647</v>
      </c>
      <c r="D261" s="106"/>
      <c r="E261" s="105"/>
      <c r="F261" s="105"/>
      <c r="G261" s="105"/>
      <c r="H261" s="105"/>
      <c r="I261" s="105"/>
      <c r="J261" s="105"/>
      <c r="K261" s="100"/>
      <c r="L261" s="227"/>
      <c r="M261" s="100"/>
      <c r="N261" s="227"/>
      <c r="O261" s="100"/>
      <c r="P261" s="227"/>
      <c r="Q261" s="100"/>
      <c r="R261" s="227"/>
      <c r="S261" s="100"/>
      <c r="T261" s="227"/>
      <c r="U261" s="100"/>
      <c r="V261" s="227"/>
      <c r="W261" s="100"/>
      <c r="X261" s="227"/>
      <c r="Y261" s="100"/>
      <c r="Z261" s="227"/>
      <c r="AA261" s="347"/>
      <c r="AB261" s="413"/>
      <c r="AC261" s="380"/>
      <c r="AD261" s="380"/>
      <c r="AE261" s="380"/>
      <c r="AF261" s="380"/>
      <c r="AG261" s="380"/>
      <c r="AH261" s="380"/>
      <c r="AI261" s="336"/>
      <c r="AJ261" s="425">
        <f t="shared" si="98"/>
        <v>0</v>
      </c>
      <c r="AK261" s="122"/>
      <c r="AL261" s="765"/>
      <c r="AM261" s="32"/>
      <c r="AN261" s="671"/>
      <c r="AO261" s="14">
        <v>209</v>
      </c>
      <c r="AP261" s="76"/>
      <c r="AQ261" s="77"/>
    </row>
    <row r="262" spans="1:43" ht="25.5" x14ac:dyDescent="0.75">
      <c r="A262" s="730" t="s">
        <v>492</v>
      </c>
      <c r="B262" s="94" t="s">
        <v>699</v>
      </c>
      <c r="C262" s="898" t="s">
        <v>283</v>
      </c>
      <c r="D262" s="101"/>
      <c r="E262" s="102"/>
      <c r="F262" s="102"/>
      <c r="G262" s="102"/>
      <c r="H262" s="102"/>
      <c r="I262" s="102"/>
      <c r="J262" s="102"/>
      <c r="K262" s="97"/>
      <c r="L262" s="102"/>
      <c r="M262" s="97"/>
      <c r="N262" s="102"/>
      <c r="O262" s="97"/>
      <c r="P262" s="102"/>
      <c r="Q262" s="97"/>
      <c r="R262" s="102"/>
      <c r="S262" s="97"/>
      <c r="T262" s="102"/>
      <c r="U262" s="97"/>
      <c r="V262" s="102"/>
      <c r="W262" s="97"/>
      <c r="X262" s="102"/>
      <c r="Y262" s="97"/>
      <c r="Z262" s="102"/>
      <c r="AA262" s="346"/>
      <c r="AB262" s="413"/>
      <c r="AC262" s="380"/>
      <c r="AD262" s="380"/>
      <c r="AE262" s="380"/>
      <c r="AF262" s="380"/>
      <c r="AG262" s="380"/>
      <c r="AH262" s="380"/>
      <c r="AI262" s="336"/>
      <c r="AJ262" s="427">
        <f t="shared" si="98"/>
        <v>0</v>
      </c>
      <c r="AK262" s="687" t="str">
        <f>CONCATENATE(IF(D263&gt;D262," * Positive at PNC &lt;=6wks for Age "&amp;D20&amp;" "&amp;D21&amp;" is more than Initial test at PNC &lt;= 6wks"&amp;CHAR(10),""),IF(E263&gt;E262," * Positive at PNC &lt;=6wks for Age "&amp;D20&amp;" "&amp;E21&amp;" is more than Initial test at PNC &lt;= 6wks"&amp;CHAR(10),""),IF(F263&gt;F262," * Positive at PNC &lt;=6wks for Age "&amp;F20&amp;" "&amp;F21&amp;" is more than Initial test at PNC &lt;= 6wks"&amp;CHAR(10),""),IF(G263&gt;G262," * Positive at PNC &lt;=6wks for Age "&amp;F20&amp;" "&amp;G21&amp;" is more than Initial test at PNC &lt;= 6wks"&amp;CHAR(10),""),IF(H263&gt;H262," * Positive at PNC &lt;=6wks for Age "&amp;H20&amp;" "&amp;H21&amp;" is more than Initial test at PNC &lt;= 6wks"&amp;CHAR(10),""),IF(I263&gt;I262," * Positive at PNC &lt;=6wks for Age "&amp;H20&amp;" "&amp;I21&amp;" is more than Initial test at PNC &lt;= 6wks"&amp;CHAR(10),""),IF(J263&gt;J262," * Positive at PNC &lt;=6wks for Age "&amp;J20&amp;" "&amp;J21&amp;" is more than Initial test at PNC &lt;= 6wks"&amp;CHAR(10),""),IF(K263&gt;K262," * Positive at PNC &lt;=6wks for Age "&amp;J20&amp;" "&amp;K21&amp;" is more than Initial test at PNC &lt;= 6wks"&amp;CHAR(10),""),IF(L263&gt;L262," * Positive at PNC &lt;=6wks for Age "&amp;L20&amp;" "&amp;L21&amp;" is more than Initial test at PNC &lt;= 6wks"&amp;CHAR(10),""),IF(M263&gt;M262," * Positive at PNC &lt;=6wks for Age "&amp;L20&amp;" "&amp;M21&amp;" is more than Initial test at PNC &lt;= 6wks"&amp;CHAR(10),""),IF(N263&gt;N262," * Positive at PNC &lt;=6wks for Age "&amp;N20&amp;" "&amp;N21&amp;" is more than Initial test at PNC &lt;= 6wks"&amp;CHAR(10),""),IF(O263&gt;O262," * Positive at PNC &lt;=6wks for Age "&amp;N20&amp;" "&amp;O21&amp;" is more than Initial test at PNC &lt;= 6wks"&amp;CHAR(10),""),IF(P263&gt;P262," * Positive at PNC &lt;=6wks for Age "&amp;P20&amp;" "&amp;P21&amp;" is more than Initial test at PNC &lt;= 6wks"&amp;CHAR(10),""),IF(Q263&gt;Q262," * Positive at PNC &lt;=6wks for Age "&amp;P20&amp;" "&amp;Q21&amp;" is more than Initial test at PNC &lt;= 6wks"&amp;CHAR(10),""),IF(R263&gt;R262," * Positive at PNC &lt;=6wks for Age "&amp;R20&amp;" "&amp;R21&amp;" is more than Initial test at PNC &lt;= 6wks"&amp;CHAR(10),""),IF(S263&gt;S262," * Positive at PNC &lt;=6wks for Age "&amp;R20&amp;" "&amp;S21&amp;" is more than Initial test at PNC &lt;= 6wks"&amp;CHAR(10),""),IF(T263&gt;T262," * Positive at PNC &lt;=6wks for Age "&amp;T20&amp;" "&amp;T21&amp;" is more than Initial test at PNC &lt;= 6wks"&amp;CHAR(10),""),IF(U263&gt;U262," * Positive at PNC &lt;=6wks for Age "&amp;T20&amp;" "&amp;U21&amp;" is more than Initial test at PNC &lt;= 6wks"&amp;CHAR(10),""),IF(V263&gt;V262," * Positive at PNC &lt;=6wks for Age "&amp;V20&amp;" "&amp;V21&amp;" is more than Initial test at PNC &lt;= 6wks"&amp;CHAR(10),""),IF(W263&gt;W262," * Positive at PNC &lt;=6wks for Age "&amp;V20&amp;" "&amp;W21&amp;" is more than Initial test at PNC &lt;= 6wks"&amp;CHAR(10),""),IF(X263&gt;X262," * Positive at PNC &lt;=6wks for Age "&amp;X20&amp;" "&amp;X21&amp;" is more than Initial test at PNC &lt;= 6wks"&amp;CHAR(10),""),IF(Y263&gt;Y262," * Positive at PNC &lt;=6wks for Age "&amp;X20&amp;" "&amp;Y21&amp;" is more than Initial test at PNC &lt;= 6wks"&amp;CHAR(10),""),IF(Z263&gt;Z262," * Positive at PNC &lt;=6wks for Age "&amp;Z20&amp;" "&amp;Z21&amp;" is more than Initial test at PNC &lt;= 6wks"&amp;CHAR(10),""),IF(AA263&gt;AA262," * Positive at PNC &lt;=6wks for Age "&amp;Z20&amp;" "&amp;AA21&amp;" is more than Initial test at PNC &lt;= 6wks"&amp;CHAR(10),""))</f>
        <v/>
      </c>
      <c r="AL262" s="765"/>
      <c r="AM262" s="32"/>
      <c r="AN262" s="671"/>
      <c r="AO262" s="14">
        <v>210</v>
      </c>
      <c r="AP262" s="76"/>
      <c r="AQ262" s="77"/>
    </row>
    <row r="263" spans="1:43" ht="25.5" x14ac:dyDescent="0.75">
      <c r="A263" s="731"/>
      <c r="B263" s="226" t="s">
        <v>700</v>
      </c>
      <c r="C263" s="899" t="s">
        <v>285</v>
      </c>
      <c r="D263" s="228"/>
      <c r="E263" s="229"/>
      <c r="F263" s="229"/>
      <c r="G263" s="229"/>
      <c r="H263" s="229"/>
      <c r="I263" s="229"/>
      <c r="J263" s="219"/>
      <c r="K263" s="218"/>
      <c r="L263" s="219"/>
      <c r="M263" s="218"/>
      <c r="N263" s="219"/>
      <c r="O263" s="218"/>
      <c r="P263" s="219"/>
      <c r="Q263" s="218"/>
      <c r="R263" s="219"/>
      <c r="S263" s="218"/>
      <c r="T263" s="219"/>
      <c r="U263" s="218"/>
      <c r="V263" s="219"/>
      <c r="W263" s="218"/>
      <c r="X263" s="219"/>
      <c r="Y263" s="218"/>
      <c r="Z263" s="219"/>
      <c r="AA263" s="377"/>
      <c r="AB263" s="413"/>
      <c r="AC263" s="380"/>
      <c r="AD263" s="380"/>
      <c r="AE263" s="380"/>
      <c r="AF263" s="380"/>
      <c r="AG263" s="380"/>
      <c r="AH263" s="380"/>
      <c r="AI263" s="336"/>
      <c r="AJ263" s="425">
        <f t="shared" si="98"/>
        <v>0</v>
      </c>
      <c r="AK263" s="687"/>
      <c r="AL263" s="765"/>
      <c r="AM263" s="32"/>
      <c r="AN263" s="671"/>
      <c r="AO263" s="14">
        <v>211</v>
      </c>
      <c r="AP263" s="76"/>
      <c r="AQ263" s="77"/>
    </row>
    <row r="264" spans="1:43" s="63" customFormat="1" ht="25.5" x14ac:dyDescent="0.75">
      <c r="A264" s="731"/>
      <c r="B264" s="78" t="s">
        <v>488</v>
      </c>
      <c r="C264" s="899" t="s">
        <v>493</v>
      </c>
      <c r="D264" s="79"/>
      <c r="E264" s="80"/>
      <c r="F264" s="80"/>
      <c r="G264" s="80"/>
      <c r="H264" s="80"/>
      <c r="I264" s="80"/>
      <c r="J264" s="80"/>
      <c r="K264" s="81"/>
      <c r="L264" s="80"/>
      <c r="M264" s="81"/>
      <c r="N264" s="80"/>
      <c r="O264" s="81"/>
      <c r="P264" s="80"/>
      <c r="Q264" s="81"/>
      <c r="R264" s="80"/>
      <c r="S264" s="81"/>
      <c r="T264" s="80"/>
      <c r="U264" s="81"/>
      <c r="V264" s="80"/>
      <c r="W264" s="81"/>
      <c r="X264" s="80"/>
      <c r="Y264" s="81"/>
      <c r="Z264" s="80"/>
      <c r="AA264" s="377"/>
      <c r="AB264" s="413"/>
      <c r="AC264" s="380"/>
      <c r="AD264" s="380"/>
      <c r="AE264" s="380"/>
      <c r="AF264" s="380"/>
      <c r="AG264" s="380"/>
      <c r="AH264" s="380"/>
      <c r="AI264" s="336"/>
      <c r="AJ264" s="425">
        <f t="shared" si="98"/>
        <v>0</v>
      </c>
      <c r="AK264" s="31" t="str">
        <f>CONCATENATE(IF(D265&gt;D264," * Retesting at PNC &lt; = 6 weeks For age "&amp;$D$20&amp;" "&amp;$D$21&amp;" is less than  than Retesting positive result at PNC &lt; = 6 weeks"&amp;CHAR(10),""),IF(E265&gt;E264," * Retesting at PNC &lt; = 6 weeks For age "&amp;$D$20&amp;" "&amp;$E$21&amp;" is less than  than Retesting positive result at PNC &lt; = 6 weeks"&amp;CHAR(10),""),IF(F265&gt;F264," * Retesting at PNC &lt; = 6 weeks For age "&amp;$F$20&amp;" "&amp;$F$21&amp;" is less than  than Retesting positive result at PNC &lt; = 6 weeks"&amp;CHAR(10),""),IF(G265&gt;G264," * Retesting at PNC &lt; = 6 weeks For age "&amp;$F$20&amp;" "&amp;$G$21&amp;" is less than  than Retesting positive result at PNC &lt; = 6 weeks"&amp;CHAR(10),""),IF(H265&gt;H264," * Retesting at PNC &lt; = 6 weeks For age "&amp;$H$20&amp;" "&amp;$H$21&amp;" is less than  than Retesting positive result at PNC &lt; = 6 weeks"&amp;CHAR(10),""),IF(I265&gt;I264," * Retesting at PNC &lt; = 6 weeks For age "&amp;$H$20&amp;" "&amp;$I$21&amp;" is less than  than Retesting positive result at PNC &lt; = 6 weeks"&amp;CHAR(10),""),IF(J265&gt;J264," * Retesting at PNC &lt; = 6 weeks For age "&amp;$J$20&amp;" "&amp;$J$21&amp;" is less than  than Retesting positive result at PNC &lt; = 6 weeks"&amp;CHAR(10),""),IF(K265&gt;K264," * Retesting at PNC &lt; = 6 weeks For age "&amp;$J$20&amp;" "&amp;$K$21&amp;" is less than  than Retesting positive result at PNC &lt; = 6 weeks"&amp;CHAR(10),""),IF(L265&gt;L264," * Retesting at PNC &lt; = 6 weeks For age "&amp;$L$20&amp;" "&amp;$L$21&amp;" is less than  than Retesting positive result at PNC &lt; = 6 weeks"&amp;CHAR(10),""),IF(M265&gt;M264," * Retesting at PNC &lt; = 6 weeks For age "&amp;$L$20&amp;" "&amp;$M$21&amp;" is less than  than Retesting positive result at PNC &lt; = 6 weeks"&amp;CHAR(10),""),IF(N265&gt;N264," * Retesting at PNC &lt; = 6 weeks For age "&amp;$N$20&amp;" "&amp;$N$21&amp;" is less than  than Retesting positive result at PNC &lt; = 6 weeks"&amp;CHAR(10),""),IF(O265&gt;O264," * Retesting at PNC &lt; = 6 weeks For age "&amp;$N$20&amp;" "&amp;$O$21&amp;" is less than  than Retesting positive result at PNC &lt; = 6 weeks"&amp;CHAR(10),""),IF(P265&gt;P264," * Retesting at PNC &lt; = 6 weeks For age "&amp;$P$20&amp;" "&amp;$P$21&amp;" is less than  than Retesting positive result at PNC &lt; = 6 weeks"&amp;CHAR(10),""),IF(Q265&gt;Q264," * Retesting at PNC &lt; = 6 weeks For age "&amp;$P$20&amp;" "&amp;$Q$21&amp;" is less than  than Retesting positive result at PNC &lt; = 6 weeks"&amp;CHAR(10),""),IF(R265&gt;R264," * Retesting at PNC &lt; = 6 weeks For age "&amp;$R$20&amp;" "&amp;$R$21&amp;" is less than  than Retesting positive result at PNC &lt; = 6 weeks"&amp;CHAR(10),""),IF(S265&gt;S264," * Retesting at PNC &lt; = 6 weeks For age "&amp;$R$20&amp;" "&amp;$S$21&amp;" is less than  than Retesting positive result at PNC &lt; = 6 weeks"&amp;CHAR(10),""),IF(T265&gt;T264," * Retesting at PNC &lt; = 6 weeks For age "&amp;$T$20&amp;" "&amp;$T$21&amp;" is less than  than Retesting positive result at PNC &lt; = 6 weeks"&amp;CHAR(10),""),IF(U265&gt;U264," * Retesting at PNC &lt; = 6 weeks For age "&amp;$T$20&amp;" "&amp;$U$21&amp;" is less than  than Retesting positive result at PNC &lt; = 6 weeks"&amp;CHAR(10),""),IF(V265&gt;V264," * Retesting at PNC &lt; = 6 weeks For age "&amp;$V$20&amp;" "&amp;$V$21&amp;" is less than  than Retesting positive result at PNC &lt; = 6 weeks"&amp;CHAR(10),""),IF(W265&gt;W264," * Retesting at PNC &lt; = 6 weeks For age "&amp;$V$20&amp;" "&amp;$W$21&amp;" is less than  than Retesting positive result at PNC &lt; = 6 weeks"&amp;CHAR(10),""),IF(X265&gt;X264," * Retesting at PNC &lt; = 6 weeks For age "&amp;$X$20&amp;" "&amp;$X$21&amp;" is less than  than Retesting positive result at PNC &lt; = 6 weeks"&amp;CHAR(10),""),IF(Y265&gt;Y264," * Retesting at PNC &lt; = 6 weeks For age "&amp;$X$20&amp;" "&amp;$Y$21&amp;" is less than  than Retesting positive result at PNC &lt; = 6 weeks"&amp;CHAR(10),""),IF(Z265&gt;Z264," * Retesting at PNC &lt; = 6 weeks For age "&amp;$Z$20&amp;" "&amp;$Z$21&amp;" is less than  than Retesting positive result at PNC &lt; = 6 weeks"&amp;CHAR(10),""),IF(AA265&gt;AA264," * Retesting at PNC &lt; = 6 weeks For age "&amp;$Z$20&amp;" "&amp;$AA$21&amp;" is less than  than Retesting positive result at PNC &lt; = 6 weeks"&amp;CHAR(10),""))</f>
        <v/>
      </c>
      <c r="AL264" s="765"/>
      <c r="AM264" s="62"/>
      <c r="AN264" s="671"/>
      <c r="AO264" s="14">
        <v>212</v>
      </c>
      <c r="AP264" s="82"/>
      <c r="AQ264" s="77"/>
    </row>
    <row r="265" spans="1:43" ht="25.5" x14ac:dyDescent="0.75">
      <c r="A265" s="731"/>
      <c r="B265" s="226" t="s">
        <v>489</v>
      </c>
      <c r="C265" s="899" t="s">
        <v>494</v>
      </c>
      <c r="D265" s="79"/>
      <c r="E265" s="80"/>
      <c r="F265" s="80"/>
      <c r="G265" s="80"/>
      <c r="H265" s="219"/>
      <c r="I265" s="219"/>
      <c r="J265" s="219"/>
      <c r="K265" s="218"/>
      <c r="L265" s="219"/>
      <c r="M265" s="218"/>
      <c r="N265" s="219"/>
      <c r="O265" s="218"/>
      <c r="P265" s="219"/>
      <c r="Q265" s="218"/>
      <c r="R265" s="219"/>
      <c r="S265" s="218"/>
      <c r="T265" s="219"/>
      <c r="U265" s="218"/>
      <c r="V265" s="219"/>
      <c r="W265" s="218"/>
      <c r="X265" s="219"/>
      <c r="Y265" s="218"/>
      <c r="Z265" s="219"/>
      <c r="AA265" s="377"/>
      <c r="AB265" s="413"/>
      <c r="AC265" s="380"/>
      <c r="AD265" s="380"/>
      <c r="AE265" s="380"/>
      <c r="AF265" s="380"/>
      <c r="AG265" s="380"/>
      <c r="AH265" s="380"/>
      <c r="AI265" s="336"/>
      <c r="AJ265" s="425">
        <f t="shared" si="98"/>
        <v>0</v>
      </c>
      <c r="AK265" s="122"/>
      <c r="AL265" s="765"/>
      <c r="AM265" s="32"/>
      <c r="AN265" s="671"/>
      <c r="AO265" s="14">
        <v>213</v>
      </c>
      <c r="AP265" s="76"/>
      <c r="AQ265" s="77"/>
    </row>
    <row r="266" spans="1:43" ht="25.5" x14ac:dyDescent="0.75">
      <c r="A266" s="731"/>
      <c r="B266" s="78" t="s">
        <v>490</v>
      </c>
      <c r="C266" s="899" t="s">
        <v>495</v>
      </c>
      <c r="D266" s="79"/>
      <c r="E266" s="80"/>
      <c r="F266" s="80"/>
      <c r="G266" s="80"/>
      <c r="H266" s="80"/>
      <c r="I266" s="80"/>
      <c r="J266" s="80"/>
      <c r="K266" s="81"/>
      <c r="L266" s="80"/>
      <c r="M266" s="81"/>
      <c r="N266" s="80"/>
      <c r="O266" s="81"/>
      <c r="P266" s="80"/>
      <c r="Q266" s="81"/>
      <c r="R266" s="80"/>
      <c r="S266" s="81"/>
      <c r="T266" s="80"/>
      <c r="U266" s="81"/>
      <c r="V266" s="80"/>
      <c r="W266" s="81"/>
      <c r="X266" s="80"/>
      <c r="Y266" s="81"/>
      <c r="Z266" s="80"/>
      <c r="AA266" s="377"/>
      <c r="AB266" s="413"/>
      <c r="AC266" s="380"/>
      <c r="AD266" s="380"/>
      <c r="AE266" s="380"/>
      <c r="AF266" s="380"/>
      <c r="AG266" s="380"/>
      <c r="AH266" s="380"/>
      <c r="AI266" s="336"/>
      <c r="AJ266" s="425">
        <f t="shared" si="98"/>
        <v>0</v>
      </c>
      <c r="AK266" s="31" t="str">
        <f>CONCATENATE(IF(D267&gt;D266," * Testing at PNC &gt; 6 weeks For age "&amp;$D$20&amp;" "&amp;$D$21&amp;" is less than Positive result at PNC &gt; 6 weeks"&amp;CHAR(10),""),IF(E267&gt;E266," * Testing at PNC &gt; 6 weeks For age "&amp;$D$20&amp;" "&amp;$E$21&amp;" is less than Positive result at PNC &gt; 6 weeks"&amp;CHAR(10),""),IF(F267&gt;F266," * Testing at PNC &gt; 6 weeks For age "&amp;$F$20&amp;" "&amp;$F$21&amp;" is less than Positive result at PNC &gt; 6 weeks"&amp;CHAR(10),""),IF(G267&gt;G266," * Testing at PNC &gt; 6 weeks For age "&amp;$F$20&amp;" "&amp;$G$21&amp;" is less than Positive result at PNC &gt; 6 weeks"&amp;CHAR(10),""),IF(H267&gt;H266," * Testing at PNC &gt; 6 weeks For age "&amp;$H$20&amp;" "&amp;$H$21&amp;" is less than Positive result at PNC &gt; 6 weeks"&amp;CHAR(10),""),IF(I267&gt;I266," * Testing at PNC &gt; 6 weeks For age "&amp;$H$20&amp;" "&amp;$I$21&amp;" is less than Positive result at PNC &gt; 6 weeks"&amp;CHAR(10),""),IF(J267&gt;J266," * Testing at PNC &gt; 6 weeks For age "&amp;$J$20&amp;" "&amp;$J$21&amp;" is less than Positive result at PNC &gt; 6 weeks"&amp;CHAR(10),""),IF(K267&gt;K266," * Testing at PNC &gt; 6 weeks For age "&amp;$J$20&amp;" "&amp;$K$21&amp;" is less than Positive result at PNC &gt; 6 weeks"&amp;CHAR(10),""),IF(L267&gt;L266," * Testing at PNC &gt; 6 weeks For age "&amp;$L$20&amp;" "&amp;$L$21&amp;" is less than Positive result at PNC &gt; 6 weeks"&amp;CHAR(10),""),IF(M267&gt;M266," * Testing at PNC &gt; 6 weeks For age "&amp;$L$20&amp;" "&amp;$M$21&amp;" is less than Positive result at PNC &gt; 6 weeks"&amp;CHAR(10),""),IF(N267&gt;N266," * Testing at PNC &gt; 6 weeks For age "&amp;$N$20&amp;" "&amp;$N$21&amp;" is less than Positive result at PNC &gt; 6 weeks"&amp;CHAR(10),""),IF(O267&gt;O266," * Testing at PNC &gt; 6 weeks For age "&amp;$N$20&amp;" "&amp;$O$21&amp;" is less than Positive result at PNC &gt; 6 weeks"&amp;CHAR(10),""),IF(P267&gt;P266," * Testing at PNC &gt; 6 weeks For age "&amp;$P$20&amp;" "&amp;$P$21&amp;" is less than Positive result at PNC &gt; 6 weeks"&amp;CHAR(10),""),IF(Q267&gt;Q266," * Testing at PNC &gt; 6 weeks For age "&amp;$P$20&amp;" "&amp;$Q$21&amp;" is less than Positive result at PNC &gt; 6 weeks"&amp;CHAR(10),""),IF(R267&gt;R266," * Testing at PNC &gt; 6 weeks For age "&amp;$R$20&amp;" "&amp;$R$21&amp;" is less than Positive result at PNC &gt; 6 weeks"&amp;CHAR(10),""),IF(S267&gt;S266," * Testing at PNC &gt; 6 weeks For age "&amp;$R$20&amp;" "&amp;$S$21&amp;" is less than Positive result at PNC &gt; 6 weeks"&amp;CHAR(10),""),IF(T267&gt;T266," * Testing at PNC &gt; 6 weeks For age "&amp;$T$20&amp;" "&amp;$T$21&amp;" is less than Positive result at PNC &gt; 6 weeks"&amp;CHAR(10),""),IF(U267&gt;U266," * Testing at PNC &gt; 6 weeks For age "&amp;$T$20&amp;" "&amp;$U$21&amp;" is less than Positive result at PNC &gt; 6 weeks"&amp;CHAR(10),""),IF(V267&gt;V266," * Testing at PNC &gt; 6 weeks For age "&amp;$V$20&amp;" "&amp;$V$21&amp;" is less than Positive result at PNC &gt; 6 weeks"&amp;CHAR(10),""),IF(W267&gt;W266," * Testing at PNC &gt; 6 weeks For age "&amp;$V$20&amp;" "&amp;$W$21&amp;" is less than Positive result at PNC &gt; 6 weeks"&amp;CHAR(10),""),IF(X267&gt;X266," * Testing at PNC &gt; 6 weeks For age "&amp;$X$20&amp;" "&amp;$X$21&amp;" is less than Positive result at PNC &gt; 6 weeks"&amp;CHAR(10),""),IF(Y267&gt;Y266," * Testing at PNC &gt; 6 weeks For age "&amp;$X$20&amp;" "&amp;$Y$21&amp;" is less than Positive result at PNC &gt; 6 weeks"&amp;CHAR(10),""),IF(Z267&gt;Z266," * Testing at PNC &gt; 6 weeks For age "&amp;$Z$20&amp;" "&amp;$Z$21&amp;" is less than Positive result at PNC &gt; 6 weeks"&amp;CHAR(10),""),IF(AA267&gt;AA266," * Testing at PNC &gt; 6 weeks For age "&amp;$Z$20&amp;" "&amp;$AA$21&amp;" is less than Positive result at PNC &gt; 6 weeks"&amp;CHAR(10),""))</f>
        <v/>
      </c>
      <c r="AL266" s="765"/>
      <c r="AM266" s="32"/>
      <c r="AN266" s="671"/>
      <c r="AO266" s="14">
        <v>214</v>
      </c>
      <c r="AP266" s="76"/>
      <c r="AQ266" s="77"/>
    </row>
    <row r="267" spans="1:43" ht="25.9" thickBot="1" x14ac:dyDescent="0.8">
      <c r="A267" s="743"/>
      <c r="B267" s="89" t="s">
        <v>491</v>
      </c>
      <c r="C267" s="901" t="s">
        <v>496</v>
      </c>
      <c r="D267" s="106"/>
      <c r="E267" s="105"/>
      <c r="F267" s="105"/>
      <c r="G267" s="105"/>
      <c r="H267" s="227"/>
      <c r="I267" s="227"/>
      <c r="J267" s="227"/>
      <c r="K267" s="100"/>
      <c r="L267" s="227"/>
      <c r="M267" s="100"/>
      <c r="N267" s="227"/>
      <c r="O267" s="100"/>
      <c r="P267" s="227"/>
      <c r="Q267" s="100"/>
      <c r="R267" s="227"/>
      <c r="S267" s="100"/>
      <c r="T267" s="227"/>
      <c r="U267" s="100"/>
      <c r="V267" s="227"/>
      <c r="W267" s="100"/>
      <c r="X267" s="227"/>
      <c r="Y267" s="100"/>
      <c r="Z267" s="227"/>
      <c r="AA267" s="378"/>
      <c r="AB267" s="430"/>
      <c r="AC267" s="429"/>
      <c r="AD267" s="429"/>
      <c r="AE267" s="429"/>
      <c r="AF267" s="429"/>
      <c r="AG267" s="429"/>
      <c r="AH267" s="429"/>
      <c r="AI267" s="431"/>
      <c r="AJ267" s="426">
        <f t="shared" si="98"/>
        <v>0</v>
      </c>
      <c r="AK267" s="122"/>
      <c r="AL267" s="765"/>
      <c r="AM267" s="32"/>
      <c r="AN267" s="671"/>
      <c r="AO267" s="14">
        <v>215</v>
      </c>
      <c r="AP267" s="76"/>
      <c r="AQ267" s="77"/>
    </row>
    <row r="268" spans="1:43" ht="25.5" x14ac:dyDescent="0.75">
      <c r="A268" s="741" t="s">
        <v>123</v>
      </c>
      <c r="B268" s="94" t="s">
        <v>701</v>
      </c>
      <c r="C268" s="898" t="s">
        <v>286</v>
      </c>
      <c r="D268" s="101"/>
      <c r="E268" s="102"/>
      <c r="F268" s="102"/>
      <c r="G268" s="102"/>
      <c r="H268" s="102"/>
      <c r="I268" s="102"/>
      <c r="J268" s="97"/>
      <c r="K268" s="102"/>
      <c r="L268" s="97"/>
      <c r="M268" s="102"/>
      <c r="N268" s="97"/>
      <c r="O268" s="102"/>
      <c r="P268" s="97"/>
      <c r="Q268" s="102"/>
      <c r="R268" s="97"/>
      <c r="S268" s="102"/>
      <c r="T268" s="97"/>
      <c r="U268" s="102"/>
      <c r="V268" s="97"/>
      <c r="W268" s="102"/>
      <c r="X268" s="97"/>
      <c r="Y268" s="102"/>
      <c r="Z268" s="97"/>
      <c r="AA268" s="346"/>
      <c r="AB268" s="413"/>
      <c r="AC268" s="380"/>
      <c r="AD268" s="380"/>
      <c r="AE268" s="380"/>
      <c r="AF268" s="380"/>
      <c r="AG268" s="380"/>
      <c r="AH268" s="380"/>
      <c r="AI268" s="336"/>
      <c r="AJ268" s="427">
        <f t="shared" si="98"/>
        <v>0</v>
      </c>
      <c r="AK268" s="687" t="str">
        <f>CONCATENATE(IF(D269&gt;D268," * Male Partners Tested Positive for Age "&amp;D20&amp;" "&amp;D21&amp;" is more than Male Partners Tested"&amp;CHAR(10),""),IF(E269&gt;E268," * Male Partners Tested Positive for Age "&amp;D20&amp;" "&amp;E21&amp;" is more than Male Partners Tested"&amp;CHAR(10),""),IF(F269&gt;F268," * Male Partners Tested Positive for Age "&amp;F20&amp;" "&amp;F21&amp;" is more than Male Partners Tested"&amp;CHAR(10),""),IF(G269&gt;G268," * Male Partners Tested Positive for Age "&amp;F20&amp;" "&amp;G21&amp;" is more than Male Partners Tested"&amp;CHAR(10),""),IF(H269&gt;H268," * Male Partners Tested Positive for Age "&amp;H20&amp;" "&amp;H21&amp;" is more than Male Partners Tested"&amp;CHAR(10),""),IF(I269&gt;I268," * Male Partners Tested Positive for Age "&amp;H20&amp;" "&amp;I21&amp;" is more than Male Partners Tested"&amp;CHAR(10),""),IF(J269&gt;J268," * Male Partners Tested Positive for Age "&amp;J20&amp;" "&amp;J21&amp;" is more than Male Partners Tested"&amp;CHAR(10),""),IF(K269&gt;K268," * Male Partners Tested Positive for Age "&amp;J20&amp;" "&amp;K21&amp;" is more than Male Partners Tested"&amp;CHAR(10),""),IF(L269&gt;L268," * Male Partners Tested Positive for Age "&amp;L20&amp;" "&amp;L21&amp;" is more than Male Partners Tested"&amp;CHAR(10),""),IF(M269&gt;M268," * Male Partners Tested Positive for Age "&amp;L20&amp;" "&amp;M21&amp;" is more than Male Partners Tested"&amp;CHAR(10),""),IF(N269&gt;N268," * Male Partners Tested Positive for Age "&amp;N20&amp;" "&amp;N21&amp;" is more than Male Partners Tested"&amp;CHAR(10),""),IF(O269&gt;O268," * Male Partners Tested Positive for Age "&amp;N20&amp;" "&amp;O21&amp;" is more than Male Partners Tested"&amp;CHAR(10),""),IF(P269&gt;P268," * Male Partners Tested Positive for Age "&amp;P20&amp;" "&amp;P21&amp;" is more than Male Partners Tested"&amp;CHAR(10),""),IF(Q269&gt;Q268," * Male Partners Tested Positive for Age "&amp;P20&amp;" "&amp;Q21&amp;" is more than Male Partners Tested"&amp;CHAR(10),""),IF(R269&gt;R268," * Male Partners Tested Positive for Age "&amp;R20&amp;" "&amp;R21&amp;" is more than Male Partners Tested"&amp;CHAR(10),""),IF(S269&gt;S268," * Male Partners Tested Positive for Age "&amp;R20&amp;" "&amp;S21&amp;" is more than Male Partners Tested"&amp;CHAR(10),""),IF(T269&gt;T268," * Male Partners Tested Positive for Age "&amp;T20&amp;" "&amp;T21&amp;" is more than Male Partners Tested"&amp;CHAR(10),""),IF(U269&gt;U268," * Male Partners Tested Positive for Age "&amp;T20&amp;" "&amp;U21&amp;" is more than Male Partners Tested"&amp;CHAR(10),""),IF(V269&gt;V268," * Male Partners Tested Positive for Age "&amp;V20&amp;" "&amp;V21&amp;" is more than Male Partners Tested"&amp;CHAR(10),""),IF(W269&gt;W268," * Male Partners Tested Positive for Age "&amp;V20&amp;" "&amp;W21&amp;" is more than Male Partners Tested"&amp;CHAR(10),""),IF(X269&gt;X268," * Male Partners Tested Positive for Age "&amp;X20&amp;" "&amp;X21&amp;" is more than Male Partners Tested"&amp;CHAR(10),""),IF(Y269&gt;Y268," * Male Partners Tested Positive for Age "&amp;X20&amp;" "&amp;Y21&amp;" is more than Male Partners Tested"&amp;CHAR(10),""),IF(Z269&gt;Z268," * Male Partners Tested Positive for Age "&amp;Z20&amp;" "&amp;Z21&amp;" is more than Male Partners Tested"&amp;CHAR(10),""),IF(AA269&gt;AA268," * Male Partners Tested Positive for Age "&amp;Z20&amp;" "&amp;AA21&amp;" is more than Male Partners Tested"&amp;CHAR(10),""))</f>
        <v/>
      </c>
      <c r="AL268" s="765"/>
      <c r="AM268" s="32"/>
      <c r="AN268" s="671"/>
      <c r="AO268" s="14">
        <v>216</v>
      </c>
      <c r="AP268" s="76"/>
      <c r="AQ268" s="77"/>
    </row>
    <row r="269" spans="1:43" ht="25.9" thickBot="1" x14ac:dyDescent="0.8">
      <c r="A269" s="609"/>
      <c r="B269" s="89" t="s">
        <v>702</v>
      </c>
      <c r="C269" s="901" t="s">
        <v>287</v>
      </c>
      <c r="D269" s="106"/>
      <c r="E269" s="105"/>
      <c r="F269" s="105"/>
      <c r="G269" s="105"/>
      <c r="H269" s="105"/>
      <c r="I269" s="105"/>
      <c r="J269" s="163"/>
      <c r="K269" s="105"/>
      <c r="L269" s="163"/>
      <c r="M269" s="105"/>
      <c r="N269" s="163"/>
      <c r="O269" s="105"/>
      <c r="P269" s="163"/>
      <c r="Q269" s="105"/>
      <c r="R269" s="163"/>
      <c r="S269" s="105"/>
      <c r="T269" s="163"/>
      <c r="U269" s="105"/>
      <c r="V269" s="163"/>
      <c r="W269" s="105"/>
      <c r="X269" s="163"/>
      <c r="Y269" s="105"/>
      <c r="Z269" s="163"/>
      <c r="AA269" s="347"/>
      <c r="AB269" s="413"/>
      <c r="AC269" s="380"/>
      <c r="AD269" s="380"/>
      <c r="AE269" s="380"/>
      <c r="AF269" s="380"/>
      <c r="AG269" s="380"/>
      <c r="AH269" s="380"/>
      <c r="AI269" s="336"/>
      <c r="AJ269" s="426">
        <f t="shared" si="98"/>
        <v>0</v>
      </c>
      <c r="AK269" s="687"/>
      <c r="AL269" s="838"/>
      <c r="AM269" s="32"/>
      <c r="AN269" s="846"/>
      <c r="AO269" s="14">
        <v>217</v>
      </c>
      <c r="AP269" s="76"/>
      <c r="AQ269" s="77"/>
    </row>
    <row r="270" spans="1:43" ht="25.5" x14ac:dyDescent="0.75">
      <c r="A270" s="741" t="s">
        <v>512</v>
      </c>
      <c r="B270" s="94" t="s">
        <v>704</v>
      </c>
      <c r="C270" s="898" t="s">
        <v>529</v>
      </c>
      <c r="D270" s="158"/>
      <c r="E270" s="159"/>
      <c r="F270" s="102"/>
      <c r="G270" s="102"/>
      <c r="H270" s="102"/>
      <c r="I270" s="102"/>
      <c r="J270" s="102"/>
      <c r="K270" s="102"/>
      <c r="L270" s="102"/>
      <c r="M270" s="102"/>
      <c r="N270" s="102"/>
      <c r="O270" s="102"/>
      <c r="P270" s="102"/>
      <c r="Q270" s="102"/>
      <c r="R270" s="102"/>
      <c r="S270" s="102"/>
      <c r="T270" s="102"/>
      <c r="U270" s="102"/>
      <c r="V270" s="102"/>
      <c r="W270" s="102"/>
      <c r="X270" s="102"/>
      <c r="Y270" s="102"/>
      <c r="Z270" s="102"/>
      <c r="AA270" s="346"/>
      <c r="AB270" s="413"/>
      <c r="AC270" s="380"/>
      <c r="AD270" s="380"/>
      <c r="AE270" s="380"/>
      <c r="AF270" s="380"/>
      <c r="AG270" s="380"/>
      <c r="AH270" s="380"/>
      <c r="AI270" s="336"/>
      <c r="AJ270" s="427">
        <f t="shared" si="98"/>
        <v>0</v>
      </c>
      <c r="AK270" s="122" t="str">
        <f>CONCATENATE(IF(D273&gt;D270," * EID Tested Positive 0-2 Months for Age "&amp;$D$20&amp;" "&amp;$D$21&amp;" is more than EID Tested 0-2 Months"&amp;CHAR(10),""),IF(E273&gt;E270," * EID Tested Positive 0-2 Months for Age "&amp;$D$20&amp;" "&amp;$E$21&amp;" is more than EID Tested 0-2 Months"&amp;CHAR(10),""))</f>
        <v/>
      </c>
      <c r="AL270" s="844" t="str">
        <f>CONCATENATE(AK272,AK273,AK274,AK275,AK276,AK277,AK278,AK256,AK270,AK271)</f>
        <v/>
      </c>
      <c r="AM270" s="32"/>
      <c r="AN270" s="670" t="str">
        <f>CONCATENATE(AM270,AM271,AM272,AM273,AM274,AM275,AM276,AM277,AM278)</f>
        <v/>
      </c>
      <c r="AO270" s="14">
        <v>218</v>
      </c>
      <c r="AP270" s="76"/>
      <c r="AQ270" s="77"/>
    </row>
    <row r="271" spans="1:43" s="63" customFormat="1" ht="25.5" x14ac:dyDescent="0.75">
      <c r="A271" s="608"/>
      <c r="B271" s="78" t="s">
        <v>703</v>
      </c>
      <c r="C271" s="899" t="s">
        <v>530</v>
      </c>
      <c r="D271" s="213"/>
      <c r="E271" s="139"/>
      <c r="F271" s="80"/>
      <c r="G271" s="80"/>
      <c r="H271" s="80"/>
      <c r="I271" s="80"/>
      <c r="J271" s="80"/>
      <c r="K271" s="80"/>
      <c r="L271" s="80"/>
      <c r="M271" s="80"/>
      <c r="N271" s="80"/>
      <c r="O271" s="80"/>
      <c r="P271" s="80"/>
      <c r="Q271" s="80"/>
      <c r="R271" s="80"/>
      <c r="S271" s="80"/>
      <c r="T271" s="80"/>
      <c r="U271" s="80"/>
      <c r="V271" s="80"/>
      <c r="W271" s="80"/>
      <c r="X271" s="80"/>
      <c r="Y271" s="80"/>
      <c r="Z271" s="80"/>
      <c r="AA271" s="377"/>
      <c r="AB271" s="413"/>
      <c r="AC271" s="380"/>
      <c r="AD271" s="380"/>
      <c r="AE271" s="380"/>
      <c r="AF271" s="380"/>
      <c r="AG271" s="380"/>
      <c r="AH271" s="380"/>
      <c r="AI271" s="336"/>
      <c r="AJ271" s="425">
        <f t="shared" si="98"/>
        <v>0</v>
      </c>
      <c r="AK271" s="122" t="str">
        <f>CONCATENATE(IF(D274&gt;D271," * EID Tested Positive 2-12 Months for Age "&amp;$D$20&amp;" "&amp;$D$21&amp;" is more than EID Tested 2-12 Months"&amp;CHAR(10),""),IF(E274&gt;E271," * EID Tested Positive 2-12 Months for Age "&amp;$D$20&amp;" "&amp;$E$21&amp;" is more than EID Tested 2-12 Months"&amp;CHAR(10),""))</f>
        <v/>
      </c>
      <c r="AL271" s="765"/>
      <c r="AM271" s="62"/>
      <c r="AN271" s="671"/>
      <c r="AO271" s="14">
        <v>219</v>
      </c>
      <c r="AP271" s="82"/>
      <c r="AQ271" s="77"/>
    </row>
    <row r="272" spans="1:43" ht="25.9" thickBot="1" x14ac:dyDescent="0.8">
      <c r="A272" s="609"/>
      <c r="B272" s="230" t="s">
        <v>515</v>
      </c>
      <c r="C272" s="901" t="s">
        <v>531</v>
      </c>
      <c r="D272" s="231">
        <f>D270+D271</f>
        <v>0</v>
      </c>
      <c r="E272" s="224">
        <f>E270+E271</f>
        <v>0</v>
      </c>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347"/>
      <c r="AB272" s="413"/>
      <c r="AC272" s="380"/>
      <c r="AD272" s="380"/>
      <c r="AE272" s="380"/>
      <c r="AF272" s="380"/>
      <c r="AG272" s="380"/>
      <c r="AH272" s="380"/>
      <c r="AI272" s="336"/>
      <c r="AJ272" s="426">
        <f t="shared" si="98"/>
        <v>0</v>
      </c>
      <c r="AK272" s="122"/>
      <c r="AL272" s="765"/>
      <c r="AM272" s="32" t="str">
        <f>IF(AJ272&gt;SUM(AJ265,AJ263,AJ261,AJ259,AJ257,AJ255,AJ251,AJ249)," EID Testing cannot be more than PMTCT HIV Positive Mothers (ANC 1 Other ANC, L&amp;D and PNC","")</f>
        <v/>
      </c>
      <c r="AN272" s="671"/>
      <c r="AO272" s="14">
        <v>220</v>
      </c>
      <c r="AP272" s="76"/>
      <c r="AQ272" s="77"/>
    </row>
    <row r="273" spans="1:43" ht="25.5" x14ac:dyDescent="0.75">
      <c r="A273" s="741" t="s">
        <v>516</v>
      </c>
      <c r="B273" s="94" t="s">
        <v>520</v>
      </c>
      <c r="C273" s="898" t="s">
        <v>532</v>
      </c>
      <c r="D273" s="232"/>
      <c r="E273" s="233"/>
      <c r="F273" s="102"/>
      <c r="G273" s="102"/>
      <c r="H273" s="102"/>
      <c r="I273" s="102"/>
      <c r="J273" s="102"/>
      <c r="K273" s="102"/>
      <c r="L273" s="102"/>
      <c r="M273" s="102"/>
      <c r="N273" s="102"/>
      <c r="O273" s="102"/>
      <c r="P273" s="102"/>
      <c r="Q273" s="102"/>
      <c r="R273" s="102"/>
      <c r="S273" s="102"/>
      <c r="T273" s="102"/>
      <c r="U273" s="102"/>
      <c r="V273" s="102"/>
      <c r="W273" s="102"/>
      <c r="X273" s="102"/>
      <c r="Y273" s="102"/>
      <c r="Z273" s="102"/>
      <c r="AA273" s="346"/>
      <c r="AB273" s="413"/>
      <c r="AC273" s="380"/>
      <c r="AD273" s="380"/>
      <c r="AE273" s="380"/>
      <c r="AF273" s="380"/>
      <c r="AG273" s="380"/>
      <c r="AH273" s="380"/>
      <c r="AI273" s="336"/>
      <c r="AJ273" s="427">
        <f t="shared" si="98"/>
        <v>0</v>
      </c>
      <c r="AK273" s="122" t="str">
        <f>CONCATENATE(IF(D276&gt;D273," * EID initiated on ART 0-2 Months for Age "&amp;$D$20&amp;" "&amp;$D$21&amp;" is more than EID Positive 0-2 Months"&amp;CHAR(10),""),IF(E276&gt;E273," * EID initiated on ART 0-2 Months for Age "&amp;$D$20&amp;" "&amp;$E$21&amp;" is more than EID Positive 0-2 Months"&amp;CHAR(10),""))</f>
        <v/>
      </c>
      <c r="AL273" s="765"/>
      <c r="AM273" s="122" t="str">
        <f>CONCATENATE(IF(D276&lt;D273," * EID initiated on ART 0-2 Months for Age "&amp;$D$20&amp;" "&amp;$D$21&amp;" is less than EID Positive 0-2 Months"&amp;CHAR(10),""),IF(E276&lt;E273," * EID initiated on ART 0-2 Months for Age "&amp;$D$20&amp;" "&amp;$E$21&amp;" is less than EID Positive 0-2 Months"&amp;CHAR(10),""))</f>
        <v/>
      </c>
      <c r="AN273" s="671"/>
      <c r="AO273" s="14">
        <v>221</v>
      </c>
      <c r="AP273" s="76"/>
      <c r="AQ273" s="77"/>
    </row>
    <row r="274" spans="1:43" s="63" customFormat="1" ht="25.5" x14ac:dyDescent="0.75">
      <c r="A274" s="608"/>
      <c r="B274" s="78" t="s">
        <v>517</v>
      </c>
      <c r="C274" s="899" t="s">
        <v>533</v>
      </c>
      <c r="D274" s="234"/>
      <c r="E274" s="235"/>
      <c r="F274" s="80"/>
      <c r="G274" s="80"/>
      <c r="H274" s="80"/>
      <c r="I274" s="80"/>
      <c r="J274" s="80"/>
      <c r="K274" s="80"/>
      <c r="L274" s="80"/>
      <c r="M274" s="80"/>
      <c r="N274" s="80"/>
      <c r="O274" s="80"/>
      <c r="P274" s="80"/>
      <c r="Q274" s="80"/>
      <c r="R274" s="80"/>
      <c r="S274" s="80"/>
      <c r="T274" s="80"/>
      <c r="U274" s="80"/>
      <c r="V274" s="80"/>
      <c r="W274" s="80"/>
      <c r="X274" s="80"/>
      <c r="Y274" s="80"/>
      <c r="Z274" s="80"/>
      <c r="AA274" s="377"/>
      <c r="AB274" s="413"/>
      <c r="AC274" s="380"/>
      <c r="AD274" s="380"/>
      <c r="AE274" s="380"/>
      <c r="AF274" s="380"/>
      <c r="AG274" s="380"/>
      <c r="AH274" s="380"/>
      <c r="AI274" s="336"/>
      <c r="AJ274" s="425">
        <f t="shared" si="98"/>
        <v>0</v>
      </c>
      <c r="AK274" s="122" t="str">
        <f>CONCATENATE(IF(D277&gt;D274," * EID initiated on ART 2-12 Months for Age "&amp;$D$20&amp;" "&amp;$D$21&amp;" is more than EID Positive 2-12 Months"&amp;CHAR(10),""),IF(E277&gt;E274," * EID initiated on ART 2-12 Months for Age "&amp;$D$20&amp;" "&amp;$E$21&amp;" is more than EID Positive 2-12 Months"&amp;CHAR(10),""))</f>
        <v/>
      </c>
      <c r="AL274" s="765"/>
      <c r="AM274" s="122" t="str">
        <f>CONCATENATE(IF(D277&lt;D274," * EID initiated on ART 2-12 Months for Age "&amp;$D$20&amp;" "&amp;$D$21&amp;" is less than EID Positive 2-12 Months"&amp;CHAR(10),""),IF(E277&lt;E274," * EID initiated on ART 2-12 Months for Age "&amp;$D$20&amp;" "&amp;$E$21&amp;" is less than EID Positive 2-12 Months"&amp;CHAR(10),""))</f>
        <v/>
      </c>
      <c r="AN274" s="671"/>
      <c r="AO274" s="14">
        <v>222</v>
      </c>
      <c r="AP274" s="82"/>
      <c r="AQ274" s="77"/>
    </row>
    <row r="275" spans="1:43" ht="25.9" thickBot="1" x14ac:dyDescent="0.8">
      <c r="A275" s="609"/>
      <c r="B275" s="230" t="s">
        <v>518</v>
      </c>
      <c r="C275" s="901" t="s">
        <v>534</v>
      </c>
      <c r="D275" s="231">
        <f>D273+D274</f>
        <v>0</v>
      </c>
      <c r="E275" s="224">
        <f>E273+E274</f>
        <v>0</v>
      </c>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347"/>
      <c r="AB275" s="413"/>
      <c r="AC275" s="380"/>
      <c r="AD275" s="380"/>
      <c r="AE275" s="380"/>
      <c r="AF275" s="380"/>
      <c r="AG275" s="380"/>
      <c r="AH275" s="380"/>
      <c r="AI275" s="336"/>
      <c r="AJ275" s="426">
        <f t="shared" si="98"/>
        <v>0</v>
      </c>
      <c r="AK275" s="122" t="str">
        <f>CONCATENATE(IF(D278&gt;D275," * EID initiated on ART 0-12 Months for Age "&amp;$D$20&amp;" "&amp;$D$21&amp;" is more than EID Positive 0-12 Months"&amp;CHAR(10),""),IF(E278&gt;E275," * EID initiated on ART 0-12 Months for Age "&amp;$D$20&amp;" "&amp;$E$21&amp;" is more than EID Positive 0-12 Months"&amp;CHAR(10),""))</f>
        <v/>
      </c>
      <c r="AL275" s="765"/>
      <c r="AM275" s="122" t="str">
        <f>CONCATENATE(IF(D278&lt;D275," * EID initiated on ART 0-12 Months for Age "&amp;$D$20&amp;" "&amp;$D$21&amp;" is less than EID Positive 0-12 Months"&amp;CHAR(10),""),IF(E278&lt;E275," * EID initiated on ART 0-12 Months for Age "&amp;$D$20&amp;" "&amp;$E$21&amp;" is less than EID Positive 0-12 Months"&amp;CHAR(10),""))</f>
        <v/>
      </c>
      <c r="AN275" s="671"/>
      <c r="AO275" s="14">
        <v>223</v>
      </c>
      <c r="AP275" s="76"/>
      <c r="AQ275" s="77"/>
    </row>
    <row r="276" spans="1:43" ht="25.5" x14ac:dyDescent="0.75">
      <c r="A276" s="741" t="s">
        <v>513</v>
      </c>
      <c r="B276" s="94" t="s">
        <v>927</v>
      </c>
      <c r="C276" s="898" t="s">
        <v>535</v>
      </c>
      <c r="D276" s="158"/>
      <c r="E276" s="159"/>
      <c r="F276" s="102"/>
      <c r="G276" s="102"/>
      <c r="H276" s="102"/>
      <c r="I276" s="102"/>
      <c r="J276" s="102"/>
      <c r="K276" s="102"/>
      <c r="L276" s="102"/>
      <c r="M276" s="102"/>
      <c r="N276" s="102"/>
      <c r="O276" s="102"/>
      <c r="P276" s="102"/>
      <c r="Q276" s="102"/>
      <c r="R276" s="102"/>
      <c r="S276" s="102"/>
      <c r="T276" s="102"/>
      <c r="U276" s="102"/>
      <c r="V276" s="102"/>
      <c r="W276" s="102"/>
      <c r="X276" s="102"/>
      <c r="Y276" s="102"/>
      <c r="Z276" s="102"/>
      <c r="AA276" s="346"/>
      <c r="AB276" s="413"/>
      <c r="AC276" s="380"/>
      <c r="AD276" s="380"/>
      <c r="AE276" s="380"/>
      <c r="AF276" s="380"/>
      <c r="AG276" s="380"/>
      <c r="AH276" s="380"/>
      <c r="AI276" s="336"/>
      <c r="AJ276" s="427">
        <f t="shared" si="98"/>
        <v>0</v>
      </c>
      <c r="AK276" s="122"/>
      <c r="AL276" s="765"/>
      <c r="AM276" s="32"/>
      <c r="AN276" s="671"/>
      <c r="AO276" s="14">
        <v>224</v>
      </c>
      <c r="AP276" s="76"/>
      <c r="AQ276" s="77"/>
    </row>
    <row r="277" spans="1:43" ht="25.5" x14ac:dyDescent="0.75">
      <c r="A277" s="608"/>
      <c r="B277" s="78" t="s">
        <v>928</v>
      </c>
      <c r="C277" s="899" t="s">
        <v>536</v>
      </c>
      <c r="D277" s="213"/>
      <c r="E277" s="139"/>
      <c r="F277" s="80"/>
      <c r="G277" s="80"/>
      <c r="H277" s="80"/>
      <c r="I277" s="80"/>
      <c r="J277" s="80"/>
      <c r="K277" s="80"/>
      <c r="L277" s="80"/>
      <c r="M277" s="80"/>
      <c r="N277" s="80"/>
      <c r="O277" s="80"/>
      <c r="P277" s="80"/>
      <c r="Q277" s="80"/>
      <c r="R277" s="80"/>
      <c r="S277" s="80"/>
      <c r="T277" s="80"/>
      <c r="U277" s="80"/>
      <c r="V277" s="80"/>
      <c r="W277" s="80"/>
      <c r="X277" s="80"/>
      <c r="Y277" s="80"/>
      <c r="Z277" s="80"/>
      <c r="AA277" s="377"/>
      <c r="AB277" s="413"/>
      <c r="AC277" s="380"/>
      <c r="AD277" s="380"/>
      <c r="AE277" s="380"/>
      <c r="AF277" s="380"/>
      <c r="AG277" s="380"/>
      <c r="AH277" s="380"/>
      <c r="AI277" s="336"/>
      <c r="AJ277" s="425">
        <f t="shared" si="98"/>
        <v>0</v>
      </c>
      <c r="AK277" s="122"/>
      <c r="AL277" s="765"/>
      <c r="AM277" s="32"/>
      <c r="AN277" s="671"/>
      <c r="AO277" s="14">
        <v>225</v>
      </c>
      <c r="AP277" s="76"/>
      <c r="AQ277" s="77"/>
    </row>
    <row r="278" spans="1:43" ht="25.9" thickBot="1" x14ac:dyDescent="0.8">
      <c r="A278" s="742"/>
      <c r="B278" s="236" t="s">
        <v>949</v>
      </c>
      <c r="C278" s="901" t="s">
        <v>537</v>
      </c>
      <c r="D278" s="237">
        <f>D276+D277</f>
        <v>0</v>
      </c>
      <c r="E278" s="237">
        <f>E276+E277</f>
        <v>0</v>
      </c>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357"/>
      <c r="AB278" s="414"/>
      <c r="AC278" s="415"/>
      <c r="AD278" s="415"/>
      <c r="AE278" s="415"/>
      <c r="AF278" s="415"/>
      <c r="AG278" s="415"/>
      <c r="AH278" s="415"/>
      <c r="AI278" s="337"/>
      <c r="AJ278" s="428">
        <f t="shared" ref="AJ278" si="99">SUM(D278:AA278)</f>
        <v>0</v>
      </c>
      <c r="AK278" s="128" t="str">
        <f>CONCATENATE(IF(D278&lt;&gt;D299,"*Starting ART &lt; 1 M  Must be equals to Infants 0-12 Months HIV +ve started on ART"&amp;CHAR(10),""),IF(E278&lt;&gt;E299,"*Starting ART &lt; 1 F  Must be equals to Infants 0-12 Months +ve started on ART"&amp;CHAR(10),""))</f>
        <v/>
      </c>
      <c r="AL278" s="766"/>
      <c r="AM278" s="129"/>
      <c r="AN278" s="672"/>
      <c r="AO278" s="14">
        <v>226</v>
      </c>
      <c r="AP278" s="76"/>
      <c r="AQ278" s="77"/>
    </row>
    <row r="279" spans="1:43" ht="25.9" thickBot="1" x14ac:dyDescent="0.8">
      <c r="A279" s="640" t="s">
        <v>128</v>
      </c>
      <c r="B279" s="641"/>
      <c r="C279" s="641"/>
      <c r="D279" s="641"/>
      <c r="E279" s="641"/>
      <c r="F279" s="641"/>
      <c r="G279" s="641"/>
      <c r="H279" s="641"/>
      <c r="I279" s="641"/>
      <c r="J279" s="641"/>
      <c r="K279" s="641"/>
      <c r="L279" s="641"/>
      <c r="M279" s="641"/>
      <c r="N279" s="641"/>
      <c r="O279" s="641"/>
      <c r="P279" s="641"/>
      <c r="Q279" s="641"/>
      <c r="R279" s="641"/>
      <c r="S279" s="641"/>
      <c r="T279" s="641"/>
      <c r="U279" s="641"/>
      <c r="V279" s="641"/>
      <c r="W279" s="641"/>
      <c r="X279" s="641"/>
      <c r="Y279" s="641"/>
      <c r="Z279" s="641"/>
      <c r="AA279" s="641"/>
      <c r="AB279" s="737"/>
      <c r="AC279" s="737"/>
      <c r="AD279" s="737"/>
      <c r="AE279" s="737"/>
      <c r="AF279" s="737"/>
      <c r="AG279" s="737"/>
      <c r="AH279" s="737"/>
      <c r="AI279" s="737"/>
      <c r="AJ279" s="641"/>
      <c r="AK279" s="641"/>
      <c r="AL279" s="641"/>
      <c r="AM279" s="641"/>
      <c r="AN279" s="643"/>
      <c r="AO279" s="14">
        <v>227</v>
      </c>
      <c r="AP279" s="76"/>
      <c r="AQ279" s="77"/>
    </row>
    <row r="280" spans="1:43" ht="25.5" x14ac:dyDescent="0.75">
      <c r="A280" s="617" t="s">
        <v>37</v>
      </c>
      <c r="B280" s="644" t="s">
        <v>346</v>
      </c>
      <c r="C280" s="897" t="s">
        <v>327</v>
      </c>
      <c r="D280" s="647" t="s">
        <v>0</v>
      </c>
      <c r="E280" s="606"/>
      <c r="F280" s="606" t="s">
        <v>1</v>
      </c>
      <c r="G280" s="606"/>
      <c r="H280" s="606" t="s">
        <v>2</v>
      </c>
      <c r="I280" s="606"/>
      <c r="J280" s="606" t="s">
        <v>3</v>
      </c>
      <c r="K280" s="606"/>
      <c r="L280" s="606" t="s">
        <v>4</v>
      </c>
      <c r="M280" s="606"/>
      <c r="N280" s="606" t="s">
        <v>5</v>
      </c>
      <c r="O280" s="606"/>
      <c r="P280" s="606" t="s">
        <v>6</v>
      </c>
      <c r="Q280" s="606"/>
      <c r="R280" s="606" t="s">
        <v>7</v>
      </c>
      <c r="S280" s="606"/>
      <c r="T280" s="606" t="s">
        <v>8</v>
      </c>
      <c r="U280" s="606"/>
      <c r="V280" s="606" t="s">
        <v>23</v>
      </c>
      <c r="W280" s="606"/>
      <c r="X280" s="606" t="s">
        <v>24</v>
      </c>
      <c r="Y280" s="606"/>
      <c r="Z280" s="606" t="s">
        <v>9</v>
      </c>
      <c r="AA280" s="624"/>
      <c r="AB280" s="625"/>
      <c r="AC280" s="626"/>
      <c r="AD280" s="626"/>
      <c r="AE280" s="626"/>
      <c r="AF280" s="626"/>
      <c r="AG280" s="626"/>
      <c r="AH280" s="626"/>
      <c r="AI280" s="627"/>
      <c r="AJ280" s="628" t="s">
        <v>19</v>
      </c>
      <c r="AK280" s="630" t="s">
        <v>380</v>
      </c>
      <c r="AL280" s="632" t="s">
        <v>386</v>
      </c>
      <c r="AM280" s="660" t="s">
        <v>387</v>
      </c>
      <c r="AN280" s="619" t="s">
        <v>387</v>
      </c>
      <c r="AO280" s="14">
        <v>228</v>
      </c>
      <c r="AP280" s="76"/>
      <c r="AQ280" s="77"/>
    </row>
    <row r="281" spans="1:43" ht="25.9" thickBot="1" x14ac:dyDescent="0.8">
      <c r="A281" s="618"/>
      <c r="B281" s="645"/>
      <c r="C281" s="892"/>
      <c r="D281" s="316" t="s">
        <v>10</v>
      </c>
      <c r="E281" s="70" t="s">
        <v>11</v>
      </c>
      <c r="F281" s="70" t="s">
        <v>10</v>
      </c>
      <c r="G281" s="70" t="s">
        <v>11</v>
      </c>
      <c r="H281" s="70" t="s">
        <v>10</v>
      </c>
      <c r="I281" s="70" t="s">
        <v>11</v>
      </c>
      <c r="J281" s="70" t="s">
        <v>10</v>
      </c>
      <c r="K281" s="70" t="s">
        <v>11</v>
      </c>
      <c r="L281" s="70" t="s">
        <v>10</v>
      </c>
      <c r="M281" s="70" t="s">
        <v>11</v>
      </c>
      <c r="N281" s="70" t="s">
        <v>10</v>
      </c>
      <c r="O281" s="70" t="s">
        <v>11</v>
      </c>
      <c r="P281" s="70" t="s">
        <v>10</v>
      </c>
      <c r="Q281" s="70" t="s">
        <v>11</v>
      </c>
      <c r="R281" s="70" t="s">
        <v>10</v>
      </c>
      <c r="S281" s="70" t="s">
        <v>11</v>
      </c>
      <c r="T281" s="70" t="s">
        <v>10</v>
      </c>
      <c r="U281" s="70" t="s">
        <v>11</v>
      </c>
      <c r="V281" s="70" t="s">
        <v>10</v>
      </c>
      <c r="W281" s="70" t="s">
        <v>11</v>
      </c>
      <c r="X281" s="70" t="s">
        <v>10</v>
      </c>
      <c r="Y281" s="70" t="s">
        <v>11</v>
      </c>
      <c r="Z281" s="70" t="s">
        <v>10</v>
      </c>
      <c r="AA281" s="395" t="s">
        <v>11</v>
      </c>
      <c r="AB281" s="397"/>
      <c r="AC281" s="398"/>
      <c r="AD281" s="398"/>
      <c r="AE281" s="398"/>
      <c r="AF281" s="398"/>
      <c r="AG281" s="398"/>
      <c r="AH281" s="398"/>
      <c r="AI281" s="399"/>
      <c r="AJ281" s="629"/>
      <c r="AK281" s="631"/>
      <c r="AL281" s="639"/>
      <c r="AM281" s="660"/>
      <c r="AN281" s="620"/>
      <c r="AO281" s="14">
        <v>229</v>
      </c>
      <c r="AP281" s="76"/>
      <c r="AQ281" s="77"/>
    </row>
    <row r="282" spans="1:43" ht="25.5" x14ac:dyDescent="0.75">
      <c r="A282" s="784" t="s">
        <v>482</v>
      </c>
      <c r="B282" s="71" t="s">
        <v>498</v>
      </c>
      <c r="C282" s="898" t="s">
        <v>372</v>
      </c>
      <c r="D282" s="72"/>
      <c r="E282" s="73"/>
      <c r="F282" s="73"/>
      <c r="G282" s="73"/>
      <c r="H282" s="73"/>
      <c r="I282" s="73"/>
      <c r="J282" s="73"/>
      <c r="K282" s="74"/>
      <c r="L282" s="73"/>
      <c r="M282" s="74"/>
      <c r="N282" s="73"/>
      <c r="O282" s="74"/>
      <c r="P282" s="73"/>
      <c r="Q282" s="74"/>
      <c r="R282" s="73"/>
      <c r="S282" s="74"/>
      <c r="T282" s="73"/>
      <c r="U282" s="74"/>
      <c r="V282" s="73"/>
      <c r="W282" s="74"/>
      <c r="X282" s="73"/>
      <c r="Y282" s="74"/>
      <c r="Z282" s="73"/>
      <c r="AA282" s="376"/>
      <c r="AB282" s="413"/>
      <c r="AC282" s="380"/>
      <c r="AD282" s="380"/>
      <c r="AE282" s="380"/>
      <c r="AF282" s="380"/>
      <c r="AG282" s="380"/>
      <c r="AH282" s="380"/>
      <c r="AI282" s="336"/>
      <c r="AJ282" s="53">
        <f>SUM(D282:AA282)</f>
        <v>0</v>
      </c>
      <c r="AK282" s="150" t="str">
        <f>CONCATENATE(IF(D283&gt;SUM(D299)," * Start HAART at ANC 1 for Age "&amp;D20&amp;" "&amp;D21&amp;" is more than Starting ART"&amp;CHAR(10),""),IF(E283&gt;SUM(E299)," * Start HAART at ANC 1  for Age "&amp;D20&amp;" "&amp;E21&amp;" is more than Starting ART"&amp;CHAR(10),""),IF(F283&gt;SUM(F299)," * Start HAART at ANC 1  for Age "&amp;F20&amp;" "&amp;F21&amp;" is more than Starting ART"&amp;CHAR(10),""),IF(G283&gt;SUM(G299)," * Start HAART at ANC 1  for Age "&amp;F20&amp;" "&amp;G21&amp;" is more than Starting ART"&amp;CHAR(10),""),IF(H283&gt;SUM(H299)," * Start HAART at ANC 1  for Age "&amp;H20&amp;" "&amp;H21&amp;" is more than Starting ART"&amp;CHAR(10),""),IF(I283&gt;SUM(I299)," * Start HAART at ANC 1  for Age "&amp;H20&amp;" "&amp;I21&amp;" is more than Starting ART"&amp;CHAR(10),""),IF(J283&gt;SUM(J299)," * Start HAART at ANC 1  for Age "&amp;J20&amp;" "&amp;J21&amp;" is more than Starting ART"&amp;CHAR(10),""),IF(K283&gt;SUM(K299)," * Start HAART at ANC 1  for Age "&amp;J20&amp;" "&amp;K21&amp;" is more than Starting ART"&amp;CHAR(10),""),IF(L283&gt;SUM(L299)," * Start HAART at ANC 1  for Age "&amp;L20&amp;" "&amp;L21&amp;" is more than Starting ART"&amp;CHAR(10),""),IF(M283&gt;SUM(M299)," * Start HAART at ANC 1  for Age "&amp;L20&amp;" "&amp;M21&amp;" is more than Starting ART"&amp;CHAR(10),""),IF(N283&gt;SUM(N299)," * Start HAART at ANC 1  for Age "&amp;N20&amp;" "&amp;N21&amp;" is more than Starting ART"&amp;CHAR(10),""),IF(O283&gt;SUM(O299)," * Start HAART at ANC 1  for Age "&amp;N20&amp;" "&amp;O21&amp;" is more than Starting ART"&amp;CHAR(10),""),IF(P283&gt;SUM(P299)," * Start HAART at ANC 1  for Age "&amp;P20&amp;" "&amp;P21&amp;" is more than Starting ART"&amp;CHAR(10),""),IF(Q283&gt;SUM(Q299)," * Start HAART at ANC 1  for Age "&amp;P20&amp;" "&amp;Q21&amp;" is more than Starting ART"&amp;CHAR(10),""),IF(R283&gt;SUM(R299)," * Start HAART at ANC 1  for Age "&amp;R20&amp;" "&amp;R21&amp;" is more than Starting ART"&amp;CHAR(10),""),IF(S283&gt;SUM(S299)," * Start HAART at ANC 1  for Age "&amp;R20&amp;" "&amp;S21&amp;" is more than Starting ART"&amp;CHAR(10),""),IF(T283&gt;SUM(T299)," * Start HAART at ANC 1  for Age "&amp;T20&amp;" "&amp;T21&amp;" is more than Starting ART"&amp;CHAR(10),""),IF(U283&gt;SUM(U299)," * Start HAART at ANC 1  for Age "&amp;T20&amp;" "&amp;U21&amp;" is more than Starting ART"&amp;CHAR(10),""),IF(V283&gt;SUM(V299)," * Start HAART at ANC 1  for Age "&amp;V20&amp;" "&amp;V21&amp;" is more than Starting ART"&amp;CHAR(10),""),IF(W283&gt;SUM(W299)," * Start HAART at ANC 1  for Age "&amp;V20&amp;" "&amp;W21&amp;" is more than Starting ART"&amp;CHAR(10),""),IF(X283&gt;SUM(X299)," * Start HAART at ANC 1  for Age "&amp;X20&amp;" "&amp;X21&amp;" is more than Starting ART"&amp;CHAR(10),""),IF(Y283&gt;SUM(Y299)," * Start HAART at ANC 1  for Age "&amp;X20&amp;" "&amp;Y21&amp;" is more than Starting ART"&amp;CHAR(10),""),IF(Z283&gt;SUM(Z299)," * Start HAART at ANC 1  for Age "&amp;Z20&amp;" "&amp;Z21&amp;" is more than Starting ART"&amp;CHAR(10),""),IF(AA283&gt;SUM(AA299)," * Start HAART at ANC 1  for Age "&amp;Z20&amp;" "&amp;AA21&amp;" is more than Starting ART"&amp;CHAR(10),""))</f>
        <v/>
      </c>
      <c r="AL282" s="756" t="str">
        <f>CONCATENATE(AK282,AK283,AK287,AK289,AK292,AK293,AK294,AK295,AK288,AK290,AK291,AK285,AK284,AK286)</f>
        <v/>
      </c>
      <c r="AM282" s="75" t="str">
        <f>CONCATENATE(IF(D282&lt;D249," * ON HAART at 1st ANC for Age "&amp;D20&amp;" "&amp;D21&amp;" is less than KP at 1st ANC "&amp;CHAR(10),""),IF(E282&lt;E249," * ON HAART at 1st ANC for Age "&amp;D20&amp;" "&amp;E21&amp;" is less than KP at 1st ANC "&amp;CHAR(10),""),IF(F282&lt;F249," * ON HAART at 1st ANC for Age "&amp;F20&amp;" "&amp;F21&amp;" is less than KP at 1st ANC "&amp;CHAR(10),""),IF(G282&lt;G249," * ON HAART at 1st ANC for Age "&amp;F20&amp;" "&amp;G21&amp;" is less than KP at 1st ANC "&amp;CHAR(10),""),IF(H282&lt;H249," * ON HAART at 1st ANC for Age "&amp;H20&amp;" "&amp;H21&amp;" is less than KP at 1st ANC "&amp;CHAR(10),""),IF(I282&lt;I249," * ON HAART at 1st ANC for Age "&amp;H20&amp;" "&amp;I21&amp;" is less than KP at 1st ANC "&amp;CHAR(10),""),IF(J282&lt;J249," * ON HAART at 1st ANC for Age "&amp;J20&amp;" "&amp;J21&amp;" is less than KP at 1st ANC "&amp;CHAR(10),""),IF(K282&lt;K249," * ON HAART at 1st ANC for Age "&amp;J20&amp;" "&amp;K21&amp;" is less than KP at 1st ANC "&amp;CHAR(10),""),IF(L282&lt;L249," * ON HAART at 1st ANC for Age "&amp;L20&amp;" "&amp;L21&amp;" is less than KP at 1st ANC "&amp;CHAR(10),""),IF(M282&lt;M249," * ON HAART at 1st ANC for Age "&amp;L20&amp;" "&amp;M21&amp;" is less than KP at 1st ANC "&amp;CHAR(10),""),IF(N282&lt;N249," * ON HAART at 1st ANC for Age "&amp;N20&amp;" "&amp;N21&amp;" is less than KP at 1st ANC "&amp;CHAR(10),""),IF(O282&lt;O249," * ON HAART at 1st ANC for Age "&amp;N20&amp;" "&amp;O21&amp;" is less than KP at 1st ANC "&amp;CHAR(10),""),IF(P282&lt;P249," * ON HAART at 1st ANC for Age "&amp;P20&amp;" "&amp;P21&amp;" is less than KP at 1st ANC "&amp;CHAR(10),""),IF(Q282&lt;Q249," * ON HAART at 1st ANC for Age "&amp;P20&amp;" "&amp;Q21&amp;" is less than KP at 1st ANC "&amp;CHAR(10),""),IF(R282&lt;R249," * ON HAART at 1st ANC for Age "&amp;R20&amp;" "&amp;R21&amp;" is less than KP at 1st ANC "&amp;CHAR(10),""),IF(S282&lt;S249," * ON HAART at 1st ANC for Age "&amp;R20&amp;" "&amp;S21&amp;" is less than KP at 1st ANC "&amp;CHAR(10),""),IF(T282&lt;T249," * ON HAART at 1st ANC for Age "&amp;T20&amp;" "&amp;T21&amp;" is less than KP at 1st ANC "&amp;CHAR(10),""),IF(U282&lt;U249," * ON HAART at 1st ANC for Age "&amp;T20&amp;" "&amp;U21&amp;" is less than KP at 1st ANC "&amp;CHAR(10),""),IF(V282&lt;V249," * ON HAART at 1st ANC for Age "&amp;V20&amp;" "&amp;V21&amp;" is less than KP at 1st ANC "&amp;CHAR(10),""),IF(W282&lt;W249," * ON HAART at 1st ANC for Age "&amp;V20&amp;" "&amp;W21&amp;" is less than KP at 1st ANC "&amp;CHAR(10),""),IF(X282&lt;X249," * ON HAART at 1st ANC for Age "&amp;X20&amp;" "&amp;X21&amp;" is less than KP at 1st ANC "&amp;CHAR(10),""),IF(Y282&lt;Y249," * ON HAART at 1st ANC for Age "&amp;X20&amp;" "&amp;Y21&amp;" is less than KP at 1st ANC "&amp;CHAR(10),""),IF(Z282&lt;Z249," * ON HAART at 1st ANC for Age "&amp;Z20&amp;" "&amp;Z21&amp;" is less than KP at 1st ANC "&amp;CHAR(10),""),IF(AA282&lt;AA249," * ON HAART at 1st ANC for Age "&amp;Z20&amp;" "&amp;AA21&amp;" is less than KP at 1st ANC "&amp;CHAR(10),""))</f>
        <v/>
      </c>
      <c r="AN282" s="738" t="str">
        <f>CONCATENATE(AM282,AM283,AM287,AM289,AM292,AM293,AM294,AM295,AM284,AM285,AM286,AM290,AM291)</f>
        <v/>
      </c>
      <c r="AO282" s="14">
        <v>230</v>
      </c>
      <c r="AP282" s="76"/>
      <c r="AQ282" s="77"/>
    </row>
    <row r="283" spans="1:43" ht="25.5" x14ac:dyDescent="0.75">
      <c r="A283" s="731"/>
      <c r="B283" s="78" t="s">
        <v>499</v>
      </c>
      <c r="C283" s="899" t="s">
        <v>373</v>
      </c>
      <c r="D283" s="79"/>
      <c r="E283" s="80"/>
      <c r="F283" s="80"/>
      <c r="G283" s="80"/>
      <c r="H283" s="80"/>
      <c r="I283" s="80"/>
      <c r="J283" s="80"/>
      <c r="K283" s="81"/>
      <c r="L283" s="80"/>
      <c r="M283" s="81"/>
      <c r="N283" s="80"/>
      <c r="O283" s="81"/>
      <c r="P283" s="80"/>
      <c r="Q283" s="81"/>
      <c r="R283" s="80"/>
      <c r="S283" s="81"/>
      <c r="T283" s="80"/>
      <c r="U283" s="81"/>
      <c r="V283" s="80"/>
      <c r="W283" s="81"/>
      <c r="X283" s="80"/>
      <c r="Y283" s="81"/>
      <c r="Z283" s="80"/>
      <c r="AA283" s="377"/>
      <c r="AB283" s="413"/>
      <c r="AC283" s="380"/>
      <c r="AD283" s="380"/>
      <c r="AE283" s="380"/>
      <c r="AF283" s="380"/>
      <c r="AG283" s="380"/>
      <c r="AH283" s="380"/>
      <c r="AI283" s="336"/>
      <c r="AJ283" s="185">
        <f t="shared" ref="AJ283:AJ295" si="100">SUM(D283:AA283)</f>
        <v>0</v>
      </c>
      <c r="AK283" s="122" t="str">
        <f>CONCATENATE(IF(D283&gt;SUM(D251)," * Start HAART at ANC 1 for Age "&amp;D20&amp;" "&amp;D21&amp;" is more than Positive Test at ANC 1"&amp;CHAR(10),""),IF(E283&gt;SUM(E251)," * Start HAART at ANC 1  for Age "&amp;D20&amp;" "&amp;E21&amp;" is more than Positive Test at ANC 1"&amp;CHAR(10),""),IF(F283&gt;SUM(F251)," * Start HAART at ANC 1  for Age "&amp;F20&amp;" "&amp;F21&amp;" is more than Positive Test at ANC 1"&amp;CHAR(10),""),IF(G283&gt;SUM(G251)," * Start HAART at ANC 1  for Age "&amp;F20&amp;" "&amp;G21&amp;" is more than Positive Test at ANC 1"&amp;CHAR(10),""),IF(H283&gt;SUM(H251)," * Start HAART at ANC 1  for Age "&amp;H20&amp;" "&amp;H21&amp;" is more than Positive Test at ANC 1"&amp;CHAR(10),""),IF(I283&gt;SUM(I251)," * Start HAART at ANC 1  for Age "&amp;H20&amp;" "&amp;I21&amp;" is more than Positive Test at ANC 1"&amp;CHAR(10),""),IF(J283&gt;SUM(J251)," * Start HAART at ANC 1  for Age "&amp;J20&amp;" "&amp;J21&amp;" is more than Positive Test at ANC 1"&amp;CHAR(10),""),IF(K283&gt;SUM(K251)," * Start HAART at ANC 1  for Age "&amp;J20&amp;" "&amp;K21&amp;" is more than Positive Test at ANC 1"&amp;CHAR(10),""),IF(L283&gt;SUM(L251)," * Start HAART at ANC 1  for Age "&amp;L20&amp;" "&amp;L21&amp;" is more than Positive Test at ANC 1"&amp;CHAR(10),""),IF(M283&gt;SUM(M251)," * Start HAART at ANC 1  for Age "&amp;L20&amp;" "&amp;M21&amp;" is more than Positive Test at ANC 1"&amp;CHAR(10),""),IF(N283&gt;SUM(N251)," * Start HAART at ANC 1  for Age "&amp;N20&amp;" "&amp;N21&amp;" is more than Positive Test at ANC 1"&amp;CHAR(10),""),IF(O283&gt;SUM(O251)," * Start HAART at ANC 1  for Age "&amp;N20&amp;" "&amp;O21&amp;" is more than Positive Test at ANC 1"&amp;CHAR(10),""),IF(P283&gt;SUM(P251)," * Start HAART at ANC 1  for Age "&amp;P20&amp;" "&amp;P21&amp;" is more than Positive Test at ANC 1"&amp;CHAR(10),""),IF(Q283&gt;SUM(Q251)," * Start HAART at ANC 1  for Age "&amp;P20&amp;" "&amp;Q21&amp;" is more than Positive Test at ANC 1"&amp;CHAR(10),""),IF(R283&gt;SUM(R251)," * Start HAART at ANC 1  for Age "&amp;R20&amp;" "&amp;R21&amp;" is more than Positive Test at ANC 1"&amp;CHAR(10),""),IF(S283&gt;SUM(S251)," * Start HAART at ANC 1  for Age "&amp;R20&amp;" "&amp;S21&amp;" is more than Positive Test at ANC 1"&amp;CHAR(10),""),IF(T283&gt;SUM(T251)," * Start HAART at ANC 1  for Age "&amp;T20&amp;" "&amp;T21&amp;" is more than Positive Test at ANC 1"&amp;CHAR(10),""),IF(U283&gt;SUM(U251)," * Start HAART at ANC 1  for Age "&amp;T20&amp;" "&amp;U21&amp;" is more than Positive Test at ANC 1"&amp;CHAR(10),""),IF(V283&gt;SUM(V251)," * Start HAART at ANC 1  for Age "&amp;V20&amp;" "&amp;V21&amp;" is more than Positive Test at ANC 1"&amp;CHAR(10),""),IF(W283&gt;SUM(W251)," * Start HAART at ANC 1  for Age "&amp;V20&amp;" "&amp;W21&amp;" is more than Positive Test at ANC 1"&amp;CHAR(10),""),IF(X283&gt;SUM(X251)," * Start HAART at ANC 1  for Age "&amp;X20&amp;" "&amp;X21&amp;" is more than Positive Test at ANC 1"&amp;CHAR(10),""),IF(Y283&gt;SUM(Y251)," * Start HAART at ANC 1  for Age "&amp;X20&amp;" "&amp;Y21&amp;" is more than Positive Test at ANC 1"&amp;CHAR(10),""),IF(Z283&gt;SUM(Z251)," * Start HAART at ANC 1  for Age "&amp;Z20&amp;" "&amp;Z21&amp;" is more than Positive Test at ANC 1"&amp;CHAR(10),""),IF(AA283&gt;SUM(AA251)," * Start HAART at ANC 1  for Age "&amp;Z20&amp;" "&amp;AA21&amp;" is more than Positive Test at ANC 1"&amp;CHAR(10),""),IF(AJ283&gt;SUM(AJ251)," * Total Start HAART at ANC 1  is more than Positive Test at ANC 1"&amp;CHAR(10),""))</f>
        <v/>
      </c>
      <c r="AL283" s="757"/>
      <c r="AM283" s="32" t="str">
        <f>CONCATENATE(IF(D283&lt;SUM(D251)," * New positive at ANC1 for Age "&amp;D20&amp;" "&amp;D21&amp;" is greater than Start HAART ANC1"&amp;CHAR(10),""),IF(E283&lt;SUM(E251)," * New positive at ANC1 for Age "&amp;D20&amp;" "&amp;E21&amp;" is greater than Start HAART ANC1"&amp;CHAR(10),""),IF(F283&lt;SUM(F251)," * New positive at ANC1 for Age "&amp;F20&amp;" "&amp;F21&amp;" is greater than Start HAART ANC1"&amp;CHAR(10),""),IF(G283&lt;SUM(G251)," * New positive at ANC1 for Age "&amp;F20&amp;" "&amp;G21&amp;" is greater than Start HAART ANC1"&amp;CHAR(10),""),IF(H283&lt;SUM(H251)," * New positive at ANC1 for Age "&amp;H20&amp;" "&amp;H21&amp;" is greater than Start HAART ANC1"&amp;CHAR(10),""),IF(I283&lt;SUM(I251)," * New positive at ANC1 for Age "&amp;H20&amp;" "&amp;I21&amp;" is greater than Start HAART ANC1"&amp;CHAR(10),""),IF(J283&lt;SUM(J251)," * New positive at ANC1 for Age "&amp;J20&amp;" "&amp;J21&amp;" is greater than Start HAART ANC1"&amp;CHAR(10),""),IF(K283&lt;SUM(K251)," * New positive at ANC1 for Age "&amp;J20&amp;" "&amp;K21&amp;" is greater than Start HAART ANC1"&amp;CHAR(10),""),IF(L283&lt;SUM(L251)," * New positive at ANC1 for Age "&amp;L20&amp;" "&amp;L21&amp;" is greater than Start HAART ANC1"&amp;CHAR(10),""),IF(M283&lt;SUM(M251)," * New positive at ANC1 for Age "&amp;L20&amp;" "&amp;M21&amp;" is greater than Start HAART ANC1"&amp;CHAR(10),""),IF(N283&lt;SUM(N251)," * New positive at ANC1 for Age "&amp;N20&amp;" "&amp;N21&amp;" is greater than Start HAART ANC1"&amp;CHAR(10),""),IF(O283&lt;SUM(O251)," * New positive at ANC1 for Age "&amp;N20&amp;" "&amp;O21&amp;" is greater than Start HAART ANC1"&amp;CHAR(10),""),IF(P283&lt;SUM(P251)," * New positive at ANC1 for Age "&amp;P20&amp;" "&amp;P21&amp;" is greater than Start HAART ANC1"&amp;CHAR(10),""),IF(Q283&lt;SUM(Q251)," * New positive at ANC1 for Age "&amp;P20&amp;" "&amp;Q21&amp;" is greater than Start HAART ANC1"&amp;CHAR(10),""),IF(R283&lt;SUM(R251)," * New positive at ANC1 for Age "&amp;R20&amp;" "&amp;R21&amp;" is greater than Start HAART ANC1"&amp;CHAR(10),""),IF(S283&lt;SUM(S251)," * New positive at ANC1 for Age "&amp;R20&amp;" "&amp;S21&amp;" is greater than Start HAART ANC1"&amp;CHAR(10),""),IF(T283&lt;SUM(T251)," * New positive at ANC1 for Age "&amp;T20&amp;" "&amp;T21&amp;" is greater than Start HAART ANC1"&amp;CHAR(10),""),IF(U283&lt;SUM(U251)," * New positive at ANC1 for Age "&amp;T20&amp;" "&amp;U21&amp;" is greater than Start HAART ANC1"&amp;CHAR(10),""),IF(V283&lt;SUM(V251)," * New positive at ANC1 for Age "&amp;V20&amp;" "&amp;V21&amp;" is greater than Start HAART ANC1"&amp;CHAR(10),""),IF(W283&lt;SUM(W251)," * New positive at ANC1 for Age "&amp;V20&amp;" "&amp;W21&amp;" is greater than Start HAART ANC1"&amp;CHAR(10),""),IF(X283&lt;SUM(X251)," * New positive at ANC1 for Age "&amp;X20&amp;" "&amp;X21&amp;" is greater than Start HAART ANC1"&amp;CHAR(10),""),IF(Y283&lt;SUM(Y251)," * New positive at ANC1 for Age "&amp;X20&amp;" "&amp;Y21&amp;" is greater than Start HAART ANC1"&amp;CHAR(10),""),IF(Z283&lt;SUM(Z251)," * New positive at ANC1 for Age "&amp;Z20&amp;" "&amp;Z21&amp;" is greater than Start HAART ANC1"&amp;CHAR(10),""),IF(AA283&lt;SUM(AA251)," * New positive at ANC1 for Age "&amp;Z20&amp;" "&amp;AA21&amp;" is greater than Start HAART ANC1"&amp;CHAR(10),""))</f>
        <v/>
      </c>
      <c r="AN283" s="739"/>
      <c r="AO283" s="14">
        <v>231</v>
      </c>
      <c r="AP283" s="76"/>
      <c r="AQ283" s="77"/>
    </row>
    <row r="284" spans="1:43" ht="25.9" thickBot="1" x14ac:dyDescent="0.8">
      <c r="A284" s="743"/>
      <c r="B284" s="236" t="s">
        <v>500</v>
      </c>
      <c r="C284" s="916" t="s">
        <v>507</v>
      </c>
      <c r="D284" s="144"/>
      <c r="E284" s="126"/>
      <c r="F284" s="126"/>
      <c r="G284" s="126"/>
      <c r="H284" s="126"/>
      <c r="I284" s="126"/>
      <c r="J284" s="126"/>
      <c r="K284" s="238">
        <f>SUM(K282:K283)</f>
        <v>0</v>
      </c>
      <c r="L284" s="126"/>
      <c r="M284" s="238">
        <f>SUM(M282:M283)</f>
        <v>0</v>
      </c>
      <c r="N284" s="126"/>
      <c r="O284" s="238">
        <f>SUM(O282:O283)</f>
        <v>0</v>
      </c>
      <c r="P284" s="126"/>
      <c r="Q284" s="238">
        <f>SUM(Q282:Q283)</f>
        <v>0</v>
      </c>
      <c r="R284" s="126"/>
      <c r="S284" s="238">
        <f>SUM(S282:S283)</f>
        <v>0</v>
      </c>
      <c r="T284" s="126"/>
      <c r="U284" s="238">
        <f>SUM(U282:U283)</f>
        <v>0</v>
      </c>
      <c r="V284" s="126"/>
      <c r="W284" s="238">
        <f>SUM(W282:W283)</f>
        <v>0</v>
      </c>
      <c r="X284" s="126"/>
      <c r="Y284" s="238">
        <f>SUM(Y282:Y283)</f>
        <v>0</v>
      </c>
      <c r="Z284" s="126"/>
      <c r="AA284" s="357"/>
      <c r="AB284" s="413"/>
      <c r="AC284" s="380"/>
      <c r="AD284" s="380"/>
      <c r="AE284" s="380"/>
      <c r="AF284" s="380"/>
      <c r="AG284" s="380"/>
      <c r="AH284" s="380"/>
      <c r="AI284" s="336"/>
      <c r="AJ284" s="418">
        <f t="shared" si="100"/>
        <v>0</v>
      </c>
      <c r="AK284" s="122"/>
      <c r="AL284" s="757"/>
      <c r="AM284" s="32"/>
      <c r="AN284" s="739"/>
      <c r="AO284" s="14">
        <v>232</v>
      </c>
      <c r="AP284" s="76"/>
      <c r="AQ284" s="77"/>
    </row>
    <row r="285" spans="1:43" ht="25.5" x14ac:dyDescent="0.75">
      <c r="A285" s="585" t="s">
        <v>1021</v>
      </c>
      <c r="B285" s="1" t="s">
        <v>705</v>
      </c>
      <c r="C285" s="898" t="s">
        <v>508</v>
      </c>
      <c r="D285" s="101"/>
      <c r="E285" s="102"/>
      <c r="F285" s="102"/>
      <c r="G285" s="102"/>
      <c r="H285" s="102"/>
      <c r="I285" s="102"/>
      <c r="J285" s="102"/>
      <c r="K285" s="97"/>
      <c r="L285" s="102"/>
      <c r="M285" s="97"/>
      <c r="N285" s="102"/>
      <c r="O285" s="97"/>
      <c r="P285" s="102"/>
      <c r="Q285" s="97"/>
      <c r="R285" s="102"/>
      <c r="S285" s="97"/>
      <c r="T285" s="102"/>
      <c r="U285" s="97"/>
      <c r="V285" s="102"/>
      <c r="W285" s="97"/>
      <c r="X285" s="102"/>
      <c r="Y285" s="97"/>
      <c r="Z285" s="102"/>
      <c r="AA285" s="346"/>
      <c r="AB285" s="413"/>
      <c r="AC285" s="380"/>
      <c r="AD285" s="380"/>
      <c r="AE285" s="380"/>
      <c r="AF285" s="380"/>
      <c r="AG285" s="380"/>
      <c r="AH285" s="380"/>
      <c r="AI285" s="336"/>
      <c r="AJ285" s="200">
        <f t="shared" si="100"/>
        <v>0</v>
      </c>
      <c r="AK285" s="122"/>
      <c r="AL285" s="757"/>
      <c r="AM285" s="62" t="str">
        <f>CONCATENATE(IF(D286&lt;&gt;SUM(D257)," * Retest Positive Result at ANC 2 and above for Age "&amp;D20&amp;" "&amp;D21&amp;" is not equal to Initial start HAART at ANC2 and above"&amp;CHAR(10),""),IF(E286&lt;&gt;SUM(E257)," * Retest Positive Result at ANC 2 and above for Age "&amp;D20&amp;" "&amp;E21&amp;" is not equal to Initial start HAART at ANC2 and above"&amp;CHAR(10),""),IF(F286&lt;&gt;SUM(F257)," * Retest Positive Result at ANC 2 and above for Age "&amp;F20&amp;" "&amp;F21&amp;" is not equal to Initial start HAART at ANC2 and above"&amp;CHAR(10),""),IF(G286&lt;&gt;SUM(G257)," * Retest Positive Result at ANC 2 and above for Age "&amp;F20&amp;" "&amp;G21&amp;" is not equal to Initial start HAART at ANC2 and above"&amp;CHAR(10),""),IF(H286&lt;&gt;SUM(H257)," * Retest Positive Result at ANC 2 and above for Age "&amp;H20&amp;" "&amp;H21&amp;" is not equal to Initial start HAART at ANC2 and above"&amp;CHAR(10),""),IF(I286&lt;&gt;SUM(I257)," * Retest Positive Result at ANC 2 and above for Age "&amp;H20&amp;" "&amp;I21&amp;" is not equal to Initial start HAART at ANC2 and above"&amp;CHAR(10),""),IF(J286&lt;&gt;SUM(J257)," * Retest Positive Result at ANC 2 and above for Age "&amp;J20&amp;" "&amp;J21&amp;" is not equal to Initial start HAART at ANC2 and above"&amp;CHAR(10),""),IF(K286&lt;&gt;K257," * Retest Positive Result at ANC 2 and above for Age "&amp;J20&amp;" "&amp;K21&amp;" is not equal to Initial start HAART at ANC2 and above"&amp;CHAR(10),""),IF(L286&lt;&gt;SUM(L257)," * Retest Positive Result at ANC 2 and above for Age "&amp;L20&amp;" "&amp;L21&amp;" is not equal to Initial start HAART at ANC2 and above"&amp;CHAR(10),""),IF(M286&lt;&gt;SUM(M257)," * Retest Positive Result at ANC 2 and above for Age "&amp;L20&amp;" "&amp;M21&amp;" is not equal to Initial start HAART at ANC2 and above"&amp;CHAR(10),""),IF(N286&lt;&gt;SUM(N257)," * Retest Positive Result at ANC 2 and above for Age "&amp;N20&amp;" "&amp;N21&amp;" is not equal to Initial start HAART at ANC2 and above"&amp;CHAR(10),""),IF(O286&lt;&gt;SUM(O257)," * Retest Positive Result at ANC 2 and above for Age "&amp;N20&amp;" "&amp;O21&amp;" is not equal to Initial start HAART at ANC2 and above"&amp;CHAR(10),""),IF(P286&lt;&gt;SUM(P257)," * Retest Positive Result at ANC 2 and above for Age "&amp;P20&amp;" "&amp;P21&amp;" is not equal to Initial start HAART at ANC2 and above"&amp;CHAR(10),""),IF(Q286&lt;&gt;SUM(Q257)," * Retest Positive Result at ANC 2 and above for Age "&amp;P20&amp;" "&amp;Q21&amp;" is not equal to Initial start HAART at ANC2 and above"&amp;CHAR(10),""),IF(R286&lt;&gt;SUM(R257)," * Retest Positive Result at ANC 2 and above for Age "&amp;R20&amp;" "&amp;R21&amp;" is not equal to Initial start HAART at ANC2 and above"&amp;CHAR(10),""),IF(S286&lt;&gt;SUM(S257)," * Retest Positive Result at ANC 2 and above for Age "&amp;R20&amp;" "&amp;S21&amp;" is not equal to Initial start HAART at ANC2 and above"&amp;CHAR(10),""),IF(T286&lt;&gt;SUM(T257)," * Retest Positive Result at ANC 2 and above for Age "&amp;T20&amp;" "&amp;T21&amp;" is not equal to Initial start HAART at ANC2 and above"&amp;CHAR(10),""),IF(U286&lt;&gt;SUM(U257)," * Retest Positive Result at ANC 2 and above for Age "&amp;T20&amp;" "&amp;U21&amp;" is not equal to Initial start HAART at ANC2 and above"&amp;CHAR(10),""),IF(V286&lt;&gt;SUM(V257)," * Retest Positive Result at ANC 2 and above for Age "&amp;V20&amp;" "&amp;V21&amp;" is not equal to Initial start HAART at ANC2 and above"&amp;CHAR(10),""),IF(W286&lt;&gt;SUM(W257)," * Retest Positive Result at ANC 2 and above for Age "&amp;V20&amp;" "&amp;W21&amp;" is not equal to Initial start HAART at ANC2 and above"&amp;CHAR(10),""),IF(X286&lt;&gt;SUM(X257)," * Retest Positive Result at ANC 2 and above for Age "&amp;X20&amp;" "&amp;X21&amp;" is not equal to Initial start HAART at ANC2 and above"&amp;CHAR(10),""),IF(Y286&lt;&gt;SUM(Y257)," * Retest Positive Result at ANC 2 and above for Age "&amp;X20&amp;" "&amp;Y21&amp;" is not equal to Initial start HAART at ANC2 and above"&amp;CHAR(10),""),IF(Z286&lt;&gt;SUM(Z257)," * Retest Positive Result at ANC 2 and above for Age "&amp;Z20&amp;" "&amp;Z21&amp;" is not equal to Initial start HAART at ANC2 and above"&amp;CHAR(10),""),IF(AA286&lt;&gt;SUM(AA257)," * Retest Positive Result at ANC 2 and above for Age "&amp;Z20&amp;" "&amp;AA21&amp;" is not equal to Initial start HAART at ANC2 and above"&amp;CHAR(10),""))</f>
        <v/>
      </c>
      <c r="AN285" s="739"/>
      <c r="AO285" s="14">
        <v>233</v>
      </c>
      <c r="AP285" s="76"/>
      <c r="AQ285" s="77"/>
    </row>
    <row r="286" spans="1:43" ht="25.9" thickBot="1" x14ac:dyDescent="0.8">
      <c r="A286" s="586"/>
      <c r="B286" s="3" t="s">
        <v>502</v>
      </c>
      <c r="C286" s="901" t="s">
        <v>509</v>
      </c>
      <c r="D286" s="106"/>
      <c r="E286" s="105"/>
      <c r="F286" s="105"/>
      <c r="G286" s="105"/>
      <c r="H286" s="105"/>
      <c r="I286" s="105"/>
      <c r="J286" s="105"/>
      <c r="K286" s="92"/>
      <c r="L286" s="105"/>
      <c r="M286" s="92"/>
      <c r="N286" s="105"/>
      <c r="O286" s="92"/>
      <c r="P286" s="105"/>
      <c r="Q286" s="92"/>
      <c r="R286" s="105"/>
      <c r="S286" s="92"/>
      <c r="T286" s="105"/>
      <c r="U286" s="92"/>
      <c r="V286" s="105"/>
      <c r="W286" s="92"/>
      <c r="X286" s="105"/>
      <c r="Y286" s="92"/>
      <c r="Z286" s="105"/>
      <c r="AA286" s="347"/>
      <c r="AB286" s="413"/>
      <c r="AC286" s="380"/>
      <c r="AD286" s="380"/>
      <c r="AE286" s="380"/>
      <c r="AF286" s="380"/>
      <c r="AG286" s="380"/>
      <c r="AH286" s="380"/>
      <c r="AI286" s="336"/>
      <c r="AJ286" s="204">
        <f t="shared" si="100"/>
        <v>0</v>
      </c>
      <c r="AK286" s="122"/>
      <c r="AL286" s="757"/>
      <c r="AM286" s="62" t="str">
        <f>CONCATENATE(IF(D286&lt;&gt;SUM(D257)," * Retest Positive Result at ANC 2 and above for Age "&amp;D20&amp;" "&amp;D21&amp;" is not equal to Retest start HAART at ANC2 and above"&amp;CHAR(10),""),IF(E286&lt;&gt;SUM(E257)," * Retest Positive Result at ANC 2 and above for Age "&amp;D20&amp;" "&amp;E21&amp;" is not equal to Retest start HAART at ANC2 and above"&amp;CHAR(10),""),IF(F286&lt;&gt;SUM(F257)," * Retest Positive Result at ANC 2 and above for Age "&amp;F20&amp;" "&amp;F21&amp;" is not equal to Retest start HAART at ANC2 and above"&amp;CHAR(10),""),IF(G286&lt;&gt;SUM(G257)," * Retest Positive Result at ANC 2 and above for Age "&amp;F20&amp;" "&amp;G21&amp;" is not equal to Retest start HAART at ANC2 and above"&amp;CHAR(10),""),IF(H286&lt;&gt;SUM(H257)," * Retest Positive Result at ANC 2 and above for Age "&amp;H20&amp;" "&amp;H21&amp;" is not equal to Retest start HAART at ANC2 and above"&amp;CHAR(10),""),IF(I286&lt;&gt;SUM(I257)," * Retest Positive Result at ANC 2 and above for Age "&amp;H20&amp;" "&amp;I21&amp;" is not equal to Retest start HAART at ANC2 and above"&amp;CHAR(10),""),IF(J286&lt;&gt;SUM(J257)," * Retest Positive Result at ANC 2 and above for Age "&amp;J20&amp;" "&amp;J21&amp;" is not equal to Retest start HAART at ANC2 and above"&amp;CHAR(10),""),IF(K286&lt;&gt;K257," * Retest Positive Result at ANC 2 and above for Age "&amp;J20&amp;" "&amp;K21&amp;" is not equal to Retest start HAART at ANC2 and above"&amp;CHAR(10),""),IF(L286&lt;&gt;SUM(L257)," * Retest Positive Result at ANC 2 and above for Age "&amp;L20&amp;" "&amp;L21&amp;" is not equal to Retest start HAART at ANC2 and above"&amp;CHAR(10),""),IF(M286&lt;&gt;SUM(M257)," * Retest Positive Result at ANC 2 and above for Age "&amp;L20&amp;" "&amp;M21&amp;" is not equal to Retest start HAART at ANC2 and above"&amp;CHAR(10),""),IF(N286&lt;&gt;SUM(N257)," * Retest Positive Result at ANC 2 and above for Age "&amp;N20&amp;" "&amp;N21&amp;" is not equal to Retest start HAART at ANC2 and above"&amp;CHAR(10),""),IF(O286&lt;&gt;SUM(O257)," * Retest Positive Result at ANC 2 and above for Age "&amp;N20&amp;" "&amp;O21&amp;" is not equal to Retest start HAART at ANC2 and above"&amp;CHAR(10),""),IF(P286&lt;&gt;SUM(P257)," * Retest Positive Result at ANC 2 and above for Age "&amp;P20&amp;" "&amp;P21&amp;" is not equal to Retest start HAART at ANC2 and above"&amp;CHAR(10),""),IF(Q286&lt;&gt;SUM(Q257)," * Retest Positive Result at ANC 2 and above for Age "&amp;P20&amp;" "&amp;Q21&amp;" is not equal to Retest start HAART at ANC2 and above"&amp;CHAR(10),""),IF(R286&lt;&gt;SUM(R257)," * Retest Positive Result at ANC 2 and above for Age "&amp;R20&amp;" "&amp;R21&amp;" is not equal to Retest start HAART at ANC2 and above"&amp;CHAR(10),""),IF(S286&lt;&gt;SUM(S257)," * Retest Positive Result at ANC 2 and above for Age "&amp;R20&amp;" "&amp;S21&amp;" is not equal to Retest start HAART at ANC2 and above"&amp;CHAR(10),""),IF(T286&lt;&gt;SUM(T257)," * Retest Positive Result at ANC 2 and above for Age "&amp;T20&amp;" "&amp;T21&amp;" is not equal to Retest start HAART at ANC2 and above"&amp;CHAR(10),""),IF(U286&lt;&gt;SUM(U257)," * Retest Positive Result at ANC 2 and above for Age "&amp;T20&amp;" "&amp;U21&amp;" is not equal to Retest start HAART at ANC2 and above"&amp;CHAR(10),""),IF(V286&lt;&gt;SUM(V257)," * Retest Positive Result at ANC 2 and above for Age "&amp;V20&amp;" "&amp;V21&amp;" is not equal to Retest start HAART at ANC2 and above"&amp;CHAR(10),""),IF(W286&lt;&gt;SUM(W257)," * Retest Positive Result at ANC 2 and above for Age "&amp;V20&amp;" "&amp;W21&amp;" is not equal to Retest start HAART at ANC2 and above"&amp;CHAR(10),""),IF(X286&lt;&gt;SUM(X257)," * Retest Positive Result at ANC 2 and above for Age "&amp;X20&amp;" "&amp;X21&amp;" is not equal to Retest start HAART at ANC2 and above"&amp;CHAR(10),""),IF(Y286&lt;&gt;SUM(Y257)," * Retest Positive Result at ANC 2 and above for Age "&amp;X20&amp;" "&amp;Y21&amp;" is not equal to Retest start HAART at ANC2 and above"&amp;CHAR(10),""),IF(Z286&lt;&gt;SUM(Z257)," * Retest Positive Result at ANC 2 and above for Age "&amp;Z20&amp;" "&amp;Z21&amp;" is not equal to Retest start HAART at ANC2 and above"&amp;CHAR(10),""),IF(AA286&lt;&gt;SUM(AA257)," * Retest Positive Result at ANC 2 and above for Age "&amp;Z20&amp;" "&amp;AA21&amp;" is not equal to Retest start HAART at ANC2 and above"&amp;CHAR(10),""))</f>
        <v/>
      </c>
      <c r="AN286" s="739"/>
      <c r="AO286" s="14">
        <v>234</v>
      </c>
      <c r="AP286" s="76"/>
      <c r="AQ286" s="77"/>
    </row>
    <row r="287" spans="1:43" s="63" customFormat="1" ht="25.5" x14ac:dyDescent="0.75">
      <c r="A287" s="730" t="s">
        <v>487</v>
      </c>
      <c r="B287" s="71" t="s">
        <v>503</v>
      </c>
      <c r="C287" s="914" t="s">
        <v>374</v>
      </c>
      <c r="D287" s="72"/>
      <c r="E287" s="73"/>
      <c r="F287" s="73"/>
      <c r="G287" s="73"/>
      <c r="H287" s="73"/>
      <c r="I287" s="73"/>
      <c r="J287" s="73"/>
      <c r="K287" s="74"/>
      <c r="L287" s="73"/>
      <c r="M287" s="74"/>
      <c r="N287" s="73"/>
      <c r="O287" s="74"/>
      <c r="P287" s="73"/>
      <c r="Q287" s="74"/>
      <c r="R287" s="73"/>
      <c r="S287" s="74"/>
      <c r="T287" s="73"/>
      <c r="U287" s="74"/>
      <c r="V287" s="73"/>
      <c r="W287" s="74"/>
      <c r="X287" s="73"/>
      <c r="Y287" s="74"/>
      <c r="Z287" s="73"/>
      <c r="AA287" s="376"/>
      <c r="AB287" s="413"/>
      <c r="AC287" s="380"/>
      <c r="AD287" s="380"/>
      <c r="AE287" s="380"/>
      <c r="AF287" s="380"/>
      <c r="AG287" s="380"/>
      <c r="AH287" s="380"/>
      <c r="AI287" s="336"/>
      <c r="AJ287" s="53">
        <f t="shared" si="100"/>
        <v>0</v>
      </c>
      <c r="AK287" s="239" t="str">
        <f>CONCATENATE(IF(D287&gt;D259," * start HAART L&amp;D  for Age "&amp;D20&amp;" "&amp;D21&amp;" is more than Positive Result L&amp;D "&amp;CHAR(10),""),IF(E287&gt;E259," * start HAART L&amp;D  for Age "&amp;D20&amp;" "&amp;E21&amp;" is more than Positive Result L&amp;D "&amp;CHAR(10),""),IF(F287&gt;F259," * start HAART L&amp;D  for Age "&amp;F20&amp;" "&amp;F21&amp;" is more than Positive Result L&amp;D "&amp;CHAR(10),""),IF(G287&gt;G259," * start HAART L&amp;D  for Age "&amp;F20&amp;" "&amp;G21&amp;" is more than Positive Result L&amp;D "&amp;CHAR(10),""),IF(H287&gt;H259," * start HAART L&amp;D  for Age "&amp;H20&amp;" "&amp;H21&amp;" is more than Positive Result L&amp;D "&amp;CHAR(10),""),IF(I287&gt;I259," * start HAART L&amp;D  for Age "&amp;H20&amp;" "&amp;I21&amp;" is more than Positive Result L&amp;D "&amp;CHAR(10),""),IF(J287&gt;J259," * start HAART L&amp;D  for Age "&amp;J20&amp;" "&amp;J21&amp;" is more than Positive Result L&amp;D "&amp;CHAR(10),""),IF(K287&gt;K259," * start HAART L&amp;D  for Age "&amp;J20&amp;" "&amp;K21&amp;" is more than Positive Result L&amp;D "&amp;CHAR(10),""),IF(L287&gt;L259," * start HAART L&amp;D  for Age "&amp;L20&amp;" "&amp;L21&amp;" is more than Positive Result L&amp;D "&amp;CHAR(10),""),IF(M287&gt;M259," * start HAART L&amp;D  for Age "&amp;L20&amp;" "&amp;M21&amp;" is more than Positive Result L&amp;D "&amp;CHAR(10),""),IF(N287&gt;N259," * start HAART L&amp;D  for Age "&amp;N20&amp;" "&amp;N21&amp;" is more than Positive Result L&amp;D "&amp;CHAR(10),""),IF(O287&gt;O259," * start HAART L&amp;D  for Age "&amp;N20&amp;" "&amp;O21&amp;" is more than Positive Result L&amp;D "&amp;CHAR(10),""),IF(P287&gt;P259," * start HAART L&amp;D  for Age "&amp;P20&amp;" "&amp;P21&amp;" is more than Positive Result L&amp;D "&amp;CHAR(10),""),IF(Q287&gt;Q259," * start HAART L&amp;D  for Age "&amp;P20&amp;" "&amp;Q21&amp;" is more than Positive Result L&amp;D "&amp;CHAR(10),""),IF(R287&gt;R259," * start HAART L&amp;D  for Age "&amp;R20&amp;" "&amp;R21&amp;" is more than Positive Result L&amp;D "&amp;CHAR(10),""),IF(S287&gt;S259," * start HAART L&amp;D  for Age "&amp;R20&amp;" "&amp;S21&amp;" is more than Positive Result L&amp;D "&amp;CHAR(10),""),IF(T287&gt;T259," * start HAART L&amp;D  for Age "&amp;T20&amp;" "&amp;T21&amp;" is more than Positive Result L&amp;D "&amp;CHAR(10),""),IF(U287&gt;U259," * start HAART L&amp;D  for Age "&amp;T20&amp;" "&amp;U21&amp;" is more than Positive Result L&amp;D "&amp;CHAR(10),""),IF(V287&gt;V259," * start HAART L&amp;D  for Age "&amp;V20&amp;" "&amp;V21&amp;" is more than Positive Result L&amp;D "&amp;CHAR(10),""),IF(W287&gt;W259," * start HAART L&amp;D  for Age "&amp;V20&amp;" "&amp;W21&amp;" is more than Positive Result L&amp;D "&amp;CHAR(10),""),IF(X287&gt;X259," * start HAART L&amp;D  for Age "&amp;X20&amp;" "&amp;X21&amp;" is more than Positive Result L&amp;D "&amp;CHAR(10),""),IF(Y287&gt;Y259," * start HAART L&amp;D  for Age "&amp;X20&amp;" "&amp;Y21&amp;" is more than Positive Result L&amp;D "&amp;CHAR(10),""),IF(Z287&gt;Z259," * start HAART L&amp;D  for Age "&amp;Z20&amp;" "&amp;Z21&amp;" is more than Positive Result L&amp;D "&amp;CHAR(10),""),IF(AA287&gt;AA259," * start HAART L&amp;D  for Age "&amp;Z20&amp;" "&amp;AA21&amp;" is more than Positive Result L&amp;D "&amp;CHAR(10),"")
)</f>
        <v/>
      </c>
      <c r="AL287" s="757"/>
      <c r="AM287" s="62" t="str">
        <f>CONCATENATE(IF(D287&lt;D259," * start HAART L&amp;D  for Age "&amp;D20&amp;" "&amp;D21&amp;" is less than Positive Result L&amp;D "&amp;CHAR(10),""),IF(E287&lt;E259," * start HAART L&amp;D  for Age "&amp;D20&amp;" "&amp;E21&amp;" is less than Positive Result L&amp;D "&amp;CHAR(10),""),IF(F287&lt;F259," * start HAART L&amp;D  for Age "&amp;F20&amp;" "&amp;F21&amp;" is less than Positive Result L&amp;D "&amp;CHAR(10),""),IF(G287&lt;G259," * start HAART L&amp;D  for Age "&amp;F20&amp;" "&amp;G21&amp;" is less than Positive Result L&amp;D "&amp;CHAR(10),""),IF(H287&lt;H259," * start HAART L&amp;D  for Age "&amp;H20&amp;" "&amp;H21&amp;" is less than Positive Result L&amp;D "&amp;CHAR(10),""),IF(I287&lt;I259," * start HAART L&amp;D  for Age "&amp;H20&amp;" "&amp;I21&amp;" is less than Positive Result L&amp;D "&amp;CHAR(10),""),IF(J287&lt;J259," * start HAART L&amp;D  for Age "&amp;J20&amp;" "&amp;J21&amp;" is less than Positive Result L&amp;D "&amp;CHAR(10),""),IF(K287&lt;K259," * start HAART L&amp;D  for Age "&amp;J20&amp;" "&amp;K21&amp;" is less than Positive Result L&amp;D "&amp;CHAR(10),""),IF(L287&lt;L259," * start HAART L&amp;D  for Age "&amp;L20&amp;" "&amp;L21&amp;" is less than Positive Result L&amp;D "&amp;CHAR(10),""),IF(M287&lt;M259," * start HAART L&amp;D  for Age "&amp;L20&amp;" "&amp;M21&amp;" is less than Positive Result L&amp;D "&amp;CHAR(10),""),IF(N287&lt;N259," * start HAART L&amp;D  for Age "&amp;N20&amp;" "&amp;N21&amp;" is less than Positive Result L&amp;D "&amp;CHAR(10),""),IF(O287&lt;O259," * start HAART L&amp;D  for Age "&amp;N20&amp;" "&amp;O21&amp;" is less than Positive Result L&amp;D "&amp;CHAR(10),""),IF(P287&lt;P259," * start HAART L&amp;D  for Age "&amp;P20&amp;" "&amp;P21&amp;" is less than Positive Result L&amp;D "&amp;CHAR(10),""),IF(Q287&lt;Q259," * start HAART L&amp;D  for Age "&amp;P20&amp;" "&amp;Q21&amp;" is less than Positive Result L&amp;D "&amp;CHAR(10),""),IF(R287&lt;R259," * start HAART L&amp;D  for Age "&amp;R20&amp;" "&amp;R21&amp;" is less than Positive Result L&amp;D "&amp;CHAR(10),""),IF(S287&lt;S259," * start HAART L&amp;D  for Age "&amp;R20&amp;" "&amp;S21&amp;" is less than Positive Result L&amp;D "&amp;CHAR(10),""),IF(T287&lt;T259," * start HAART L&amp;D  for Age "&amp;T20&amp;" "&amp;T21&amp;" is less than Positive Result L&amp;D "&amp;CHAR(10),""),IF(U287&lt;U259," * start HAART L&amp;D  for Age "&amp;T20&amp;" "&amp;U21&amp;" is less than Positive Result L&amp;D "&amp;CHAR(10),""),IF(V287&lt;V259," * start HAART L&amp;D  for Age "&amp;V20&amp;" "&amp;V21&amp;" is less than Positive Result L&amp;D "&amp;CHAR(10),""),IF(W287&lt;W259," * start HAART L&amp;D  for Age "&amp;V20&amp;" "&amp;W21&amp;" is less than Positive Result L&amp;D "&amp;CHAR(10),""),IF(X287&lt;X259," * start HAART L&amp;D  for Age "&amp;X20&amp;" "&amp;X21&amp;" is less than Positive Result L&amp;D "&amp;CHAR(10),""),IF(Y287&lt;Y259," * start HAART L&amp;D  for Age "&amp;X20&amp;" "&amp;Y21&amp;" is less than Positive Result L&amp;D "&amp;CHAR(10),""),IF(Z287&lt;Z259," * start HAART L&amp;D  for Age "&amp;Z20&amp;" "&amp;Z21&amp;" is less than Positive Result L&amp;D "&amp;CHAR(10),""),IF(AA287&lt;AA259," * start HAART L&amp;D  for Age "&amp;Z20&amp;" "&amp;AA21&amp;" is less than Positive Result L&amp;D "&amp;CHAR(10),""))</f>
        <v/>
      </c>
      <c r="AN287" s="739"/>
      <c r="AO287" s="14">
        <v>235</v>
      </c>
      <c r="AP287" s="82"/>
      <c r="AQ287" s="77"/>
    </row>
    <row r="288" spans="1:43" s="63" customFormat="1" ht="25.9" thickBot="1" x14ac:dyDescent="0.8">
      <c r="A288" s="743"/>
      <c r="B288" s="89" t="s">
        <v>643</v>
      </c>
      <c r="C288" s="901" t="s">
        <v>644</v>
      </c>
      <c r="D288" s="106"/>
      <c r="E288" s="105"/>
      <c r="F288" s="105"/>
      <c r="G288" s="105"/>
      <c r="H288" s="105"/>
      <c r="I288" s="105"/>
      <c r="J288" s="105"/>
      <c r="K288" s="92"/>
      <c r="L288" s="105"/>
      <c r="M288" s="92"/>
      <c r="N288" s="105"/>
      <c r="O288" s="92"/>
      <c r="P288" s="105"/>
      <c r="Q288" s="92"/>
      <c r="R288" s="105"/>
      <c r="S288" s="92"/>
      <c r="T288" s="105"/>
      <c r="U288" s="92"/>
      <c r="V288" s="105"/>
      <c r="W288" s="92"/>
      <c r="X288" s="105"/>
      <c r="Y288" s="92"/>
      <c r="Z288" s="105"/>
      <c r="AA288" s="347"/>
      <c r="AB288" s="413"/>
      <c r="AC288" s="380"/>
      <c r="AD288" s="380"/>
      <c r="AE288" s="380"/>
      <c r="AF288" s="380"/>
      <c r="AG288" s="380"/>
      <c r="AH288" s="380"/>
      <c r="AI288" s="336"/>
      <c r="AJ288" s="185">
        <f t="shared" si="100"/>
        <v>0</v>
      </c>
      <c r="AK288" s="239" t="str">
        <f>CONCATENATE(IF(D288&gt;D261," * Retested start HAART L&amp;D  for Age "&amp;D20&amp;" "&amp;D21&amp;" is more than Retested Positive Result L&amp;D "&amp;CHAR(10),""),IF(E288&gt;E261," * Retested start HAART L&amp;D  for Age "&amp;D20&amp;" "&amp;E21&amp;" is more than Retested Positive Result L&amp;D "&amp;CHAR(10),""),IF(F288&gt;F261," * Retested start HAART L&amp;D  for Age "&amp;F20&amp;" "&amp;F21&amp;" is more than Retested Positive Result L&amp;D "&amp;CHAR(10),""),IF(G288&gt;G261," * Retested start HAART L&amp;D  for Age "&amp;F20&amp;" "&amp;G21&amp;" is more than Retested Positive Result L&amp;D "&amp;CHAR(10),""),IF(H288&gt;H261," * Retested start HAART L&amp;D  for Age "&amp;H20&amp;" "&amp;H21&amp;" is more than Retested Positive Result L&amp;D "&amp;CHAR(10),""),IF(I288&gt;I261," * Retested start HAART L&amp;D  for Age "&amp;H20&amp;" "&amp;I21&amp;" is more than Retested Positive Result L&amp;D "&amp;CHAR(10),""),IF(J288&gt;J261," * Retested start HAART L&amp;D  for Age "&amp;J20&amp;" "&amp;J21&amp;" is more than Retested Positive Result L&amp;D "&amp;CHAR(10),""),IF(K288&gt;K261," * Retested start HAART L&amp;D  for Age "&amp;J20&amp;" "&amp;K21&amp;" is more than Retested Positive Result L&amp;D "&amp;CHAR(10),""),IF(L288&gt;L261," * Retested start HAART L&amp;D  for Age "&amp;L20&amp;" "&amp;L21&amp;" is more than Retested Positive Result L&amp;D "&amp;CHAR(10),""),IF(M288&gt;M261," * Retested start HAART L&amp;D  for Age "&amp;L20&amp;" "&amp;M21&amp;" is more than Retested Positive Result L&amp;D "&amp;CHAR(10),""),IF(N288&gt;N261," * Retested start HAART L&amp;D  for Age "&amp;N20&amp;" "&amp;N21&amp;" is more than Retested Positive Result L&amp;D "&amp;CHAR(10),""),IF(O288&gt;O261," * Retested start HAART L&amp;D  for Age "&amp;N20&amp;" "&amp;O21&amp;" is more than Retested Positive Result L&amp;D "&amp;CHAR(10),""),IF(P288&gt;P261," * Retested start HAART L&amp;D  for Age "&amp;P20&amp;" "&amp;P21&amp;" is more than Retested Positive Result L&amp;D "&amp;CHAR(10),""),IF(Q288&gt;Q261," * Retested start HAART L&amp;D  for Age "&amp;P20&amp;" "&amp;Q21&amp;" is more than Retested Positive Result L&amp;D "&amp;CHAR(10),""),IF(R288&gt;R261," * Retested start HAART L&amp;D  for Age "&amp;R20&amp;" "&amp;R21&amp;" is more than Retested Positive Result L&amp;D "&amp;CHAR(10),""),IF(S288&gt;S261," * Retested start HAART L&amp;D  for Age "&amp;R20&amp;" "&amp;S21&amp;" is more than Retested Positive Result L&amp;D "&amp;CHAR(10),""),IF(T288&gt;T261," * Retested start HAART L&amp;D  for Age "&amp;T20&amp;" "&amp;T21&amp;" is more than Retested Positive Result L&amp;D "&amp;CHAR(10),""),IF(U288&gt;U261," * Retested start HAART L&amp;D  for Age "&amp;T20&amp;" "&amp;U21&amp;" is more than Retested Positive Result L&amp;D "&amp;CHAR(10),""),IF(V288&gt;V261," * Retested start HAART L&amp;D  for Age "&amp;V20&amp;" "&amp;V21&amp;" is more than Retested Positive Result L&amp;D "&amp;CHAR(10),""),IF(W288&gt;W261," * Retested start HAART L&amp;D  for Age "&amp;V20&amp;" "&amp;W21&amp;" is more than Retested Positive Result L&amp;D "&amp;CHAR(10),""),IF(X288&gt;X261," * Retested start HAART L&amp;D  for Age "&amp;X20&amp;" "&amp;X21&amp;" is more than Retested Positive Result L&amp;D "&amp;CHAR(10),""),IF(Y288&gt;Y261," * Retested start HAART L&amp;D  for Age "&amp;X20&amp;" "&amp;Y21&amp;" is more than Retested Positive Result L&amp;D "&amp;CHAR(10),""),IF(Z288&gt;Z261," * Retested start HAART L&amp;D  for Age "&amp;Z20&amp;" "&amp;Z21&amp;" is more than Retested Positive Result L&amp;D "&amp;CHAR(10),""),IF(AA288&gt;AA261," * Retested start HAART L&amp;D  for Age "&amp;Z20&amp;" "&amp;AA21&amp;" is more than Retested Positive Result L&amp;D "&amp;CHAR(10),"")
)</f>
        <v/>
      </c>
      <c r="AL288" s="757"/>
      <c r="AM288" s="62"/>
      <c r="AN288" s="739"/>
      <c r="AO288" s="14">
        <v>236</v>
      </c>
      <c r="AP288" s="82"/>
      <c r="AQ288" s="77"/>
    </row>
    <row r="289" spans="1:43" ht="25.5" x14ac:dyDescent="0.75">
      <c r="A289" s="730" t="s">
        <v>492</v>
      </c>
      <c r="B289" s="94" t="s">
        <v>505</v>
      </c>
      <c r="C289" s="898" t="s">
        <v>375</v>
      </c>
      <c r="D289" s="101"/>
      <c r="E289" s="102"/>
      <c r="F289" s="102"/>
      <c r="G289" s="102"/>
      <c r="H289" s="102"/>
      <c r="I289" s="102"/>
      <c r="J289" s="102"/>
      <c r="K289" s="97"/>
      <c r="L289" s="102"/>
      <c r="M289" s="97"/>
      <c r="N289" s="102"/>
      <c r="O289" s="97"/>
      <c r="P289" s="102"/>
      <c r="Q289" s="97"/>
      <c r="R289" s="102"/>
      <c r="S289" s="97"/>
      <c r="T289" s="102"/>
      <c r="U289" s="97"/>
      <c r="V289" s="102"/>
      <c r="W289" s="97"/>
      <c r="X289" s="102"/>
      <c r="Y289" s="97"/>
      <c r="Z289" s="102"/>
      <c r="AA289" s="346"/>
      <c r="AB289" s="413"/>
      <c r="AC289" s="380"/>
      <c r="AD289" s="380"/>
      <c r="AE289" s="380"/>
      <c r="AF289" s="380"/>
      <c r="AG289" s="380"/>
      <c r="AH289" s="380"/>
      <c r="AI289" s="336"/>
      <c r="AJ289" s="200">
        <f t="shared" si="100"/>
        <v>0</v>
      </c>
      <c r="AK289" s="122" t="str">
        <f>CONCATENATE(IF(D289&gt;D263," * F06-16 for Age "&amp;D20&amp;" "&amp;D21&amp;" is more than F06-10"&amp;CHAR(10),""),IF(E289&gt;E263," * F06-16 for Age "&amp;D20&amp;" "&amp;E21&amp;" is more than F06-10"&amp;CHAR(10),""),IF(F289&gt;F263," * F06-16 for Age "&amp;F20&amp;" "&amp;F21&amp;" is more than F06-10"&amp;CHAR(10),""),IF(G289&gt;G263," * F06-16 for Age "&amp;F20&amp;" "&amp;G21&amp;" is more than F06-10"&amp;CHAR(10),""),IF(H289&gt;H263," * F06-16 for Age "&amp;H20&amp;" "&amp;H21&amp;" is more than F06-10"&amp;CHAR(10),""),IF(I289&gt;I263," * F06-16 for Age "&amp;H20&amp;" "&amp;I21&amp;" is more than F06-10"&amp;CHAR(10),""),IF(J289&gt;J263," * F06-16 for Age "&amp;J20&amp;" "&amp;J21&amp;" is more than F06-10"&amp;CHAR(10),""),IF(K289&gt;K263," * F06-16 for Age "&amp;J20&amp;" "&amp;K21&amp;" is more than F06-10"&amp;CHAR(10),""),IF(L289&gt;L263," * F06-16 for Age "&amp;L20&amp;" "&amp;L21&amp;" is more than F06-10"&amp;CHAR(10),""),IF(M289&gt;M263," * F06-16 for Age "&amp;L20&amp;" "&amp;M21&amp;" is more than F06-10"&amp;CHAR(10),""),IF(N289&gt;N263," * F06-16 for Age "&amp;N20&amp;" "&amp;N21&amp;" is more than F06-10"&amp;CHAR(10),""),IF(O289&gt;O263," * F06-16 for Age "&amp;N20&amp;" "&amp;O21&amp;" is more than F06-10"&amp;CHAR(10),""),IF(P289&gt;P263," * F06-16 for Age "&amp;P20&amp;" "&amp;P21&amp;" is more than F06-10"&amp;CHAR(10),""),IF(Q289&gt;Q263," * F06-16 for Age "&amp;P20&amp;" "&amp;Q21&amp;" is more than F06-10"&amp;CHAR(10),""),IF(R289&gt;R263," * F06-16 for Age "&amp;R20&amp;" "&amp;R21&amp;" is more than F06-10"&amp;CHAR(10),""),IF(S289&gt;S263," * F06-16 for Age "&amp;R20&amp;" "&amp;S21&amp;" is more than F06-10"&amp;CHAR(10),""),IF(T289&gt;T263," * F06-16 for Age "&amp;T20&amp;" "&amp;T21&amp;" is more than F06-10"&amp;CHAR(10),""),IF(U289&gt;U263," * F06-16 for Age "&amp;T20&amp;" "&amp;U21&amp;" is more than F06-10"&amp;CHAR(10),""),IF(V289&gt;V263," * F06-16 for Age "&amp;V20&amp;" "&amp;V21&amp;" is more than F06-10"&amp;CHAR(10),""),IF(W289&gt;W263," * F06-16 for Age "&amp;V20&amp;" "&amp;W21&amp;" is more than F06-10"&amp;CHAR(10),""),IF(X289&gt;X263," * F06-16 for Age "&amp;X20&amp;" "&amp;X21&amp;" is more than F06-10"&amp;CHAR(10),""),IF(Y289&gt;Y263," * F06-16 for Age "&amp;X20&amp;" "&amp;Y21&amp;" is more than F06-10"&amp;CHAR(10),""),IF(Z289&gt;Z263," * F06-16 for Age "&amp;Z20&amp;" "&amp;Z21&amp;" is more than F06-10"&amp;CHAR(10),""),IF(AA289&gt;AA263," * F06-16 for Age "&amp;Z20&amp;" "&amp;AA21&amp;" is more than F06-10"&amp;CHAR(10),""),IF(AJ289&gt;AJ263," * Total F06-16 is more than Total F06-10"&amp;CHAR(10),""))</f>
        <v/>
      </c>
      <c r="AL289" s="757"/>
      <c r="AM289" s="32" t="str">
        <f>CONCATENATE(IF(D289&lt;D263," * F06-16 for Age "&amp;D20&amp;" "&amp;D21&amp;" is less than F06-10"&amp;CHAR(10),""),IF(E289&lt;E263," * F06-16 for Age "&amp;D20&amp;" "&amp;E21&amp;" is less than F06-10"&amp;CHAR(10),""),IF(F289&lt;F263," * F06-16 for Age "&amp;F20&amp;" "&amp;F21&amp;" is less than F06-10"&amp;CHAR(10),""),IF(G289&lt;G263," * F06-16 for Age "&amp;F20&amp;" "&amp;G21&amp;" is less than F06-10"&amp;CHAR(10),""),IF(H289&lt;H263," * F06-16 for Age "&amp;H20&amp;" "&amp;H21&amp;" is less than F06-10"&amp;CHAR(10),""),IF(I289&lt;I263," * F06-16 for Age "&amp;H20&amp;" "&amp;I21&amp;" is less than F06-10"&amp;CHAR(10),""),IF(J289&lt;J263," * F06-16 for Age "&amp;J20&amp;" "&amp;J21&amp;" is less than F06-10"&amp;CHAR(10),""),IF(K289&lt;K263," * F06-16 for Age "&amp;J20&amp;" "&amp;K21&amp;" is less than F06-10"&amp;CHAR(10),""),IF(L289&lt;L263," * F06-16 for Age "&amp;L20&amp;" "&amp;L21&amp;" is less than F06-10"&amp;CHAR(10),""),IF(M289&lt;M263," * F06-16 for Age "&amp;L20&amp;" "&amp;M21&amp;" is less than F06-10"&amp;CHAR(10),""),IF(N289&lt;N263," * F06-16 for Age "&amp;N20&amp;" "&amp;N21&amp;" is less than F06-10"&amp;CHAR(10),""),IF(O289&lt;O263," * F06-16 for Age "&amp;N20&amp;" "&amp;O21&amp;" is less than F06-10"&amp;CHAR(10),""),IF(P289&lt;P263," * F06-16 for Age "&amp;P20&amp;" "&amp;P21&amp;" is less than F06-10"&amp;CHAR(10),""),IF(Q289&lt;Q263," * F06-16 for Age "&amp;P20&amp;" "&amp;Q21&amp;" is less than F06-10"&amp;CHAR(10),""),IF(R289&lt;R263," * F06-16 for Age "&amp;R20&amp;" "&amp;R21&amp;" is less than F06-10"&amp;CHAR(10),""),IF(S289&lt;S263," * F06-16 for Age "&amp;R20&amp;" "&amp;S21&amp;" is less than F06-10"&amp;CHAR(10),""),IF(T289&lt;T263," * F06-16 for Age "&amp;T20&amp;" "&amp;T21&amp;" is less than F06-10"&amp;CHAR(10),""),IF(U289&lt;U263," * F06-16 for Age "&amp;T20&amp;" "&amp;U21&amp;" is less than F06-10"&amp;CHAR(10),""),IF(V289&lt;V263," * F06-16 for Age "&amp;V20&amp;" "&amp;V21&amp;" is less than F06-10"&amp;CHAR(10),""),IF(W289&lt;W263," * F06-16 for Age "&amp;V20&amp;" "&amp;W21&amp;" is less than F06-10"&amp;CHAR(10),""),IF(X289&lt;X263," * F06-16 for Age "&amp;X20&amp;" "&amp;X21&amp;" is less than F06-10"&amp;CHAR(10),""),IF(Y289&lt;Y263," * F06-16 for Age "&amp;X20&amp;" "&amp;Y21&amp;" is less than F06-10"&amp;CHAR(10),""),IF(Z289&lt;Z263," * F06-16 for Age "&amp;Z20&amp;" "&amp;Z21&amp;" is less than F06-10"&amp;CHAR(10),""),IF(AA289&lt;AA263," * F06-16 for Age "&amp;Z20&amp;" "&amp;AA21&amp;" is less than F06-10"&amp;CHAR(10),""),IF(AJ289&lt;AJ263," * Total F06-16 is less than Total F06-10"&amp;CHAR(10),""))</f>
        <v/>
      </c>
      <c r="AN289" s="739"/>
      <c r="AO289" s="14">
        <v>237</v>
      </c>
      <c r="AP289" s="76"/>
      <c r="AQ289" s="77"/>
    </row>
    <row r="290" spans="1:43" ht="25.5" x14ac:dyDescent="0.75">
      <c r="A290" s="731"/>
      <c r="B290" s="78" t="s">
        <v>506</v>
      </c>
      <c r="C290" s="899" t="s">
        <v>510</v>
      </c>
      <c r="D290" s="79"/>
      <c r="E290" s="80"/>
      <c r="F290" s="80"/>
      <c r="G290" s="80"/>
      <c r="H290" s="80"/>
      <c r="I290" s="80"/>
      <c r="J290" s="80"/>
      <c r="K290" s="81"/>
      <c r="L290" s="80"/>
      <c r="M290" s="81"/>
      <c r="N290" s="80"/>
      <c r="O290" s="81"/>
      <c r="P290" s="80"/>
      <c r="Q290" s="81"/>
      <c r="R290" s="80"/>
      <c r="S290" s="81"/>
      <c r="T290" s="80"/>
      <c r="U290" s="81"/>
      <c r="V290" s="80"/>
      <c r="W290" s="81"/>
      <c r="X290" s="80"/>
      <c r="Y290" s="81"/>
      <c r="Z290" s="80"/>
      <c r="AA290" s="377"/>
      <c r="AB290" s="413"/>
      <c r="AC290" s="380"/>
      <c r="AD290" s="380"/>
      <c r="AE290" s="380"/>
      <c r="AF290" s="380"/>
      <c r="AG290" s="380"/>
      <c r="AH290" s="380"/>
      <c r="AI290" s="336"/>
      <c r="AJ290" s="185">
        <f t="shared" si="100"/>
        <v>0</v>
      </c>
      <c r="AK290" s="122" t="str">
        <f>CONCATENATE(IF(D290&gt;D265," * Retest Start HAART at PNC &lt; = 6 weeks for Age "&amp;D20&amp;" "&amp;D21&amp;" is more than Retesting positive result at PNC &lt; = 6 weeks"&amp;CHAR(10),""),IF(E290&gt;E265," * Retest Start HAART at PNC &lt; = 6 weeks for Age "&amp;D20&amp;" "&amp;E21&amp;" is more than Retesting positive result at PNC &lt; = 6 weeks"&amp;CHAR(10),""),IF(F290&gt;F265," * Retest Start HAART at PNC &lt; = 6 weeks for Age "&amp;F20&amp;" "&amp;F21&amp;" is more than Retesting positive result at PNC &lt; = 6 weeks"&amp;CHAR(10),""),IF(G290&gt;G265," * Retest Start HAART at PNC &lt; = 6 weeks for Age "&amp;F20&amp;" "&amp;G21&amp;" is more than Retesting positive result at PNC &lt; = 6 weeks"&amp;CHAR(10),""),IF(H290&gt;H265," * Retest Start HAART at PNC &lt; = 6 weeks for Age "&amp;H20&amp;" "&amp;H21&amp;" is more than Retesting positive result at PNC &lt; = 6 weeks"&amp;CHAR(10),""),IF(I290&gt;I265," * Retest Start HAART at PNC &lt; = 6 weeks for Age "&amp;H20&amp;" "&amp;I21&amp;" is more than Retesting positive result at PNC &lt; = 6 weeks"&amp;CHAR(10),""),IF(J290&gt;J265," * Retest Start HAART at PNC &lt; = 6 weeks for Age "&amp;J20&amp;" "&amp;J21&amp;" is more than Retesting positive result at PNC &lt; = 6 weeks"&amp;CHAR(10),""),IF(K290&gt;K265," * Retest Start HAART at PNC &lt; = 6 weeks for Age "&amp;J20&amp;" "&amp;K21&amp;" is more than Retesting positive result at PNC &lt; = 6 weeks"&amp;CHAR(10),""),IF(L290&gt;L265," * Retest Start HAART at PNC &lt; = 6 weeks for Age "&amp;L20&amp;" "&amp;L21&amp;" is more than Retesting positive result at PNC &lt; = 6 weeks"&amp;CHAR(10),""),IF(M290&gt;M265," * Retest Start HAART at PNC &lt; = 6 weeks for Age "&amp;L20&amp;" "&amp;M21&amp;" is more than Retesting positive result at PNC &lt; = 6 weeks"&amp;CHAR(10),""),IF(N290&gt;N265," * Retest Start HAART at PNC &lt; = 6 weeks for Age "&amp;N20&amp;" "&amp;N21&amp;" is more than Retesting positive result at PNC &lt; = 6 weeks"&amp;CHAR(10),""),IF(O290&gt;O265," * Retest Start HAART at PNC &lt; = 6 weeks for Age "&amp;N20&amp;" "&amp;O21&amp;" is more than Retesting positive result at PNC &lt; = 6 weeks"&amp;CHAR(10),""),IF(P290&gt;P265," * Retest Start HAART at PNC &lt; = 6 weeks for Age "&amp;P20&amp;" "&amp;P21&amp;" is more than Retesting positive result at PNC &lt; = 6 weeks"&amp;CHAR(10),""),IF(Q290&gt;Q265," * Retest Start HAART at PNC &lt; = 6 weeks for Age "&amp;P20&amp;" "&amp;Q21&amp;" is more than Retesting positive result at PNC &lt; = 6 weeks"&amp;CHAR(10),""),IF(R290&gt;R265," * Retest Start HAART at PNC &lt; = 6 weeks for Age "&amp;R20&amp;" "&amp;R21&amp;" is more than Retesting positive result at PNC &lt; = 6 weeks"&amp;CHAR(10),""),IF(S290&gt;S265," * Retest Start HAART at PNC &lt; = 6 weeks for Age "&amp;R20&amp;" "&amp;S21&amp;" is more than Retesting positive result at PNC &lt; = 6 weeks"&amp;CHAR(10),""),IF(T290&gt;T265," * Retest Start HAART at PNC &lt; = 6 weeks for Age "&amp;T20&amp;" "&amp;T21&amp;" is more than Retesting positive result at PNC &lt; = 6 weeks"&amp;CHAR(10),""),IF(U290&gt;U265," * Retest Start HAART at PNC &lt; = 6 weeks for Age "&amp;T20&amp;" "&amp;U21&amp;" is more than Retesting positive result at PNC &lt; = 6 weeks"&amp;CHAR(10),""),IF(V290&gt;V265," * Retest Start HAART at PNC &lt; = 6 weeks for Age "&amp;V20&amp;" "&amp;V21&amp;" is more than Retesting positive result at PNC &lt; = 6 weeks"&amp;CHAR(10),""),IF(W290&gt;W265," * Retest Start HAART at PNC &lt; = 6 weeks for Age "&amp;V20&amp;" "&amp;W21&amp;" is more than Retesting positive result at PNC &lt; = 6 weeks"&amp;CHAR(10),""),IF(X290&gt;X265," * Retest Start HAART at PNC &lt; = 6 weeks for Age "&amp;X20&amp;" "&amp;X21&amp;" is more than Retesting positive result at PNC &lt; = 6 weeks"&amp;CHAR(10),""),IF(Y290&gt;Y265," * Retest Start HAART at PNC &lt; = 6 weeks for Age "&amp;X20&amp;" "&amp;Y21&amp;" is more than Retesting positive result at PNC &lt; = 6 weeks"&amp;CHAR(10),""),IF(Z290&gt;Z265," * Retest Start HAART at PNC &lt; = 6 weeks for Age "&amp;Z20&amp;" "&amp;Z21&amp;" is more than Retesting positive result at PNC &lt; = 6 weeks"&amp;CHAR(10),""),IF(AA290&gt;AA265," * Retest Start HAART at PNC &lt; = 6 weeks for Age "&amp;Z20&amp;" "&amp;AA21&amp;" is more than Retesting positive result at PNC &lt; = 6 weeks"&amp;CHAR(10),""))</f>
        <v/>
      </c>
      <c r="AL290" s="757"/>
      <c r="AM290" s="32"/>
      <c r="AN290" s="739"/>
      <c r="AO290" s="14">
        <v>238</v>
      </c>
      <c r="AP290" s="76"/>
      <c r="AQ290" s="77"/>
    </row>
    <row r="291" spans="1:43" s="63" customFormat="1" ht="25.9" thickBot="1" x14ac:dyDescent="0.8">
      <c r="A291" s="743"/>
      <c r="B291" s="89" t="s">
        <v>504</v>
      </c>
      <c r="C291" s="901" t="s">
        <v>511</v>
      </c>
      <c r="D291" s="106"/>
      <c r="E291" s="105"/>
      <c r="F291" s="105"/>
      <c r="G291" s="105"/>
      <c r="H291" s="105"/>
      <c r="I291" s="105"/>
      <c r="J291" s="105"/>
      <c r="K291" s="92"/>
      <c r="L291" s="105"/>
      <c r="M291" s="92"/>
      <c r="N291" s="105"/>
      <c r="O291" s="92"/>
      <c r="P291" s="105"/>
      <c r="Q291" s="92"/>
      <c r="R291" s="105"/>
      <c r="S291" s="92"/>
      <c r="T291" s="105"/>
      <c r="U291" s="92"/>
      <c r="V291" s="105"/>
      <c r="W291" s="92"/>
      <c r="X291" s="105"/>
      <c r="Y291" s="92"/>
      <c r="Z291" s="105"/>
      <c r="AA291" s="347"/>
      <c r="AB291" s="413"/>
      <c r="AC291" s="380"/>
      <c r="AD291" s="380"/>
      <c r="AE291" s="380"/>
      <c r="AF291" s="380"/>
      <c r="AG291" s="380"/>
      <c r="AH291" s="380"/>
      <c r="AI291" s="336"/>
      <c r="AJ291" s="185">
        <f t="shared" si="100"/>
        <v>0</v>
      </c>
      <c r="AK291" s="122" t="str">
        <f>CONCATENATE(IF(D291&gt;D267," * Start HAART at PNC  &gt; 6 weeks for Age "&amp;D20&amp;" "&amp;D21&amp;" is more than  positive result at PNC  &gt; 6 weeks"&amp;CHAR(10),""),IF(E291&gt;E267," * Start HAART at PNC  &gt; 6 weeks for Age "&amp;D20&amp;" "&amp;E21&amp;" is more than  positive result at PNC  &gt; 6 weeks"&amp;CHAR(10),""),IF(F291&gt;F267," * Start HAART at PNC  &gt; 6 weeks for Age "&amp;F20&amp;" "&amp;F21&amp;" is more than  positive result at PNC  &gt; 6 weeks"&amp;CHAR(10),""),IF(G291&gt;G267," * Start HAART at PNC  &gt; 6 weeks for Age "&amp;F20&amp;" "&amp;G21&amp;" is more than  positive result at PNC  &gt; 6 weeks"&amp;CHAR(10),""),IF(H291&gt;H267," * Start HAART at PNC  &gt; 6 weeks for Age "&amp;H20&amp;" "&amp;H21&amp;" is more than  positive result at PNC  &gt; 6 weeks"&amp;CHAR(10),""),IF(I291&gt;I267," * Start HAART at PNC  &gt; 6 weeks for Age "&amp;H20&amp;" "&amp;I21&amp;" is more than  positive result at PNC  &gt; 6 weeks"&amp;CHAR(10),""),IF(J291&gt;J267," * Start HAART at PNC  &gt; 6 weeks for Age "&amp;J20&amp;" "&amp;J21&amp;" is more than  positive result at PNC  &gt; 6 weeks"&amp;CHAR(10),""),IF(K291&gt;K267," * Start HAART at PNC  &gt; 6 weeks for Age "&amp;J20&amp;" "&amp;K21&amp;" is more than  positive result at PNC  &gt; 6 weeks"&amp;CHAR(10),""),IF(L291&gt;L267," * Start HAART at PNC  &gt; 6 weeks for Age "&amp;L20&amp;" "&amp;L21&amp;" is more than  positive result at PNC  &gt; 6 weeks"&amp;CHAR(10),""),IF(M291&gt;M267," * Start HAART at PNC  &gt; 6 weeks for Age "&amp;L20&amp;" "&amp;M21&amp;" is more than  positive result at PNC  &gt; 6 weeks"&amp;CHAR(10),""),IF(N291&gt;N267," * Start HAART at PNC  &gt; 6 weeks for Age "&amp;N20&amp;" "&amp;N21&amp;" is more than  positive result at PNC  &gt; 6 weeks"&amp;CHAR(10),""),IF(O291&gt;O267," * Start HAART at PNC  &gt; 6 weeks for Age "&amp;N20&amp;" "&amp;O21&amp;" is more than  positive result at PNC  &gt; 6 weeks"&amp;CHAR(10),""),IF(P291&gt;P267," * Start HAART at PNC  &gt; 6 weeks for Age "&amp;P20&amp;" "&amp;P21&amp;" is more than  positive result at PNC  &gt; 6 weeks"&amp;CHAR(10),""),IF(Q291&gt;Q267," * Start HAART at PNC  &gt; 6 weeks for Age "&amp;P20&amp;" "&amp;Q21&amp;" is more than  positive result at PNC  &gt; 6 weeks"&amp;CHAR(10),""),IF(R291&gt;R267," * Start HAART at PNC  &gt; 6 weeks for Age "&amp;R20&amp;" "&amp;R21&amp;" is more than  positive result at PNC  &gt; 6 weeks"&amp;CHAR(10),""),IF(S291&gt;S267," * Start HAART at PNC  &gt; 6 weeks for Age "&amp;R20&amp;" "&amp;S21&amp;" is more than  positive result at PNC  &gt; 6 weeks"&amp;CHAR(10),""),IF(T291&gt;T267," * Start HAART at PNC  &gt; 6 weeks for Age "&amp;T20&amp;" "&amp;T21&amp;" is more than  positive result at PNC  &gt; 6 weeks"&amp;CHAR(10),""),IF(U291&gt;U267," * Start HAART at PNC  &gt; 6 weeks for Age "&amp;T20&amp;" "&amp;U21&amp;" is more than  positive result at PNC  &gt; 6 weeks"&amp;CHAR(10),""),IF(V291&gt;V267," * Start HAART at PNC  &gt; 6 weeks for Age "&amp;V20&amp;" "&amp;V21&amp;" is more than  positive result at PNC  &gt; 6 weeks"&amp;CHAR(10),""),IF(W291&gt;W267," * Start HAART at PNC  &gt; 6 weeks for Age "&amp;V20&amp;" "&amp;W21&amp;" is more than  positive result at PNC  &gt; 6 weeks"&amp;CHAR(10),""),IF(X291&gt;X267," * Start HAART at PNC  &gt; 6 weeks for Age "&amp;X20&amp;" "&amp;X21&amp;" is more than  positive result at PNC  &gt; 6 weeks"&amp;CHAR(10),""),IF(Y291&gt;Y267," * Start HAART at PNC  &gt; 6 weeks for Age "&amp;X20&amp;" "&amp;Y21&amp;" is more than  positive result at PNC  &gt; 6 weeks"&amp;CHAR(10),""),IF(Z291&gt;Z267," * Start HAART at PNC  &gt; 6 weeks for Age "&amp;Z20&amp;" "&amp;Z21&amp;" is more than  positive result at PNC  &gt; 6 weeks"&amp;CHAR(10),""),IF(AA291&gt;AA267," * Start HAART at PNC  &gt; 6 weeks for Age "&amp;Z20&amp;" "&amp;AA21&amp;" is more than  positive result at PNC  &gt; 6 weeks"&amp;CHAR(10),""))</f>
        <v/>
      </c>
      <c r="AL291" s="757"/>
      <c r="AM291" s="62"/>
      <c r="AN291" s="739"/>
      <c r="AO291" s="14">
        <v>239</v>
      </c>
      <c r="AP291" s="82"/>
      <c r="AQ291" s="77"/>
    </row>
    <row r="292" spans="1:43" ht="51.4" thickBot="1" x14ac:dyDescent="0.8">
      <c r="A292" s="240" t="s">
        <v>289</v>
      </c>
      <c r="B292" s="241" t="s">
        <v>289</v>
      </c>
      <c r="C292" s="917" t="s">
        <v>376</v>
      </c>
      <c r="D292" s="242"/>
      <c r="E292" s="243"/>
      <c r="F292" s="243"/>
      <c r="G292" s="243"/>
      <c r="H292" s="243"/>
      <c r="I292" s="243"/>
      <c r="J292" s="243"/>
      <c r="K292" s="244"/>
      <c r="L292" s="243"/>
      <c r="M292" s="244"/>
      <c r="N292" s="243"/>
      <c r="O292" s="244"/>
      <c r="P292" s="243"/>
      <c r="Q292" s="244"/>
      <c r="R292" s="243"/>
      <c r="S292" s="244"/>
      <c r="T292" s="243"/>
      <c r="U292" s="244"/>
      <c r="V292" s="243"/>
      <c r="W292" s="244"/>
      <c r="X292" s="243"/>
      <c r="Y292" s="244"/>
      <c r="Z292" s="243"/>
      <c r="AA292" s="379"/>
      <c r="AB292" s="413"/>
      <c r="AC292" s="380"/>
      <c r="AD292" s="380"/>
      <c r="AE292" s="380"/>
      <c r="AF292" s="380"/>
      <c r="AG292" s="380"/>
      <c r="AH292" s="380"/>
      <c r="AI292" s="336"/>
      <c r="AJ292" s="330">
        <f t="shared" si="100"/>
        <v>0</v>
      </c>
      <c r="AK292" s="122"/>
      <c r="AL292" s="757"/>
      <c r="AM292" s="32"/>
      <c r="AN292" s="739"/>
      <c r="AO292" s="14">
        <v>240</v>
      </c>
      <c r="AP292" s="76"/>
      <c r="AQ292" s="77"/>
    </row>
    <row r="293" spans="1:43" s="63" customFormat="1" ht="25.5" x14ac:dyDescent="0.75">
      <c r="A293" s="730" t="s">
        <v>1022</v>
      </c>
      <c r="B293" s="94" t="s">
        <v>706</v>
      </c>
      <c r="C293" s="898" t="s">
        <v>377</v>
      </c>
      <c r="D293" s="101"/>
      <c r="E293" s="102"/>
      <c r="F293" s="102"/>
      <c r="G293" s="102"/>
      <c r="H293" s="102"/>
      <c r="I293" s="102"/>
      <c r="J293" s="102"/>
      <c r="K293" s="97"/>
      <c r="L293" s="102"/>
      <c r="M293" s="97"/>
      <c r="N293" s="102"/>
      <c r="O293" s="97"/>
      <c r="P293" s="102"/>
      <c r="Q293" s="97"/>
      <c r="R293" s="102"/>
      <c r="S293" s="97"/>
      <c r="T293" s="102"/>
      <c r="U293" s="97"/>
      <c r="V293" s="102"/>
      <c r="W293" s="97"/>
      <c r="X293" s="102"/>
      <c r="Y293" s="97"/>
      <c r="Z293" s="102"/>
      <c r="AA293" s="346"/>
      <c r="AB293" s="413"/>
      <c r="AC293" s="380"/>
      <c r="AD293" s="380"/>
      <c r="AE293" s="380"/>
      <c r="AF293" s="380"/>
      <c r="AG293" s="380"/>
      <c r="AH293" s="380"/>
      <c r="AI293" s="336"/>
      <c r="AJ293" s="200">
        <f t="shared" si="100"/>
        <v>0</v>
      </c>
      <c r="AK293" s="122" t="str">
        <f>CONCATENATE(IF(D293&gt;SUM(D251,D255,D249,D257)," * Infant Prophylaxis ANC for Age "&amp;D20&amp;" "&amp;D21&amp;" is more than Positive at ANC (F06-02+F06-04+F06-06+F06-062)"&amp;CHAR(10),""),IF(E293&gt;SUM(E251,E255,E249,E257)," * Infant Prophylaxis ANC  for Age "&amp;D20&amp;" "&amp;E21&amp;" is more than Positive at ANC (F06-02+F06-04+F06-06+F06-062)"&amp;CHAR(10),""),IF(F293&gt;SUM(F251,F255,F249,F257)," * Infant Prophylaxis ANC  for Age "&amp;F20&amp;" "&amp;F21&amp;" is more than Positive at ANC (F06-02+F06-04+F06-06+F06-062)"&amp;CHAR(10),""),IF(G293&gt;SUM(G251,G255,G249,F257)," * Infant Prophylaxis ANC  for Age "&amp;F20&amp;" "&amp;G21&amp;" is more than Positive at ANC (F06-02+F06-04+F06-06+F06-062)"&amp;CHAR(10),""),IF(H293&gt;SUM(H251,H255,H249)," * Infant Prophylaxis ANC  for Age "&amp;H20&amp;" "&amp;H21&amp;" is more than Positive at ANC (F06-02+F06-04+F06-06+F06-062)"&amp;CHAR(10),""),IF(I293&gt;SUM(I251,I255,I249)," * Infant Prophylaxis ANC  for Age "&amp;H20&amp;" "&amp;I21&amp;" is more than Positive at ANC (F06-02+F06-04+F06-06+F06-062)"&amp;CHAR(10),""),IF(J293&gt;SUM(J251,J255,J249)," * Infant Prophylaxis ANC  for Age "&amp;J20&amp;" "&amp;J21&amp;" is more than Positive at ANC (F06-02+F06-04+F06-06+F06-062)"&amp;CHAR(10),""),IF(K293&gt;SUM(K251,K255,K249,K257)," * Infant Prophylaxis ANC  for Age "&amp;J20&amp;" "&amp;K21&amp;" is more than Positive at ANC (F06-02+F06-04+F06-06+F06-062)"&amp;CHAR(10),""),IF(L293&gt;SUM(L251,L255,L249,L257)," * Infant Prophylaxis ANC  for Age "&amp;L20&amp;" "&amp;L21&amp;" is more than Positive at ANC (F06-02+F06-04+F06-06+F06-062)"&amp;CHAR(10),""),IF(M293&gt;SUM(M251,M255,M249,M257)," * Infant Prophylaxis ANC  for Age "&amp;L20&amp;" "&amp;M21&amp;" is more than Positive at ANC (F06-02+F06-04+F06-06+F06-062)"&amp;CHAR(10),""),IF(N293&gt;SUM(N251,N255,N249,N257)," * Infant Prophylaxis ANC  for Age "&amp;N20&amp;" "&amp;N21&amp;" is more than Positive at ANC (F06-02+F06-04+F06-06+F06-062)"&amp;CHAR(10),""),IF(O293&gt;SUM(O251,O255,O249,O257)," * Infant Prophylaxis ANC  for Age "&amp;N20&amp;" "&amp;O21&amp;" is more than Positive at ANC (F06-02+F06-04+F06-06+F06-062)"&amp;CHAR(10),""),IF(P293&gt;SUM(P251,P255,P249,P257)," * Infant Prophylaxis ANC  for Age "&amp;P20&amp;" "&amp;P21&amp;" is more than Positive at ANC (F06-02+F06-04+F06-06+F06-062)"&amp;CHAR(10),""),IF(Q293&gt;SUM(Q251,Q255,Q249,Q257)," * Infant Prophylaxis ANC  for Age "&amp;P20&amp;" "&amp;Q21&amp;" is more than Positive at ANC (F06-02+F06-04+F06-06+F06-062)"&amp;CHAR(10),""),IF(R293&gt;SUM(R251,R255,R249,R257)," * Infant Prophylaxis ANC  for Age "&amp;R20&amp;" "&amp;R21&amp;" is more than Positive at ANC (F06-02+F06-04+F06-06+F06-062)"&amp;CHAR(10),""),IF(S293&gt;SUM(S251,S255,S249,S257)," * Infant Prophylaxis ANC  for Age "&amp;R20&amp;" "&amp;S21&amp;" is more than Positive at ANC (F06-02+F06-04+F06-06+F06-062)"&amp;CHAR(10),""),IF(T293&gt;SUM(T251,T255,T249,T257)," * Infant Prophylaxis ANC  for Age "&amp;T20&amp;" "&amp;T21&amp;" is more than Positive at ANC (F06-02+F06-04+F06-06+F06-062)"&amp;CHAR(10),""),IF(U293&gt;SUM(U251,U255,U249,U257)," * Infant Prophylaxis ANC  for Age "&amp;T20&amp;" "&amp;U21&amp;" is more than Positive at ANC (F06-02+F06-04+F06-06+F06-062)"&amp;CHAR(10),""),IF(V293&gt;SUM(V251,V255,V249,V257)," * Infant Prophylaxis ANC  for Age "&amp;V20&amp;" "&amp;V21&amp;" is more than Positive at ANC (F06-02+F06-04+F06-06+F06-062)"&amp;CHAR(10),""),IF(W293&gt;SUM(W251,W255,W249,W257)," * Infant Prophylaxis ANC  for Age "&amp;V20&amp;" "&amp;W21&amp;" is more than Positive at ANC (F06-02+F06-04+F06-06+F06-062)"&amp;CHAR(10),""),IF(X293&gt;SUM(X251,X255,X249,X257)," * Infant Prophylaxis ANC  for Age "&amp;X20&amp;" "&amp;X21&amp;" is more than Positive at ANC (F06-02+F06-04+F06-06+F06-062)"&amp;CHAR(10),""),IF(Y293&gt;SUM(Y251,Y255,Y249,Y257)," * Infant Prophylaxis ANC  for Age "&amp;X20&amp;" "&amp;Y21&amp;" is more than Positive at ANC (F06-02+F06-04+F06-06+F06-062)"&amp;CHAR(10),""),IF(Z293&gt;SUM(Z251,Z255,Z249,Z257)," * Infant Prophylaxis ANC  for Age "&amp;Z20&amp;" "&amp;Z21&amp;" is more than Positive at ANC (F06-02+F06-04+F06-06+F06-062)"&amp;CHAR(10),""),IF(AA293&gt;SUM(AA251,AA255,AA249,AA257)," * Infant Prophylaxis ANC  for Age "&amp;Z20&amp;" "&amp;AA21&amp;" is more than Positive at ANC (F06-02+F06-04+F06-06+F06-062)"&amp;CHAR(10),""))</f>
        <v/>
      </c>
      <c r="AL293" s="757"/>
      <c r="AM293" s="62" t="str">
        <f>CONCATENATE(IF(D293&lt;SUM(D251,D249,D255,D257)," * Sum of (KP at 1st ANC +New positive at ANC1 + New positive at ANC2 or More+Retesting positive Result at ANC2 or More) for Age "&amp;D20&amp;" "&amp;D21&amp;" is greater than Infant Prophylaxis ANC"&amp;CHAR(10),""),IF(E293&lt;SUM(E251,E249,E255,E257)," * Sum of (KP at 1st ANC +New positive at ANC1 + New positive at ANC2 or More+Retesting positive Result at ANC2 or More) for Age "&amp;D20&amp;" "&amp;E21&amp;" is greater than Infant Prophylaxis ANC"&amp;CHAR(10),""),IF(F293&lt;SUM(F251,F249,F255,F257)," * Sum of (KP at 1st ANC +New positive at ANC1 + New positive at ANC2 or More+Retesting positive Result at ANC2 or More) for Age "&amp;F20&amp;" "&amp;F21&amp;" is greater than Infant Prophylaxis ANC"&amp;CHAR(10),""),IF(G293&lt;SUM(G251,G249,G255,G257)," * Sum of (KP at 1st ANC +New positive at ANC1 + New positive at ANC2 or More+Retesting positive Result at ANC2 or More) for Age "&amp;F20&amp;" "&amp;G21&amp;" is greater than Infant Prophylaxis ANC"&amp;CHAR(10),""),IF(H293&lt;SUM(H251,H249,H255,H257)," * Sum of (KP at 1st ANC +New positive at ANC1 + New positive at ANC2 or More+Retesting positive Result at ANC2 or More) for Age "&amp;H20&amp;" "&amp;H21&amp;" is greater than Infant Prophylaxis ANC"&amp;CHAR(10),""),IF(I293&lt;SUM(I251,I249,I255,I257)," * Sum of (KP at 1st ANC +New positive at ANC1 + New positive at ANC2 or More+Retesting positive Result at ANC2 or More) for Age "&amp;H20&amp;" "&amp;I21&amp;" is greater than Infant Prophylaxis ANC"&amp;CHAR(10),""),IF(J293&lt;SUM(J251,J249,J255,J257)," * Sum of (KP at 1st ANC +New positive at ANC1 + New positive at ANC2 or More+Retesting positive Result at ANC2 or More) for Age "&amp;J20&amp;" "&amp;J21&amp;" is greater than Infant Prophylaxis ANC"&amp;CHAR(10),""),IF(K293&lt;SUM(K251,K249,K255,K257)," * Sum of (KP at 1st ANC +New positive at ANC1 + New positive at ANC2 or More+Retesting positive Result at ANC2 or More) for Age "&amp;J20&amp;" "&amp;K21&amp;" is greater than Infant Prophylaxis ANC"&amp;CHAR(10),""),IF(L293&lt;SUM(L251,L249,L255,L257)," * Sum of (KP at 1st ANC +New positive at ANC1 + New positive at ANC2 or More+Retesting positive Result at ANC2 or More) for Age "&amp;L20&amp;" "&amp;L21&amp;" is greater than Infant Prophylaxis ANC"&amp;CHAR(10),""),IF(M293&lt;SUM(M251,M249,M255,M257)," * Sum of (KP at 1st ANC +New positive at ANC1 + New positive at ANC2 or More+Retesting positive Result at ANC2 or More) for Age "&amp;L20&amp;" "&amp;M21&amp;" is greater than Infant Prophylaxis ANC"&amp;CHAR(10),""),IF(N293&lt;SUM(N251,N249,N255,N257)," * Sum of (KP at 1st ANC +New positive at ANC1 + New positive at ANC2 or More+Retesting positive Result at ANC2 or More) for Age "&amp;N20&amp;" "&amp;N21&amp;" is greater than Infant Prophylaxis ANC"&amp;CHAR(10),""),IF(O293&lt;SUM(O251,O249,O255,O257)," * Sum of (KP at 1st ANC +New positive at ANC1 + New positive at ANC2 or More+Retesting positive Result at ANC2 or More) for Age "&amp;N20&amp;" "&amp;O21&amp;" is greater than Infant Prophylaxis ANC"&amp;CHAR(10),""),IF(P293&lt;SUM(P251,P249,P255,P257)," * Sum of (KP at 1st ANC +New positive at ANC1 + New positive at ANC2 or More+Retesting positive Result at ANC2 or More) for Age "&amp;P20&amp;" "&amp;P21&amp;" is greater than Infant Prophylaxis ANC"&amp;CHAR(10),""),IF(Q293&lt;SUM(Q251,Q249,Q255,Q257)," * Sum of (KP at 1st ANC +New positive at ANC1 + New positive at ANC2 or More+Retesting positive Result at ANC2 or More) for Age "&amp;P20&amp;" "&amp;Q21&amp;" is greater than Infant Prophylaxis ANC"&amp;CHAR(10),""),IF(R293&lt;SUM(R251,R249,R255,R257)," * Sum of (KP at 1st ANC +New positive at ANC1 + New positive at ANC2 or More+Retesting positive Result at ANC2 or More) for Age "&amp;R20&amp;" "&amp;R21&amp;" is greater than Infant Prophylaxis ANC"&amp;CHAR(10),""),IF(S293&lt;SUM(S251,S249,S255,S257)," * Sum of (KP at 1st ANC +New positive at ANC1 + New positive at ANC2 or More+Retesting positive Result at ANC2 or More) for Age "&amp;R20&amp;" "&amp;S21&amp;" is greater than Infant Prophylaxis ANC"&amp;CHAR(10),""),IF(T293&lt;SUM(T251,T249,T255&lt;T257)," * Sum of (KP at 1st ANC +New positive at ANC1 + New positive at ANC2 or More+Retesting positive Result at ANC2 or More) for Age "&amp;T20&amp;" "&amp;T21&amp;" is greater than Infant Prophylaxis ANC"&amp;CHAR(10),""),IF(U293&lt;SUM(U251,U249,U255,U257)," * Sum of (KP at 1st ANC +New positive at ANC1 + New positive at ANC2 or More+Retesting positive Result at ANC2 or More) for Age "&amp;T20&amp;" "&amp;U21&amp;" is greater than Infant Prophylaxis ANC"&amp;CHAR(10),""),IF(V293&lt;SUM(V251,V249,V255,V257)," * Sum of (KP at 1st ANC +New positive at ANC1 + New positive at ANC2 or More+Retesting positive Result at ANC2 or More) for Age "&amp;V20&amp;" "&amp;V21&amp;" is greater than Infant Prophylaxis ANC"&amp;CHAR(10),""),IF(W293&lt;SUM(W251,W249,W255,W257)," * Sum of (KP at 1st ANC +New positive at ANC1 + New positive at ANC2 or More+Retesting positive Result at ANC2 or More) for Age "&amp;V20&amp;" "&amp;W21&amp;" is greater than Infant Prophylaxis ANC"&amp;CHAR(10),""),IF(X293&lt;SUM(X251,X249,X255,X257)," * Sum of (KP at 1st ANC +New positive at ANC1 + New positive at ANC2 or More+Retesting positive Result at ANC2 or More) for Age "&amp;X20&amp;" "&amp;X21&amp;" is greater than Infant Prophylaxis ANC"&amp;CHAR(10),""),IF(Y293&lt;SUM(Y251,Y249,Y255,Y257)," * Sum of (KP at 1st ANC +New positive at ANC1 + New positive at ANC2 or More+Retesting positive Result at ANC2 or More) for Age "&amp;X20&amp;" "&amp;Y21&amp;" is greater than Infant Prophylaxis ANC"&amp;CHAR(10),""),IF(Z293&lt;SUM(Z251,Z249,Z255,Z257)," * Sum of (KP at 1st ANC +New positive at ANC1 + New positive at ANC2 or More+Retesting positive Result at ANC2 or More) for Age "&amp;Z20&amp;" "&amp;Z21&amp;" is greater than Infant Prophylaxis ANC"&amp;CHAR(10),""),IF(AA293&lt;SUM(AA251,AA249,AA255,AA257)," * Sum of (KP at 1st ANC +New positive at ANC1 + New positive at ANC2 or More+Retesting positive Result at ANC2 or More) for Age "&amp;Z20&amp;" "&amp;AA21&amp;" is greater than Infant Prophylaxis ANC"&amp;CHAR(10),""))</f>
        <v/>
      </c>
      <c r="AN293" s="739"/>
      <c r="AO293" s="14">
        <v>241</v>
      </c>
      <c r="AP293" s="82"/>
      <c r="AQ293" s="77"/>
    </row>
    <row r="294" spans="1:43" ht="25.5" x14ac:dyDescent="0.75">
      <c r="A294" s="731"/>
      <c r="B294" s="78" t="s">
        <v>707</v>
      </c>
      <c r="C294" s="899" t="s">
        <v>378</v>
      </c>
      <c r="D294" s="79"/>
      <c r="E294" s="80"/>
      <c r="F294" s="80"/>
      <c r="G294" s="80"/>
      <c r="H294" s="80"/>
      <c r="I294" s="80"/>
      <c r="J294" s="80"/>
      <c r="K294" s="81"/>
      <c r="L294" s="80"/>
      <c r="M294" s="81"/>
      <c r="N294" s="80"/>
      <c r="O294" s="81"/>
      <c r="P294" s="80"/>
      <c r="Q294" s="81"/>
      <c r="R294" s="80"/>
      <c r="S294" s="81"/>
      <c r="T294" s="80"/>
      <c r="U294" s="81"/>
      <c r="V294" s="80"/>
      <c r="W294" s="81"/>
      <c r="X294" s="80"/>
      <c r="Y294" s="81"/>
      <c r="Z294" s="80"/>
      <c r="AA294" s="377"/>
      <c r="AB294" s="413"/>
      <c r="AC294" s="380"/>
      <c r="AD294" s="380"/>
      <c r="AE294" s="380"/>
      <c r="AF294" s="380"/>
      <c r="AG294" s="380"/>
      <c r="AH294" s="380"/>
      <c r="AI294" s="336"/>
      <c r="AJ294" s="185">
        <f t="shared" si="100"/>
        <v>0</v>
      </c>
      <c r="AK294" s="122" t="str">
        <f>CONCATENATE(IF(D294&gt;(D259+D261)," * Infant Prophylaxis LD for Age "&amp;D20&amp;" "&amp;D21&amp;" is more than Initial LD Positive + Retest LD positive"&amp;CHAR(10),""),IF(E294&gt;(E259+E261)," * Infant Prophylaxis LD for Age "&amp;D20&amp;" "&amp;E21&amp;" is more than Initial LD Positive + Retest LD positive"&amp;CHAR(10),""),IF(F294&gt;(F259+F261)," * Infant Prophylaxis LD for Age "&amp;F20&amp;" "&amp;F21&amp;" is more than Initial LD Positive + Retest LD positive"&amp;CHAR(10),""),IF(G294&gt;(G259+G261)," * Infant Prophylaxis LD for Age "&amp;F20&amp;" "&amp;G21&amp;" is more than Initial LD Positive + Retest LD positive"&amp;CHAR(10),""),IF(H294&gt;(H259+H261)," * Infant Prophylaxis LD for Age "&amp;H20&amp;" "&amp;H21&amp;" is more than Initial LD Positive + Retest LD positive"&amp;CHAR(10),""),IF(I294&gt;(I259+I261)," * Infant Prophylaxis LD for Age "&amp;H20&amp;" "&amp;I21&amp;" is more than Initial LD Positive + Retest LD positive"&amp;CHAR(10),""),IF(J294&gt;(J259+J261)," * Infant Prophylaxis LD for Age "&amp;J20&amp;" "&amp;J21&amp;" is more than Initial LD Positive + Retest LD positive"&amp;CHAR(10),""),IF(K294&gt;(K259+K261)," * Infant Prophylaxis LD for Age "&amp;J20&amp;" "&amp;K21&amp;" is more than Initial LD Positive + Retest LD positive"&amp;CHAR(10),""),IF(L294&gt;(L259+L261)," * Infant Prophylaxis LD for Age "&amp;L20&amp;" "&amp;L21&amp;" is more than Initial LD Positive + Retest LD positive"&amp;CHAR(10),""),IF(M294&gt;(M259+M261)," * Infant Prophylaxis LD for Age "&amp;L20&amp;" "&amp;M21&amp;" is more than Initial LD Positive + Retest LD positive"&amp;CHAR(10),""),IF(N294&gt;(N259+N261)," * Infant Prophylaxis LD for Age "&amp;N20&amp;" "&amp;N21&amp;" is more than Initial LD Positive + Retest LD positive"&amp;CHAR(10),""),IF(O294&gt;(O259+O261)," * Infant Prophylaxis LD for Age "&amp;N20&amp;" "&amp;O21&amp;" is more than Initial LD Positive + Retest LD positive"&amp;CHAR(10),""),IF(P294&gt;(P259+P261)," * Infant Prophylaxis LD for Age "&amp;P20&amp;" "&amp;P21&amp;" is more than Initial LD Positive + Retest LD positive"&amp;CHAR(10),""),IF(Q294&gt;(Q259+Q261)," * Infant Prophylaxis LD for Age "&amp;P20&amp;" "&amp;Q21&amp;" is more than Initial LD Positive + Retest LD positive"&amp;CHAR(10),""),IF(R294&gt;(R259+R261)," * Infant Prophylaxis LD for Age "&amp;R20&amp;" "&amp;R21&amp;" is more than Initial LD Positive + Retest LD positive"&amp;CHAR(10),""),IF(S294&gt;(S259+S261)," * Infant Prophylaxis LD for Age "&amp;R20&amp;" "&amp;S21&amp;" is more than Initial LD Positive + Retest LD positive"&amp;CHAR(10),""),IF(T294&gt;(T259+T261)," * Infant Prophylaxis LD for Age "&amp;T20&amp;" "&amp;T21&amp;" is more than Initial LD Positive + Retest LD positive"&amp;CHAR(10),""),IF(U294&gt;(U259+U261)," * Infant Prophylaxis LD for Age "&amp;T20&amp;" "&amp;U21&amp;" is more than Initial LD Positive + Retest LD positive"&amp;CHAR(10),""),IF(V294&gt;(V259+V261)," * Infant Prophylaxis LD for Age "&amp;V20&amp;" "&amp;V21&amp;" is more than Initial LD Positive + Retest LD positive"&amp;CHAR(10),""),IF(W294&gt;(W259+W261)," * Infant Prophylaxis LD for Age "&amp;V20&amp;" "&amp;W21&amp;" is more than Initial LD Positive + Retest LD positive"&amp;CHAR(10),""),IF(X294&gt;X259," * Infant Prophylaxis LD for Age "&amp;X20&amp;" "&amp;X21&amp;" is more than Initial LD Positive + Retest LD positive"&amp;CHAR(10),""),IF(Y294&gt;(Y259+Y261)," * Infant Prophylaxis LD for Age "&amp;X20&amp;" "&amp;Y21&amp;" is more than Initial LD Positive + Retest LD positive"&amp;CHAR(10),""),IF(Z294&gt;(Z259+Z261)," * Infant Prophylaxis LD for Age "&amp;Z20&amp;" "&amp;Z21&amp;" is more than Initial LD Positive + Retest LD positive"&amp;CHAR(10),""),IF(AA294&gt;(AA259+AA261)," * Infant Prophylaxis LD for Age "&amp;Z20&amp;" "&amp;AA21&amp;" is more than Initial LD Positive + Retest LD positive"&amp;CHAR(10),""),IF(AJ294&gt;(AJ259+AJ261)," * Total Infant Prophylaxis LD is more than Total Initial LD Positive + Retest LD positive"&amp;CHAR(10),""))</f>
        <v/>
      </c>
      <c r="AL294" s="757"/>
      <c r="AM294" s="32" t="str">
        <f>CONCATENATE(IF(D294&lt;(D259+D261)," * Infant Prophylaxis LD for Age "&amp;D20&amp;" "&amp;D21&amp;" is less than Initial LD Positive + Retest LD positive"&amp;CHAR(10),""),IF(E294&lt;(E259+E261)," * Infant Prophylaxis LD for Age "&amp;D20&amp;" "&amp;E21&amp;" is less than Initial LD Positive + Retest LD positive"&amp;CHAR(10),""),IF(F294&lt;(F259+F261)," * Infant Prophylaxis LD for Age "&amp;F20&amp;" "&amp;F21&amp;" is less than Initial LD Positive + Retest LD positive"&amp;CHAR(10),""),IF(G294&lt;(G259+G261)," * Infant Prophylaxis LD for Age "&amp;F20&amp;" "&amp;G21&amp;" is less than Initial LD Positive + Retest LD positive"&amp;CHAR(10),""),IF(H294&lt;(H259+H261)," * Infant Prophylaxis LD for Age "&amp;H20&amp;" "&amp;H21&amp;" is less than Initial LD Positive + Retest LD positive"&amp;CHAR(10),""),IF(I294&lt;(I259+I261)," * Infant Prophylaxis LD for Age "&amp;H20&amp;" "&amp;I21&amp;" is less than Initial LD Positive + Retest LD positive"&amp;CHAR(10),""),IF(J294&lt;(J259+J261)," * Infant Prophylaxis LD for Age "&amp;J20&amp;" "&amp;J21&amp;" is less than Initial LD Positive + Retest LD positive"&amp;CHAR(10),""),IF(K294&lt;(K259+K261)," * Infant Prophylaxis LD for Age "&amp;J20&amp;" "&amp;K21&amp;" is less than Initial LD Positive + Retest LD positive"&amp;CHAR(10),""),IF(L294&lt;(L259+L261)," * Infant Prophylaxis LD for Age "&amp;L20&amp;" "&amp;L21&amp;" is less than Initial LD Positive + Retest LD positive"&amp;CHAR(10),""),IF(M294&lt;(M259+M261)," * Infant Prophylaxis LD for Age "&amp;L20&amp;" "&amp;M21&amp;" is less than Initial LD Positive + Retest LD positive"&amp;CHAR(10),""),IF(N294&lt;(N259+N261)," * Infant Prophylaxis LD for Age "&amp;N20&amp;" "&amp;N21&amp;" is less than Initial LD Positive + Retest LD positive"&amp;CHAR(10),""),IF(O294&lt;(O259+O261)," * Infant Prophylaxis LD for Age "&amp;N20&amp;" "&amp;O21&amp;" is less than Initial LD Positive + Retest LD positive"&amp;CHAR(10),""),IF(P294&lt;(P259+P261)," * Infant Prophylaxis LD for Age "&amp;P20&amp;" "&amp;P21&amp;" is less than Initial LD Positive + Retest LD positive"&amp;CHAR(10),""),IF(Q294&lt;(Q259+Q261)," * Infant Prophylaxis LD for Age "&amp;P20&amp;" "&amp;Q21&amp;" is less than Initial LD Positive + Retest LD positive"&amp;CHAR(10),""),IF(R294&lt;(R259+R261)," * Infant Prophylaxis LD for Age "&amp;R20&amp;" "&amp;R21&amp;" is less than Initial LD Positive + Retest LD positive"&amp;CHAR(10),""),IF(S294&lt;(S259+S261)," * Infant Prophylaxis LD for Age "&amp;R20&amp;" "&amp;S21&amp;" is less than Initial LD Positive + Retest LD positive"&amp;CHAR(10),""),IF(T294&lt;(T259+T261)," * Infant Prophylaxis LD for Age "&amp;T20&amp;" "&amp;T21&amp;" is less than Initial LD Positive + Retest LD positive"&amp;CHAR(10),""),IF(U294&lt;(U259+U261)," * Infant Prophylaxis LD for Age "&amp;T20&amp;" "&amp;U21&amp;" is less than Initial LD Positive + Retest LD positive"&amp;CHAR(10),""),IF(V294&lt;(V259+V261)," * Infant Prophylaxis LD for Age "&amp;V20&amp;" "&amp;V21&amp;" is less than Initial LD Positive + Retest LD positive"&amp;CHAR(10),""),IF(W294&lt;(W259+W261)," * Infant Prophylaxis LD for Age "&amp;V20&amp;" "&amp;W21&amp;" is less than Initial LD Positive + Retest LD positive"&amp;CHAR(10),""),IF(X294&lt;X259," * Infant Prophylaxis LD for Age "&amp;X20&amp;" "&amp;X21&amp;" is less than Initial LD Positive + Retest LD positive"&amp;CHAR(10),""),IF(Y294&lt;(Y259+Y261)," * Infant Prophylaxis LD for Age "&amp;X20&amp;" "&amp;Y21&amp;" is less than Initial LD Positive + Retest LD positive"&amp;CHAR(10),""),IF(Z294&lt;(Z259+Z261)," * Infant Prophylaxis LD for Age "&amp;Z20&amp;" "&amp;Z21&amp;" is less than Initial LD Positive + Retest LD positive"&amp;CHAR(10),""),IF(AA294&lt;(AA259+AA261)," * Infant Prophylaxis LD for Age "&amp;Z20&amp;" "&amp;AA21&amp;" is less than Initial LD Positive + Retest LD positive"&amp;CHAR(10),""),IF(AJ294&lt;(AJ259+AJ261)," * Total Infant Prophylaxis LD is less than Total Initial LD Positive + Retest LD positive"&amp;CHAR(10),""))</f>
        <v/>
      </c>
      <c r="AN294" s="739"/>
      <c r="AO294" s="14">
        <v>242</v>
      </c>
      <c r="AP294" s="76"/>
      <c r="AQ294" s="77"/>
    </row>
    <row r="295" spans="1:43" ht="25.9" thickBot="1" x14ac:dyDescent="0.8">
      <c r="A295" s="732"/>
      <c r="B295" s="124" t="s">
        <v>708</v>
      </c>
      <c r="C295" s="901" t="s">
        <v>379</v>
      </c>
      <c r="D295" s="144"/>
      <c r="E295" s="126"/>
      <c r="F295" s="126"/>
      <c r="G295" s="126"/>
      <c r="H295" s="126"/>
      <c r="I295" s="126"/>
      <c r="J295" s="126"/>
      <c r="K295" s="127"/>
      <c r="L295" s="126"/>
      <c r="M295" s="127"/>
      <c r="N295" s="126"/>
      <c r="O295" s="127"/>
      <c r="P295" s="126"/>
      <c r="Q295" s="127"/>
      <c r="R295" s="126"/>
      <c r="S295" s="127"/>
      <c r="T295" s="126"/>
      <c r="U295" s="127"/>
      <c r="V295" s="126"/>
      <c r="W295" s="127"/>
      <c r="X295" s="126"/>
      <c r="Y295" s="127"/>
      <c r="Z295" s="126"/>
      <c r="AA295" s="357"/>
      <c r="AB295" s="414"/>
      <c r="AC295" s="415"/>
      <c r="AD295" s="415"/>
      <c r="AE295" s="415"/>
      <c r="AF295" s="415"/>
      <c r="AG295" s="415"/>
      <c r="AH295" s="415"/>
      <c r="AI295" s="337"/>
      <c r="AJ295" s="418">
        <f t="shared" si="100"/>
        <v>0</v>
      </c>
      <c r="AK295" s="128" t="str">
        <f>CONCATENATE(IF(D295&gt;D263+D265," * Infant Prophylaxis PNC &lt; 6 Weeks for Age "&amp;D20&amp;" "&amp;D21&amp;" is more than Positive PNC &lt;= 6 weeks"&amp;CHAR(10),""),IF(E295&gt;E263+E265," * Infant Prophylaxis PNC &lt; 6 Weeks for Age "&amp;D20&amp;" "&amp;E21&amp;" is more than Positive PNC &lt;= 6 weeks"&amp;CHAR(10),""),IF(F295&gt;F263+F265," * Infant Prophylaxis PNC &lt; 6 Weeks for Age "&amp;F20&amp;" "&amp;F21&amp;" is more than Positive PNC &lt;= 6 weeks"&amp;CHAR(10),""),IF(G295&gt;G263+G265," * Infant Prophylaxis PNC &lt; 6 Weeks for Age "&amp;F20&amp;" "&amp;G21&amp;" is more than Positive PNC &lt;= 6 weeks"&amp;CHAR(10),""),IF(H295&gt;H263+H265," * Infant Prophylaxis PNC &lt; 6 Weeks for Age "&amp;H20&amp;" "&amp;H21&amp;" is more than Positive PNC &lt;= 6 weeks"&amp;CHAR(10),""),IF(I295&gt;I263+I265," * Infant Prophylaxis PNC &lt; 6 Weeks for Age "&amp;H20&amp;" "&amp;I21&amp;" is more than Positive PNC &lt;= 6 weeks"&amp;CHAR(10),""),IF(J295&gt;J263+J265," * Infant Prophylaxis PNC &lt; 6 Weeks for Age "&amp;J20&amp;" "&amp;J21&amp;" is more than Positive PNC &lt;= 6 weeks"&amp;CHAR(10),""),IF(K295&gt;K263+K265," * Infant Prophylaxis PNC &lt; 6 Weeks for Age "&amp;J20&amp;" "&amp;K21&amp;" is more than Positive PNC &lt;= 6 weeks"&amp;CHAR(10),""),IF(L295&gt;L263+L265," * Infant Prophylaxis PNC &lt; 6 Weeks for Age "&amp;L20&amp;" "&amp;L21&amp;" is more than Positive PNC &lt;= 6 weeks"&amp;CHAR(10),""),IF(M295&gt;M263+M265," * Infant Prophylaxis PNC &lt; 6 Weeks for Age "&amp;L20&amp;" "&amp;M21&amp;" is more than Positive PNC &lt;= 6 weeks"&amp;CHAR(10),""),IF(N295&gt;N263+N265," * Infant Prophylaxis PNC &lt; 6 Weeks for Age "&amp;N20&amp;" "&amp;N21&amp;" is more than Positive PNC &lt;= 6 weeks"&amp;CHAR(10),""),IF(O295&gt;O263+O265," * Infant Prophylaxis PNC &lt; 6 Weeks for Age "&amp;N20&amp;" "&amp;O21&amp;" is more than Positive PNC &lt;= 6 weeks"&amp;CHAR(10),""),IF(P295&gt;P263+P265," * Infant Prophylaxis PNC &lt; 6 Weeks for Age "&amp;P20&amp;" "&amp;P21&amp;" is more than Positive PNC &lt;= 6 weeks"&amp;CHAR(10),""),IF(Q295&gt;Q263+Q265," * Infant Prophylaxis PNC &lt; 6 Weeks for Age "&amp;P20&amp;" "&amp;Q21&amp;" is more than Positive PNC &lt;= 6 weeks"&amp;CHAR(10),""),IF(R295&gt;R263+R265," * Infant Prophylaxis PNC &lt; 6 Weeks for Age "&amp;R20&amp;" "&amp;R21&amp;" is more than Positive PNC &lt;= 6 weeks"&amp;CHAR(10),""),IF(S295&gt;S263+S265+S265," * Infant Prophylaxis PNC &lt; 6 Weeks for Age "&amp;R20&amp;" "&amp;S21&amp;" is more than Positive PNC &lt;= 6 weeks"&amp;CHAR(10),""),IF(T295&gt;T263+T265," * Infant Prophylaxis PNC &lt; 6 Weeks for Age "&amp;T20&amp;" "&amp;T21&amp;" is more than Positive PNC &lt;= 6 weeks"&amp;CHAR(10),""),IF(U295&gt;U263+U265," * Infant Prophylaxis PNC &lt; 6 Weeks for Age "&amp;T20&amp;" "&amp;U21&amp;" is more than Positive PNC &lt;= 6 weeks"&amp;CHAR(10),""),IF(V295&gt;V263+V265," * Infant Prophylaxis PNC &lt; 6 Weeks for Age "&amp;V20&amp;" "&amp;V21&amp;" is more than Positive PNC &lt;= 6 weeks"&amp;CHAR(10),""),IF(W295&gt;W263+W265," * Infant Prophylaxis PNC &lt; 6 Weeks for Age "&amp;V20&amp;" "&amp;W21&amp;" is more than Positive PNC &lt;= 6 weeks"&amp;CHAR(10),""),IF(X295&gt;X263+X265," * Infant Prophylaxis PNC &lt; 6 Weeks for Age "&amp;X20&amp;" "&amp;X21&amp;" is more than Positive PNC &lt;= 6 weeks"&amp;CHAR(10),""),IF(Y295&gt;Y263+Y265," * Infant Prophylaxis PNC &lt; 6 Weeks for Age "&amp;X20&amp;" "&amp;Y21&amp;" is more than Positive PNC &lt;= 6 weeks"&amp;CHAR(10),""),IF(Z295&gt;Z263+Z265," * Infant Prophylaxis PNC &lt; 6 Weeks for Age "&amp;Z20&amp;" "&amp;Z21&amp;" is more than Positive PNC &lt;= 6 weeks"&amp;CHAR(10),""),IF(AA295&gt;AA263+AA265," * Infant Prophylaxis PNC &lt; 6 Weeks for Age "&amp;Z20&amp;" "&amp;AA21&amp;" is more than Positive PNC &lt;= 6 weeks"&amp;CHAR(10),""))</f>
        <v/>
      </c>
      <c r="AL295" s="758"/>
      <c r="AM295" s="129" t="str">
        <f>CONCATENATE(IF(D295&lt;D263," * F06-20 for Age "&amp;D20&amp;" "&amp;D21&amp;" is less than F06-10"&amp;CHAR(10),""),IF(E295&lt;E263," * F06-20 for Age "&amp;D20&amp;" "&amp;E21&amp;" is less than F06-10"&amp;CHAR(10),""),IF(F295&lt;F263," * F06-20 for Age "&amp;F20&amp;" "&amp;F21&amp;" is less than F06-10"&amp;CHAR(10),""),IF(G295&lt;G263," * F06-20 for Age "&amp;F20&amp;" "&amp;G21&amp;" is less than F06-10"&amp;CHAR(10),""),IF(H295&lt;H263," * F06-20 for Age "&amp;H20&amp;" "&amp;H21&amp;" is less than F06-10"&amp;CHAR(10),""),IF(I295&lt;I263," * F06-20 for Age "&amp;H20&amp;" "&amp;I21&amp;" is less than F06-10"&amp;CHAR(10),""),IF(J295&lt;J263," * F06-20 for Age "&amp;J20&amp;" "&amp;J21&amp;" is less than F06-10"&amp;CHAR(10),""),IF(K295&lt;K263," * F06-20 for Age "&amp;J20&amp;" "&amp;K21&amp;" is less than F06-10"&amp;CHAR(10),""),IF(L295&lt;L263," * F06-20 for Age "&amp;L20&amp;" "&amp;L21&amp;" is less than F06-10"&amp;CHAR(10),""),IF(M295&lt;M263," * F06-20 for Age "&amp;L20&amp;" "&amp;M21&amp;" is less than F06-10"&amp;CHAR(10),""),IF(N295&lt;N263," * F06-20 for Age "&amp;N20&amp;" "&amp;N21&amp;" is less than F06-10"&amp;CHAR(10),""),IF(O295&lt;O263," * F06-20 for Age "&amp;N20&amp;" "&amp;O21&amp;" is less than F06-10"&amp;CHAR(10),""),IF(P295&lt;P263," * F06-20 for Age "&amp;P20&amp;" "&amp;P21&amp;" is less than F06-10"&amp;CHAR(10),""),IF(Q295&lt;Q263," * F06-20 for Age "&amp;P20&amp;" "&amp;Q21&amp;" is less than F06-10"&amp;CHAR(10),""),IF(R295&lt;R263," * F06-20 for Age "&amp;R20&amp;" "&amp;R21&amp;" is less than F06-10"&amp;CHAR(10),""),IF(S295&lt;S263," * F06-20 for Age "&amp;R20&amp;" "&amp;S21&amp;" is less than F06-10"&amp;CHAR(10),""),IF(T295&lt;T263," * F06-20 for Age "&amp;T20&amp;" "&amp;T21&amp;" is less than F06-10"&amp;CHAR(10),""),IF(U295&lt;U263," * F06-20 for Age "&amp;T20&amp;" "&amp;U21&amp;" is less than F06-10"&amp;CHAR(10),""),IF(V295&lt;V263," * F06-20 for Age "&amp;V20&amp;" "&amp;V21&amp;" is less than F06-10"&amp;CHAR(10),""),IF(W295&lt;W263," * F06-20 for Age "&amp;V20&amp;" "&amp;W21&amp;" is less than F06-10"&amp;CHAR(10),""),IF(X295&lt;X263," * F06-20 for Age "&amp;X20&amp;" "&amp;X21&amp;" is less than F06-10"&amp;CHAR(10),""),IF(Y295&lt;Y263," * F06-20 for Age "&amp;X20&amp;" "&amp;Y21&amp;" is less than F06-10"&amp;CHAR(10),""),IF(Z295&lt;Z263," * F06-20 for Age "&amp;Z20&amp;" "&amp;Z21&amp;" is less than F06-10"&amp;CHAR(10),""),IF(AA295&lt;AA263," * F06-20 for Age "&amp;Z20&amp;" "&amp;AA21&amp;" is less than F06-10"&amp;CHAR(10),""),IF(AJ295&lt;AJ263," * Total F06-20 is less than Total F06-10"&amp;CHAR(10),""))</f>
        <v/>
      </c>
      <c r="AN295" s="740"/>
      <c r="AO295" s="14">
        <v>243</v>
      </c>
      <c r="AP295" s="76"/>
      <c r="AQ295" s="77"/>
    </row>
    <row r="296" spans="1:43" ht="25.9" thickBot="1" x14ac:dyDescent="0.8">
      <c r="A296" s="640" t="s">
        <v>130</v>
      </c>
      <c r="B296" s="641"/>
      <c r="C296" s="641"/>
      <c r="D296" s="641"/>
      <c r="E296" s="641"/>
      <c r="F296" s="641"/>
      <c r="G296" s="641"/>
      <c r="H296" s="641"/>
      <c r="I296" s="641"/>
      <c r="J296" s="641"/>
      <c r="K296" s="641"/>
      <c r="L296" s="641"/>
      <c r="M296" s="641"/>
      <c r="N296" s="641"/>
      <c r="O296" s="641"/>
      <c r="P296" s="641"/>
      <c r="Q296" s="641"/>
      <c r="R296" s="641"/>
      <c r="S296" s="641"/>
      <c r="T296" s="641"/>
      <c r="U296" s="641"/>
      <c r="V296" s="641"/>
      <c r="W296" s="641"/>
      <c r="X296" s="641"/>
      <c r="Y296" s="641"/>
      <c r="Z296" s="641"/>
      <c r="AA296" s="641"/>
      <c r="AB296" s="642"/>
      <c r="AC296" s="642"/>
      <c r="AD296" s="642"/>
      <c r="AE296" s="642"/>
      <c r="AF296" s="642"/>
      <c r="AG296" s="642"/>
      <c r="AH296" s="642"/>
      <c r="AI296" s="642"/>
      <c r="AJ296" s="641"/>
      <c r="AK296" s="641"/>
      <c r="AL296" s="641"/>
      <c r="AM296" s="641"/>
      <c r="AN296" s="643"/>
      <c r="AO296" s="14">
        <v>244</v>
      </c>
      <c r="AP296" s="76"/>
      <c r="AQ296" s="77"/>
    </row>
    <row r="297" spans="1:43" ht="26.25" customHeight="1" x14ac:dyDescent="0.75">
      <c r="A297" s="617" t="s">
        <v>37</v>
      </c>
      <c r="B297" s="644" t="s">
        <v>346</v>
      </c>
      <c r="C297" s="897" t="s">
        <v>327</v>
      </c>
      <c r="D297" s="614" t="s">
        <v>0</v>
      </c>
      <c r="E297" s="614"/>
      <c r="F297" s="614" t="s">
        <v>1</v>
      </c>
      <c r="G297" s="614"/>
      <c r="H297" s="614" t="s">
        <v>2</v>
      </c>
      <c r="I297" s="614"/>
      <c r="J297" s="614" t="s">
        <v>3</v>
      </c>
      <c r="K297" s="614"/>
      <c r="L297" s="614" t="s">
        <v>4</v>
      </c>
      <c r="M297" s="614"/>
      <c r="N297" s="614" t="s">
        <v>5</v>
      </c>
      <c r="O297" s="614"/>
      <c r="P297" s="614" t="s">
        <v>6</v>
      </c>
      <c r="Q297" s="614"/>
      <c r="R297" s="614" t="s">
        <v>7</v>
      </c>
      <c r="S297" s="614"/>
      <c r="T297" s="614" t="s">
        <v>8</v>
      </c>
      <c r="U297" s="614"/>
      <c r="V297" s="614" t="s">
        <v>23</v>
      </c>
      <c r="W297" s="614"/>
      <c r="X297" s="614" t="s">
        <v>24</v>
      </c>
      <c r="Y297" s="614"/>
      <c r="Z297" s="614" t="s">
        <v>9</v>
      </c>
      <c r="AA297" s="614"/>
      <c r="AB297" s="624" t="s">
        <v>1034</v>
      </c>
      <c r="AC297" s="647"/>
      <c r="AD297" s="624" t="s">
        <v>1035</v>
      </c>
      <c r="AE297" s="647"/>
      <c r="AF297" s="624" t="s">
        <v>1036</v>
      </c>
      <c r="AG297" s="647"/>
      <c r="AH297" s="624" t="s">
        <v>1036</v>
      </c>
      <c r="AI297" s="647"/>
      <c r="AJ297" s="785" t="s">
        <v>19</v>
      </c>
      <c r="AK297" s="666" t="s">
        <v>380</v>
      </c>
      <c r="AL297" s="638" t="s">
        <v>386</v>
      </c>
      <c r="AM297" s="659" t="s">
        <v>387</v>
      </c>
      <c r="AN297" s="654" t="s">
        <v>387</v>
      </c>
      <c r="AO297" s="14">
        <v>245</v>
      </c>
      <c r="AP297" s="76"/>
      <c r="AQ297" s="77"/>
    </row>
    <row r="298" spans="1:43" ht="27" customHeight="1" thickBot="1" x14ac:dyDescent="0.8">
      <c r="A298" s="618"/>
      <c r="B298" s="645"/>
      <c r="C298" s="892"/>
      <c r="D298" s="315" t="s">
        <v>10</v>
      </c>
      <c r="E298" s="315" t="s">
        <v>11</v>
      </c>
      <c r="F298" s="315" t="s">
        <v>10</v>
      </c>
      <c r="G298" s="315" t="s">
        <v>11</v>
      </c>
      <c r="H298" s="315" t="s">
        <v>10</v>
      </c>
      <c r="I298" s="315" t="s">
        <v>11</v>
      </c>
      <c r="J298" s="315" t="s">
        <v>10</v>
      </c>
      <c r="K298" s="315" t="s">
        <v>11</v>
      </c>
      <c r="L298" s="315" t="s">
        <v>10</v>
      </c>
      <c r="M298" s="315" t="s">
        <v>11</v>
      </c>
      <c r="N298" s="315" t="s">
        <v>10</v>
      </c>
      <c r="O298" s="315" t="s">
        <v>11</v>
      </c>
      <c r="P298" s="315" t="s">
        <v>10</v>
      </c>
      <c r="Q298" s="315" t="s">
        <v>11</v>
      </c>
      <c r="R298" s="315" t="s">
        <v>10</v>
      </c>
      <c r="S298" s="315" t="s">
        <v>11</v>
      </c>
      <c r="T298" s="315" t="s">
        <v>10</v>
      </c>
      <c r="U298" s="315" t="s">
        <v>11</v>
      </c>
      <c r="V298" s="315" t="s">
        <v>10</v>
      </c>
      <c r="W298" s="315" t="s">
        <v>11</v>
      </c>
      <c r="X298" s="315" t="s">
        <v>10</v>
      </c>
      <c r="Y298" s="315" t="s">
        <v>11</v>
      </c>
      <c r="Z298" s="315" t="s">
        <v>10</v>
      </c>
      <c r="AA298" s="315" t="s">
        <v>11</v>
      </c>
      <c r="AB298" s="315" t="s">
        <v>10</v>
      </c>
      <c r="AC298" s="315" t="s">
        <v>11</v>
      </c>
      <c r="AD298" s="315" t="s">
        <v>10</v>
      </c>
      <c r="AE298" s="315" t="s">
        <v>11</v>
      </c>
      <c r="AF298" s="315" t="s">
        <v>10</v>
      </c>
      <c r="AG298" s="315" t="s">
        <v>11</v>
      </c>
      <c r="AH298" s="315" t="s">
        <v>10</v>
      </c>
      <c r="AI298" s="315" t="s">
        <v>11</v>
      </c>
      <c r="AJ298" s="786"/>
      <c r="AK298" s="667"/>
      <c r="AL298" s="639"/>
      <c r="AM298" s="660"/>
      <c r="AN298" s="620"/>
      <c r="AO298" s="14">
        <v>246</v>
      </c>
      <c r="AP298" s="76"/>
      <c r="AQ298" s="77"/>
    </row>
    <row r="299" spans="1:43" s="251" customFormat="1" ht="25.9" thickBot="1" x14ac:dyDescent="0.8">
      <c r="A299" s="245" t="s">
        <v>297</v>
      </c>
      <c r="B299" s="246" t="s">
        <v>852</v>
      </c>
      <c r="C299" s="917" t="s">
        <v>298</v>
      </c>
      <c r="D299" s="247">
        <f>SUM(D300:D305)</f>
        <v>0</v>
      </c>
      <c r="E299" s="248">
        <f>SUM(E300:E305)</f>
        <v>0</v>
      </c>
      <c r="F299" s="248">
        <f t="shared" ref="F299:AA299" si="101">SUM(F300:F305)</f>
        <v>0</v>
      </c>
      <c r="G299" s="248">
        <f t="shared" si="101"/>
        <v>0</v>
      </c>
      <c r="H299" s="248">
        <f t="shared" si="101"/>
        <v>0</v>
      </c>
      <c r="I299" s="248">
        <f t="shared" si="101"/>
        <v>0</v>
      </c>
      <c r="J299" s="248">
        <f t="shared" si="101"/>
        <v>0</v>
      </c>
      <c r="K299" s="248">
        <f t="shared" si="101"/>
        <v>0</v>
      </c>
      <c r="L299" s="248">
        <f t="shared" si="101"/>
        <v>0</v>
      </c>
      <c r="M299" s="248">
        <f t="shared" si="101"/>
        <v>0</v>
      </c>
      <c r="N299" s="248">
        <f t="shared" si="101"/>
        <v>0</v>
      </c>
      <c r="O299" s="248">
        <f t="shared" si="101"/>
        <v>0</v>
      </c>
      <c r="P299" s="248">
        <f t="shared" si="101"/>
        <v>0</v>
      </c>
      <c r="Q299" s="248">
        <f t="shared" si="101"/>
        <v>0</v>
      </c>
      <c r="R299" s="248">
        <f t="shared" si="101"/>
        <v>0</v>
      </c>
      <c r="S299" s="248">
        <f t="shared" si="101"/>
        <v>0</v>
      </c>
      <c r="T299" s="248">
        <f t="shared" si="101"/>
        <v>0</v>
      </c>
      <c r="U299" s="248">
        <f t="shared" si="101"/>
        <v>0</v>
      </c>
      <c r="V299" s="248">
        <f t="shared" si="101"/>
        <v>0</v>
      </c>
      <c r="W299" s="248">
        <f t="shared" si="101"/>
        <v>0</v>
      </c>
      <c r="X299" s="248">
        <f t="shared" si="101"/>
        <v>0</v>
      </c>
      <c r="Y299" s="248">
        <f t="shared" si="101"/>
        <v>0</v>
      </c>
      <c r="Z299" s="248">
        <f t="shared" si="101"/>
        <v>0</v>
      </c>
      <c r="AA299" s="248">
        <f t="shared" si="101"/>
        <v>0</v>
      </c>
      <c r="AB299" s="550"/>
      <c r="AC299" s="551"/>
      <c r="AD299" s="551"/>
      <c r="AE299" s="551"/>
      <c r="AF299" s="551"/>
      <c r="AG299" s="552"/>
      <c r="AH299" s="551"/>
      <c r="AI299" s="552"/>
      <c r="AJ299" s="451">
        <f>SUM(D299:AA299)</f>
        <v>0</v>
      </c>
      <c r="AK299" s="122" t="str">
        <f>CONCATENATE(IF(D299&gt;D309," * Starting ART for Age "&amp;D20&amp;" "&amp;D21&amp;" is more than Current On ART"&amp;CHAR(10),""),IF(E299&gt;E309," * Starting ART for Age "&amp;D20&amp;" "&amp;E21&amp;" is more than Current On ART"&amp;CHAR(10),""),IF(F299&gt;F309," * Starting ART for Age "&amp;F20&amp;" "&amp;F21&amp;" is more than Current On ART"&amp;CHAR(10),""),IF(G299&gt;G309," * Starting ART for Age "&amp;F20&amp;" "&amp;G21&amp;" is more than Current On ART"&amp;CHAR(10),""),IF(H299&gt;H309," * Starting ART for Age "&amp;H20&amp;" "&amp;H21&amp;" is more than Current On ART"&amp;CHAR(10),""),IF(I299&gt;I309," * Starting ART for Age "&amp;H20&amp;" "&amp;I21&amp;" is more than Current On ART"&amp;CHAR(10),""),IF(J299&gt;J309," * Starting ART for Age "&amp;J20&amp;" "&amp;J21&amp;" is more than Current On ART"&amp;CHAR(10),""),IF(K299&gt;K309," * Starting ART for Age "&amp;J20&amp;" "&amp;K21&amp;" is more than Current On ART"&amp;CHAR(10),""),IF(L299&gt;L309," * Starting ART for Age "&amp;L20&amp;" "&amp;L21&amp;" is more than Current On ART"&amp;CHAR(10),""),IF(M299&gt;M309," * Starting ART for Age "&amp;L20&amp;" "&amp;M21&amp;" is more than Current On ART"&amp;CHAR(10),""),IF(N299&gt;N309," * Starting ART for Age "&amp;N20&amp;" "&amp;N21&amp;" is more than Current On ART"&amp;CHAR(10),""),IF(O299&gt;O309," * Starting ART for Age "&amp;N20&amp;" "&amp;O21&amp;" is more than Current On ART"&amp;CHAR(10),""),IF(P299&gt;P309," * Starting ART for Age "&amp;P20&amp;" "&amp;P21&amp;" is more than Current On ART"&amp;CHAR(10),""),IF(Q299&gt;Q309," * Starting ART for Age "&amp;P20&amp;" "&amp;Q21&amp;" is more than Current On ART"&amp;CHAR(10),""),IF(R299&gt;R309," * Starting ART for Age "&amp;R20&amp;" "&amp;R21&amp;" is more than Current On ART"&amp;CHAR(10),""),IF(S299&gt;S309," * Starting ART for Age "&amp;R20&amp;" "&amp;S21&amp;" is more than Current On ART"&amp;CHAR(10),""),IF(T299&gt;T309," * Starting ART for Age "&amp;T20&amp;" "&amp;T21&amp;" is more than Current On ART"&amp;CHAR(10),""),IF(U299&gt;U309," * Starting ART for Age "&amp;T20&amp;" "&amp;U21&amp;" is more than Current On ART"&amp;CHAR(10),""),IF(V299&gt;V309," * Starting ART for Age "&amp;V20&amp;" "&amp;V21&amp;" is more than Current On ART"&amp;CHAR(10),""),IF(W299&gt;W309," * Starting ART for Age "&amp;V20&amp;" "&amp;W21&amp;" is more than Current On ART"&amp;CHAR(10),""),IF(X299&gt;X309," * Starting ART for Age "&amp;X20&amp;" "&amp;X21&amp;" is more than Current On ART"&amp;CHAR(10),""),IF(Y299&gt;Y309," * Starting ART for Age "&amp;X20&amp;" "&amp;Y21&amp;" is more than Current On ART"&amp;CHAR(10),""),IF(Z299&gt;Z309," * Starting ART for Age "&amp;Z20&amp;" "&amp;Z21&amp;" is more than Current On ART"&amp;CHAR(10),""),IF(AA299&gt;AA309," * Starting ART for Age "&amp;Z20&amp;" "&amp;AA21&amp;" is more than Current On ART"&amp;CHAR(10),""))</f>
        <v/>
      </c>
      <c r="AL299" s="850" t="str">
        <f>CONCATENATE(AK299,AK300,AK301,AK302,AK303,AK304,AK305,AK306,AK308,AK309,AK310,AK311,AK312,AK313,AK314,AK315,AK316,AK318,AK317,AK319,AK320,AK321,AK322,AK323)</f>
        <v/>
      </c>
      <c r="AM299" s="32"/>
      <c r="AN299" s="845" t="str">
        <f>CONCATENATE(AM299,AM300,AM301,AM302,AM303,AM304,AM305,AM306,AM308,AM309,AM310,AM311,AM312,AM313,AM314,AM315,AM316,AM317,AM318,AM319,AM320,AM321,AM322,AM323)</f>
        <v/>
      </c>
      <c r="AO299" s="14">
        <v>247</v>
      </c>
      <c r="AP299" s="249"/>
      <c r="AQ299" s="250"/>
    </row>
    <row r="300" spans="1:43" ht="25.5" x14ac:dyDescent="0.75">
      <c r="A300" s="585" t="s">
        <v>577</v>
      </c>
      <c r="B300" s="1" t="s">
        <v>395</v>
      </c>
      <c r="C300" s="898" t="s">
        <v>571</v>
      </c>
      <c r="D300" s="252"/>
      <c r="E300" s="97"/>
      <c r="F300" s="97"/>
      <c r="G300" s="97"/>
      <c r="H300" s="97"/>
      <c r="I300" s="97"/>
      <c r="J300" s="97"/>
      <c r="K300" s="97"/>
      <c r="L300" s="97"/>
      <c r="M300" s="97"/>
      <c r="N300" s="97"/>
      <c r="O300" s="97"/>
      <c r="P300" s="97"/>
      <c r="Q300" s="97"/>
      <c r="R300" s="97"/>
      <c r="S300" s="97"/>
      <c r="T300" s="97"/>
      <c r="U300" s="97"/>
      <c r="V300" s="97"/>
      <c r="W300" s="97"/>
      <c r="X300" s="97"/>
      <c r="Y300" s="97"/>
      <c r="Z300" s="97"/>
      <c r="AA300" s="344"/>
      <c r="AB300" s="411"/>
      <c r="AC300" s="412"/>
      <c r="AD300" s="412"/>
      <c r="AE300" s="412"/>
      <c r="AF300" s="412"/>
      <c r="AG300" s="412"/>
      <c r="AH300" s="412"/>
      <c r="AI300" s="339"/>
      <c r="AJ300" s="448">
        <f t="shared" ref="AJ300:AJ305" si="102">SUM(D300:AA300)</f>
        <v>0</v>
      </c>
      <c r="AK300" s="122"/>
      <c r="AL300" s="664"/>
      <c r="AM300" s="32"/>
      <c r="AN300" s="671"/>
      <c r="AO300" s="14">
        <v>248</v>
      </c>
      <c r="AP300" s="76"/>
      <c r="AQ300" s="77"/>
    </row>
    <row r="301" spans="1:43" ht="25.5" x14ac:dyDescent="0.75">
      <c r="A301" s="635"/>
      <c r="B301" s="2" t="s">
        <v>390</v>
      </c>
      <c r="C301" s="899" t="s">
        <v>572</v>
      </c>
      <c r="D301" s="253"/>
      <c r="E301" s="81"/>
      <c r="F301" s="81"/>
      <c r="G301" s="81"/>
      <c r="H301" s="81"/>
      <c r="I301" s="81"/>
      <c r="J301" s="81"/>
      <c r="K301" s="81"/>
      <c r="L301" s="81"/>
      <c r="M301" s="81"/>
      <c r="N301" s="81"/>
      <c r="O301" s="81"/>
      <c r="P301" s="81"/>
      <c r="Q301" s="81"/>
      <c r="R301" s="81"/>
      <c r="S301" s="81"/>
      <c r="T301" s="81"/>
      <c r="U301" s="81"/>
      <c r="V301" s="81"/>
      <c r="W301" s="81"/>
      <c r="X301" s="81"/>
      <c r="Y301" s="81"/>
      <c r="Z301" s="81"/>
      <c r="AA301" s="341"/>
      <c r="AB301" s="413"/>
      <c r="AC301" s="380"/>
      <c r="AD301" s="380"/>
      <c r="AE301" s="380"/>
      <c r="AF301" s="380"/>
      <c r="AG301" s="380"/>
      <c r="AH301" s="380"/>
      <c r="AI301" s="336"/>
      <c r="AJ301" s="449">
        <f t="shared" si="102"/>
        <v>0</v>
      </c>
      <c r="AK301" s="122"/>
      <c r="AL301" s="664"/>
      <c r="AM301" s="32"/>
      <c r="AN301" s="671"/>
      <c r="AO301" s="14">
        <v>249</v>
      </c>
      <c r="AP301" s="76"/>
      <c r="AQ301" s="77"/>
    </row>
    <row r="302" spans="1:43" ht="25.5" x14ac:dyDescent="0.75">
      <c r="A302" s="635"/>
      <c r="B302" s="2" t="s">
        <v>391</v>
      </c>
      <c r="C302" s="899" t="s">
        <v>573</v>
      </c>
      <c r="D302" s="253"/>
      <c r="E302" s="81"/>
      <c r="F302" s="81"/>
      <c r="G302" s="81"/>
      <c r="H302" s="81"/>
      <c r="I302" s="81"/>
      <c r="J302" s="81"/>
      <c r="K302" s="81"/>
      <c r="L302" s="81"/>
      <c r="M302" s="81"/>
      <c r="N302" s="81"/>
      <c r="O302" s="81"/>
      <c r="P302" s="81"/>
      <c r="Q302" s="81"/>
      <c r="R302" s="81"/>
      <c r="S302" s="81"/>
      <c r="T302" s="81"/>
      <c r="U302" s="81"/>
      <c r="V302" s="81"/>
      <c r="W302" s="81"/>
      <c r="X302" s="81"/>
      <c r="Y302" s="81"/>
      <c r="Z302" s="81"/>
      <c r="AA302" s="341"/>
      <c r="AB302" s="413"/>
      <c r="AC302" s="380"/>
      <c r="AD302" s="380"/>
      <c r="AE302" s="380"/>
      <c r="AF302" s="380"/>
      <c r="AG302" s="380"/>
      <c r="AH302" s="380"/>
      <c r="AI302" s="336"/>
      <c r="AJ302" s="449">
        <f t="shared" si="102"/>
        <v>0</v>
      </c>
      <c r="AK302" s="122"/>
      <c r="AL302" s="664"/>
      <c r="AM302" s="32"/>
      <c r="AN302" s="671"/>
      <c r="AO302" s="14">
        <v>250</v>
      </c>
      <c r="AP302" s="76"/>
      <c r="AQ302" s="77"/>
    </row>
    <row r="303" spans="1:43" ht="25.5" x14ac:dyDescent="0.75">
      <c r="A303" s="635"/>
      <c r="B303" s="2" t="s">
        <v>392</v>
      </c>
      <c r="C303" s="899" t="s">
        <v>574</v>
      </c>
      <c r="D303" s="253"/>
      <c r="E303" s="81"/>
      <c r="F303" s="81"/>
      <c r="G303" s="81"/>
      <c r="H303" s="81"/>
      <c r="I303" s="81"/>
      <c r="J303" s="81"/>
      <c r="K303" s="81"/>
      <c r="L303" s="81"/>
      <c r="M303" s="81"/>
      <c r="N303" s="81"/>
      <c r="O303" s="81"/>
      <c r="P303" s="81"/>
      <c r="Q303" s="81"/>
      <c r="R303" s="81"/>
      <c r="S303" s="81"/>
      <c r="T303" s="81"/>
      <c r="U303" s="81"/>
      <c r="V303" s="81"/>
      <c r="W303" s="81"/>
      <c r="X303" s="81"/>
      <c r="Y303" s="81"/>
      <c r="Z303" s="81"/>
      <c r="AA303" s="341"/>
      <c r="AB303" s="413"/>
      <c r="AC303" s="380"/>
      <c r="AD303" s="380"/>
      <c r="AE303" s="380"/>
      <c r="AF303" s="380"/>
      <c r="AG303" s="380"/>
      <c r="AH303" s="380"/>
      <c r="AI303" s="336"/>
      <c r="AJ303" s="449">
        <f t="shared" si="102"/>
        <v>0</v>
      </c>
      <c r="AK303" s="122"/>
      <c r="AL303" s="664"/>
      <c r="AM303" s="32"/>
      <c r="AN303" s="671"/>
      <c r="AO303" s="14">
        <v>251</v>
      </c>
      <c r="AP303" s="76"/>
      <c r="AQ303" s="77"/>
    </row>
    <row r="304" spans="1:43" ht="25.5" x14ac:dyDescent="0.75">
      <c r="A304" s="635"/>
      <c r="B304" s="2" t="s">
        <v>393</v>
      </c>
      <c r="C304" s="899" t="s">
        <v>575</v>
      </c>
      <c r="D304" s="253"/>
      <c r="E304" s="81"/>
      <c r="F304" s="81"/>
      <c r="G304" s="81"/>
      <c r="H304" s="81"/>
      <c r="I304" s="81"/>
      <c r="J304" s="81"/>
      <c r="K304" s="81"/>
      <c r="L304" s="81"/>
      <c r="M304" s="81"/>
      <c r="N304" s="81"/>
      <c r="O304" s="81"/>
      <c r="P304" s="81"/>
      <c r="Q304" s="81"/>
      <c r="R304" s="81"/>
      <c r="S304" s="81"/>
      <c r="T304" s="81"/>
      <c r="U304" s="81"/>
      <c r="V304" s="81"/>
      <c r="W304" s="81"/>
      <c r="X304" s="81"/>
      <c r="Y304" s="81"/>
      <c r="Z304" s="81"/>
      <c r="AA304" s="341"/>
      <c r="AB304" s="413"/>
      <c r="AC304" s="380"/>
      <c r="AD304" s="380"/>
      <c r="AE304" s="380"/>
      <c r="AF304" s="380"/>
      <c r="AG304" s="380"/>
      <c r="AH304" s="380"/>
      <c r="AI304" s="336"/>
      <c r="AJ304" s="449">
        <f t="shared" si="102"/>
        <v>0</v>
      </c>
      <c r="AK304" s="122"/>
      <c r="AL304" s="664"/>
      <c r="AM304" s="32"/>
      <c r="AN304" s="671"/>
      <c r="AO304" s="14">
        <v>252</v>
      </c>
      <c r="AP304" s="76"/>
      <c r="AQ304" s="77"/>
    </row>
    <row r="305" spans="1:43" ht="25.9" thickBot="1" x14ac:dyDescent="0.8">
      <c r="A305" s="586"/>
      <c r="B305" s="3" t="s">
        <v>394</v>
      </c>
      <c r="C305" s="901" t="s">
        <v>576</v>
      </c>
      <c r="D305" s="152"/>
      <c r="E305" s="92"/>
      <c r="F305" s="92"/>
      <c r="G305" s="92"/>
      <c r="H305" s="92"/>
      <c r="I305" s="92"/>
      <c r="J305" s="92"/>
      <c r="K305" s="92"/>
      <c r="L305" s="92"/>
      <c r="M305" s="92"/>
      <c r="N305" s="92"/>
      <c r="O305" s="92"/>
      <c r="P305" s="92"/>
      <c r="Q305" s="92"/>
      <c r="R305" s="92"/>
      <c r="S305" s="92"/>
      <c r="T305" s="92"/>
      <c r="U305" s="92"/>
      <c r="V305" s="92"/>
      <c r="W305" s="92"/>
      <c r="X305" s="92"/>
      <c r="Y305" s="92"/>
      <c r="Z305" s="92"/>
      <c r="AA305" s="343"/>
      <c r="AB305" s="414"/>
      <c r="AC305" s="415"/>
      <c r="AD305" s="415"/>
      <c r="AE305" s="415"/>
      <c r="AF305" s="415"/>
      <c r="AG305" s="415"/>
      <c r="AH305" s="415"/>
      <c r="AI305" s="337"/>
      <c r="AJ305" s="450">
        <f t="shared" si="102"/>
        <v>0</v>
      </c>
      <c r="AK305" s="122"/>
      <c r="AL305" s="664"/>
      <c r="AM305" s="32"/>
      <c r="AN305" s="671"/>
      <c r="AO305" s="14">
        <v>253</v>
      </c>
      <c r="AP305" s="76"/>
      <c r="AQ305" s="77"/>
    </row>
    <row r="306" spans="1:43" ht="51.4" thickBot="1" x14ac:dyDescent="0.8">
      <c r="A306" s="245" t="s">
        <v>578</v>
      </c>
      <c r="B306" s="254" t="s">
        <v>709</v>
      </c>
      <c r="C306" s="917" t="s">
        <v>299</v>
      </c>
      <c r="D306" s="255"/>
      <c r="E306" s="243"/>
      <c r="F306" s="243"/>
      <c r="G306" s="243"/>
      <c r="H306" s="243"/>
      <c r="I306" s="243"/>
      <c r="J306" s="243"/>
      <c r="K306" s="244"/>
      <c r="L306" s="243"/>
      <c r="M306" s="244"/>
      <c r="N306" s="243"/>
      <c r="O306" s="244"/>
      <c r="P306" s="243"/>
      <c r="Q306" s="244"/>
      <c r="R306" s="243"/>
      <c r="S306" s="244"/>
      <c r="T306" s="243"/>
      <c r="U306" s="244"/>
      <c r="V306" s="243"/>
      <c r="W306" s="244"/>
      <c r="X306" s="243"/>
      <c r="Y306" s="244"/>
      <c r="Z306" s="243"/>
      <c r="AA306" s="379"/>
      <c r="AB306" s="414"/>
      <c r="AC306" s="415"/>
      <c r="AD306" s="415"/>
      <c r="AE306" s="415"/>
      <c r="AF306" s="415"/>
      <c r="AG306" s="415"/>
      <c r="AH306" s="415"/>
      <c r="AI306" s="337"/>
      <c r="AJ306" s="584">
        <f t="shared" ref="AJ306:AJ334" si="103">SUM(D306:AA306)</f>
        <v>0</v>
      </c>
      <c r="AK306" s="327" t="str">
        <f>CONCATENATE(IF(D306&gt;D299," * F07-02 for Age "&amp;D20&amp;" "&amp;D21&amp;" is more than F07-01"&amp;CHAR(10),""),IF(E306&gt;E299," * F07-02 for Age "&amp;D20&amp;" "&amp;E21&amp;" is more than F07-01"&amp;CHAR(10),""),IF(F306&gt;F299," * F07-02 for Age "&amp;F20&amp;" "&amp;F21&amp;" is more than F07-01"&amp;CHAR(10),""),IF(G306&gt;G299," * F07-02 for Age "&amp;F20&amp;" "&amp;G21&amp;" is more than F07-01"&amp;CHAR(10),""),IF(H306&gt;H299," * F07-02 for Age "&amp;H20&amp;" "&amp;H21&amp;" is more than F07-01"&amp;CHAR(10),""),IF(I306&gt;I299," * F07-02 for Age "&amp;H20&amp;" "&amp;I21&amp;" is more than F07-01"&amp;CHAR(10),""),IF(J306&gt;J299," * F07-02 for Age "&amp;J20&amp;" "&amp;J21&amp;" is more than F07-01"&amp;CHAR(10),""),IF(K306&gt;K299," * F07-02 for Age "&amp;J20&amp;" "&amp;K21&amp;" is more than F07-01"&amp;CHAR(10),""),IF(L306&gt;L299," * F07-02 for Age "&amp;L20&amp;" "&amp;L21&amp;" is more than F07-01"&amp;CHAR(10),""),IF(M306&gt;M299," * F07-02 for Age "&amp;L20&amp;" "&amp;M21&amp;" is more than F07-01"&amp;CHAR(10),""),IF(N306&gt;N299," * F07-02 for Age "&amp;N20&amp;" "&amp;N21&amp;" is more than F07-01"&amp;CHAR(10),""),IF(O306&gt;O299," * F07-02 for Age "&amp;N20&amp;" "&amp;O21&amp;" is more than F07-01"&amp;CHAR(10),""),IF(P306&gt;P299," * F07-02 for Age "&amp;P20&amp;" "&amp;P21&amp;" is more than F07-01"&amp;CHAR(10),""),IF(Q306&gt;Q299," * F07-02 for Age "&amp;P20&amp;" "&amp;Q21&amp;" is more than F07-01"&amp;CHAR(10),""),IF(R306&gt;R299," * F07-02 for Age "&amp;R20&amp;" "&amp;R21&amp;" is more than F07-01"&amp;CHAR(10),""),IF(S306&gt;S299," * F07-02 for Age "&amp;R20&amp;" "&amp;S21&amp;" is more than F07-01"&amp;CHAR(10),""),IF(T306&gt;T299," * F07-02 for Age "&amp;T20&amp;" "&amp;T21&amp;" is more than F07-01"&amp;CHAR(10),""),IF(U306&gt;U299," * F07-02 for Age "&amp;T20&amp;" "&amp;U21&amp;" is more than F07-01"&amp;CHAR(10),""),IF(V306&gt;V299," * F07-02 for Age "&amp;V20&amp;" "&amp;V21&amp;" is more than F07-01"&amp;CHAR(10),""),IF(W306&gt;W299," * F07-02 for Age "&amp;V20&amp;" "&amp;W21&amp;" is more than F07-01"&amp;CHAR(10),""),IF(X306&gt;X299," * F07-02 for Age "&amp;X20&amp;" "&amp;X21&amp;" is more than F07-01"&amp;CHAR(10),""),IF(Y306&gt;Y299," * F07-02 for Age "&amp;X20&amp;" "&amp;Y21&amp;" is more than F07-01"&amp;CHAR(10),""),IF(Z306&gt;Z299," * F07-02 for Age "&amp;Z20&amp;" "&amp;Z21&amp;" is more than F07-01"&amp;CHAR(10),""),IF(AA306&gt;AA299," * F07-02 for Age "&amp;Z20&amp;" "&amp;AA21&amp;" is more than F07-01"&amp;CHAR(10),""),IF(AJ306&gt;AJ299," * Total F07-02 is more than Total F07-01"&amp;CHAR(10),""))</f>
        <v/>
      </c>
      <c r="AL306" s="664"/>
      <c r="AM306" s="62" t="str">
        <f>CONCATENATE(IF(AND(AJ299&gt;0,OR(SUM(AJ28,AJ33,AJ35,AJ37,AJ39,AJ41,AJ43,AJ45,AJ47,AJ49,AJ251,AJ255,AJ259,AJ263)=0,SUM(AJ27,AJ32,AJ34,AJ36,AJ38,AJ40,AJ42,AJ44,AJ46,AJ48,AJ250,AJ254,AJ258,AJ262)=0))," * This site started patients on ART yet it has 0 positives or zero tested "&amp;CHAR(10),""),"")</f>
        <v/>
      </c>
      <c r="AN306" s="671"/>
      <c r="AO306" s="14">
        <v>254</v>
      </c>
      <c r="AP306" s="76"/>
      <c r="AQ306" s="77"/>
    </row>
    <row r="307" spans="1:43" ht="25.9" thickBot="1" x14ac:dyDescent="0.8">
      <c r="A307" s="130" t="s">
        <v>983</v>
      </c>
      <c r="B307" s="548" t="s">
        <v>984</v>
      </c>
      <c r="C307" s="918" t="s">
        <v>985</v>
      </c>
      <c r="D307" s="439"/>
      <c r="E307" s="244"/>
      <c r="F307" s="244"/>
      <c r="G307" s="244"/>
      <c r="H307" s="244"/>
      <c r="I307" s="244"/>
      <c r="J307" s="244"/>
      <c r="K307" s="244"/>
      <c r="L307" s="244"/>
      <c r="M307" s="244"/>
      <c r="N307" s="244"/>
      <c r="O307" s="244"/>
      <c r="P307" s="244"/>
      <c r="Q307" s="244"/>
      <c r="R307" s="244"/>
      <c r="S307" s="244"/>
      <c r="T307" s="244"/>
      <c r="U307" s="244"/>
      <c r="V307" s="244"/>
      <c r="W307" s="244"/>
      <c r="X307" s="244"/>
      <c r="Y307" s="244"/>
      <c r="Z307" s="872"/>
      <c r="AA307" s="872"/>
      <c r="AB307" s="73"/>
      <c r="AC307" s="73"/>
      <c r="AD307" s="73"/>
      <c r="AE307" s="73"/>
      <c r="AF307" s="73"/>
      <c r="AG307" s="73"/>
      <c r="AH307" s="73"/>
      <c r="AI307" s="73"/>
      <c r="AJ307" s="330">
        <f t="shared" si="103"/>
        <v>0</v>
      </c>
      <c r="AK307" s="122"/>
      <c r="AL307" s="664"/>
      <c r="AM307" s="62"/>
      <c r="AN307" s="671"/>
      <c r="AO307" s="14">
        <v>255</v>
      </c>
      <c r="AP307" s="76"/>
      <c r="AQ307" s="77"/>
    </row>
    <row r="308" spans="1:43" ht="25.5" x14ac:dyDescent="0.75">
      <c r="A308" s="585" t="s">
        <v>579</v>
      </c>
      <c r="B308" s="94" t="s">
        <v>978</v>
      </c>
      <c r="C308" s="898" t="s">
        <v>560</v>
      </c>
      <c r="D308" s="252"/>
      <c r="E308" s="97"/>
      <c r="F308" s="97"/>
      <c r="G308" s="97"/>
      <c r="H308" s="97"/>
      <c r="I308" s="97"/>
      <c r="J308" s="97"/>
      <c r="K308" s="97"/>
      <c r="L308" s="97"/>
      <c r="M308" s="97"/>
      <c r="N308" s="97"/>
      <c r="O308" s="97"/>
      <c r="P308" s="97"/>
      <c r="Q308" s="97"/>
      <c r="R308" s="97"/>
      <c r="S308" s="97"/>
      <c r="T308" s="97"/>
      <c r="U308" s="97"/>
      <c r="V308" s="97"/>
      <c r="W308" s="97"/>
      <c r="X308" s="97"/>
      <c r="Y308" s="344"/>
      <c r="Z308" s="873">
        <f>SUM(AB308,AD308,AF308,AH308)</f>
        <v>0</v>
      </c>
      <c r="AA308" s="873">
        <f>SUM(AC308,AE308,AG308,AI308)</f>
        <v>0</v>
      </c>
      <c r="AB308" s="385"/>
      <c r="AC308" s="344"/>
      <c r="AD308" s="344"/>
      <c r="AE308" s="344"/>
      <c r="AF308" s="344"/>
      <c r="AG308" s="344"/>
      <c r="AH308" s="344"/>
      <c r="AI308" s="344"/>
      <c r="AJ308" s="67">
        <f t="shared" ref="AJ308" si="104">SUM(D308:AA308)</f>
        <v>0</v>
      </c>
      <c r="AK308" s="122" t="str">
        <f>CONCATENATE(IF(D308&gt;D309," * &lt; 28 Days Defaulters for Age "&amp;D20&amp;" "&amp;D21&amp;" is more than Current On ART"&amp;CHAR(10),""),IF(E308&gt;E309," * &lt; 28 Days Defaulters for Age "&amp;D20&amp;" "&amp;E21&amp;" is more than Current On ART"&amp;CHAR(10),""),IF(F308&gt;F309," * &lt; 28 Days Defaulters for Age "&amp;F20&amp;" "&amp;F21&amp;" is more than Current On ART"&amp;CHAR(10),""),IF(G308&gt;G309," * &lt; 28 Days Defaulters for Age "&amp;F20&amp;" "&amp;G21&amp;" is more than Current On ART"&amp;CHAR(10),""),IF(H308&gt;H309," * &lt; 28 Days Defaulters for Age "&amp;H20&amp;" "&amp;H21&amp;" is more than Current On ART"&amp;CHAR(10),""),IF(I308&gt;I309," * &lt; 28 Days Defaulters for Age "&amp;H20&amp;" "&amp;I21&amp;" is more than Current On ART"&amp;CHAR(10),""),IF(J308&gt;J309," * &lt; 28 Days Defaulters for Age "&amp;J20&amp;" "&amp;J21&amp;" is more than Current On ART"&amp;CHAR(10),""),IF(K308&gt;K309," * &lt; 28 Days Defaulters for Age "&amp;J20&amp;" "&amp;K21&amp;" is more than Current On ART"&amp;CHAR(10),""),IF(L308&gt;L309," * &lt; 28 Days Defaulters for Age "&amp;L20&amp;" "&amp;L21&amp;" is more than Current On ART"&amp;CHAR(10),""),IF(M308&gt;M309," * &lt; 28 Days Defaulters for Age "&amp;L20&amp;" "&amp;M21&amp;" is more than Current On ART"&amp;CHAR(10),""),IF(N308&gt;N309," * &lt; 28 Days Defaulters for Age "&amp;N20&amp;" "&amp;N21&amp;" is more than Current On ART"&amp;CHAR(10),""),IF(O308&gt;O309," * &lt; 28 Days Defaulters for Age "&amp;N20&amp;" "&amp;O21&amp;" is more than Current On ART"&amp;CHAR(10),""),IF(P308&gt;P309," * &lt; 28 Days Defaulters for Age "&amp;P20&amp;" "&amp;P21&amp;" is more than Current On ART"&amp;CHAR(10),""),IF(Q308&gt;Q309," * &lt; 28 Days Defaulters for Age "&amp;P20&amp;" "&amp;Q21&amp;" is more than Current On ART"&amp;CHAR(10),""),IF(R308&gt;R309," * &lt; 28 Days Defaulters for Age "&amp;R20&amp;" "&amp;R21&amp;" is more than Current On ART"&amp;CHAR(10),""),IF(S308&gt;S309," * &lt; 28 Days Defaulters for Age "&amp;R20&amp;" "&amp;S21&amp;" is more than Current On ART"&amp;CHAR(10),""),IF(T308&gt;T309," * &lt; 28 Days Defaulters for Age "&amp;T20&amp;" "&amp;T21&amp;" is more than Current On ART"&amp;CHAR(10),""),IF(U308&gt;U309," * &lt; 28 Days Defaulters for Age "&amp;T20&amp;" "&amp;U21&amp;" is more than Current On ART"&amp;CHAR(10),""),IF(V308&gt;V309," * &lt; 28 Days Defaulters for Age "&amp;V20&amp;" "&amp;V21&amp;" is more than Current On ART"&amp;CHAR(10),""),IF(W308&gt;W309," * &lt; 28 Days Defaulters for Age "&amp;V20&amp;" "&amp;W21&amp;" is more than Current On ART"&amp;CHAR(10),""),IF(X308&gt;X309," * &lt; 28 Days Defaulters for Age "&amp;X20&amp;" "&amp;X21&amp;" is more than Current On ART"&amp;CHAR(10),""),IF(Y308&gt;Y309," * &lt; 28 Days Defaulters for Age "&amp;X20&amp;" "&amp;Y21&amp;" is more than Current On ART"&amp;CHAR(10),""),IF(Z308&gt;Z309," * &lt; 28 Days Defaulters for Age "&amp;Z20&amp;" "&amp;Z21&amp;" is more than Current On ART"&amp;CHAR(10),""),IF(AA308&gt;AA309," * &lt; 28 Days Defaulters for Age "&amp;Z20&amp;" "&amp;AA21&amp;" is more than Current On ART"&amp;CHAR(10),""))</f>
        <v/>
      </c>
      <c r="AL308" s="664"/>
      <c r="AM308" s="32"/>
      <c r="AN308" s="671"/>
      <c r="AO308" s="14">
        <v>256</v>
      </c>
      <c r="AP308" s="76"/>
      <c r="AQ308" s="77"/>
    </row>
    <row r="309" spans="1:43" ht="25.9" thickBot="1" x14ac:dyDescent="0.8">
      <c r="A309" s="586"/>
      <c r="B309" s="257" t="s">
        <v>851</v>
      </c>
      <c r="C309" s="901" t="s">
        <v>301</v>
      </c>
      <c r="D309" s="258">
        <f>SUM(D310:D315)</f>
        <v>0</v>
      </c>
      <c r="E309" s="259">
        <f t="shared" ref="E309:AG309" si="105">SUM(E310:E315)</f>
        <v>0</v>
      </c>
      <c r="F309" s="259">
        <f t="shared" si="105"/>
        <v>0</v>
      </c>
      <c r="G309" s="259">
        <f t="shared" si="105"/>
        <v>0</v>
      </c>
      <c r="H309" s="259">
        <f t="shared" si="105"/>
        <v>0</v>
      </c>
      <c r="I309" s="259">
        <f t="shared" si="105"/>
        <v>0</v>
      </c>
      <c r="J309" s="259">
        <f t="shared" si="105"/>
        <v>0</v>
      </c>
      <c r="K309" s="259">
        <f t="shared" si="105"/>
        <v>0</v>
      </c>
      <c r="L309" s="259">
        <f t="shared" si="105"/>
        <v>0</v>
      </c>
      <c r="M309" s="259">
        <f t="shared" si="105"/>
        <v>0</v>
      </c>
      <c r="N309" s="259">
        <f t="shared" si="105"/>
        <v>0</v>
      </c>
      <c r="O309" s="259">
        <f t="shared" si="105"/>
        <v>0</v>
      </c>
      <c r="P309" s="259">
        <f t="shared" si="105"/>
        <v>0</v>
      </c>
      <c r="Q309" s="259">
        <f t="shared" si="105"/>
        <v>0</v>
      </c>
      <c r="R309" s="259">
        <f t="shared" si="105"/>
        <v>0</v>
      </c>
      <c r="S309" s="259">
        <f t="shared" si="105"/>
        <v>0</v>
      </c>
      <c r="T309" s="259">
        <f t="shared" si="105"/>
        <v>0</v>
      </c>
      <c r="U309" s="259">
        <f t="shared" si="105"/>
        <v>0</v>
      </c>
      <c r="V309" s="259">
        <f t="shared" si="105"/>
        <v>0</v>
      </c>
      <c r="W309" s="259">
        <f t="shared" si="105"/>
        <v>0</v>
      </c>
      <c r="X309" s="259">
        <f t="shared" si="105"/>
        <v>0</v>
      </c>
      <c r="Y309" s="381">
        <f t="shared" si="105"/>
        <v>0</v>
      </c>
      <c r="Z309" s="873">
        <f>SUM(AB309,AD309,AF309,AH309)</f>
        <v>0</v>
      </c>
      <c r="AA309" s="873">
        <f>SUM(AC309,AE309,AG309,AI309)</f>
        <v>0</v>
      </c>
      <c r="AB309" s="258">
        <f t="shared" si="105"/>
        <v>0</v>
      </c>
      <c r="AC309" s="259">
        <f t="shared" si="105"/>
        <v>0</v>
      </c>
      <c r="AD309" s="259">
        <f t="shared" si="105"/>
        <v>0</v>
      </c>
      <c r="AE309" s="259">
        <f t="shared" si="105"/>
        <v>0</v>
      </c>
      <c r="AF309" s="259">
        <f t="shared" si="105"/>
        <v>0</v>
      </c>
      <c r="AG309" s="259">
        <f t="shared" si="105"/>
        <v>0</v>
      </c>
      <c r="AH309" s="259">
        <f t="shared" ref="AH309:AI309" si="106">SUM(AH310:AH315)</f>
        <v>0</v>
      </c>
      <c r="AI309" s="259">
        <f t="shared" si="106"/>
        <v>0</v>
      </c>
      <c r="AJ309" s="260">
        <f>SUM(AJ310:AJ315)</f>
        <v>0</v>
      </c>
      <c r="AK309" s="122" t="str">
        <f>CONCATENATE(IF(D309&lt;&gt;D322,""&amp;CHAR(10)&amp;"  * Current on ART by month of dispense F07-16 for age "&amp;D297&amp;" "&amp;D298&amp;" is not equal to Clients current On ART F07-03 age  "&amp;D297&amp;" "&amp;D298&amp;"",""),IF(E309&lt;&gt;E322,""&amp;CHAR(10)&amp;"  * Current on ART by month of dispense F07-16 for age "&amp;D297&amp;" "&amp;E298&amp;" is not equal to Clients current On ART F07-03 age  "&amp;D297&amp;" "&amp;E298&amp;"",""),IF(F309&lt;&gt;F322,""&amp;CHAR(10)&amp;"  * Current on ART by month of dispense F07-16 for age "&amp;F297&amp;" "&amp;F298&amp;" is not equal to Clients current On ART F07-03 age  "&amp;F297&amp;" "&amp;F298&amp;"",""),IF(G309&lt;&gt;G322,""&amp;CHAR(10)&amp;"  * Current on ART by month of dispense F07-16 for age "&amp;F297&amp;" "&amp;G298&amp;" is not equal to Clients current On ART F07-03 age  "&amp;F297&amp;" "&amp;G298&amp;"",""),IF(H309&lt;&gt;H322,""&amp;CHAR(10)&amp;"  * Current on ART by month of dispense F07-16 for age "&amp;H297&amp;" "&amp;H298&amp;" is not equal to Clients current On ART F07-03 age  "&amp;H297&amp;" "&amp;H298&amp;"",""),IF(I309&lt;&gt;I322,""&amp;CHAR(10)&amp;"  * Current on ART by month of dispense F07-16 for age "&amp;H297&amp;" "&amp;I298&amp;" is not equal to Clients current On ART F07-03 age  "&amp;H297&amp;" "&amp;I298&amp;"",""),IF(J309&lt;&gt;J322,""&amp;CHAR(10)&amp;"  * Current on ART by month of dispense F07-16 for age "&amp;J297&amp;" "&amp;J298&amp;" is not equal to Clients current On ART F07-03 age  "&amp;J297&amp;" "&amp;J298&amp;"",""),IF(K309&lt;&gt;K322,""&amp;CHAR(10)&amp;"  * Current on ART by month of dispense F07-16 for age "&amp;J297&amp;" "&amp;K298&amp;" is not equal to Clients current On ART F07-03 age  "&amp;J297&amp;" "&amp;K298&amp;"",""),IF(L309&lt;&gt;L322,""&amp;CHAR(10)&amp;"  * Current on ART by month of dispense F07-16 for age "&amp;L297&amp;" "&amp;L298&amp;" is not equal to Clients current On ART F07-03 age  "&amp;L297&amp;" "&amp;L298&amp;"",""),IF(M309&lt;&gt;M322,""&amp;CHAR(10)&amp;"  * Current on ART by month of dispense F07-16 for age "&amp;L297&amp;" "&amp;M298&amp;" is not equal to Clients current On ART F07-03 age  "&amp;L297&amp;" "&amp;M298&amp;"",""),IF(N309&lt;&gt;N322,""&amp;CHAR(10)&amp;"  * Current on ART by month of dispense F07-16 for age "&amp;N297&amp;" "&amp;N298&amp;" is not equal to Clients current On ART F07-03 age  "&amp;N297&amp;" "&amp;N298&amp;"",""),IF(O309&lt;&gt;O322,""&amp;CHAR(10)&amp;"  * Current on ART by month of dispense F07-16 for age "&amp;N297&amp;" "&amp;O298&amp;" is not equal to Clients current On ART F07-03 age  "&amp;N297&amp;" "&amp;O298&amp;"",""),IF(P309&lt;&gt;P322,""&amp;CHAR(10)&amp;"  * Current on ART by month of dispense F07-16 for age "&amp;P297&amp;" "&amp;P298&amp;" is not equal to Clients current On ART F07-03 age  "&amp;P297&amp;" "&amp;P298&amp;"",""),IF(Q309&lt;&gt;Q322,""&amp;CHAR(10)&amp;"  * Current on ART by month of dispense F07-16 for age "&amp;P297&amp;" "&amp;Q298&amp;" is not equal to Clients current On ART F07-03 age  "&amp;P297&amp;" "&amp;Q298&amp;"",""),IF(R309&lt;&gt;R322,""&amp;CHAR(10)&amp;"  * Current on ART by month of dispense F07-16 for age "&amp;R297&amp;" "&amp;R298&amp;" is not equal to Clients current On ART F07-03 age  "&amp;R297&amp;" "&amp;R298&amp;"",""),IF(S309&lt;&gt;S322,""&amp;CHAR(10)&amp;"  * Current on ART by month of dispense F07-16 for age "&amp;R297&amp;" "&amp;S298&amp;" is not equal to Clients current On ART F07-03 age  "&amp;R297&amp;" "&amp;S298&amp;"",""),IF(T309&lt;&gt;T322,""&amp;CHAR(10)&amp;"  * Current on ART by month of dispense F07-16 for age "&amp;T297&amp;" "&amp;T298&amp;" is not equal to Clients current On ART F07-03 age  "&amp;T297&amp;" "&amp;T298&amp;"",""),IF(U309&lt;&gt;U322,""&amp;CHAR(10)&amp;"  * Current on ART by month of dispense F07-16 for age "&amp;T297&amp;" "&amp;U298&amp;" is not equal to Clients current On ART F07-03 age  "&amp;T297&amp;" "&amp;U298&amp;"",""),IF(V309&lt;&gt;V322,""&amp;CHAR(10)&amp;"  * Current on ART by month of dispense F07-16 for age "&amp;V297&amp;" "&amp;V298&amp;" is not equal to Clients current On ART F07-03 age  "&amp;V297&amp;" "&amp;V298&amp;"",""),IF(W309&lt;&gt;W322,""&amp;CHAR(10)&amp;"  * Current on ART by month of dispense F07-16 for age "&amp;V297&amp;" "&amp;W298&amp;" is not equal to Clients current On ART F07-03 age  "&amp;V297&amp;" "&amp;W298&amp;"",""),IF(X309&lt;&gt;X322,""&amp;CHAR(10)&amp;"  * Current on ART by month of dispense F07-16 for age "&amp;X297&amp;" "&amp;X298&amp;" is not equal to Clients current On ART F07-03 age  "&amp;X297&amp;" "&amp;X298&amp;"",""),IF(Y309&lt;&gt;Y322,""&amp;CHAR(10)&amp;"  * Current on ART by month of dispense F07-16 for age "&amp;X297&amp;" "&amp;Y298&amp;" is not equal to Clients current On ART F07-03 age  "&amp;X297&amp;" "&amp;Y298&amp;"",""),IF(Z309&lt;&gt;Z322,""&amp;CHAR(10)&amp;"  * Current on ART by month of dispense F07-16 for age "&amp;Z297&amp;" "&amp;Z298&amp;" is not equal to Clients current On ART F07-03 age  "&amp;Z297&amp;" "&amp;Z298&amp;"",""),IF(AA309&lt;&gt;AA322,""&amp;CHAR(10)&amp;"  * Current on ART by month of dispense F07-16 for age "&amp;Z297&amp;" "&amp;AA298&amp;" is not equal to Clients current On ART F07-03 age  "&amp;Z297&amp;" "&amp;AA298&amp;"",""))</f>
        <v/>
      </c>
      <c r="AL309" s="664"/>
      <c r="AM309" s="32"/>
      <c r="AN309" s="671"/>
      <c r="AO309" s="14">
        <v>257</v>
      </c>
      <c r="AP309" s="76"/>
      <c r="AQ309" s="77"/>
    </row>
    <row r="310" spans="1:43" ht="25.5" x14ac:dyDescent="0.75">
      <c r="A310" s="679" t="s">
        <v>440</v>
      </c>
      <c r="B310" s="1" t="s">
        <v>395</v>
      </c>
      <c r="C310" s="898" t="s">
        <v>409</v>
      </c>
      <c r="D310" s="441"/>
      <c r="E310" s="97"/>
      <c r="F310" s="97"/>
      <c r="G310" s="97"/>
      <c r="H310" s="97"/>
      <c r="I310" s="97"/>
      <c r="J310" s="97"/>
      <c r="K310" s="97"/>
      <c r="L310" s="97"/>
      <c r="M310" s="97"/>
      <c r="N310" s="97"/>
      <c r="O310" s="97"/>
      <c r="P310" s="97"/>
      <c r="Q310" s="97"/>
      <c r="R310" s="97"/>
      <c r="S310" s="97"/>
      <c r="T310" s="97"/>
      <c r="U310" s="97"/>
      <c r="V310" s="97"/>
      <c r="W310" s="97"/>
      <c r="X310" s="97"/>
      <c r="Y310" s="344"/>
      <c r="Z310" s="873">
        <f t="shared" ref="Z310:Z321" si="107">SUM(AB310,AD310,AF310,AH310)</f>
        <v>0</v>
      </c>
      <c r="AA310" s="873">
        <f t="shared" ref="AA310:AA321" si="108">SUM(AC310,AE310,AG310,AI310)</f>
        <v>0</v>
      </c>
      <c r="AB310" s="385"/>
      <c r="AC310" s="344"/>
      <c r="AD310" s="344"/>
      <c r="AE310" s="344"/>
      <c r="AF310" s="344"/>
      <c r="AG310" s="344"/>
      <c r="AH310" s="344"/>
      <c r="AI310" s="344"/>
      <c r="AJ310" s="67">
        <f t="shared" si="103"/>
        <v>0</v>
      </c>
      <c r="AK310" s="122"/>
      <c r="AL310" s="664"/>
      <c r="AM310" s="32"/>
      <c r="AN310" s="671"/>
      <c r="AO310" s="14">
        <v>258</v>
      </c>
      <c r="AP310" s="76"/>
      <c r="AQ310" s="77"/>
    </row>
    <row r="311" spans="1:43" ht="25.5" x14ac:dyDescent="0.75">
      <c r="A311" s="680"/>
      <c r="B311" s="2" t="s">
        <v>390</v>
      </c>
      <c r="C311" s="899" t="s">
        <v>410</v>
      </c>
      <c r="D311" s="442"/>
      <c r="E311" s="81"/>
      <c r="F311" s="81"/>
      <c r="G311" s="81"/>
      <c r="H311" s="81"/>
      <c r="I311" s="81"/>
      <c r="J311" s="81"/>
      <c r="K311" s="81"/>
      <c r="L311" s="81"/>
      <c r="M311" s="81"/>
      <c r="N311" s="81"/>
      <c r="O311" s="81"/>
      <c r="P311" s="81"/>
      <c r="Q311" s="81"/>
      <c r="R311" s="81"/>
      <c r="S311" s="81"/>
      <c r="T311" s="81"/>
      <c r="U311" s="81"/>
      <c r="V311" s="81"/>
      <c r="W311" s="81"/>
      <c r="X311" s="81"/>
      <c r="Y311" s="341"/>
      <c r="Z311" s="873">
        <f t="shared" si="107"/>
        <v>0</v>
      </c>
      <c r="AA311" s="873">
        <f t="shared" si="108"/>
        <v>0</v>
      </c>
      <c r="AB311" s="386"/>
      <c r="AC311" s="341"/>
      <c r="AD311" s="341"/>
      <c r="AE311" s="341"/>
      <c r="AF311" s="341"/>
      <c r="AG311" s="341"/>
      <c r="AH311" s="341"/>
      <c r="AI311" s="341"/>
      <c r="AJ311" s="30">
        <f t="shared" si="103"/>
        <v>0</v>
      </c>
      <c r="AK311" s="122"/>
      <c r="AL311" s="664"/>
      <c r="AM311" s="32"/>
      <c r="AN311" s="671"/>
      <c r="AO311" s="14">
        <v>259</v>
      </c>
      <c r="AP311" s="76"/>
      <c r="AQ311" s="77"/>
    </row>
    <row r="312" spans="1:43" ht="25.5" x14ac:dyDescent="0.75">
      <c r="A312" s="680"/>
      <c r="B312" s="2" t="s">
        <v>391</v>
      </c>
      <c r="C312" s="899" t="s">
        <v>411</v>
      </c>
      <c r="D312" s="442"/>
      <c r="E312" s="81"/>
      <c r="F312" s="81"/>
      <c r="G312" s="81"/>
      <c r="H312" s="81"/>
      <c r="I312" s="81"/>
      <c r="J312" s="81"/>
      <c r="K312" s="81"/>
      <c r="L312" s="81"/>
      <c r="M312" s="81"/>
      <c r="N312" s="81"/>
      <c r="O312" s="81"/>
      <c r="P312" s="81"/>
      <c r="Q312" s="81"/>
      <c r="R312" s="81"/>
      <c r="S312" s="81"/>
      <c r="T312" s="81"/>
      <c r="U312" s="81"/>
      <c r="V312" s="81"/>
      <c r="W312" s="81"/>
      <c r="X312" s="81"/>
      <c r="Y312" s="341"/>
      <c r="Z312" s="873">
        <f t="shared" si="107"/>
        <v>0</v>
      </c>
      <c r="AA312" s="873">
        <f t="shared" si="108"/>
        <v>0</v>
      </c>
      <c r="AB312" s="386"/>
      <c r="AC312" s="341"/>
      <c r="AD312" s="341"/>
      <c r="AE312" s="341"/>
      <c r="AF312" s="341"/>
      <c r="AG312" s="341"/>
      <c r="AH312" s="341"/>
      <c r="AI312" s="341"/>
      <c r="AJ312" s="30">
        <f t="shared" si="103"/>
        <v>0</v>
      </c>
      <c r="AK312" s="122"/>
      <c r="AL312" s="664"/>
      <c r="AM312" s="32"/>
      <c r="AN312" s="671"/>
      <c r="AO312" s="14">
        <v>260</v>
      </c>
      <c r="AP312" s="76"/>
      <c r="AQ312" s="77"/>
    </row>
    <row r="313" spans="1:43" ht="25.5" x14ac:dyDescent="0.75">
      <c r="A313" s="680"/>
      <c r="B313" s="2" t="s">
        <v>392</v>
      </c>
      <c r="C313" s="899" t="s">
        <v>412</v>
      </c>
      <c r="D313" s="442"/>
      <c r="E313" s="81"/>
      <c r="F313" s="81"/>
      <c r="G313" s="81"/>
      <c r="H313" s="81"/>
      <c r="I313" s="81"/>
      <c r="J313" s="81"/>
      <c r="K313" s="81"/>
      <c r="L313" s="81"/>
      <c r="M313" s="81"/>
      <c r="N313" s="81"/>
      <c r="O313" s="81"/>
      <c r="P313" s="81"/>
      <c r="Q313" s="81"/>
      <c r="R313" s="81"/>
      <c r="S313" s="81"/>
      <c r="T313" s="81"/>
      <c r="U313" s="81"/>
      <c r="V313" s="81"/>
      <c r="W313" s="81"/>
      <c r="X313" s="81"/>
      <c r="Y313" s="341"/>
      <c r="Z313" s="873">
        <f t="shared" si="107"/>
        <v>0</v>
      </c>
      <c r="AA313" s="873">
        <f t="shared" si="108"/>
        <v>0</v>
      </c>
      <c r="AB313" s="386"/>
      <c r="AC313" s="341"/>
      <c r="AD313" s="341"/>
      <c r="AE313" s="341"/>
      <c r="AF313" s="341"/>
      <c r="AG313" s="341"/>
      <c r="AH313" s="341"/>
      <c r="AI313" s="341"/>
      <c r="AJ313" s="30">
        <f t="shared" si="103"/>
        <v>0</v>
      </c>
      <c r="AK313" s="122"/>
      <c r="AL313" s="664"/>
      <c r="AM313" s="32"/>
      <c r="AN313" s="671"/>
      <c r="AO313" s="14">
        <v>261</v>
      </c>
      <c r="AP313" s="76"/>
      <c r="AQ313" s="77"/>
    </row>
    <row r="314" spans="1:43" ht="25.5" x14ac:dyDescent="0.75">
      <c r="A314" s="680"/>
      <c r="B314" s="2" t="s">
        <v>393</v>
      </c>
      <c r="C314" s="899" t="s">
        <v>413</v>
      </c>
      <c r="D314" s="442"/>
      <c r="E314" s="81"/>
      <c r="F314" s="81"/>
      <c r="G314" s="81"/>
      <c r="H314" s="81"/>
      <c r="I314" s="81"/>
      <c r="J314" s="81"/>
      <c r="K314" s="81"/>
      <c r="L314" s="81"/>
      <c r="M314" s="81"/>
      <c r="N314" s="81"/>
      <c r="O314" s="81"/>
      <c r="P314" s="81"/>
      <c r="Q314" s="81"/>
      <c r="R314" s="81"/>
      <c r="S314" s="81"/>
      <c r="T314" s="81"/>
      <c r="U314" s="81"/>
      <c r="V314" s="81"/>
      <c r="W314" s="81"/>
      <c r="X314" s="81"/>
      <c r="Y314" s="341"/>
      <c r="Z314" s="873">
        <f t="shared" si="107"/>
        <v>0</v>
      </c>
      <c r="AA314" s="873">
        <f t="shared" si="108"/>
        <v>0</v>
      </c>
      <c r="AB314" s="386"/>
      <c r="AC314" s="341"/>
      <c r="AD314" s="341"/>
      <c r="AE314" s="341"/>
      <c r="AF314" s="341"/>
      <c r="AG314" s="341"/>
      <c r="AH314" s="341"/>
      <c r="AI314" s="341"/>
      <c r="AJ314" s="30">
        <f t="shared" si="103"/>
        <v>0</v>
      </c>
      <c r="AK314" s="122"/>
      <c r="AL314" s="664"/>
      <c r="AM314" s="32"/>
      <c r="AN314" s="671"/>
      <c r="AO314" s="14">
        <v>262</v>
      </c>
      <c r="AP314" s="76"/>
      <c r="AQ314" s="77"/>
    </row>
    <row r="315" spans="1:43" ht="25.9" thickBot="1" x14ac:dyDescent="0.8">
      <c r="A315" s="681"/>
      <c r="B315" s="3" t="s">
        <v>394</v>
      </c>
      <c r="C315" s="901" t="s">
        <v>414</v>
      </c>
      <c r="D315" s="443"/>
      <c r="E315" s="92"/>
      <c r="F315" s="92"/>
      <c r="G315" s="92"/>
      <c r="H315" s="92"/>
      <c r="I315" s="92"/>
      <c r="J315" s="92"/>
      <c r="K315" s="92"/>
      <c r="L315" s="92"/>
      <c r="M315" s="92"/>
      <c r="N315" s="92"/>
      <c r="O315" s="92"/>
      <c r="P315" s="92"/>
      <c r="Q315" s="92"/>
      <c r="R315" s="92"/>
      <c r="S315" s="92"/>
      <c r="T315" s="92"/>
      <c r="U315" s="92"/>
      <c r="V315" s="92"/>
      <c r="W315" s="92"/>
      <c r="X315" s="92"/>
      <c r="Y315" s="343"/>
      <c r="Z315" s="873">
        <f t="shared" si="107"/>
        <v>0</v>
      </c>
      <c r="AA315" s="873">
        <f t="shared" si="108"/>
        <v>0</v>
      </c>
      <c r="AB315" s="440"/>
      <c r="AC315" s="343"/>
      <c r="AD315" s="343"/>
      <c r="AE315" s="343"/>
      <c r="AF315" s="343"/>
      <c r="AG315" s="343"/>
      <c r="AH315" s="343"/>
      <c r="AI315" s="343"/>
      <c r="AJ315" s="93">
        <f t="shared" si="103"/>
        <v>0</v>
      </c>
      <c r="AK315" s="122"/>
      <c r="AL315" s="664"/>
      <c r="AM315" s="32"/>
      <c r="AN315" s="671"/>
      <c r="AO315" s="14">
        <v>263</v>
      </c>
      <c r="AP315" s="76"/>
      <c r="AQ315" s="77"/>
    </row>
    <row r="316" spans="1:43" ht="30.75" customHeight="1" x14ac:dyDescent="0.75">
      <c r="A316" s="679" t="s">
        <v>441</v>
      </c>
      <c r="B316" s="1" t="s">
        <v>444</v>
      </c>
      <c r="C316" s="898" t="s">
        <v>420</v>
      </c>
      <c r="D316" s="441"/>
      <c r="E316" s="97"/>
      <c r="F316" s="97"/>
      <c r="G316" s="97"/>
      <c r="H316" s="97"/>
      <c r="I316" s="97"/>
      <c r="J316" s="97"/>
      <c r="K316" s="97"/>
      <c r="L316" s="97"/>
      <c r="M316" s="97"/>
      <c r="N316" s="97"/>
      <c r="O316" s="97"/>
      <c r="P316" s="97"/>
      <c r="Q316" s="97"/>
      <c r="R316" s="97"/>
      <c r="S316" s="97"/>
      <c r="T316" s="97"/>
      <c r="U316" s="97"/>
      <c r="V316" s="97"/>
      <c r="W316" s="97"/>
      <c r="X316" s="97"/>
      <c r="Y316" s="344"/>
      <c r="Z316" s="873">
        <f t="shared" si="107"/>
        <v>0</v>
      </c>
      <c r="AA316" s="873">
        <f t="shared" si="108"/>
        <v>0</v>
      </c>
      <c r="AB316" s="385"/>
      <c r="AC316" s="344"/>
      <c r="AD316" s="344"/>
      <c r="AE316" s="344"/>
      <c r="AF316" s="344"/>
      <c r="AG316" s="344"/>
      <c r="AH316" s="344"/>
      <c r="AI316" s="344"/>
      <c r="AJ316" s="67">
        <f t="shared" si="103"/>
        <v>0</v>
      </c>
      <c r="AK316" s="122"/>
      <c r="AL316" s="664"/>
      <c r="AM316" s="32"/>
      <c r="AN316" s="671"/>
      <c r="AO316" s="14">
        <v>264</v>
      </c>
      <c r="AP316" s="76"/>
      <c r="AQ316" s="77"/>
    </row>
    <row r="317" spans="1:43" ht="25.5" x14ac:dyDescent="0.75">
      <c r="A317" s="680"/>
      <c r="B317" s="2" t="s">
        <v>415</v>
      </c>
      <c r="C317" s="899" t="s">
        <v>421</v>
      </c>
      <c r="D317" s="442"/>
      <c r="E317" s="81"/>
      <c r="F317" s="81"/>
      <c r="G317" s="81"/>
      <c r="H317" s="81"/>
      <c r="I317" s="81"/>
      <c r="J317" s="81"/>
      <c r="K317" s="81"/>
      <c r="L317" s="81"/>
      <c r="M317" s="81"/>
      <c r="N317" s="81"/>
      <c r="O317" s="81"/>
      <c r="P317" s="81"/>
      <c r="Q317" s="81"/>
      <c r="R317" s="81"/>
      <c r="S317" s="81"/>
      <c r="T317" s="81"/>
      <c r="U317" s="81"/>
      <c r="V317" s="81"/>
      <c r="W317" s="81"/>
      <c r="X317" s="81"/>
      <c r="Y317" s="341"/>
      <c r="Z317" s="873">
        <f t="shared" si="107"/>
        <v>0</v>
      </c>
      <c r="AA317" s="873">
        <f t="shared" si="108"/>
        <v>0</v>
      </c>
      <c r="AB317" s="386"/>
      <c r="AC317" s="341"/>
      <c r="AD317" s="341"/>
      <c r="AE317" s="341"/>
      <c r="AF317" s="341"/>
      <c r="AG317" s="341"/>
      <c r="AH317" s="341"/>
      <c r="AI317" s="341"/>
      <c r="AJ317" s="30">
        <f t="shared" si="103"/>
        <v>0</v>
      </c>
      <c r="AK317" s="122"/>
      <c r="AL317" s="664"/>
      <c r="AM317" s="32"/>
      <c r="AN317" s="671"/>
      <c r="AO317" s="14">
        <v>265</v>
      </c>
      <c r="AP317" s="76"/>
      <c r="AQ317" s="77"/>
    </row>
    <row r="318" spans="1:43" ht="25.5" x14ac:dyDescent="0.75">
      <c r="A318" s="680"/>
      <c r="B318" s="2" t="s">
        <v>416</v>
      </c>
      <c r="C318" s="899" t="s">
        <v>422</v>
      </c>
      <c r="D318" s="442"/>
      <c r="E318" s="81"/>
      <c r="F318" s="81"/>
      <c r="G318" s="81"/>
      <c r="H318" s="81"/>
      <c r="I318" s="81"/>
      <c r="J318" s="81"/>
      <c r="K318" s="81"/>
      <c r="L318" s="81"/>
      <c r="M318" s="81"/>
      <c r="N318" s="81"/>
      <c r="O318" s="81"/>
      <c r="P318" s="81"/>
      <c r="Q318" s="81"/>
      <c r="R318" s="81"/>
      <c r="S318" s="81"/>
      <c r="T318" s="81"/>
      <c r="U318" s="81"/>
      <c r="V318" s="81"/>
      <c r="W318" s="81"/>
      <c r="X318" s="81"/>
      <c r="Y318" s="341"/>
      <c r="Z318" s="873">
        <f t="shared" si="107"/>
        <v>0</v>
      </c>
      <c r="AA318" s="873">
        <f t="shared" si="108"/>
        <v>0</v>
      </c>
      <c r="AB318" s="386"/>
      <c r="AC318" s="341"/>
      <c r="AD318" s="341"/>
      <c r="AE318" s="341"/>
      <c r="AF318" s="341"/>
      <c r="AG318" s="341"/>
      <c r="AH318" s="341"/>
      <c r="AI318" s="341"/>
      <c r="AJ318" s="30">
        <f t="shared" si="103"/>
        <v>0</v>
      </c>
      <c r="AK318" s="122"/>
      <c r="AL318" s="664"/>
      <c r="AM318" s="32"/>
      <c r="AN318" s="671"/>
      <c r="AO318" s="14">
        <v>266</v>
      </c>
      <c r="AP318" s="76"/>
      <c r="AQ318" s="77"/>
    </row>
    <row r="319" spans="1:43" ht="25.5" x14ac:dyDescent="0.75">
      <c r="A319" s="680"/>
      <c r="B319" s="2" t="s">
        <v>417</v>
      </c>
      <c r="C319" s="899" t="s">
        <v>423</v>
      </c>
      <c r="D319" s="442"/>
      <c r="E319" s="81"/>
      <c r="F319" s="81"/>
      <c r="G319" s="81"/>
      <c r="H319" s="81"/>
      <c r="I319" s="81"/>
      <c r="J319" s="81"/>
      <c r="K319" s="81"/>
      <c r="L319" s="81"/>
      <c r="M319" s="81"/>
      <c r="N319" s="81"/>
      <c r="O319" s="81"/>
      <c r="P319" s="81"/>
      <c r="Q319" s="81"/>
      <c r="R319" s="81"/>
      <c r="S319" s="81"/>
      <c r="T319" s="81"/>
      <c r="U319" s="81"/>
      <c r="V319" s="81"/>
      <c r="W319" s="81"/>
      <c r="X319" s="81"/>
      <c r="Y319" s="341"/>
      <c r="Z319" s="873">
        <f t="shared" si="107"/>
        <v>0</v>
      </c>
      <c r="AA319" s="873">
        <f t="shared" si="108"/>
        <v>0</v>
      </c>
      <c r="AB319" s="386"/>
      <c r="AC319" s="341"/>
      <c r="AD319" s="341"/>
      <c r="AE319" s="341"/>
      <c r="AF319" s="341"/>
      <c r="AG319" s="341"/>
      <c r="AH319" s="341"/>
      <c r="AI319" s="341"/>
      <c r="AJ319" s="30">
        <f t="shared" si="103"/>
        <v>0</v>
      </c>
      <c r="AK319" s="122"/>
      <c r="AL319" s="664"/>
      <c r="AM319" s="32"/>
      <c r="AN319" s="671"/>
      <c r="AO319" s="14">
        <v>267</v>
      </c>
      <c r="AP319" s="76"/>
      <c r="AQ319" s="77"/>
    </row>
    <row r="320" spans="1:43" ht="25.5" x14ac:dyDescent="0.75">
      <c r="A320" s="680"/>
      <c r="B320" s="2" t="s">
        <v>418</v>
      </c>
      <c r="C320" s="899" t="s">
        <v>424</v>
      </c>
      <c r="D320" s="442"/>
      <c r="E320" s="81"/>
      <c r="F320" s="81"/>
      <c r="G320" s="81"/>
      <c r="H320" s="81"/>
      <c r="I320" s="81"/>
      <c r="J320" s="81"/>
      <c r="K320" s="81"/>
      <c r="L320" s="81"/>
      <c r="M320" s="81"/>
      <c r="N320" s="81"/>
      <c r="O320" s="81"/>
      <c r="P320" s="81"/>
      <c r="Q320" s="81"/>
      <c r="R320" s="81"/>
      <c r="S320" s="81"/>
      <c r="T320" s="81"/>
      <c r="U320" s="81"/>
      <c r="V320" s="81"/>
      <c r="W320" s="81"/>
      <c r="X320" s="81"/>
      <c r="Y320" s="341"/>
      <c r="Z320" s="873">
        <f t="shared" si="107"/>
        <v>0</v>
      </c>
      <c r="AA320" s="873">
        <f t="shared" si="108"/>
        <v>0</v>
      </c>
      <c r="AB320" s="386"/>
      <c r="AC320" s="341"/>
      <c r="AD320" s="341"/>
      <c r="AE320" s="341"/>
      <c r="AF320" s="341"/>
      <c r="AG320" s="341"/>
      <c r="AH320" s="341"/>
      <c r="AI320" s="341"/>
      <c r="AJ320" s="30">
        <f t="shared" si="103"/>
        <v>0</v>
      </c>
      <c r="AK320" s="122"/>
      <c r="AL320" s="664"/>
      <c r="AM320" s="32"/>
      <c r="AN320" s="671"/>
      <c r="AO320" s="14">
        <v>268</v>
      </c>
      <c r="AP320" s="76"/>
      <c r="AQ320" s="77"/>
    </row>
    <row r="321" spans="1:43" ht="25.5" x14ac:dyDescent="0.75">
      <c r="A321" s="680"/>
      <c r="B321" s="2" t="s">
        <v>419</v>
      </c>
      <c r="C321" s="899" t="s">
        <v>425</v>
      </c>
      <c r="D321" s="442"/>
      <c r="E321" s="81"/>
      <c r="F321" s="81"/>
      <c r="G321" s="81"/>
      <c r="H321" s="81"/>
      <c r="I321" s="81"/>
      <c r="J321" s="81"/>
      <c r="K321" s="81"/>
      <c r="L321" s="81"/>
      <c r="M321" s="81"/>
      <c r="N321" s="81"/>
      <c r="O321" s="81"/>
      <c r="P321" s="81"/>
      <c r="Q321" s="81"/>
      <c r="R321" s="81"/>
      <c r="S321" s="81"/>
      <c r="T321" s="81"/>
      <c r="U321" s="81"/>
      <c r="V321" s="81"/>
      <c r="W321" s="81"/>
      <c r="X321" s="81"/>
      <c r="Y321" s="341"/>
      <c r="Z321" s="873">
        <f t="shared" si="107"/>
        <v>0</v>
      </c>
      <c r="AA321" s="873">
        <f t="shared" si="108"/>
        <v>0</v>
      </c>
      <c r="AB321" s="386"/>
      <c r="AC321" s="341"/>
      <c r="AD321" s="341"/>
      <c r="AE321" s="341"/>
      <c r="AF321" s="341"/>
      <c r="AG321" s="341"/>
      <c r="AH321" s="341"/>
      <c r="AI321" s="341"/>
      <c r="AJ321" s="30">
        <f t="shared" si="103"/>
        <v>0</v>
      </c>
      <c r="AK321" s="122"/>
      <c r="AL321" s="664"/>
      <c r="AM321" s="32"/>
      <c r="AN321" s="671"/>
      <c r="AO321" s="14">
        <v>269</v>
      </c>
      <c r="AP321" s="76"/>
      <c r="AQ321" s="77"/>
    </row>
    <row r="322" spans="1:43" ht="25.9" thickBot="1" x14ac:dyDescent="0.8">
      <c r="A322" s="680"/>
      <c r="B322" s="261" t="s">
        <v>439</v>
      </c>
      <c r="C322" s="901" t="s">
        <v>443</v>
      </c>
      <c r="D322" s="444">
        <f>SUM(D316:D321)</f>
        <v>0</v>
      </c>
      <c r="E322" s="259">
        <f t="shared" ref="E322:Y322" si="109">SUM(E316:E321)</f>
        <v>0</v>
      </c>
      <c r="F322" s="259">
        <f t="shared" si="109"/>
        <v>0</v>
      </c>
      <c r="G322" s="259">
        <f t="shared" si="109"/>
        <v>0</v>
      </c>
      <c r="H322" s="259">
        <f t="shared" si="109"/>
        <v>0</v>
      </c>
      <c r="I322" s="259">
        <f t="shared" si="109"/>
        <v>0</v>
      </c>
      <c r="J322" s="259">
        <f t="shared" si="109"/>
        <v>0</v>
      </c>
      <c r="K322" s="259">
        <f t="shared" si="109"/>
        <v>0</v>
      </c>
      <c r="L322" s="259">
        <f t="shared" si="109"/>
        <v>0</v>
      </c>
      <c r="M322" s="259">
        <f t="shared" si="109"/>
        <v>0</v>
      </c>
      <c r="N322" s="259">
        <f t="shared" si="109"/>
        <v>0</v>
      </c>
      <c r="O322" s="259">
        <f t="shared" si="109"/>
        <v>0</v>
      </c>
      <c r="P322" s="259">
        <f t="shared" si="109"/>
        <v>0</v>
      </c>
      <c r="Q322" s="259">
        <f t="shared" si="109"/>
        <v>0</v>
      </c>
      <c r="R322" s="259">
        <f t="shared" si="109"/>
        <v>0</v>
      </c>
      <c r="S322" s="259">
        <f t="shared" si="109"/>
        <v>0</v>
      </c>
      <c r="T322" s="259">
        <f t="shared" si="109"/>
        <v>0</v>
      </c>
      <c r="U322" s="259">
        <f t="shared" si="109"/>
        <v>0</v>
      </c>
      <c r="V322" s="259">
        <f t="shared" si="109"/>
        <v>0</v>
      </c>
      <c r="W322" s="259">
        <f t="shared" si="109"/>
        <v>0</v>
      </c>
      <c r="X322" s="259">
        <f t="shared" si="109"/>
        <v>0</v>
      </c>
      <c r="Y322" s="381">
        <f t="shared" si="109"/>
        <v>0</v>
      </c>
      <c r="Z322" s="873">
        <f t="shared" ref="Z322" si="110">SUM(AB322,AD322,AF322,AH322)</f>
        <v>0</v>
      </c>
      <c r="AA322" s="873">
        <f t="shared" ref="AA322" si="111">SUM(AC322,AE322,AG322,AI322)</f>
        <v>0</v>
      </c>
      <c r="AB322" s="258">
        <f t="shared" ref="AB322:AG322" si="112">SUM(AB316:AB321)</f>
        <v>0</v>
      </c>
      <c r="AC322" s="259">
        <f t="shared" si="112"/>
        <v>0</v>
      </c>
      <c r="AD322" s="259">
        <f t="shared" si="112"/>
        <v>0</v>
      </c>
      <c r="AE322" s="259">
        <f t="shared" si="112"/>
        <v>0</v>
      </c>
      <c r="AF322" s="259">
        <f t="shared" si="112"/>
        <v>0</v>
      </c>
      <c r="AG322" s="259">
        <f t="shared" si="112"/>
        <v>0</v>
      </c>
      <c r="AH322" s="259">
        <f t="shared" ref="AH322:AI322" si="113">SUM(AH316:AH321)</f>
        <v>0</v>
      </c>
      <c r="AI322" s="259">
        <f t="shared" si="113"/>
        <v>0</v>
      </c>
      <c r="AJ322" s="93">
        <f t="shared" si="103"/>
        <v>0</v>
      </c>
      <c r="AK322" s="122"/>
      <c r="AL322" s="664"/>
      <c r="AM322" s="32"/>
      <c r="AN322" s="671"/>
      <c r="AO322" s="14">
        <v>270</v>
      </c>
      <c r="AP322" s="76"/>
      <c r="AQ322" s="77"/>
    </row>
    <row r="323" spans="1:43" ht="25.9" thickBot="1" x14ac:dyDescent="0.8">
      <c r="A323" s="681"/>
      <c r="B323" s="241" t="s">
        <v>461</v>
      </c>
      <c r="C323" s="917" t="s">
        <v>445</v>
      </c>
      <c r="D323" s="445"/>
      <c r="E323" s="446"/>
      <c r="F323" s="446"/>
      <c r="G323" s="446"/>
      <c r="H323" s="446"/>
      <c r="I323" s="446"/>
      <c r="J323" s="446"/>
      <c r="K323" s="446"/>
      <c r="L323" s="446"/>
      <c r="M323" s="446"/>
      <c r="N323" s="446"/>
      <c r="O323" s="446"/>
      <c r="P323" s="446"/>
      <c r="Q323" s="446"/>
      <c r="R323" s="446"/>
      <c r="S323" s="446"/>
      <c r="T323" s="446"/>
      <c r="U323" s="446"/>
      <c r="V323" s="446"/>
      <c r="W323" s="446"/>
      <c r="X323" s="446"/>
      <c r="Y323" s="447"/>
      <c r="Z323" s="873">
        <f t="shared" ref="Z323" si="114">SUM(AB323,AD323,AF323,AH323)</f>
        <v>0</v>
      </c>
      <c r="AA323" s="873">
        <f t="shared" ref="AA323" si="115">SUM(AC323,AE323,AG323,AI323)</f>
        <v>0</v>
      </c>
      <c r="AB323" s="542"/>
      <c r="AC323" s="356"/>
      <c r="AD323" s="356"/>
      <c r="AE323" s="356"/>
      <c r="AF323" s="356"/>
      <c r="AG323" s="356"/>
      <c r="AH323" s="356"/>
      <c r="AI323" s="356"/>
      <c r="AJ323" s="69">
        <f t="shared" si="103"/>
        <v>0</v>
      </c>
      <c r="AK323" s="122"/>
      <c r="AL323" s="851"/>
      <c r="AM323" s="32"/>
      <c r="AN323" s="846"/>
      <c r="AO323" s="14">
        <v>271</v>
      </c>
      <c r="AP323" s="76"/>
      <c r="AQ323" s="77"/>
    </row>
    <row r="324" spans="1:43" s="63" customFormat="1" ht="51" x14ac:dyDescent="0.75">
      <c r="A324" s="744" t="s">
        <v>611</v>
      </c>
      <c r="B324" s="1" t="s">
        <v>976</v>
      </c>
      <c r="C324" s="898" t="s">
        <v>557</v>
      </c>
      <c r="D324" s="97"/>
      <c r="E324" s="97"/>
      <c r="F324" s="97"/>
      <c r="G324" s="97"/>
      <c r="H324" s="97"/>
      <c r="I324" s="97"/>
      <c r="J324" s="97"/>
      <c r="K324" s="97"/>
      <c r="L324" s="97"/>
      <c r="M324" s="97"/>
      <c r="N324" s="97"/>
      <c r="O324" s="97"/>
      <c r="P324" s="97"/>
      <c r="Q324" s="97"/>
      <c r="R324" s="97"/>
      <c r="S324" s="97"/>
      <c r="T324" s="97"/>
      <c r="U324" s="97"/>
      <c r="V324" s="97"/>
      <c r="W324" s="97"/>
      <c r="X324" s="97"/>
      <c r="Y324" s="97"/>
      <c r="Z324" s="74"/>
      <c r="AA324" s="340"/>
      <c r="AB324" s="411"/>
      <c r="AC324" s="412"/>
      <c r="AD324" s="412"/>
      <c r="AE324" s="412"/>
      <c r="AF324" s="412"/>
      <c r="AG324" s="412"/>
      <c r="AH324" s="412"/>
      <c r="AI324" s="339"/>
      <c r="AJ324" s="200">
        <f t="shared" si="103"/>
        <v>0</v>
      </c>
      <c r="AK324" s="31" t="str">
        <f>CONCATENATE(IF(D335&gt;D324," *  confirmed TB positive newly started on TB treatment "&amp;$D$20&amp;" "&amp;$D$21&amp;" is more than Screening positive for TB Newly enrolled on ART"&amp;CHAR(10),""),IF(E335&gt;E324," *  confirmed TB positive newly started on TB treatment "&amp;$D$20&amp;" "&amp;$E$21&amp;" is more than Screening positive for TB Newly enrolled on ART"&amp;CHAR(10),""),IF(F335&gt;F324," *  confirmed TB positive newly started on TB treatment "&amp;$F$20&amp;" "&amp;$F$21&amp;" is more than Screening positive for TB Newly enrolled on ART"&amp;CHAR(10),""),IF(G335&gt;G324," *  confirmed TB positive newly started on TB treatment "&amp;$F$20&amp;" "&amp;$G$21&amp;" is more than Screening positive for TB Newly enrolled on ART"&amp;CHAR(10),""),IF(H335&gt;H324," *  confirmed TB positive newly started on TB treatment "&amp;$H$20&amp;" "&amp;$H$21&amp;" is more than Screening positive for TB Newly enrolled on ART"&amp;CHAR(10),""),IF(I335&gt;I324," *  confirmed TB positive newly started on TB treatment "&amp;$H$20&amp;" "&amp;$I$21&amp;" is more than Screening positive for TB Newly enrolled on ART"&amp;CHAR(10),""),IF(J335&gt;J324," *  confirmed TB positive newly started on TB treatment "&amp;$J$20&amp;" "&amp;$J$21&amp;" is more than Screening positive for TB Newly enrolled on ART"&amp;CHAR(10),""),IF(K335&gt;K324," *  confirmed TB positive newly started on TB treatment "&amp;$J$20&amp;" "&amp;$K$21&amp;" is more than Screening positive for TB Newly enrolled on ART"&amp;CHAR(10),""),IF(L335&gt;L324," *  confirmed TB positive newly started on TB treatment "&amp;$L$20&amp;" "&amp;$L$21&amp;" is more than Screening positive for TB Newly enrolled on ART"&amp;CHAR(10),""),IF(M335&gt;M324," *  confirmed TB positive newly started on TB treatment "&amp;$L$20&amp;" "&amp;$M$21&amp;" is more than Screening positive for TB Newly enrolled on ART"&amp;CHAR(10),""),IF(N335&gt;N324," *  confirmed TB positive newly started on TB treatment "&amp;$N$20&amp;" "&amp;$N$21&amp;" is more than Screening positive for TB Newly enrolled on ART"&amp;CHAR(10),""),IF(O335&gt;O324," *  confirmed TB positive newly started on TB treatment "&amp;$N$20&amp;" "&amp;$O$21&amp;" is more than Screening positive for TB Newly enrolled on ART"&amp;CHAR(10),""),IF(P335&gt;P324," *  confirmed TB positive newly started on TB treatment "&amp;$P$20&amp;" "&amp;$P$21&amp;" is more than Screening positive for TB Newly enrolled on ART"&amp;CHAR(10),""),IF(Q335&gt;Q324," *  confirmed TB positive newly started on TB treatment "&amp;$P$20&amp;" "&amp;$Q$21&amp;" is more than Screening positive for TB Newly enrolled on ART"&amp;CHAR(10),""),IF(R335&gt;R324," *  confirmed TB positive newly started on TB treatment "&amp;$R$20&amp;" "&amp;$R$21&amp;" is more than Screening positive for TB Newly enrolled on ART"&amp;CHAR(10),""),IF(S335&gt;S324," *  confirmed TB positive newly started on TB treatment "&amp;$R$20&amp;" "&amp;$S$21&amp;" is more than Screening positive for TB Newly enrolled on ART"&amp;CHAR(10),""),IF(T335&gt;T324," *  confirmed TB positive newly started on TB treatment "&amp;$T$20&amp;" "&amp;$T$21&amp;" is more than Screening positive for TB Newly enrolled on ART"&amp;CHAR(10),""),IF(U335&gt;U324," *  confirmed TB positive newly started on TB treatment "&amp;$T$20&amp;" "&amp;$U$21&amp;" is more than Screening positive for TB Newly enrolled on ART"&amp;CHAR(10),""),IF(V335&gt;V324," *  confirmed TB positive newly started on TB treatment "&amp;$V$20&amp;" "&amp;$V$21&amp;" is more than Screening positive for TB Newly enrolled on ART"&amp;CHAR(10),""),IF(W335&gt;W324," *  confirmed TB positive newly started on TB treatment "&amp;$V$20&amp;" "&amp;$W$21&amp;" is more than Screening positive for TB Newly enrolled on ART"&amp;CHAR(10),""),IF(X335&gt;X324," *  confirmed TB positive newly started on TB treatment "&amp;$X$20&amp;" "&amp;$X$21&amp;" is more than Screening positive for TB Newly enrolled on ART"&amp;CHAR(10),""),IF(Y335&gt;Y324," *  confirmed TB positive newly started on TB treatment "&amp;$X$20&amp;" "&amp;$Y$21&amp;" is more than Screening positive for TB Newly enrolled on ART"&amp;CHAR(10),""),IF(Z335&gt;Z324," *  confirmed TB positive newly started on TB treatment "&amp;$Z$20&amp;" "&amp;$Z$21&amp;" is more than Screening positive for TB Newly enrolled on ART"&amp;CHAR(10),""),IF(AA335&gt;AA324," *  confirmed TB positive newly started on TB treatment "&amp;$Z$20&amp;" "&amp;$AA$21&amp;" is more than Screening positive for TB Newly enrolled on ART"&amp;CHAR(10),""))</f>
        <v/>
      </c>
      <c r="AL324" s="663" t="str">
        <f>CONCATENATE(AK324,AK325,AK326,AK327,AK328,AK329,AK330,AK331,AK332,AK333,AK334,AK335,AK336,AK337)</f>
        <v/>
      </c>
      <c r="AM324" s="62" t="str">
        <f>CONCATENATE(IF(D335&lt;D324," *  confirmed TB positive newly started on TB treatment "&amp;$D$20&amp;" "&amp;$D$21&amp;" is less than Screening positive for TB Newly enrolled on ART"&amp;CHAR(10),""),IF(E335&lt;E324," *  confirmed TB positive newly started on TB treatment "&amp;$D$20&amp;" "&amp;$E$21&amp;" is less than Screening positive for TB Newly enrolled on ART"&amp;CHAR(10),""),IF(F335&lt;F324," *  confirmed TB positive newly started on TB treatment "&amp;$F$20&amp;" "&amp;$F$21&amp;" is less than Screening positive for TB Newly enrolled on ART"&amp;CHAR(10),""),IF(G335&lt;G324," *  confirmed TB positive newly started on TB treatment "&amp;$F$20&amp;" "&amp;$G$21&amp;" is less than Screening positive for TB Newly enrolled on ART"&amp;CHAR(10),""),IF(H335&lt;H324," *  confirmed TB positive newly started on TB treatment "&amp;$H$20&amp;" "&amp;$H$21&amp;" is less than Screening positive for TB Newly enrolled on ART"&amp;CHAR(10),""),IF(I335&lt;I324," *  confirmed TB positive newly started on TB treatment "&amp;$H$20&amp;" "&amp;$I$21&amp;" is less than Screening positive for TB Newly enrolled on ART"&amp;CHAR(10),""),IF(J335&lt;J324," *  confirmed TB positive newly started on TB treatment "&amp;$J$20&amp;" "&amp;$J$21&amp;" is less than Screening positive for TB Newly enrolled on ART"&amp;CHAR(10),""),IF(K335&lt;K324," *  confirmed TB positive newly started on TB treatment "&amp;$J$20&amp;" "&amp;$K$21&amp;" is less than Screening positive for TB Newly enrolled on ART"&amp;CHAR(10),""),IF(L335&lt;L324," *  confirmed TB positive newly started on TB treatment "&amp;$L$20&amp;" "&amp;$L$21&amp;" is less than Screening positive for TB Newly enrolled on ART"&amp;CHAR(10),""),IF(M335&lt;M324," *  confirmed TB positive newly started on TB treatment "&amp;$L$20&amp;" "&amp;$M$21&amp;" is less than Screening positive for TB Newly enrolled on ART"&amp;CHAR(10),""),IF(N335&lt;N324," *  confirmed TB positive newly started on TB treatment "&amp;$N$20&amp;" "&amp;$N$21&amp;" is less than Screening positive for TB Newly enrolled on ART"&amp;CHAR(10),""),IF(O335&lt;O324," *  confirmed TB positive newly started on TB treatment "&amp;$N$20&amp;" "&amp;$O$21&amp;" is less than Screening positive for TB Newly enrolled on ART"&amp;CHAR(10),""),IF(P335&lt;P324," *  confirmed TB positive newly started on TB treatment "&amp;$P$20&amp;" "&amp;$P$21&amp;" is less than Screening positive for TB Newly enrolled on ART"&amp;CHAR(10),""),IF(Q335&lt;Q324," *  confirmed TB positive newly started on TB treatment "&amp;$P$20&amp;" "&amp;$Q$21&amp;" is less than Screening positive for TB Newly enrolled on ART"&amp;CHAR(10),""),IF(R335&lt;R324," *  confirmed TB positive newly started on TB treatment "&amp;$R$20&amp;" "&amp;$R$21&amp;" is less than Screening positive for TB Newly enrolled on ART"&amp;CHAR(10),""),IF(S335&lt;S324," *  confirmed TB positive newly started on TB treatment "&amp;$R$20&amp;" "&amp;$S$21&amp;" is less than Screening positive for TB Newly enrolled on ART"&amp;CHAR(10),""),IF(T335&lt;T324," *  confirmed TB positive newly started on TB treatment "&amp;$T$20&amp;" "&amp;$T$21&amp;" is less than Screening positive for TB Newly enrolled on ART"&amp;CHAR(10),""),IF(U335&lt;U324," *  confirmed TB positive newly started on TB treatment "&amp;$T$20&amp;" "&amp;$U$21&amp;" is less than Screening positive for TB Newly enrolled on ART"&amp;CHAR(10),""),IF(V335&lt;V324," *  confirmed TB positive newly started on TB treatment "&amp;$V$20&amp;" "&amp;$V$21&amp;" is less than Screening positive for TB Newly enrolled on ART"&amp;CHAR(10),""),IF(W335&lt;W324," *  confirmed TB positive newly started on TB treatment "&amp;$V$20&amp;" "&amp;$W$21&amp;" is less than Screening positive for TB Newly enrolled on ART"&amp;CHAR(10),""),IF(X335&lt;X324," *  confirmed TB positive newly started on TB treatment "&amp;$X$20&amp;" "&amp;$X$21&amp;" is less than Screening positive for TB Newly enrolled on ART"&amp;CHAR(10),""),IF(Y335&lt;Y324," *  confirmed TB positive newly started on TB treatment "&amp;$X$20&amp;" "&amp;$Y$21&amp;" is less than Screening positive for TB Newly enrolled on ART"&amp;CHAR(10),""),IF(Z335&lt;Z324," *  confirmed TB positive newly started on TB treatment "&amp;$Z$20&amp;" "&amp;$Z$21&amp;" is less than Screening positive for TB Newly enrolled on ART"&amp;CHAR(10),""),IF(AA335&lt;AA324," *  confirmed TB positive newly started on TB treatment "&amp;$Z$20&amp;" "&amp;$AA$21&amp;" is less than Screening positive for TB Newly enrolled on ART"&amp;CHAR(10),""))</f>
        <v/>
      </c>
      <c r="AN324" s="670" t="str">
        <f>CONCATENATE(AM324,AM325,AM326,AM327,AM328,AM329,AM330,AM331,AM332,AM333,AM334,AM335,AM336,AM337)</f>
        <v/>
      </c>
      <c r="AO324" s="14">
        <v>272</v>
      </c>
      <c r="AP324" s="82"/>
      <c r="AQ324" s="77"/>
    </row>
    <row r="325" spans="1:43" ht="51" x14ac:dyDescent="0.75">
      <c r="A325" s="745"/>
      <c r="B325" s="2" t="s">
        <v>1011</v>
      </c>
      <c r="C325" s="899" t="s">
        <v>558</v>
      </c>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341"/>
      <c r="AB325" s="413"/>
      <c r="AC325" s="380"/>
      <c r="AD325" s="380"/>
      <c r="AE325" s="380"/>
      <c r="AF325" s="380"/>
      <c r="AG325" s="380"/>
      <c r="AH325" s="380"/>
      <c r="AI325" s="336"/>
      <c r="AJ325" s="185">
        <f t="shared" si="103"/>
        <v>0</v>
      </c>
      <c r="AK325" s="122" t="str">
        <f>CONCATENATE(IF(D336&gt;D325," *  Confirmed TB positive already on ART and on TB treatment "&amp;$D$20&amp;" "&amp;$D$21&amp;" is more than Screening positive for TB Previously enrolled on ART"&amp;CHAR(10),""),IF(E336&gt;E325," *  Confirmed TB positive already on ART and on TB treatment "&amp;$D$20&amp;" "&amp;$E$21&amp;" is more than Screening positive for TB Previously enrolled on ART"&amp;CHAR(10),""),IF(F336&gt;F325," *  Confirmed TB positive already on ART and on TB treatment "&amp;$F$20&amp;" "&amp;$F$21&amp;" is more than Screening positive for TB Previously enrolled on ART"&amp;CHAR(10),""),IF(G336&gt;G325," *  Confirmed TB positive already on ART and on TB treatment "&amp;$F$20&amp;" "&amp;$G$21&amp;" is more than Screening positive for TB Previously enrolled on ART"&amp;CHAR(10),""),IF(H336&gt;H325," *  Confirmed TB positive already on ART and on TB treatment "&amp;$H$20&amp;" "&amp;$H$21&amp;" is more than Screening positive for TB Previously enrolled on ART"&amp;CHAR(10),""),IF(I336&gt;I325," *  Confirmed TB positive already on ART and on TB treatment "&amp;$H$20&amp;" "&amp;$I$21&amp;" is more than Screening positive for TB Previously enrolled on ART"&amp;CHAR(10),""),IF(J336&gt;J325," *  Confirmed TB positive already on ART and on TB treatment "&amp;$J$20&amp;" "&amp;$J$21&amp;" is more than Screening positive for TB Previously enrolled on ART"&amp;CHAR(10),""),IF(K336&gt;K325," *  Confirmed TB positive already on ART and on TB treatment "&amp;$J$20&amp;" "&amp;$K$21&amp;" is more than Screening positive for TB Previously enrolled on ART"&amp;CHAR(10),""),IF(L336&gt;L325," *  Confirmed TB positive already on ART and on TB treatment "&amp;$L$20&amp;" "&amp;$L$21&amp;" is more than Screening positive for TB Previously enrolled on ART"&amp;CHAR(10),""),IF(M336&gt;M325," *  Confirmed TB positive already on ART and on TB treatment "&amp;$L$20&amp;" "&amp;$M$21&amp;" is more than Screening positive for TB Previously enrolled on ART"&amp;CHAR(10),""),IF(N336&gt;N325," *  Confirmed TB positive already on ART and on TB treatment "&amp;$N$20&amp;" "&amp;$N$21&amp;" is more than Screening positive for TB Previously enrolled on ART"&amp;CHAR(10),""),IF(O336&gt;O325," *  Confirmed TB positive already on ART and on TB treatment "&amp;$N$20&amp;" "&amp;$O$21&amp;" is more than Screening positive for TB Previously enrolled on ART"&amp;CHAR(10),""),IF(P336&gt;P325," *  Confirmed TB positive already on ART and on TB treatment "&amp;$P$20&amp;" "&amp;$P$21&amp;" is more than Screening positive for TB Previously enrolled on ART"&amp;CHAR(10),""),IF(Q336&gt;Q325," *  Confirmed TB positive already on ART and on TB treatment "&amp;$P$20&amp;" "&amp;$Q$21&amp;" is more than Screening positive for TB Previously enrolled on ART"&amp;CHAR(10),""),IF(R336&gt;R325," *  Confirmed TB positive already on ART and on TB treatment "&amp;$R$20&amp;" "&amp;$R$21&amp;" is more than Screening positive for TB Previously enrolled on ART"&amp;CHAR(10),""),IF(S336&gt;S325," *  Confirmed TB positive already on ART and on TB treatment "&amp;$R$20&amp;" "&amp;$S$21&amp;" is more than Screening positive for TB Previously enrolled on ART"&amp;CHAR(10),""),IF(T336&gt;T325," *  Confirmed TB positive already on ART and on TB treatment "&amp;$T$20&amp;" "&amp;$T$21&amp;" is more than Screening positive for TB Previously enrolled on ART"&amp;CHAR(10),""),IF(U336&gt;U325," *  Confirmed TB positive already on ART and on TB treatment "&amp;$T$20&amp;" "&amp;$U$21&amp;" is more than Screening positive for TB Previously enrolled on ART"&amp;CHAR(10),""),IF(V336&gt;V325," *  Confirmed TB positive already on ART and on TB treatment "&amp;$V$20&amp;" "&amp;$V$21&amp;" is more than Screening positive for TB Previously enrolled on ART"&amp;CHAR(10),""),IF(W336&gt;W325," *  Confirmed TB positive already on ART and on TB treatment "&amp;$V$20&amp;" "&amp;$W$21&amp;" is more than Screening positive for TB Previously enrolled on ART"&amp;CHAR(10),""),IF(X336&gt;X325," *  Confirmed TB positive already on ART and on TB treatment "&amp;$X$20&amp;" "&amp;$X$21&amp;" is more than Screening positive for TB Previously enrolled on ART"&amp;CHAR(10),""),IF(Y336&gt;Y325," *  Confirmed TB positive already on ART and on TB treatment "&amp;$X$20&amp;" "&amp;$Y$21&amp;" is more than Screening positive for TB Previously enrolled on ART"&amp;CHAR(10),""),IF(Z336&gt;Z325," *  Confirmed TB positive already on ART and on TB treatment "&amp;$Z$20&amp;" "&amp;$Z$21&amp;" is more than Screening positive for TB Previously enrolled on ART"&amp;CHAR(10),""),IF(AA336&gt;AA325," *  Confirmed TB positive already on ART and on TB treatment "&amp;$Z$20&amp;" "&amp;$AA$21&amp;" is more than Screening positive for TB Previously enrolled on ART"&amp;CHAR(10),""))</f>
        <v/>
      </c>
      <c r="AL325" s="664"/>
      <c r="AM325" s="32" t="str">
        <f>CONCATENATE(IF(D336&lt;D325," *  Confirmed TB positive already on ART and on TB treatment "&amp;$D$20&amp;" "&amp;$D$21&amp;" is less than Screening positive for TB Previously enrolled on ART"&amp;CHAR(10),""),IF(E336&lt;E325," *  Confirmed TB positive already on ART and on TB treatment "&amp;$D$20&amp;" "&amp;$E$21&amp;" is less than Screening positive for TB Previously enrolled on ART"&amp;CHAR(10),""),IF(F336&lt;F325," *  Confirmed TB positive already on ART and on TB treatment "&amp;$F$20&amp;" "&amp;$F$21&amp;" is less than Screening positive for TB Previously enrolled on ART"&amp;CHAR(10),""),IF(G336&lt;G325," *  Confirmed TB positive already on ART and on TB treatment "&amp;$F$20&amp;" "&amp;$G$21&amp;" is less than Screening positive for TB Previously enrolled on ART"&amp;CHAR(10),""),IF(H336&lt;H325," *  Confirmed TB positive already on ART and on TB treatment "&amp;$H$20&amp;" "&amp;$H$21&amp;" is less than Screening positive for TB Previously enrolled on ART"&amp;CHAR(10),""),IF(I336&lt;I325," *  Confirmed TB positive already on ART and on TB treatment "&amp;$H$20&amp;" "&amp;$I$21&amp;" is less than Screening positive for TB Previously enrolled on ART"&amp;CHAR(10),""),IF(J336&lt;J325," *  Confirmed TB positive already on ART and on TB treatment "&amp;$J$20&amp;" "&amp;$J$21&amp;" is less than Screening positive for TB Previously enrolled on ART"&amp;CHAR(10),""),IF(K336&lt;K325," *  Confirmed TB positive already on ART and on TB treatment "&amp;$J$20&amp;" "&amp;$K$21&amp;" is less than Screening positive for TB Previously enrolled on ART"&amp;CHAR(10),""),IF(L336&lt;L325," *  Confirmed TB positive already on ART and on TB treatment "&amp;$L$20&amp;" "&amp;$L$21&amp;" is less than Screening positive for TB Previously enrolled on ART"&amp;CHAR(10),""),IF(M336&lt;M325," *  Confirmed TB positive already on ART and on TB treatment "&amp;$L$20&amp;" "&amp;$M$21&amp;" is less than Screening positive for TB Previously enrolled on ART"&amp;CHAR(10),""),IF(N336&lt;N325," *  Confirmed TB positive already on ART and on TB treatment "&amp;$N$20&amp;" "&amp;$N$21&amp;" is less than Screening positive for TB Previously enrolled on ART"&amp;CHAR(10),""),IF(O336&lt;O325," *  Confirmed TB positive already on ART and on TB treatment "&amp;$N$20&amp;" "&amp;$O$21&amp;" is less than Screening positive for TB Previously enrolled on ART"&amp;CHAR(10),""),IF(P336&lt;P325," *  Confirmed TB positive already on ART and on TB treatment "&amp;$P$20&amp;" "&amp;$P$21&amp;" is less than Screening positive for TB Previously enrolled on ART"&amp;CHAR(10),""),IF(Q336&lt;Q325," *  Confirmed TB positive already on ART and on TB treatment "&amp;$P$20&amp;" "&amp;$Q$21&amp;" is less than Screening positive for TB Previously enrolled on ART"&amp;CHAR(10),""),IF(R336&lt;R325," *  Confirmed TB positive already on ART and on TB treatment "&amp;$R$20&amp;" "&amp;$R$21&amp;" is less than Screening positive for TB Previously enrolled on ART"&amp;CHAR(10),""),IF(S336&lt;S325," *  Confirmed TB positive already on ART and on TB treatment "&amp;$R$20&amp;" "&amp;$S$21&amp;" is less than Screening positive for TB Previously enrolled on ART"&amp;CHAR(10),""),IF(T336&lt;T325," *  Confirmed TB positive already on ART and on TB treatment "&amp;$T$20&amp;" "&amp;$T$21&amp;" is less than Screening positive for TB Previously enrolled on ART"&amp;CHAR(10),""),IF(U336&lt;U325," *  Confirmed TB positive already on ART and on TB treatment "&amp;$T$20&amp;" "&amp;$U$21&amp;" is less than Screening positive for TB Previously enrolled on ART"&amp;CHAR(10),""),IF(V336&lt;V325," *  Confirmed TB positive already on ART and on TB treatment "&amp;$V$20&amp;" "&amp;$V$21&amp;" is less than Screening positive for TB Previously enrolled on ART"&amp;CHAR(10),""),IF(W336&lt;W325," *  Confirmed TB positive already on ART and on TB treatment "&amp;$V$20&amp;" "&amp;$W$21&amp;" is less than Screening positive for TB Previously enrolled on ART"&amp;CHAR(10),""),IF(X336&lt;X325," *  Confirmed TB positive already on ART and on TB treatment "&amp;$X$20&amp;" "&amp;$X$21&amp;" is less than Screening positive for TB Previously enrolled on ART"&amp;CHAR(10),""),IF(Y336&lt;Y325," *  Confirmed TB positive already on ART and on TB treatment "&amp;$X$20&amp;" "&amp;$Y$21&amp;" is less than Screening positive for TB Previously enrolled on ART"&amp;CHAR(10),""),IF(Z336&lt;Z325," *  Confirmed TB positive already on ART and on TB treatment "&amp;$Z$20&amp;" "&amp;$Z$21&amp;" is less than Screening positive for TB Previously enrolled on ART"&amp;CHAR(10),""),IF(AA336&lt;AA325," *  Confirmed TB positive already on ART and on TB treatment "&amp;$Z$20&amp;" "&amp;$AA$21&amp;" is less than Screening positive for TB Previously enrolled on ART"&amp;CHAR(10),""))</f>
        <v/>
      </c>
      <c r="AN325" s="671"/>
      <c r="AO325" s="14">
        <v>273</v>
      </c>
      <c r="AP325" s="76"/>
      <c r="AQ325" s="77"/>
    </row>
    <row r="326" spans="1:43" ht="25.9" thickBot="1" x14ac:dyDescent="0.8">
      <c r="A326" s="745"/>
      <c r="B326" s="261" t="s">
        <v>841</v>
      </c>
      <c r="C326" s="901" t="s">
        <v>556</v>
      </c>
      <c r="D326" s="258">
        <f t="shared" ref="D326:AA326" si="116">D324+D325</f>
        <v>0</v>
      </c>
      <c r="E326" s="258">
        <f t="shared" si="116"/>
        <v>0</v>
      </c>
      <c r="F326" s="258">
        <f t="shared" si="116"/>
        <v>0</v>
      </c>
      <c r="G326" s="258">
        <f t="shared" si="116"/>
        <v>0</v>
      </c>
      <c r="H326" s="258">
        <f t="shared" si="116"/>
        <v>0</v>
      </c>
      <c r="I326" s="258">
        <f t="shared" si="116"/>
        <v>0</v>
      </c>
      <c r="J326" s="258">
        <f t="shared" si="116"/>
        <v>0</v>
      </c>
      <c r="K326" s="258">
        <f t="shared" si="116"/>
        <v>0</v>
      </c>
      <c r="L326" s="258">
        <f t="shared" si="116"/>
        <v>0</v>
      </c>
      <c r="M326" s="258">
        <f t="shared" si="116"/>
        <v>0</v>
      </c>
      <c r="N326" s="258">
        <f t="shared" si="116"/>
        <v>0</v>
      </c>
      <c r="O326" s="258">
        <f t="shared" si="116"/>
        <v>0</v>
      </c>
      <c r="P326" s="258">
        <f t="shared" si="116"/>
        <v>0</v>
      </c>
      <c r="Q326" s="258">
        <f t="shared" si="116"/>
        <v>0</v>
      </c>
      <c r="R326" s="258">
        <f t="shared" si="116"/>
        <v>0</v>
      </c>
      <c r="S326" s="258">
        <f t="shared" si="116"/>
        <v>0</v>
      </c>
      <c r="T326" s="258">
        <f t="shared" si="116"/>
        <v>0</v>
      </c>
      <c r="U326" s="258">
        <f t="shared" si="116"/>
        <v>0</v>
      </c>
      <c r="V326" s="258">
        <f t="shared" si="116"/>
        <v>0</v>
      </c>
      <c r="W326" s="258">
        <f t="shared" si="116"/>
        <v>0</v>
      </c>
      <c r="X326" s="258">
        <f t="shared" si="116"/>
        <v>0</v>
      </c>
      <c r="Y326" s="258">
        <f t="shared" si="116"/>
        <v>0</v>
      </c>
      <c r="Z326" s="258">
        <f t="shared" si="116"/>
        <v>0</v>
      </c>
      <c r="AA326" s="382">
        <f t="shared" si="116"/>
        <v>0</v>
      </c>
      <c r="AB326" s="413"/>
      <c r="AC326" s="380"/>
      <c r="AD326" s="380"/>
      <c r="AE326" s="380"/>
      <c r="AF326" s="380"/>
      <c r="AG326" s="380"/>
      <c r="AH326" s="380"/>
      <c r="AI326" s="336"/>
      <c r="AJ326" s="204">
        <f t="shared" si="103"/>
        <v>0</v>
      </c>
      <c r="AK326" s="122"/>
      <c r="AL326" s="664"/>
      <c r="AM326" s="32"/>
      <c r="AN326" s="671"/>
      <c r="AO326" s="14">
        <v>274</v>
      </c>
      <c r="AP326" s="76"/>
      <c r="AQ326" s="77"/>
    </row>
    <row r="327" spans="1:43" ht="25.5" x14ac:dyDescent="0.75">
      <c r="A327" s="745"/>
      <c r="B327" s="263" t="s">
        <v>605</v>
      </c>
      <c r="C327" s="914" t="s">
        <v>559</v>
      </c>
      <c r="D327" s="149"/>
      <c r="E327" s="74"/>
      <c r="F327" s="74"/>
      <c r="G327" s="74"/>
      <c r="H327" s="74"/>
      <c r="I327" s="74"/>
      <c r="J327" s="74"/>
      <c r="K327" s="74"/>
      <c r="L327" s="74"/>
      <c r="M327" s="74"/>
      <c r="N327" s="74"/>
      <c r="O327" s="74"/>
      <c r="P327" s="74"/>
      <c r="Q327" s="74"/>
      <c r="R327" s="74"/>
      <c r="S327" s="74"/>
      <c r="T327" s="74"/>
      <c r="U327" s="74"/>
      <c r="V327" s="74"/>
      <c r="W327" s="74"/>
      <c r="X327" s="74"/>
      <c r="Y327" s="74"/>
      <c r="Z327" s="74"/>
      <c r="AA327" s="340"/>
      <c r="AB327" s="413"/>
      <c r="AC327" s="380"/>
      <c r="AD327" s="380"/>
      <c r="AE327" s="380"/>
      <c r="AF327" s="380"/>
      <c r="AG327" s="380"/>
      <c r="AH327" s="380"/>
      <c r="AI327" s="336"/>
      <c r="AJ327" s="53">
        <f t="shared" si="103"/>
        <v>0</v>
      </c>
      <c r="AK327" s="122"/>
      <c r="AL327" s="664"/>
      <c r="AM327" s="32"/>
      <c r="AN327" s="671"/>
      <c r="AO327" s="14">
        <v>275</v>
      </c>
      <c r="AP327" s="76"/>
      <c r="AQ327" s="77"/>
    </row>
    <row r="328" spans="1:43" ht="25.5" x14ac:dyDescent="0.75">
      <c r="A328" s="745"/>
      <c r="B328" s="2" t="s">
        <v>606</v>
      </c>
      <c r="C328" s="899" t="s">
        <v>599</v>
      </c>
      <c r="D328" s="253"/>
      <c r="E328" s="81"/>
      <c r="F328" s="81"/>
      <c r="G328" s="81"/>
      <c r="H328" s="81"/>
      <c r="I328" s="81"/>
      <c r="J328" s="81"/>
      <c r="K328" s="81"/>
      <c r="L328" s="81"/>
      <c r="M328" s="81"/>
      <c r="N328" s="81"/>
      <c r="O328" s="81"/>
      <c r="P328" s="81"/>
      <c r="Q328" s="81"/>
      <c r="R328" s="81"/>
      <c r="S328" s="81"/>
      <c r="T328" s="81"/>
      <c r="U328" s="81"/>
      <c r="V328" s="81"/>
      <c r="W328" s="81"/>
      <c r="X328" s="81"/>
      <c r="Y328" s="81"/>
      <c r="Z328" s="81"/>
      <c r="AA328" s="341"/>
      <c r="AB328" s="413"/>
      <c r="AC328" s="380"/>
      <c r="AD328" s="380"/>
      <c r="AE328" s="380"/>
      <c r="AF328" s="380"/>
      <c r="AG328" s="380"/>
      <c r="AH328" s="380"/>
      <c r="AI328" s="336"/>
      <c r="AJ328" s="185">
        <f t="shared" si="103"/>
        <v>0</v>
      </c>
      <c r="AK328" s="122" t="str">
        <f>IF(AJ309&gt;0,IF(AJ329&lt;1," No Patient was screened for TB",""),"")</f>
        <v/>
      </c>
      <c r="AL328" s="664"/>
      <c r="AM328" s="32"/>
      <c r="AN328" s="671"/>
      <c r="AO328" s="14">
        <v>276</v>
      </c>
      <c r="AP328" s="76"/>
      <c r="AQ328" s="77"/>
    </row>
    <row r="329" spans="1:43" ht="25.9" thickBot="1" x14ac:dyDescent="0.8">
      <c r="A329" s="745"/>
      <c r="B329" s="261" t="s">
        <v>842</v>
      </c>
      <c r="C329" s="901" t="s">
        <v>303</v>
      </c>
      <c r="D329" s="264">
        <f>SUM(D328,D327,D326)</f>
        <v>0</v>
      </c>
      <c r="E329" s="265">
        <f t="shared" ref="E329:AA329" si="117">SUM(E328,E327,E326)</f>
        <v>0</v>
      </c>
      <c r="F329" s="265">
        <f t="shared" si="117"/>
        <v>0</v>
      </c>
      <c r="G329" s="265">
        <f t="shared" si="117"/>
        <v>0</v>
      </c>
      <c r="H329" s="265">
        <f t="shared" si="117"/>
        <v>0</v>
      </c>
      <c r="I329" s="265">
        <f t="shared" si="117"/>
        <v>0</v>
      </c>
      <c r="J329" s="265">
        <f t="shared" si="117"/>
        <v>0</v>
      </c>
      <c r="K329" s="265">
        <f t="shared" si="117"/>
        <v>0</v>
      </c>
      <c r="L329" s="265">
        <f t="shared" si="117"/>
        <v>0</v>
      </c>
      <c r="M329" s="265">
        <f t="shared" si="117"/>
        <v>0</v>
      </c>
      <c r="N329" s="265">
        <f t="shared" si="117"/>
        <v>0</v>
      </c>
      <c r="O329" s="265">
        <f t="shared" si="117"/>
        <v>0</v>
      </c>
      <c r="P329" s="265">
        <f t="shared" si="117"/>
        <v>0</v>
      </c>
      <c r="Q329" s="265">
        <f t="shared" si="117"/>
        <v>0</v>
      </c>
      <c r="R329" s="265">
        <f t="shared" si="117"/>
        <v>0</v>
      </c>
      <c r="S329" s="265">
        <f t="shared" si="117"/>
        <v>0</v>
      </c>
      <c r="T329" s="265">
        <f t="shared" si="117"/>
        <v>0</v>
      </c>
      <c r="U329" s="265">
        <f t="shared" si="117"/>
        <v>0</v>
      </c>
      <c r="V329" s="265">
        <f t="shared" si="117"/>
        <v>0</v>
      </c>
      <c r="W329" s="265">
        <f t="shared" si="117"/>
        <v>0</v>
      </c>
      <c r="X329" s="265">
        <f t="shared" si="117"/>
        <v>0</v>
      </c>
      <c r="Y329" s="265">
        <f t="shared" si="117"/>
        <v>0</v>
      </c>
      <c r="Z329" s="265">
        <f t="shared" si="117"/>
        <v>0</v>
      </c>
      <c r="AA329" s="383">
        <f t="shared" si="117"/>
        <v>0</v>
      </c>
      <c r="AB329" s="413"/>
      <c r="AC329" s="380"/>
      <c r="AD329" s="380"/>
      <c r="AE329" s="380"/>
      <c r="AF329" s="380"/>
      <c r="AG329" s="380"/>
      <c r="AH329" s="380"/>
      <c r="AI329" s="336"/>
      <c r="AJ329" s="204">
        <f t="shared" si="103"/>
        <v>0</v>
      </c>
      <c r="AK329" s="122" t="str">
        <f>CONCATENATE(IF(D329&gt;D309," * Total Screened For TB  for Age "&amp;D20&amp;" "&amp;D21&amp;" is more than Current On ART "&amp;CHAR(10),""),IF(E329&gt;E309," * Total Screened For TB  for Age "&amp;D20&amp;" "&amp;E21&amp;" is more than Current On ART "&amp;CHAR(10),""),IF(F329&gt;F309," * Total Screened For TB  for Age "&amp;F20&amp;" "&amp;F21&amp;" is more than Current On ART "&amp;CHAR(10),""),IF(G329&gt;G309," * Total Screened For TB  for Age "&amp;F20&amp;" "&amp;G21&amp;" is more than Current On ART "&amp;CHAR(10),""),IF(H329&gt;H309," * Total Screened For TB  for Age "&amp;H20&amp;" "&amp;H21&amp;" is more than Current On ART "&amp;CHAR(10),""),IF(I329&gt;I309," * Total Screened For TB  for Age "&amp;H20&amp;" "&amp;I21&amp;" is more than Current On ART "&amp;CHAR(10),""),IF(J329&gt;J309," * Total Screened For TB  for Age "&amp;J20&amp;" "&amp;J21&amp;" is more than Current On ART "&amp;CHAR(10),""),IF(K329&gt;K309," * Total Screened For TB  for Age "&amp;J20&amp;" "&amp;K21&amp;" is more than Current On ART "&amp;CHAR(10),""),IF(L329&gt;L309," * Total Screened For TB  for Age "&amp;L20&amp;" "&amp;L21&amp;" is more than Current On ART "&amp;CHAR(10),""),IF(M329&gt;M309," * Total Screened For TB  for Age "&amp;L20&amp;" "&amp;M21&amp;" is more than Current On ART "&amp;CHAR(10),""),IF(N329&gt;N309," * Total Screened For TB  for Age "&amp;N20&amp;" "&amp;N21&amp;" is more than Current On ART "&amp;CHAR(10),""),IF(O329&gt;O309," * Total Screened For TB  for Age "&amp;N20&amp;" "&amp;O21&amp;" is more than Current On ART "&amp;CHAR(10),""),IF(P329&gt;P309," * Total Screened For TB  for Age "&amp;P20&amp;" "&amp;P21&amp;" is more than Current On ART "&amp;CHAR(10),""),IF(Q329&gt;Q309," * Total Screened For TB  for Age "&amp;P20&amp;" "&amp;Q21&amp;" is more than Current On ART "&amp;CHAR(10),""),IF(R329&gt;R309," * Total Screened For TB  for Age "&amp;R20&amp;" "&amp;R21&amp;" is more than Current On ART "&amp;CHAR(10),""),IF(S329&gt;S309," * Total Screened For TB  for Age "&amp;R20&amp;" "&amp;S21&amp;" is more than Current On ART "&amp;CHAR(10),""),IF(T329&gt;T309," * Total Screened For TB  for Age "&amp;T20&amp;" "&amp;T21&amp;" is more than Current On ART "&amp;CHAR(10),""),IF(U329&gt;U309," * Total Screened For TB  for Age "&amp;T20&amp;" "&amp;U21&amp;" is more than Current On ART "&amp;CHAR(10),""),IF(V329&gt;V309," * Total Screened For TB  for Age "&amp;V20&amp;" "&amp;V21&amp;" is more than Current On ART "&amp;CHAR(10),""),IF(W329&gt;W309," * Total Screened For TB  for Age "&amp;V20&amp;" "&amp;W21&amp;" is more than Current On ART "&amp;CHAR(10),""),IF(X329&gt;X309," * Total Screened For TB  for Age "&amp;X20&amp;" "&amp;X21&amp;" is more than Current On ART "&amp;CHAR(10),""),IF(Y329&gt;Y309," * Total Screened For TB  for Age "&amp;X20&amp;" "&amp;Y21&amp;" is more than Current On ART "&amp;CHAR(10),""),IF(Z329&gt;Z309," * Total Screened For TB  for Age "&amp;Z20&amp;" "&amp;Z21&amp;" is more than Current On ART "&amp;CHAR(10),""),IF(AA329&gt;AA309," * Total Screened For TB  for Age "&amp;Z20&amp;" "&amp;AA21&amp;" is more than Current On ART "&amp;CHAR(10),""))</f>
        <v/>
      </c>
      <c r="AL329" s="664"/>
      <c r="AM329" s="32" t="str">
        <f>CONCATENATE(IF(D329&lt;D309," * Screened for TB for Age "&amp;D20&amp;" "&amp;D21&amp;" is less than Current On ART"&amp;CHAR(10),""),IF(E329&lt;E309," * Screened for TB for Age "&amp;D20&amp;" "&amp;E21&amp;" is less than Current On ART"&amp;CHAR(10),""),IF(F329&lt;F309," * Screened for TB for Age "&amp;F20&amp;" "&amp;F21&amp;" is less than Current On ART"&amp;CHAR(10),""),IF(G329&lt;G309," * Screened for TB for Age "&amp;F20&amp;" "&amp;G21&amp;" is less than Current On ART"&amp;CHAR(10),""),IF(H329&lt;H309," * Screened for TB for Age "&amp;H20&amp;" "&amp;H21&amp;" is less than Current On ART"&amp;CHAR(10),""),IF(I329&lt;I309," * Screened for TB for Age "&amp;H20&amp;" "&amp;I21&amp;" is less than Current On ART"&amp;CHAR(10),""),IF(J329&lt;J309," * Screened for TB for Age "&amp;J20&amp;" "&amp;J21&amp;" is less than Current On ART"&amp;CHAR(10),""),IF(K329&lt;K309," * Screened for TB for Age "&amp;J20&amp;" "&amp;K21&amp;" is less than Current On ART"&amp;CHAR(10),""),IF(L329&lt;L309," * Screened for TB for Age "&amp;L20&amp;" "&amp;L21&amp;" is less than Current On ART"&amp;CHAR(10),""),IF(M329&lt;M309," * Screened for TB for Age "&amp;L20&amp;" "&amp;M21&amp;" is less than Current On ART"&amp;CHAR(10),""),IF(N329&lt;N309," * Screened for TB for Age "&amp;N20&amp;" "&amp;N21&amp;" is less than Current On ART"&amp;CHAR(10),""),IF(O329&lt;O309," * Screened for TB for Age "&amp;N20&amp;" "&amp;O21&amp;" is less than Current On ART"&amp;CHAR(10),""),IF(P329&lt;P309," * Screened for TB for Age "&amp;P20&amp;" "&amp;P21&amp;" is less than Current On ART"&amp;CHAR(10),""),IF(Q329&lt;Q309," * Screened for TB for Age "&amp;P20&amp;" "&amp;Q21&amp;" is less than Current On ART"&amp;CHAR(10),""),IF(R329&lt;R309," * Screened for TB for Age "&amp;R20&amp;" "&amp;R21&amp;" is less than Current On ART"&amp;CHAR(10),""),IF(S329&lt;S309," * Screened for TB for Age "&amp;R20&amp;" "&amp;S21&amp;" is less than Current On ART"&amp;CHAR(10),""),IF(T329&lt;T309," * Screened for TB for Age "&amp;T20&amp;" "&amp;T21&amp;" is less than Current On ART"&amp;CHAR(10),""),IF(U329&lt;U309," * Screened for TB for Age "&amp;T20&amp;" "&amp;U21&amp;" is less than Current On ART"&amp;CHAR(10),""),IF(V329&lt;V309," * Screened for TB for Age "&amp;V20&amp;" "&amp;V21&amp;" is less than Current On ART"&amp;CHAR(10),""),IF(W329&lt;W309," * Screened for TB for Age "&amp;V20&amp;" "&amp;W21&amp;" is less than Current On ART"&amp;CHAR(10),""),IF(X329&lt;X309," * Screened for TB for Age "&amp;X20&amp;" "&amp;X21&amp;" is less than Current On ART"&amp;CHAR(10),""),IF(Y329&lt;Y309," * Screened for TB for Age "&amp;X20&amp;" "&amp;Y21&amp;" is less than Current On ART"&amp;CHAR(10),""),IF(Z329&lt;Z309," * Screened for TB for Age "&amp;Z20&amp;" "&amp;Z21&amp;" is less than Current On ART"&amp;CHAR(10),""),IF(AA329&lt;AA309," * Screened for TB for Age "&amp;Z20&amp;" "&amp;AA21&amp;" is less than Current On ART"&amp;CHAR(10),""))</f>
        <v/>
      </c>
      <c r="AN329" s="671"/>
      <c r="AO329" s="14">
        <v>277</v>
      </c>
      <c r="AP329" s="76"/>
      <c r="AQ329" s="77"/>
    </row>
    <row r="330" spans="1:43" ht="25.5" x14ac:dyDescent="0.75">
      <c r="A330" s="745"/>
      <c r="B330" s="1" t="s">
        <v>1023</v>
      </c>
      <c r="C330" s="898" t="s">
        <v>600</v>
      </c>
      <c r="D330" s="252"/>
      <c r="E330" s="97"/>
      <c r="F330" s="97"/>
      <c r="G330" s="97"/>
      <c r="H330" s="97"/>
      <c r="I330" s="97"/>
      <c r="J330" s="97"/>
      <c r="K330" s="97"/>
      <c r="L330" s="97"/>
      <c r="M330" s="97"/>
      <c r="N330" s="97"/>
      <c r="O330" s="97"/>
      <c r="P330" s="97"/>
      <c r="Q330" s="97"/>
      <c r="R330" s="97"/>
      <c r="S330" s="97"/>
      <c r="T330" s="97"/>
      <c r="U330" s="97"/>
      <c r="V330" s="97"/>
      <c r="W330" s="97"/>
      <c r="X330" s="97"/>
      <c r="Y330" s="97"/>
      <c r="Z330" s="97"/>
      <c r="AA330" s="344"/>
      <c r="AB330" s="413"/>
      <c r="AC330" s="380"/>
      <c r="AD330" s="380"/>
      <c r="AE330" s="380"/>
      <c r="AF330" s="380"/>
      <c r="AG330" s="380"/>
      <c r="AH330" s="380"/>
      <c r="AI330" s="336"/>
      <c r="AJ330" s="200">
        <f t="shared" si="103"/>
        <v>0</v>
      </c>
      <c r="AK330" s="122"/>
      <c r="AL330" s="664"/>
      <c r="AM330" s="32"/>
      <c r="AN330" s="671"/>
      <c r="AO330" s="14">
        <v>278</v>
      </c>
      <c r="AP330" s="76"/>
      <c r="AQ330" s="77"/>
    </row>
    <row r="331" spans="1:43" s="63" customFormat="1" ht="51" x14ac:dyDescent="0.75">
      <c r="A331" s="745"/>
      <c r="B331" s="2" t="s">
        <v>1024</v>
      </c>
      <c r="C331" s="899" t="s">
        <v>601</v>
      </c>
      <c r="D331" s="253"/>
      <c r="E331" s="81"/>
      <c r="F331" s="81"/>
      <c r="G331" s="81"/>
      <c r="H331" s="81"/>
      <c r="I331" s="81"/>
      <c r="J331" s="81"/>
      <c r="K331" s="81"/>
      <c r="L331" s="81"/>
      <c r="M331" s="81"/>
      <c r="N331" s="81"/>
      <c r="O331" s="81"/>
      <c r="P331" s="81"/>
      <c r="Q331" s="81"/>
      <c r="R331" s="81"/>
      <c r="S331" s="81"/>
      <c r="T331" s="81"/>
      <c r="U331" s="81"/>
      <c r="V331" s="81"/>
      <c r="W331" s="81"/>
      <c r="X331" s="81"/>
      <c r="Y331" s="81"/>
      <c r="Z331" s="81"/>
      <c r="AA331" s="341"/>
      <c r="AB331" s="413"/>
      <c r="AC331" s="380"/>
      <c r="AD331" s="380"/>
      <c r="AE331" s="380"/>
      <c r="AF331" s="380"/>
      <c r="AG331" s="380"/>
      <c r="AH331" s="380"/>
      <c r="AI331" s="336"/>
      <c r="AJ331" s="185">
        <f t="shared" si="103"/>
        <v>0</v>
      </c>
      <c r="AK331" s="122"/>
      <c r="AL331" s="664"/>
      <c r="AM331" s="62"/>
      <c r="AN331" s="671"/>
      <c r="AO331" s="14">
        <v>279</v>
      </c>
      <c r="AP331" s="82"/>
      <c r="AQ331" s="77"/>
    </row>
    <row r="332" spans="1:43" ht="25.5" x14ac:dyDescent="0.75">
      <c r="A332" s="745"/>
      <c r="B332" s="2" t="s">
        <v>1025</v>
      </c>
      <c r="C332" s="899" t="s">
        <v>602</v>
      </c>
      <c r="D332" s="253"/>
      <c r="E332" s="81"/>
      <c r="F332" s="81"/>
      <c r="G332" s="81"/>
      <c r="H332" s="81"/>
      <c r="I332" s="81"/>
      <c r="J332" s="81"/>
      <c r="K332" s="81"/>
      <c r="L332" s="81"/>
      <c r="M332" s="81"/>
      <c r="N332" s="81"/>
      <c r="O332" s="81"/>
      <c r="P332" s="81"/>
      <c r="Q332" s="81"/>
      <c r="R332" s="81"/>
      <c r="S332" s="81"/>
      <c r="T332" s="81"/>
      <c r="U332" s="81"/>
      <c r="V332" s="81"/>
      <c r="W332" s="81"/>
      <c r="X332" s="81"/>
      <c r="Y332" s="81"/>
      <c r="Z332" s="81"/>
      <c r="AA332" s="341"/>
      <c r="AB332" s="413"/>
      <c r="AC332" s="380"/>
      <c r="AD332" s="380"/>
      <c r="AE332" s="380"/>
      <c r="AF332" s="380"/>
      <c r="AG332" s="380"/>
      <c r="AH332" s="380"/>
      <c r="AI332" s="336"/>
      <c r="AJ332" s="185">
        <f t="shared" si="103"/>
        <v>0</v>
      </c>
      <c r="AK332" s="122"/>
      <c r="AL332" s="664"/>
      <c r="AM332" s="32"/>
      <c r="AN332" s="671"/>
      <c r="AO332" s="14">
        <v>280</v>
      </c>
      <c r="AP332" s="76"/>
      <c r="AQ332" s="77"/>
    </row>
    <row r="333" spans="1:43" ht="32.25" customHeight="1" thickBot="1" x14ac:dyDescent="0.8">
      <c r="A333" s="745"/>
      <c r="B333" s="261" t="s">
        <v>843</v>
      </c>
      <c r="C333" s="901" t="s">
        <v>609</v>
      </c>
      <c r="D333" s="265">
        <f t="shared" ref="D333:AA333" si="118">SUM(D330:D332)</f>
        <v>0</v>
      </c>
      <c r="E333" s="265">
        <f t="shared" si="118"/>
        <v>0</v>
      </c>
      <c r="F333" s="265">
        <f t="shared" si="118"/>
        <v>0</v>
      </c>
      <c r="G333" s="265">
        <f t="shared" si="118"/>
        <v>0</v>
      </c>
      <c r="H333" s="265">
        <f t="shared" si="118"/>
        <v>0</v>
      </c>
      <c r="I333" s="265">
        <f t="shared" si="118"/>
        <v>0</v>
      </c>
      <c r="J333" s="265">
        <f t="shared" si="118"/>
        <v>0</v>
      </c>
      <c r="K333" s="265">
        <f t="shared" si="118"/>
        <v>0</v>
      </c>
      <c r="L333" s="265">
        <f t="shared" si="118"/>
        <v>0</v>
      </c>
      <c r="M333" s="265">
        <f t="shared" si="118"/>
        <v>0</v>
      </c>
      <c r="N333" s="265">
        <f t="shared" si="118"/>
        <v>0</v>
      </c>
      <c r="O333" s="265">
        <f t="shared" si="118"/>
        <v>0</v>
      </c>
      <c r="P333" s="265">
        <f t="shared" si="118"/>
        <v>0</v>
      </c>
      <c r="Q333" s="265">
        <f t="shared" si="118"/>
        <v>0</v>
      </c>
      <c r="R333" s="265">
        <f t="shared" si="118"/>
        <v>0</v>
      </c>
      <c r="S333" s="265">
        <f t="shared" si="118"/>
        <v>0</v>
      </c>
      <c r="T333" s="265">
        <f t="shared" si="118"/>
        <v>0</v>
      </c>
      <c r="U333" s="265">
        <f t="shared" si="118"/>
        <v>0</v>
      </c>
      <c r="V333" s="265">
        <f t="shared" si="118"/>
        <v>0</v>
      </c>
      <c r="W333" s="265">
        <f t="shared" si="118"/>
        <v>0</v>
      </c>
      <c r="X333" s="265">
        <f t="shared" si="118"/>
        <v>0</v>
      </c>
      <c r="Y333" s="265">
        <f t="shared" si="118"/>
        <v>0</v>
      </c>
      <c r="Z333" s="265">
        <f t="shared" si="118"/>
        <v>0</v>
      </c>
      <c r="AA333" s="383">
        <f t="shared" si="118"/>
        <v>0</v>
      </c>
      <c r="AB333" s="413"/>
      <c r="AC333" s="380"/>
      <c r="AD333" s="380"/>
      <c r="AE333" s="380"/>
      <c r="AF333" s="380"/>
      <c r="AG333" s="380"/>
      <c r="AH333" s="380"/>
      <c r="AI333" s="336"/>
      <c r="AJ333" s="204">
        <f t="shared" si="103"/>
        <v>0</v>
      </c>
      <c r="AK333" s="31" t="str">
        <f>CONCATENATE(IF(D334&gt;D333," *  Positive Result Returned For bacteriologic diagnosis "&amp;$D$20&amp;" "&amp;$D$21&amp;" is more than Total Patients whose specimens were sent"&amp;CHAR(10),""),IF(E334&gt;E333," *  Positive Result Returned For bacteriologic diagnosis "&amp;$D$20&amp;" "&amp;$E$21&amp;" is more than Total Patients whose specimens were sent"&amp;CHAR(10),""),IF(F334&gt;F333," *  Positive Result Returned For bacteriologic diagnosis "&amp;$F$20&amp;" "&amp;$F$21&amp;" is more than Total Patients whose specimens were sent"&amp;CHAR(10),""),IF(G334&gt;G333," *  Positive Result Returned For bacteriologic diagnosis "&amp;$F$20&amp;" "&amp;$G$21&amp;" is more than Total Patients whose specimens were sent"&amp;CHAR(10),""),IF(H334&gt;H333," *  Positive Result Returned For bacteriologic diagnosis "&amp;$H$20&amp;" "&amp;$H$21&amp;" is more than Total Patients whose specimens were sent"&amp;CHAR(10),""),IF(I334&gt;I333," *  Positive Result Returned For bacteriologic diagnosis "&amp;$H$20&amp;" "&amp;$I$21&amp;" is more than Total Patients whose specimens were sent"&amp;CHAR(10),""),IF(J334&gt;J333," *  Positive Result Returned For bacteriologic diagnosis "&amp;$J$20&amp;" "&amp;$J$21&amp;" is more than Total Patients whose specimens were sent"&amp;CHAR(10),""),IF(K334&gt;K333," *  Positive Result Returned For bacteriologic diagnosis "&amp;$J$20&amp;" "&amp;$K$21&amp;" is more than Total Patients whose specimens were sent"&amp;CHAR(10),""),IF(L334&gt;L333," *  Positive Result Returned For bacteriologic diagnosis "&amp;$L$20&amp;" "&amp;$L$21&amp;" is more than Total Patients whose specimens were sent"&amp;CHAR(10),""),IF(M334&gt;M333," *  Positive Result Returned For bacteriologic diagnosis "&amp;$L$20&amp;" "&amp;$M$21&amp;" is more than Total Patients whose specimens were sent"&amp;CHAR(10),""),IF(N334&gt;N333," *  Positive Result Returned For bacteriologic diagnosis "&amp;$N$20&amp;" "&amp;$N$21&amp;" is more than Total Patients whose specimens were sent"&amp;CHAR(10),""),IF(O334&gt;O333," *  Positive Result Returned For bacteriologic diagnosis "&amp;$N$20&amp;" "&amp;$O$21&amp;" is more than Total Patients whose specimens were sent"&amp;CHAR(10),""),IF(P334&gt;P333," *  Positive Result Returned For bacteriologic diagnosis "&amp;$P$20&amp;" "&amp;$P$21&amp;" is more than Total Patients whose specimens were sent"&amp;CHAR(10),""),IF(Q334&gt;Q333," *  Positive Result Returned For bacteriologic diagnosis "&amp;$P$20&amp;" "&amp;$Q$21&amp;" is more than Total Patients whose specimens were sent"&amp;CHAR(10),""),IF(R334&gt;R333," *  Positive Result Returned For bacteriologic diagnosis "&amp;$R$20&amp;" "&amp;$R$21&amp;" is more than Total Patients whose specimens were sent"&amp;CHAR(10),""),IF(S334&gt;S333," *  Positive Result Returned For bacteriologic diagnosis "&amp;$R$20&amp;" "&amp;$S$21&amp;" is more than Total Patients whose specimens were sent"&amp;CHAR(10),""),IF(T334&gt;T333," *  Positive Result Returned For bacteriologic diagnosis "&amp;$T$20&amp;" "&amp;$T$21&amp;" is more than Total Patients whose specimens were sent"&amp;CHAR(10),""),IF(U334&gt;U333," *  Positive Result Returned For bacteriologic diagnosis "&amp;$T$20&amp;" "&amp;$U$21&amp;" is more than Total Patients whose specimens were sent"&amp;CHAR(10),""),IF(V334&gt;V333," *  Positive Result Returned For bacteriologic diagnosis "&amp;$V$20&amp;" "&amp;$V$21&amp;" is more than Total Patients whose specimens were sent"&amp;CHAR(10),""),IF(W334&gt;W333," *  Positive Result Returned For bacteriologic diagnosis "&amp;$V$20&amp;" "&amp;$W$21&amp;" is more than Total Patients whose specimens were sent"&amp;CHAR(10),""),IF(X334&gt;X333," *  Positive Result Returned For bacteriologic diagnosis "&amp;$X$20&amp;" "&amp;$X$21&amp;" is more than Total Patients whose specimens were sent"&amp;CHAR(10),""),IF(Y334&gt;Y333," *  Positive Result Returned For bacteriologic diagnosis "&amp;$X$20&amp;" "&amp;$Y$21&amp;" is more than Total Patients whose specimens were sent"&amp;CHAR(10),""),IF(Z334&gt;Z333," *  Positive Result Returned For bacteriologic diagnosis "&amp;$Z$20&amp;" "&amp;$Z$21&amp;" is more than Total Patients whose specimens were sent"&amp;CHAR(10),""),IF(AA334&gt;AA333," *  Positive Result Returned For bacteriologic diagnosis "&amp;$Z$20&amp;" "&amp;$AA$21&amp;" is more than Total Patients whose specimens were sent"&amp;CHAR(10),""))</f>
        <v/>
      </c>
      <c r="AL333" s="664"/>
      <c r="AM333" s="32"/>
      <c r="AN333" s="671"/>
      <c r="AO333" s="14">
        <v>281</v>
      </c>
      <c r="AP333" s="76"/>
      <c r="AQ333" s="77"/>
    </row>
    <row r="334" spans="1:43" ht="51.4" thickBot="1" x14ac:dyDescent="0.8">
      <c r="A334" s="746"/>
      <c r="B334" s="241" t="s">
        <v>607</v>
      </c>
      <c r="C334" s="917" t="s">
        <v>610</v>
      </c>
      <c r="D334" s="262"/>
      <c r="E334" s="262"/>
      <c r="F334" s="262"/>
      <c r="G334" s="262"/>
      <c r="H334" s="262"/>
      <c r="I334" s="262"/>
      <c r="J334" s="262"/>
      <c r="K334" s="262"/>
      <c r="L334" s="262"/>
      <c r="M334" s="262"/>
      <c r="N334" s="262"/>
      <c r="O334" s="262"/>
      <c r="P334" s="262"/>
      <c r="Q334" s="262"/>
      <c r="R334" s="262"/>
      <c r="S334" s="262"/>
      <c r="T334" s="262"/>
      <c r="U334" s="262"/>
      <c r="V334" s="262"/>
      <c r="W334" s="262"/>
      <c r="X334" s="262"/>
      <c r="Y334" s="262"/>
      <c r="Z334" s="262"/>
      <c r="AA334" s="384"/>
      <c r="AB334" s="413"/>
      <c r="AC334" s="380"/>
      <c r="AD334" s="380"/>
      <c r="AE334" s="380"/>
      <c r="AF334" s="380"/>
      <c r="AG334" s="380"/>
      <c r="AH334" s="380"/>
      <c r="AI334" s="336"/>
      <c r="AJ334" s="540">
        <f t="shared" si="103"/>
        <v>0</v>
      </c>
      <c r="AK334" s="31" t="str">
        <f>CONCATENATE(IF(D326&lt;D333," *  Total Screening positive for TB ( Presumptive TB Clients ) "&amp;$D$20&amp;" "&amp;$D$21&amp;" is less than Total Patients whose specimens were sent"&amp;CHAR(10),""),IF(E326&lt;E333," *  Total Screening positive for TB ( Presumptive TB Clients ) "&amp;$D$20&amp;" "&amp;$E$21&amp;" is less than Total Patients whose specimens were sent"&amp;CHAR(10),""),IF(F326&lt;F333," *  Total Screening positive for TB ( Presumptive TB Clients ) "&amp;$F$20&amp;" "&amp;$F$21&amp;" is less than Total Patients whose specimens were sent"&amp;CHAR(10),""),IF(G326&lt;G333," *  Total Screening positive for TB ( Presumptive TB Clients ) "&amp;$F$20&amp;" "&amp;$G$21&amp;" is less than Total Patients whose specimens were sent"&amp;CHAR(10),""),IF(H326&lt;H333," *  Total Screening positive for TB ( Presumptive TB Clients ) "&amp;$H$20&amp;" "&amp;$H$21&amp;" is less than Total Patients whose specimens were sent"&amp;CHAR(10),""),IF(I326&lt;I333," *  Total Screening positive for TB ( Presumptive TB Clients ) "&amp;$H$20&amp;" "&amp;$I$21&amp;" is less than Total Patients whose specimens were sent"&amp;CHAR(10),""),IF(J326&lt;J333," *  Total Screening positive for TB ( Presumptive TB Clients ) "&amp;$J$20&amp;" "&amp;$J$21&amp;" is less than Total Patients whose specimens were sent"&amp;CHAR(10),""),IF(K326&lt;K333," *  Total Screening positive for TB ( Presumptive TB Clients ) "&amp;$J$20&amp;" "&amp;$K$21&amp;" is less than Total Patients whose specimens were sent"&amp;CHAR(10),""),IF(L326&lt;L333," *  Total Screening positive for TB ( Presumptive TB Clients ) "&amp;$L$20&amp;" "&amp;$L$21&amp;" is less than Total Patients whose specimens were sent"&amp;CHAR(10),""),IF(M326&lt;M333," *  Total Screening positive for TB ( Presumptive TB Clients ) "&amp;$L$20&amp;" "&amp;$M$21&amp;" is less than Total Patients whose specimens were sent"&amp;CHAR(10),""),IF(N326&lt;N333," *  Total Screening positive for TB ( Presumptive TB Clients ) "&amp;$N$20&amp;" "&amp;$N$21&amp;" is less than Total Patients whose specimens were sent"&amp;CHAR(10),""),IF(O326&lt;O333," *  Total Screening positive for TB ( Presumptive TB Clients ) "&amp;$N$20&amp;" "&amp;$O$21&amp;" is less than Total Patients whose specimens were sent"&amp;CHAR(10),""),IF(P326&lt;P333," *  Total Screening positive for TB ( Presumptive TB Clients ) "&amp;$P$20&amp;" "&amp;$P$21&amp;" is less than Total Patients whose specimens were sent"&amp;CHAR(10),""),IF(Q326&lt;Q333," *  Total Screening positive for TB ( Presumptive TB Clients ) "&amp;$P$20&amp;" "&amp;$Q$21&amp;" is less than Total Patients whose specimens were sent"&amp;CHAR(10),""),IF(R326&lt;R333," *  Total Screening positive for TB ( Presumptive TB Clients ) "&amp;$R$20&amp;" "&amp;$R$21&amp;" is less than Total Patients whose specimens were sent"&amp;CHAR(10),""),IF(S326&lt;S333," *  Total Screening positive for TB ( Presumptive TB Clients ) "&amp;$R$20&amp;" "&amp;$S$21&amp;" is less than Total Patients whose specimens were sent"&amp;CHAR(10),""),IF(T326&lt;T333," *  Total Screening positive for TB ( Presumptive TB Clients ) "&amp;$T$20&amp;" "&amp;$T$21&amp;" is less than Total Patients whose specimens were sent"&amp;CHAR(10),""),IF(U326&lt;U333," *  Total Screening positive for TB ( Presumptive TB Clients ) "&amp;$T$20&amp;" "&amp;$U$21&amp;" is less than Total Patients whose specimens were sent"&amp;CHAR(10),""),IF(V326&lt;V333," *  Total Screening positive for TB ( Presumptive TB Clients ) "&amp;$V$20&amp;" "&amp;$V$21&amp;" is less than Total Patients whose specimens were sent"&amp;CHAR(10),""),IF(W326&lt;W333," *  Total Screening positive for TB ( Presumptive TB Clients ) "&amp;$V$20&amp;" "&amp;$W$21&amp;" is less than Total Patients whose specimens were sent"&amp;CHAR(10),""),IF(X326&lt;X333," *  Total Screening positive for TB ( Presumptive TB Clients ) "&amp;$X$20&amp;" "&amp;$X$21&amp;" is less than Total Patients whose specimens were sent"&amp;CHAR(10),""),IF(Y326&lt;Y333," *  Total Screening positive for TB ( Presumptive TB Clients ) "&amp;$X$20&amp;" "&amp;$Y$21&amp;" is less than Total Patients whose specimens were sent"&amp;CHAR(10),""),IF(Z326&lt;Z333," *  Total Screening positive for TB ( Presumptive TB Clients ) "&amp;$Z$20&amp;" "&amp;$Z$21&amp;" is less than Total Patients whose specimens were sent"&amp;CHAR(10),""),IF(AA326&lt;AA333," *  Total Screening positive for TB ( Presumptive TB Clients ) "&amp;$Z$20&amp;" "&amp;$AA$21&amp;" is less than Total Patients whose specimens were sent"&amp;CHAR(10),""))</f>
        <v/>
      </c>
      <c r="AL334" s="664"/>
      <c r="AM334" s="32"/>
      <c r="AN334" s="671"/>
      <c r="AO334" s="14">
        <v>282</v>
      </c>
      <c r="AP334" s="76"/>
      <c r="AQ334" s="77"/>
    </row>
    <row r="335" spans="1:43" ht="25.5" x14ac:dyDescent="0.75">
      <c r="A335" s="730" t="s">
        <v>847</v>
      </c>
      <c r="B335" s="94" t="s">
        <v>608</v>
      </c>
      <c r="C335" s="898" t="s">
        <v>613</v>
      </c>
      <c r="D335" s="252"/>
      <c r="E335" s="252"/>
      <c r="F335" s="252"/>
      <c r="G335" s="252"/>
      <c r="H335" s="252"/>
      <c r="I335" s="252"/>
      <c r="J335" s="252"/>
      <c r="K335" s="252"/>
      <c r="L335" s="252"/>
      <c r="M335" s="252"/>
      <c r="N335" s="252"/>
      <c r="O335" s="252"/>
      <c r="P335" s="252"/>
      <c r="Q335" s="252"/>
      <c r="R335" s="252"/>
      <c r="S335" s="252"/>
      <c r="T335" s="252"/>
      <c r="U335" s="252"/>
      <c r="V335" s="252"/>
      <c r="W335" s="252"/>
      <c r="X335" s="252"/>
      <c r="Y335" s="252"/>
      <c r="Z335" s="252"/>
      <c r="AA335" s="385"/>
      <c r="AB335" s="413"/>
      <c r="AC335" s="380"/>
      <c r="AD335" s="380"/>
      <c r="AE335" s="380"/>
      <c r="AF335" s="380"/>
      <c r="AG335" s="380"/>
      <c r="AH335" s="380"/>
      <c r="AI335" s="336"/>
      <c r="AJ335" s="200">
        <f t="shared" ref="AJ335" si="119">SUM(D335:AA335)</f>
        <v>0</v>
      </c>
      <c r="AK335" s="122"/>
      <c r="AL335" s="664"/>
      <c r="AM335" s="32"/>
      <c r="AN335" s="671"/>
      <c r="AO335" s="14">
        <v>283</v>
      </c>
      <c r="AP335" s="76"/>
      <c r="AQ335" s="77"/>
    </row>
    <row r="336" spans="1:43" ht="25.5" x14ac:dyDescent="0.75">
      <c r="A336" s="731"/>
      <c r="B336" s="78" t="s">
        <v>846</v>
      </c>
      <c r="C336" s="899" t="s">
        <v>614</v>
      </c>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341"/>
      <c r="AB336" s="413"/>
      <c r="AC336" s="380"/>
      <c r="AD336" s="380"/>
      <c r="AE336" s="380"/>
      <c r="AF336" s="380"/>
      <c r="AG336" s="380"/>
      <c r="AH336" s="380"/>
      <c r="AI336" s="336"/>
      <c r="AJ336" s="185">
        <f t="shared" ref="AJ336" si="120">SUM(D336:AA336)</f>
        <v>0</v>
      </c>
      <c r="AK336" s="122" t="str">
        <f>CONCATENATE(IF(D337&gt;D334," *  Confirmed ART Patients TB positive and started on TB treatment "&amp;$D$20&amp;" "&amp;$D$21&amp;" is less than  ART patients who had a positive result returned F07-50"&amp;CHAR(10),""),IF(E337&gt;E334," *  Confirmed ART Patients TB positive and started on TB treatment "&amp;$D$20&amp;" "&amp;$E$21&amp;" is less than  ART patients who had a positive result returned F07-50"&amp;CHAR(10),""),IF(F337&gt;F334," *  Confirmed ART Patients TB positive and started on TB treatment "&amp;$F$20&amp;" "&amp;$F$21&amp;" is less than  ART patients who had a positive result returned F07-50"&amp;CHAR(10),""),IF(G337&gt;G334," *  Confirmed ART Patients TB positive and started on TB treatment "&amp;$F$20&amp;" "&amp;$G$21&amp;" is less than  ART patients who had a positive result returned F07-50"&amp;CHAR(10),""),IF(H337&gt;H334," *  Confirmed ART Patients TB positive and started on TB treatment "&amp;$H$20&amp;" "&amp;$H$21&amp;" is less than  ART patients who had a positive result returned F07-50"&amp;CHAR(10),""),IF(I337&gt;I334," *  Confirmed ART Patients TB positive and started on TB treatment "&amp;$H$20&amp;" "&amp;$I$21&amp;" is less than  ART patients who had a positive result returned F07-50"&amp;CHAR(10),""),IF(J337&gt;J334," *  Confirmed ART Patients TB positive and started on TB treatment "&amp;$J$20&amp;" "&amp;$J$21&amp;" is less than  ART patients who had a positive result returned F07-50"&amp;CHAR(10),""),IF(K337&gt;K334," *  Confirmed ART Patients TB positive and started on TB treatment "&amp;$J$20&amp;" "&amp;$K$21&amp;" is less than  ART patients who had a positive result returned F07-50"&amp;CHAR(10),""),IF(L337&gt;L334," *  Confirmed ART Patients TB positive and started on TB treatment "&amp;$L$20&amp;" "&amp;$L$21&amp;" is less than  ART patients who had a positive result returned F07-50"&amp;CHAR(10),""),IF(M337&gt;M334," *  Confirmed ART Patients TB positive and started on TB treatment "&amp;$L$20&amp;" "&amp;$M$21&amp;" is less than  ART patients who had a positive result returned F07-50"&amp;CHAR(10),""),IF(N337&gt;N334," *  Confirmed ART Patients TB positive and started on TB treatment "&amp;$N$20&amp;" "&amp;$N$21&amp;" is less than  ART patients who had a positive result returned F07-50"&amp;CHAR(10),""),IF(O337&gt;O334," *  Confirmed ART Patients TB positive and started on TB treatment "&amp;$N$20&amp;" "&amp;$O$21&amp;" is less than  ART patients who had a positive result returned F07-50"&amp;CHAR(10),""),IF(P337&gt;P334," *  Confirmed ART Patients TB positive and started on TB treatment "&amp;$P$20&amp;" "&amp;$P$21&amp;" is less than  ART patients who had a positive result returned F07-50"&amp;CHAR(10),""),IF(Q337&gt;Q334," *  Confirmed ART Patients TB positive and started on TB treatment "&amp;$P$20&amp;" "&amp;$Q$21&amp;" is less than  ART patients who had a positive result returned F07-50"&amp;CHAR(10),""),IF(R337&gt;R334," *  Confirmed ART Patients TB positive and started on TB treatment "&amp;$R$20&amp;" "&amp;$R$21&amp;" is less than  ART patients who had a positive result returned F07-50"&amp;CHAR(10),""),IF(S337&gt;S334," *  Confirmed ART Patients TB positive and started on TB treatment "&amp;$R$20&amp;" "&amp;$S$21&amp;" is less than  ART patients who had a positive result returned F07-50"&amp;CHAR(10),""),IF(T337&gt;T334," *  Confirmed ART Patients TB positive and started on TB treatment "&amp;$T$20&amp;" "&amp;$T$21&amp;" is less than  ART patients who had a positive result returned F07-50"&amp;CHAR(10),""),IF(U337&gt;U334," *  Confirmed ART Patients TB positive and started on TB treatment "&amp;$T$20&amp;" "&amp;$U$21&amp;" is less than  ART patients who had a positive result returned F07-50"&amp;CHAR(10),""),IF(V337&gt;V334," *  Confirmed ART Patients TB positive and started on TB treatment "&amp;$V$20&amp;" "&amp;$V$21&amp;" is less than  ART patients who had a positive result returned F07-50"&amp;CHAR(10),""),IF(W337&gt;W334," *  Confirmed ART Patients TB positive and started on TB treatment "&amp;$V$20&amp;" "&amp;$W$21&amp;" is less than  ART patients who had a positive result returned F07-50"&amp;CHAR(10),""),IF(X337&gt;X334," *  Confirmed ART Patients TB positive and started on TB treatment "&amp;$X$20&amp;" "&amp;$X$21&amp;" is less than  ART patients who had a positive result returned F07-50"&amp;CHAR(10),""),IF(Y337&gt;Y334," *  Confirmed ART Patients TB positive and started on TB treatment "&amp;$X$20&amp;" "&amp;$Y$21&amp;" is less than  ART patients who had a positive result returned F07-50"&amp;CHAR(10),""),IF(Z337&gt;Z334," *  Confirmed ART Patients TB positive and started on TB treatment "&amp;$Z$20&amp;" "&amp;$Z$21&amp;" is less than  ART patients who had a positive result returned F07-50"&amp;CHAR(10),""),IF(AA337&gt;AA334," *  Confirmed ART Patients TB positive and started on TB treatment "&amp;$Z$20&amp;" "&amp;$AA$21&amp;" is less than  ART patients who had a positive result returned F07-50"&amp;CHAR(10),""))</f>
        <v/>
      </c>
      <c r="AL336" s="664"/>
      <c r="AM336" s="32"/>
      <c r="AN336" s="671"/>
      <c r="AO336" s="14">
        <v>284</v>
      </c>
      <c r="AP336" s="76"/>
      <c r="AQ336" s="77"/>
    </row>
    <row r="337" spans="1:43" ht="51.4" thickBot="1" x14ac:dyDescent="0.8">
      <c r="A337" s="743"/>
      <c r="B337" s="257" t="s">
        <v>845</v>
      </c>
      <c r="C337" s="901" t="s">
        <v>615</v>
      </c>
      <c r="D337" s="258">
        <f>D335+D336</f>
        <v>0</v>
      </c>
      <c r="E337" s="258">
        <f t="shared" ref="E337:AA337" si="121">E335+E336</f>
        <v>0</v>
      </c>
      <c r="F337" s="258">
        <f t="shared" si="121"/>
        <v>0</v>
      </c>
      <c r="G337" s="258">
        <f t="shared" si="121"/>
        <v>0</v>
      </c>
      <c r="H337" s="258">
        <f t="shared" si="121"/>
        <v>0</v>
      </c>
      <c r="I337" s="258">
        <f t="shared" si="121"/>
        <v>0</v>
      </c>
      <c r="J337" s="258">
        <f t="shared" si="121"/>
        <v>0</v>
      </c>
      <c r="K337" s="258">
        <f t="shared" si="121"/>
        <v>0</v>
      </c>
      <c r="L337" s="258">
        <f t="shared" si="121"/>
        <v>0</v>
      </c>
      <c r="M337" s="258">
        <f t="shared" si="121"/>
        <v>0</v>
      </c>
      <c r="N337" s="258">
        <f t="shared" si="121"/>
        <v>0</v>
      </c>
      <c r="O337" s="258">
        <f t="shared" si="121"/>
        <v>0</v>
      </c>
      <c r="P337" s="258">
        <f t="shared" si="121"/>
        <v>0</v>
      </c>
      <c r="Q337" s="258">
        <f t="shared" si="121"/>
        <v>0</v>
      </c>
      <c r="R337" s="258">
        <f t="shared" si="121"/>
        <v>0</v>
      </c>
      <c r="S337" s="258">
        <f t="shared" si="121"/>
        <v>0</v>
      </c>
      <c r="T337" s="258">
        <f t="shared" si="121"/>
        <v>0</v>
      </c>
      <c r="U337" s="258">
        <f t="shared" si="121"/>
        <v>0</v>
      </c>
      <c r="V337" s="258">
        <f t="shared" si="121"/>
        <v>0</v>
      </c>
      <c r="W337" s="258">
        <f t="shared" si="121"/>
        <v>0</v>
      </c>
      <c r="X337" s="258">
        <f t="shared" si="121"/>
        <v>0</v>
      </c>
      <c r="Y337" s="258">
        <f t="shared" si="121"/>
        <v>0</v>
      </c>
      <c r="Z337" s="258">
        <f t="shared" si="121"/>
        <v>0</v>
      </c>
      <c r="AA337" s="382">
        <f t="shared" si="121"/>
        <v>0</v>
      </c>
      <c r="AB337" s="413"/>
      <c r="AC337" s="380"/>
      <c r="AD337" s="380"/>
      <c r="AE337" s="380"/>
      <c r="AF337" s="380"/>
      <c r="AG337" s="380"/>
      <c r="AH337" s="380"/>
      <c r="AI337" s="336"/>
      <c r="AJ337" s="204">
        <f t="shared" ref="AJ337" si="122">SUM(D337:AA337)</f>
        <v>0</v>
      </c>
      <c r="AK337" s="122" t="str">
        <f>CONCATENATE(IF(D337&gt;D329," * ART Patients TB positive and started on TB Treatment  for Age "&amp;D20&amp;" "&amp;D21&amp;" is more than Total Screened for TB"&amp;CHAR(10),""),IF(E337&gt;E329," * ART Patients TB positive and started on TB Treatment  for Age "&amp;D20&amp;" "&amp;E21&amp;" is more than Total Screened for TB"&amp;CHAR(10),""),IF(F337&gt;F329," * ART Patients TB positive and started on TB Treatment  for Age "&amp;F20&amp;" "&amp;F21&amp;" is more than Total Screened for TB"&amp;CHAR(10),""),IF(G337&gt;G329," * ART Patients TB positive and started on TB Treatment  for Age "&amp;F20&amp;" "&amp;G21&amp;" is more than Total Screened for TB"&amp;CHAR(10),""),IF(H337&gt;H329," * ART Patients TB positive and started on TB Treatment  for Age "&amp;H20&amp;" "&amp;H21&amp;" is more than Total Screened for TB"&amp;CHAR(10),""),IF(I337&gt;I329," * ART Patients TB positive and started on TB Treatment  for Age "&amp;H20&amp;" "&amp;I21&amp;" is more than Total Screened for TB"&amp;CHAR(10),""),IF(J337&gt;J329," * ART Patients TB positive and started on TB Treatment  for Age "&amp;J20&amp;" "&amp;J21&amp;" is more than Total Screened for TB"&amp;CHAR(10),""),IF(K337&gt;K329," * ART Patients TB positive and started on TB Treatment  for Age "&amp;J20&amp;" "&amp;K21&amp;" is more than Total Screened for TB"&amp;CHAR(10),""),IF(L337&gt;L329," * ART Patients TB positive and started on TB Treatment  for Age "&amp;L20&amp;" "&amp;L21&amp;" is more than Total Screened for TB"&amp;CHAR(10),""),IF(M337&gt;M329," * ART Patients TB positive and started on TB Treatment  for Age "&amp;L20&amp;" "&amp;M21&amp;" is more than Total Screened for TB"&amp;CHAR(10),""),IF(N337&gt;N329," * ART Patients TB positive and started on TB Treatment  for Age "&amp;N20&amp;" "&amp;N21&amp;" is more than Total Screened for TB"&amp;CHAR(10),""),IF(O337&gt;O329," * ART Patients TB positive and started on TB Treatment  for Age "&amp;N20&amp;" "&amp;O21&amp;" is more than Total Screened for TB"&amp;CHAR(10),""),IF(P337&gt;P329," * ART Patients TB positive and started on TB Treatment  for Age "&amp;P20&amp;" "&amp;P21&amp;" is more than Total Screened for TB"&amp;CHAR(10),""),IF(Q337&gt;Q329," * ART Patients TB positive and started on TB Treatment  for Age "&amp;P20&amp;" "&amp;Q21&amp;" is more than Total Screened for TB"&amp;CHAR(10),""),IF(R337&gt;R329," * ART Patients TB positive and started on TB Treatment  for Age "&amp;R20&amp;" "&amp;R21&amp;" is more than Total Screened for TB"&amp;CHAR(10),""),IF(S337&gt;S329," * ART Patients TB positive and started on TB Treatment  for Age "&amp;R20&amp;" "&amp;S21&amp;" is more than Total Screened for TB"&amp;CHAR(10),""),IF(T337&gt;T329," * ART Patients TB positive and started on TB Treatment  for Age "&amp;T20&amp;" "&amp;T21&amp;" is more than Total Screened for TB"&amp;CHAR(10),""),IF(U337&gt;U329," * ART Patients TB positive and started on TB Treatment  for Age "&amp;T20&amp;" "&amp;U21&amp;" is more than Total Screened for TB"&amp;CHAR(10),""),IF(V337&gt;V329," * ART Patients TB positive and started on TB Treatment  for Age "&amp;V20&amp;" "&amp;V21&amp;" is more than Total Screened for TB"&amp;CHAR(10),""),IF(W337&gt;W329," * ART Patients TB positive and started on TB Treatment  for Age "&amp;V20&amp;" "&amp;W21&amp;" is more than Total Screened for TB"&amp;CHAR(10),""),IF(X337&gt;X329," * ART Patients TB positive and started on TB Treatment  for Age "&amp;X20&amp;" "&amp;X21&amp;" is more than Total Screened for TB"&amp;CHAR(10),""),IF(Y337&gt;Y329," * ART Patients TB positive and started on TB Treatment  for Age "&amp;X20&amp;" "&amp;Y21&amp;" is more than Total Screened for TB"&amp;CHAR(10),""),IF(Z337&gt;Z329," * ART Patients TB positive and started on TB Treatment  for Age "&amp;Z20&amp;" "&amp;Z21&amp;" is more than Total Screened for TB"&amp;CHAR(10),""),IF(AA337&gt;AA329," * ART Patients TB positive and started on TB Treatment  for Age "&amp;Z20&amp;" "&amp;AA21&amp;" is more than Total Screened for TB"&amp;CHAR(10),""))</f>
        <v/>
      </c>
      <c r="AL337" s="851"/>
      <c r="AM337" s="32"/>
      <c r="AN337" s="846"/>
      <c r="AO337" s="14">
        <v>285</v>
      </c>
      <c r="AP337" s="76"/>
      <c r="AQ337" s="77"/>
    </row>
    <row r="338" spans="1:43" ht="25.5" hidden="1" x14ac:dyDescent="0.75">
      <c r="A338" s="730" t="s">
        <v>612</v>
      </c>
      <c r="B338" s="110" t="s">
        <v>953</v>
      </c>
      <c r="C338" s="898" t="s">
        <v>616</v>
      </c>
      <c r="D338" s="266">
        <f>D8+D11+D15</f>
        <v>0</v>
      </c>
      <c r="E338" s="266">
        <f>E8+E11+E15</f>
        <v>0</v>
      </c>
      <c r="F338" s="266">
        <f>F8+F11+F15</f>
        <v>0</v>
      </c>
      <c r="G338" s="266">
        <f>G8+G11+G15</f>
        <v>0</v>
      </c>
      <c r="H338" s="266">
        <f>H8+H11+H15</f>
        <v>0</v>
      </c>
      <c r="I338" s="266">
        <f>I8+I11+I15</f>
        <v>0</v>
      </c>
      <c r="J338" s="266">
        <f>J8+J11+J15</f>
        <v>0</v>
      </c>
      <c r="K338" s="266">
        <f>K8+K11+K15</f>
        <v>0</v>
      </c>
      <c r="L338" s="266">
        <f>L8+L11+L15</f>
        <v>0</v>
      </c>
      <c r="M338" s="266">
        <f>M8+M11+M15</f>
        <v>0</v>
      </c>
      <c r="N338" s="266">
        <f>N8+N11+N15</f>
        <v>0</v>
      </c>
      <c r="O338" s="266">
        <f>O8+O11+O15</f>
        <v>0</v>
      </c>
      <c r="P338" s="266">
        <f>P8+P11+P15</f>
        <v>0</v>
      </c>
      <c r="Q338" s="266">
        <f>Q8+Q11+Q15</f>
        <v>0</v>
      </c>
      <c r="R338" s="266">
        <f>R8+R11+R15</f>
        <v>0</v>
      </c>
      <c r="S338" s="266">
        <f>S8+S11+S15</f>
        <v>0</v>
      </c>
      <c r="T338" s="266">
        <f>T8+T11+T15</f>
        <v>0</v>
      </c>
      <c r="U338" s="266">
        <f>U8+U11+U15</f>
        <v>0</v>
      </c>
      <c r="V338" s="266">
        <f>V8+V11+V15</f>
        <v>0</v>
      </c>
      <c r="W338" s="266">
        <f>W8+W11+W15</f>
        <v>0</v>
      </c>
      <c r="X338" s="266">
        <f>X8+X11+X15</f>
        <v>0</v>
      </c>
      <c r="Y338" s="266">
        <f>Y8+Y11+Y15</f>
        <v>0</v>
      </c>
      <c r="Z338" s="266">
        <f>Z8+Z11+Z15</f>
        <v>0</v>
      </c>
      <c r="AA338" s="541">
        <f>AA8+AA11+AA15</f>
        <v>0</v>
      </c>
      <c r="AB338" s="544"/>
      <c r="AC338" s="543"/>
      <c r="AD338" s="543"/>
      <c r="AE338" s="543"/>
      <c r="AF338" s="543"/>
      <c r="AG338" s="543"/>
      <c r="AH338" s="543"/>
      <c r="AI338" s="545"/>
      <c r="AJ338" s="266">
        <f>AJ8+AJ11+AJ15</f>
        <v>0</v>
      </c>
      <c r="AK338" s="122"/>
      <c r="AL338" s="663" t="str">
        <f>CONCATENATE(AK338,AK339,AK340,AK341,AK342,AK343,AK344,AK345)</f>
        <v/>
      </c>
      <c r="AM338" s="32"/>
      <c r="AN338" s="670" t="str">
        <f>CONCATENATE(AM338,AM339,AM340,AM341,AM342,AM343,AM344,AM345)</f>
        <v/>
      </c>
      <c r="AO338" s="14">
        <v>286</v>
      </c>
      <c r="AP338" s="76"/>
      <c r="AQ338" s="77"/>
    </row>
    <row r="339" spans="1:43" ht="30.75" hidden="1" customHeight="1" x14ac:dyDescent="0.75">
      <c r="A339" s="731"/>
      <c r="B339" s="78" t="s">
        <v>966</v>
      </c>
      <c r="C339" s="899" t="s">
        <v>617</v>
      </c>
      <c r="D339" s="253"/>
      <c r="E339" s="81"/>
      <c r="F339" s="81"/>
      <c r="G339" s="81"/>
      <c r="H339" s="81"/>
      <c r="I339" s="81"/>
      <c r="J339" s="81"/>
      <c r="K339" s="81"/>
      <c r="L339" s="81"/>
      <c r="M339" s="81"/>
      <c r="N339" s="81"/>
      <c r="O339" s="81"/>
      <c r="P339" s="81"/>
      <c r="Q339" s="81"/>
      <c r="R339" s="81"/>
      <c r="S339" s="81"/>
      <c r="T339" s="81"/>
      <c r="U339" s="81"/>
      <c r="V339" s="81"/>
      <c r="W339" s="81"/>
      <c r="X339" s="81"/>
      <c r="Y339" s="81"/>
      <c r="Z339" s="81"/>
      <c r="AA339" s="341"/>
      <c r="AB339" s="546"/>
      <c r="AC339" s="542"/>
      <c r="AD339" s="542"/>
      <c r="AE339" s="542"/>
      <c r="AF339" s="542"/>
      <c r="AG339" s="542"/>
      <c r="AH339" s="542"/>
      <c r="AI339" s="547"/>
      <c r="AJ339" s="185">
        <f>SUM(D339:AA339)</f>
        <v>0</v>
      </c>
      <c r="AK339" s="122"/>
      <c r="AL339" s="664"/>
      <c r="AM339" s="32"/>
      <c r="AN339" s="671"/>
      <c r="AO339" s="14">
        <v>287</v>
      </c>
      <c r="AP339" s="76"/>
      <c r="AQ339" s="77"/>
    </row>
    <row r="340" spans="1:43" ht="25.5" x14ac:dyDescent="0.75">
      <c r="A340" s="731"/>
      <c r="B340" s="78" t="s">
        <v>598</v>
      </c>
      <c r="C340" s="899" t="s">
        <v>618</v>
      </c>
      <c r="D340" s="253"/>
      <c r="E340" s="253"/>
      <c r="F340" s="253"/>
      <c r="G340" s="253"/>
      <c r="H340" s="253"/>
      <c r="I340" s="253"/>
      <c r="J340" s="253"/>
      <c r="K340" s="253"/>
      <c r="L340" s="253"/>
      <c r="M340" s="253"/>
      <c r="N340" s="253"/>
      <c r="O340" s="253"/>
      <c r="P340" s="253"/>
      <c r="Q340" s="253"/>
      <c r="R340" s="253"/>
      <c r="S340" s="253"/>
      <c r="T340" s="253"/>
      <c r="U340" s="253"/>
      <c r="V340" s="253"/>
      <c r="W340" s="253"/>
      <c r="X340" s="253"/>
      <c r="Y340" s="253"/>
      <c r="Z340" s="253"/>
      <c r="AA340" s="386"/>
      <c r="AB340" s="413"/>
      <c r="AC340" s="380"/>
      <c r="AD340" s="380"/>
      <c r="AE340" s="380"/>
      <c r="AF340" s="380"/>
      <c r="AG340" s="380"/>
      <c r="AH340" s="380"/>
      <c r="AI340" s="336"/>
      <c r="AJ340" s="185">
        <f t="shared" ref="AJ340:AJ345" si="123">SUM(D340:AA340)</f>
        <v>0</v>
      </c>
      <c r="AK340" s="122"/>
      <c r="AL340" s="664"/>
      <c r="AM340" s="32"/>
      <c r="AN340" s="671"/>
      <c r="AO340" s="14">
        <v>288</v>
      </c>
      <c r="AP340" s="76"/>
      <c r="AQ340" s="77"/>
    </row>
    <row r="341" spans="1:43" ht="25.5" x14ac:dyDescent="0.75">
      <c r="A341" s="731"/>
      <c r="B341" s="78" t="s">
        <v>1023</v>
      </c>
      <c r="C341" s="899" t="s">
        <v>619</v>
      </c>
      <c r="D341" s="253"/>
      <c r="E341" s="253"/>
      <c r="F341" s="253"/>
      <c r="G341" s="253"/>
      <c r="H341" s="253"/>
      <c r="I341" s="253"/>
      <c r="J341" s="253"/>
      <c r="K341" s="253"/>
      <c r="L341" s="253"/>
      <c r="M341" s="253"/>
      <c r="N341" s="253"/>
      <c r="O341" s="253"/>
      <c r="P341" s="253"/>
      <c r="Q341" s="253"/>
      <c r="R341" s="253"/>
      <c r="S341" s="253"/>
      <c r="T341" s="253"/>
      <c r="U341" s="253"/>
      <c r="V341" s="253"/>
      <c r="W341" s="253"/>
      <c r="X341" s="253"/>
      <c r="Y341" s="253"/>
      <c r="Z341" s="253"/>
      <c r="AA341" s="386"/>
      <c r="AB341" s="413"/>
      <c r="AC341" s="380"/>
      <c r="AD341" s="380"/>
      <c r="AE341" s="380"/>
      <c r="AF341" s="380"/>
      <c r="AG341" s="380"/>
      <c r="AH341" s="380"/>
      <c r="AI341" s="336"/>
      <c r="AJ341" s="185">
        <f t="shared" si="123"/>
        <v>0</v>
      </c>
      <c r="AK341" s="122"/>
      <c r="AL341" s="664"/>
      <c r="AM341" s="32"/>
      <c r="AN341" s="671"/>
      <c r="AO341" s="14">
        <v>289</v>
      </c>
      <c r="AP341" s="76"/>
      <c r="AQ341" s="77"/>
    </row>
    <row r="342" spans="1:43" ht="51" x14ac:dyDescent="0.75">
      <c r="A342" s="731"/>
      <c r="B342" s="78" t="s">
        <v>1024</v>
      </c>
      <c r="C342" s="899" t="s">
        <v>620</v>
      </c>
      <c r="D342" s="253"/>
      <c r="E342" s="253"/>
      <c r="F342" s="253"/>
      <c r="G342" s="253"/>
      <c r="H342" s="253"/>
      <c r="I342" s="253"/>
      <c r="J342" s="253"/>
      <c r="K342" s="253"/>
      <c r="L342" s="253"/>
      <c r="M342" s="253"/>
      <c r="N342" s="253"/>
      <c r="O342" s="253"/>
      <c r="P342" s="253"/>
      <c r="Q342" s="253"/>
      <c r="R342" s="253"/>
      <c r="S342" s="253"/>
      <c r="T342" s="253"/>
      <c r="U342" s="253"/>
      <c r="V342" s="253"/>
      <c r="W342" s="253"/>
      <c r="X342" s="253"/>
      <c r="Y342" s="253"/>
      <c r="Z342" s="253"/>
      <c r="AA342" s="386"/>
      <c r="AB342" s="413"/>
      <c r="AC342" s="380"/>
      <c r="AD342" s="380"/>
      <c r="AE342" s="380"/>
      <c r="AF342" s="380"/>
      <c r="AG342" s="380"/>
      <c r="AH342" s="380"/>
      <c r="AI342" s="336"/>
      <c r="AJ342" s="185">
        <f t="shared" si="123"/>
        <v>0</v>
      </c>
      <c r="AK342" s="122"/>
      <c r="AL342" s="664"/>
      <c r="AM342" s="32"/>
      <c r="AN342" s="671"/>
      <c r="AO342" s="14">
        <v>290</v>
      </c>
      <c r="AP342" s="76"/>
      <c r="AQ342" s="77"/>
    </row>
    <row r="343" spans="1:43" ht="25.5" x14ac:dyDescent="0.75">
      <c r="A343" s="731"/>
      <c r="B343" s="78" t="s">
        <v>1025</v>
      </c>
      <c r="C343" s="899" t="s">
        <v>621</v>
      </c>
      <c r="D343" s="253"/>
      <c r="E343" s="253"/>
      <c r="F343" s="253"/>
      <c r="G343" s="253"/>
      <c r="H343" s="253"/>
      <c r="I343" s="253"/>
      <c r="J343" s="253"/>
      <c r="K343" s="253"/>
      <c r="L343" s="253"/>
      <c r="M343" s="253"/>
      <c r="N343" s="253"/>
      <c r="O343" s="253"/>
      <c r="P343" s="253"/>
      <c r="Q343" s="253"/>
      <c r="R343" s="253"/>
      <c r="S343" s="253"/>
      <c r="T343" s="253"/>
      <c r="U343" s="253"/>
      <c r="V343" s="253"/>
      <c r="W343" s="253"/>
      <c r="X343" s="253"/>
      <c r="Y343" s="253"/>
      <c r="Z343" s="253"/>
      <c r="AA343" s="386"/>
      <c r="AB343" s="413"/>
      <c r="AC343" s="380"/>
      <c r="AD343" s="380"/>
      <c r="AE343" s="380"/>
      <c r="AF343" s="380"/>
      <c r="AG343" s="380"/>
      <c r="AH343" s="380"/>
      <c r="AI343" s="336"/>
      <c r="AJ343" s="185">
        <f t="shared" si="123"/>
        <v>0</v>
      </c>
      <c r="AK343" s="122"/>
      <c r="AL343" s="664"/>
      <c r="AM343" s="32"/>
      <c r="AN343" s="671"/>
      <c r="AO343" s="14">
        <v>291</v>
      </c>
      <c r="AP343" s="76"/>
      <c r="AQ343" s="77"/>
    </row>
    <row r="344" spans="1:43" ht="51" x14ac:dyDescent="0.75">
      <c r="A344" s="731"/>
      <c r="B344" s="78" t="s">
        <v>971</v>
      </c>
      <c r="C344" s="899" t="s">
        <v>622</v>
      </c>
      <c r="D344" s="253"/>
      <c r="E344" s="253"/>
      <c r="F344" s="253"/>
      <c r="G344" s="253"/>
      <c r="H344" s="253"/>
      <c r="I344" s="253"/>
      <c r="J344" s="253"/>
      <c r="K344" s="253"/>
      <c r="L344" s="253"/>
      <c r="M344" s="253"/>
      <c r="N344" s="253"/>
      <c r="O344" s="253"/>
      <c r="P344" s="253"/>
      <c r="Q344" s="253"/>
      <c r="R344" s="253"/>
      <c r="S344" s="253"/>
      <c r="T344" s="253"/>
      <c r="U344" s="253"/>
      <c r="V344" s="253"/>
      <c r="W344" s="253"/>
      <c r="X344" s="253"/>
      <c r="Y344" s="253"/>
      <c r="Z344" s="253"/>
      <c r="AA344" s="386"/>
      <c r="AB344" s="413"/>
      <c r="AC344" s="380"/>
      <c r="AD344" s="380"/>
      <c r="AE344" s="380"/>
      <c r="AF344" s="380"/>
      <c r="AG344" s="380"/>
      <c r="AH344" s="380"/>
      <c r="AI344" s="336"/>
      <c r="AJ344" s="185">
        <f t="shared" si="123"/>
        <v>0</v>
      </c>
      <c r="AK344" s="122"/>
      <c r="AL344" s="664"/>
      <c r="AM344" s="32"/>
      <c r="AN344" s="671"/>
      <c r="AO344" s="14">
        <v>292</v>
      </c>
      <c r="AP344" s="76"/>
      <c r="AQ344" s="77"/>
    </row>
    <row r="345" spans="1:43" ht="25.9" thickBot="1" x14ac:dyDescent="0.8">
      <c r="A345" s="732"/>
      <c r="B345" s="124" t="s">
        <v>970</v>
      </c>
      <c r="C345" s="901" t="s">
        <v>848</v>
      </c>
      <c r="D345" s="267"/>
      <c r="E345" s="267"/>
      <c r="F345" s="267"/>
      <c r="G345" s="267"/>
      <c r="H345" s="267"/>
      <c r="I345" s="267"/>
      <c r="J345" s="267"/>
      <c r="K345" s="267"/>
      <c r="L345" s="267"/>
      <c r="M345" s="267"/>
      <c r="N345" s="267"/>
      <c r="O345" s="267"/>
      <c r="P345" s="267"/>
      <c r="Q345" s="267"/>
      <c r="R345" s="267"/>
      <c r="S345" s="267"/>
      <c r="T345" s="267"/>
      <c r="U345" s="267"/>
      <c r="V345" s="267"/>
      <c r="W345" s="267"/>
      <c r="X345" s="267"/>
      <c r="Y345" s="267"/>
      <c r="Z345" s="267"/>
      <c r="AA345" s="387"/>
      <c r="AB345" s="414"/>
      <c r="AC345" s="415"/>
      <c r="AD345" s="415"/>
      <c r="AE345" s="415"/>
      <c r="AF345" s="415"/>
      <c r="AG345" s="415"/>
      <c r="AH345" s="415"/>
      <c r="AI345" s="337"/>
      <c r="AJ345" s="185">
        <f t="shared" si="123"/>
        <v>0</v>
      </c>
      <c r="AK345" s="128"/>
      <c r="AL345" s="665"/>
      <c r="AM345" s="129"/>
      <c r="AN345" s="672"/>
      <c r="AO345" s="14">
        <v>293</v>
      </c>
      <c r="AP345" s="76"/>
      <c r="AQ345" s="77"/>
    </row>
    <row r="346" spans="1:43" ht="25.9" hidden="1" thickBot="1" x14ac:dyDescent="0.8">
      <c r="A346" s="640" t="s">
        <v>132</v>
      </c>
      <c r="B346" s="641"/>
      <c r="C346" s="641"/>
      <c r="D346" s="641"/>
      <c r="E346" s="641"/>
      <c r="F346" s="641"/>
      <c r="G346" s="641"/>
      <c r="H346" s="641"/>
      <c r="I346" s="641"/>
      <c r="J346" s="641"/>
      <c r="K346" s="641"/>
      <c r="L346" s="641"/>
      <c r="M346" s="641"/>
      <c r="N346" s="641"/>
      <c r="O346" s="641"/>
      <c r="P346" s="641"/>
      <c r="Q346" s="641"/>
      <c r="R346" s="641"/>
      <c r="S346" s="641"/>
      <c r="T346" s="641"/>
      <c r="U346" s="641"/>
      <c r="V346" s="641"/>
      <c r="W346" s="641"/>
      <c r="X346" s="641"/>
      <c r="Y346" s="641"/>
      <c r="Z346" s="641"/>
      <c r="AA346" s="641"/>
      <c r="AB346" s="642"/>
      <c r="AC346" s="642"/>
      <c r="AD346" s="642"/>
      <c r="AE346" s="642"/>
      <c r="AF346" s="642"/>
      <c r="AG346" s="642"/>
      <c r="AH346" s="642"/>
      <c r="AI346" s="642"/>
      <c r="AJ346" s="641"/>
      <c r="AK346" s="641"/>
      <c r="AL346" s="641"/>
      <c r="AM346" s="641"/>
      <c r="AN346" s="643"/>
      <c r="AO346" s="14">
        <v>294</v>
      </c>
      <c r="AP346" s="76"/>
      <c r="AQ346" s="77"/>
    </row>
    <row r="347" spans="1:43" ht="26.25" hidden="1" customHeight="1" x14ac:dyDescent="0.75">
      <c r="A347" s="617" t="s">
        <v>37</v>
      </c>
      <c r="B347" s="644" t="s">
        <v>346</v>
      </c>
      <c r="C347" s="897" t="s">
        <v>327</v>
      </c>
      <c r="D347" s="706" t="s">
        <v>0</v>
      </c>
      <c r="E347" s="706"/>
      <c r="F347" s="706" t="s">
        <v>1</v>
      </c>
      <c r="G347" s="706"/>
      <c r="H347" s="706" t="s">
        <v>2</v>
      </c>
      <c r="I347" s="706"/>
      <c r="J347" s="706" t="s">
        <v>3</v>
      </c>
      <c r="K347" s="706"/>
      <c r="L347" s="706" t="s">
        <v>4</v>
      </c>
      <c r="M347" s="706"/>
      <c r="N347" s="706" t="s">
        <v>5</v>
      </c>
      <c r="O347" s="706"/>
      <c r="P347" s="706" t="s">
        <v>6</v>
      </c>
      <c r="Q347" s="706"/>
      <c r="R347" s="706" t="s">
        <v>7</v>
      </c>
      <c r="S347" s="706"/>
      <c r="T347" s="706" t="s">
        <v>8</v>
      </c>
      <c r="U347" s="706"/>
      <c r="V347" s="706" t="s">
        <v>23</v>
      </c>
      <c r="W347" s="706"/>
      <c r="X347" s="706" t="s">
        <v>24</v>
      </c>
      <c r="Y347" s="706"/>
      <c r="Z347" s="706" t="s">
        <v>9</v>
      </c>
      <c r="AA347" s="706"/>
      <c r="AB347" s="329"/>
      <c r="AC347" s="329"/>
      <c r="AD347" s="329"/>
      <c r="AE347" s="329"/>
      <c r="AF347" s="329"/>
      <c r="AG347" s="329"/>
      <c r="AH347" s="582"/>
      <c r="AI347" s="582"/>
      <c r="AJ347" s="668" t="s">
        <v>19</v>
      </c>
      <c r="AK347" s="735" t="s">
        <v>380</v>
      </c>
      <c r="AL347" s="638" t="s">
        <v>386</v>
      </c>
      <c r="AM347" s="659" t="s">
        <v>387</v>
      </c>
      <c r="AN347" s="682" t="s">
        <v>387</v>
      </c>
      <c r="AO347" s="14">
        <v>295</v>
      </c>
      <c r="AP347" s="76"/>
      <c r="AQ347" s="77"/>
    </row>
    <row r="348" spans="1:43" ht="27" hidden="1" customHeight="1" thickBot="1" x14ac:dyDescent="0.8">
      <c r="A348" s="618"/>
      <c r="B348" s="645"/>
      <c r="C348" s="892"/>
      <c r="D348" s="121" t="s">
        <v>10</v>
      </c>
      <c r="E348" s="121" t="s">
        <v>11</v>
      </c>
      <c r="F348" s="121" t="s">
        <v>10</v>
      </c>
      <c r="G348" s="121" t="s">
        <v>11</v>
      </c>
      <c r="H348" s="121" t="s">
        <v>10</v>
      </c>
      <c r="I348" s="121" t="s">
        <v>11</v>
      </c>
      <c r="J348" s="121" t="s">
        <v>10</v>
      </c>
      <c r="K348" s="121" t="s">
        <v>11</v>
      </c>
      <c r="L348" s="121" t="s">
        <v>10</v>
      </c>
      <c r="M348" s="121" t="s">
        <v>11</v>
      </c>
      <c r="N348" s="121" t="s">
        <v>10</v>
      </c>
      <c r="O348" s="121" t="s">
        <v>11</v>
      </c>
      <c r="P348" s="121" t="s">
        <v>10</v>
      </c>
      <c r="Q348" s="121" t="s">
        <v>11</v>
      </c>
      <c r="R348" s="121" t="s">
        <v>10</v>
      </c>
      <c r="S348" s="121" t="s">
        <v>11</v>
      </c>
      <c r="T348" s="121" t="s">
        <v>10</v>
      </c>
      <c r="U348" s="121" t="s">
        <v>11</v>
      </c>
      <c r="V348" s="121" t="s">
        <v>10</v>
      </c>
      <c r="W348" s="121" t="s">
        <v>11</v>
      </c>
      <c r="X348" s="121" t="s">
        <v>10</v>
      </c>
      <c r="Y348" s="121" t="s">
        <v>11</v>
      </c>
      <c r="Z348" s="121" t="s">
        <v>10</v>
      </c>
      <c r="AA348" s="121" t="s">
        <v>11</v>
      </c>
      <c r="AB348" s="121"/>
      <c r="AC348" s="121"/>
      <c r="AD348" s="121"/>
      <c r="AE348" s="121"/>
      <c r="AF348" s="121"/>
      <c r="AG348" s="121"/>
      <c r="AH348" s="121"/>
      <c r="AI348" s="121"/>
      <c r="AJ348" s="669"/>
      <c r="AK348" s="736"/>
      <c r="AL348" s="639"/>
      <c r="AM348" s="660"/>
      <c r="AN348" s="683"/>
      <c r="AO348" s="14">
        <v>296</v>
      </c>
      <c r="AP348" s="76"/>
      <c r="AQ348" s="77"/>
    </row>
    <row r="349" spans="1:43" ht="25.5" hidden="1" x14ac:dyDescent="0.75">
      <c r="A349" s="648" t="s">
        <v>389</v>
      </c>
      <c r="B349" s="94" t="s">
        <v>395</v>
      </c>
      <c r="C349" s="898" t="s">
        <v>396</v>
      </c>
      <c r="D349" s="268"/>
      <c r="E349" s="269"/>
      <c r="F349" s="269"/>
      <c r="G349" s="269"/>
      <c r="H349" s="269"/>
      <c r="I349" s="269"/>
      <c r="J349" s="269"/>
      <c r="K349" s="269"/>
      <c r="L349" s="269"/>
      <c r="M349" s="269"/>
      <c r="N349" s="269"/>
      <c r="O349" s="269"/>
      <c r="P349" s="269"/>
      <c r="Q349" s="269"/>
      <c r="R349" s="269"/>
      <c r="S349" s="269"/>
      <c r="T349" s="269"/>
      <c r="U349" s="269"/>
      <c r="V349" s="269"/>
      <c r="W349" s="269"/>
      <c r="X349" s="269"/>
      <c r="Y349" s="269"/>
      <c r="Z349" s="269"/>
      <c r="AA349" s="269"/>
      <c r="AB349" s="388"/>
      <c r="AC349" s="388"/>
      <c r="AD349" s="388"/>
      <c r="AE349" s="388"/>
      <c r="AF349" s="388"/>
      <c r="AG349" s="388"/>
      <c r="AH349" s="388"/>
      <c r="AI349" s="388"/>
      <c r="AJ349" s="67">
        <f t="shared" ref="AJ349:AJ359" si="124">SUM(D349:AA349)</f>
        <v>0</v>
      </c>
      <c r="AK349" s="270"/>
      <c r="AL349" s="781" t="str">
        <f>CONCATENATE(AK355,AK358,AK360,AK361,AK362,AK363,AK364,AK365,AK366,AK367)</f>
        <v/>
      </c>
      <c r="AM349" s="271"/>
      <c r="AN349" s="770" t="str">
        <f>CONCATENATE(AM355,AM358,AM360,AM361,AM362,AM363,AM364,AM365,AM366,AM367)</f>
        <v/>
      </c>
      <c r="AO349" s="14">
        <v>297</v>
      </c>
      <c r="AP349" s="76"/>
      <c r="AQ349" s="77"/>
    </row>
    <row r="350" spans="1:43" ht="25.5" hidden="1" x14ac:dyDescent="0.75">
      <c r="A350" s="649"/>
      <c r="B350" s="78" t="s">
        <v>390</v>
      </c>
      <c r="C350" s="899" t="s">
        <v>397</v>
      </c>
      <c r="D350" s="272"/>
      <c r="E350" s="273"/>
      <c r="F350" s="273"/>
      <c r="G350" s="273"/>
      <c r="H350" s="273"/>
      <c r="I350" s="273"/>
      <c r="J350" s="273"/>
      <c r="K350" s="273"/>
      <c r="L350" s="273"/>
      <c r="M350" s="273"/>
      <c r="N350" s="273"/>
      <c r="O350" s="273"/>
      <c r="P350" s="273"/>
      <c r="Q350" s="273"/>
      <c r="R350" s="273"/>
      <c r="S350" s="273"/>
      <c r="T350" s="273"/>
      <c r="U350" s="273"/>
      <c r="V350" s="273"/>
      <c r="W350" s="273"/>
      <c r="X350" s="273"/>
      <c r="Y350" s="273"/>
      <c r="Z350" s="273"/>
      <c r="AA350" s="273"/>
      <c r="AB350" s="389"/>
      <c r="AC350" s="389"/>
      <c r="AD350" s="389"/>
      <c r="AE350" s="389"/>
      <c r="AF350" s="389"/>
      <c r="AG350" s="389"/>
      <c r="AH350" s="389"/>
      <c r="AI350" s="389"/>
      <c r="AJ350" s="30">
        <f t="shared" si="124"/>
        <v>0</v>
      </c>
      <c r="AK350" s="270"/>
      <c r="AL350" s="782"/>
      <c r="AM350" s="271"/>
      <c r="AN350" s="771"/>
      <c r="AO350" s="14">
        <v>298</v>
      </c>
      <c r="AP350" s="76"/>
      <c r="AQ350" s="77"/>
    </row>
    <row r="351" spans="1:43" ht="25.5" hidden="1" x14ac:dyDescent="0.75">
      <c r="A351" s="649"/>
      <c r="B351" s="78" t="s">
        <v>391</v>
      </c>
      <c r="C351" s="899" t="s">
        <v>398</v>
      </c>
      <c r="D351" s="272"/>
      <c r="E351" s="273"/>
      <c r="F351" s="273"/>
      <c r="G351" s="273"/>
      <c r="H351" s="273"/>
      <c r="I351" s="273"/>
      <c r="J351" s="273"/>
      <c r="K351" s="273"/>
      <c r="L351" s="273"/>
      <c r="M351" s="273"/>
      <c r="N351" s="273"/>
      <c r="O351" s="273"/>
      <c r="P351" s="273"/>
      <c r="Q351" s="273"/>
      <c r="R351" s="273"/>
      <c r="S351" s="273"/>
      <c r="T351" s="273"/>
      <c r="U351" s="273"/>
      <c r="V351" s="273"/>
      <c r="W351" s="273"/>
      <c r="X351" s="273"/>
      <c r="Y351" s="273"/>
      <c r="Z351" s="273"/>
      <c r="AA351" s="273"/>
      <c r="AB351" s="389"/>
      <c r="AC351" s="389"/>
      <c r="AD351" s="389"/>
      <c r="AE351" s="389"/>
      <c r="AF351" s="389"/>
      <c r="AG351" s="389"/>
      <c r="AH351" s="389"/>
      <c r="AI351" s="389"/>
      <c r="AJ351" s="30">
        <f t="shared" si="124"/>
        <v>0</v>
      </c>
      <c r="AK351" s="270"/>
      <c r="AL351" s="782"/>
      <c r="AM351" s="271"/>
      <c r="AN351" s="771"/>
      <c r="AO351" s="14">
        <v>299</v>
      </c>
      <c r="AP351" s="76"/>
      <c r="AQ351" s="77"/>
    </row>
    <row r="352" spans="1:43" ht="25.5" hidden="1" x14ac:dyDescent="0.75">
      <c r="A352" s="649"/>
      <c r="B352" s="78" t="s">
        <v>392</v>
      </c>
      <c r="C352" s="899" t="s">
        <v>399</v>
      </c>
      <c r="D352" s="272"/>
      <c r="E352" s="273"/>
      <c r="F352" s="273"/>
      <c r="G352" s="273"/>
      <c r="H352" s="273"/>
      <c r="I352" s="273"/>
      <c r="J352" s="273"/>
      <c r="K352" s="273"/>
      <c r="L352" s="273"/>
      <c r="M352" s="273"/>
      <c r="N352" s="273"/>
      <c r="O352" s="273"/>
      <c r="P352" s="273"/>
      <c r="Q352" s="273"/>
      <c r="R352" s="273"/>
      <c r="S352" s="273"/>
      <c r="T352" s="273"/>
      <c r="U352" s="273"/>
      <c r="V352" s="273"/>
      <c r="W352" s="273"/>
      <c r="X352" s="273"/>
      <c r="Y352" s="273"/>
      <c r="Z352" s="273"/>
      <c r="AA352" s="273"/>
      <c r="AB352" s="389"/>
      <c r="AC352" s="389"/>
      <c r="AD352" s="389"/>
      <c r="AE352" s="389"/>
      <c r="AF352" s="389"/>
      <c r="AG352" s="389"/>
      <c r="AH352" s="389"/>
      <c r="AI352" s="389"/>
      <c r="AJ352" s="30">
        <f t="shared" si="124"/>
        <v>0</v>
      </c>
      <c r="AK352" s="270"/>
      <c r="AL352" s="782"/>
      <c r="AM352" s="271"/>
      <c r="AN352" s="771"/>
      <c r="AO352" s="14">
        <v>300</v>
      </c>
      <c r="AP352" s="76"/>
      <c r="AQ352" s="77"/>
    </row>
    <row r="353" spans="1:43" ht="25.5" hidden="1" x14ac:dyDescent="0.75">
      <c r="A353" s="649"/>
      <c r="B353" s="78" t="s">
        <v>393</v>
      </c>
      <c r="C353" s="899" t="s">
        <v>400</v>
      </c>
      <c r="D353" s="272"/>
      <c r="E353" s="273"/>
      <c r="F353" s="273"/>
      <c r="G353" s="273"/>
      <c r="H353" s="273"/>
      <c r="I353" s="273"/>
      <c r="J353" s="273"/>
      <c r="K353" s="273"/>
      <c r="L353" s="273"/>
      <c r="M353" s="273"/>
      <c r="N353" s="273"/>
      <c r="O353" s="273"/>
      <c r="P353" s="273"/>
      <c r="Q353" s="273"/>
      <c r="R353" s="273"/>
      <c r="S353" s="273"/>
      <c r="T353" s="273"/>
      <c r="U353" s="273"/>
      <c r="V353" s="273"/>
      <c r="W353" s="273"/>
      <c r="X353" s="273"/>
      <c r="Y353" s="273"/>
      <c r="Z353" s="273"/>
      <c r="AA353" s="273"/>
      <c r="AB353" s="389"/>
      <c r="AC353" s="389"/>
      <c r="AD353" s="389"/>
      <c r="AE353" s="389"/>
      <c r="AF353" s="389"/>
      <c r="AG353" s="389"/>
      <c r="AH353" s="389"/>
      <c r="AI353" s="389"/>
      <c r="AJ353" s="30">
        <f t="shared" si="124"/>
        <v>0</v>
      </c>
      <c r="AK353" s="270"/>
      <c r="AL353" s="782"/>
      <c r="AM353" s="271"/>
      <c r="AN353" s="771"/>
      <c r="AO353" s="14">
        <v>301</v>
      </c>
      <c r="AP353" s="76"/>
      <c r="AQ353" s="77"/>
    </row>
    <row r="354" spans="1:43" ht="25.9" hidden="1" thickBot="1" x14ac:dyDescent="0.8">
      <c r="A354" s="650"/>
      <c r="B354" s="89" t="s">
        <v>394</v>
      </c>
      <c r="C354" s="901" t="s">
        <v>401</v>
      </c>
      <c r="D354" s="274"/>
      <c r="E354" s="275"/>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390"/>
      <c r="AC354" s="390"/>
      <c r="AD354" s="390"/>
      <c r="AE354" s="390"/>
      <c r="AF354" s="390"/>
      <c r="AG354" s="390"/>
      <c r="AH354" s="390"/>
      <c r="AI354" s="390"/>
      <c r="AJ354" s="93">
        <f t="shared" si="124"/>
        <v>0</v>
      </c>
      <c r="AK354" s="270"/>
      <c r="AL354" s="782"/>
      <c r="AM354" s="271"/>
      <c r="AN354" s="771"/>
      <c r="AO354" s="14">
        <v>302</v>
      </c>
      <c r="AP354" s="76"/>
      <c r="AQ354" s="77"/>
    </row>
    <row r="355" spans="1:43" ht="25.5" hidden="1" x14ac:dyDescent="0.75">
      <c r="A355" s="585" t="s">
        <v>27</v>
      </c>
      <c r="B355" s="94" t="s">
        <v>710</v>
      </c>
      <c r="C355" s="898" t="s">
        <v>304</v>
      </c>
      <c r="D355" s="252"/>
      <c r="E355" s="97"/>
      <c r="F355" s="97"/>
      <c r="G355" s="97"/>
      <c r="H355" s="97"/>
      <c r="I355" s="97"/>
      <c r="J355" s="97"/>
      <c r="K355" s="97"/>
      <c r="L355" s="97"/>
      <c r="M355" s="97"/>
      <c r="N355" s="97"/>
      <c r="O355" s="97"/>
      <c r="P355" s="97"/>
      <c r="Q355" s="97"/>
      <c r="R355" s="97"/>
      <c r="S355" s="97"/>
      <c r="T355" s="97"/>
      <c r="U355" s="97"/>
      <c r="V355" s="97"/>
      <c r="W355" s="97"/>
      <c r="X355" s="97"/>
      <c r="Y355" s="97"/>
      <c r="Z355" s="97"/>
      <c r="AA355" s="97"/>
      <c r="AB355" s="344"/>
      <c r="AC355" s="344"/>
      <c r="AD355" s="344"/>
      <c r="AE355" s="344"/>
      <c r="AF355" s="344"/>
      <c r="AG355" s="344"/>
      <c r="AH355" s="344"/>
      <c r="AI355" s="344"/>
      <c r="AJ355" s="67">
        <f t="shared" si="124"/>
        <v>0</v>
      </c>
      <c r="AK355" s="122" t="str">
        <f>CONCATENATE(IF(D355&lt;SUM(D361,D362,D363,D364,D365,D366,D367)," * Total Died  for Age "&amp;D20&amp;" "&amp;D21&amp;" is less than sum of Total Causes of Death F08-05 to F08-11"&amp;CHAR(10),""),IF(E355&lt;SUM(E361,E362,E363,E364,E365,E366,E367)," * Total Died  for Age "&amp;D20&amp;" "&amp;E21&amp;" is less than sum of Total Causes of Death F08-05 to F08-11"&amp;CHAR(10),""),IF(F355&lt;SUM(F361,F362,F363,F364,F365,F366,F367)," * Total Died  for Age "&amp;F20&amp;" "&amp;F21&amp;" is less than sum of Total Causes of Death F08-05 to F08-11"&amp;CHAR(10),""),IF(G355&lt;SUM(G361,G362,G363,G364,G365,G366,G367)," * Total Died  for Age "&amp;F20&amp;" "&amp;G21&amp;" is less than sum of Total Causes of Death F08-05 to F08-11"&amp;CHAR(10),""),IF(H355&lt;SUM(H361,H362,H363,H364,H365,H366,H367)," * Total Died  for Age "&amp;H20&amp;" "&amp;H21&amp;" is less than sum of Total Causes of Death F08-05 to F08-11"&amp;CHAR(10),""),IF(I355&lt;SUM(I361,I362,I363,I364,I365,I366,I367)," * Total Died  for Age "&amp;H20&amp;" "&amp;I21&amp;" is less than sum of Total Causes of Death F08-05 to F08-11"&amp;CHAR(10),""),IF(J355&lt;SUM(J361,J362,J363,J364,J365,J366,J367)," * Total Died  for Age "&amp;J20&amp;" "&amp;J21&amp;" is less than sum of Total Causes of Death F08-05 to F08-11"&amp;CHAR(10),""),IF(K355&lt;SUM(K361,K362,K363,K364,K365,K366,K367)," * Total Died  for Age "&amp;J20&amp;" "&amp;K21&amp;" is less than sum of Total Causes of Death F08-05 to F08-11"&amp;CHAR(10),""),IF(L355&lt;SUM(L361,L362,L363,L364,L365,L366,L367)," * Total Died  for Age "&amp;L20&amp;" "&amp;L21&amp;" is less than sum of Total Causes of Death F08-05 to F08-11"&amp;CHAR(10),""),IF(M355&lt;SUM(M361,M362,M363,M364,M365,M366,M367)," * Total Died  for Age "&amp;L20&amp;" "&amp;M21&amp;" is less than sum of Total Causes of Death F08-05 to F08-11"&amp;CHAR(10),""),IF(N355&lt;SUM(N361,N362,N363,N364,N365,N366,N367)," * Total Died  for Age "&amp;N20&amp;" "&amp;N21&amp;" is less than sum of Total Causes of Death F08-05 to F08-11"&amp;CHAR(10),""),IF(O355&lt;SUM(O361,O362,O363,O364,O365,O366,O367)," * Total Died  for Age "&amp;N20&amp;" "&amp;O21&amp;" is less than sum of Total Causes of Death F08-05 to F08-11"&amp;CHAR(10),""),IF(P355&lt;SUM(P361,P362,P363,P364,P365,P366,P367)," * Total Died  for Age "&amp;P20&amp;" "&amp;P21&amp;" is less than sum of Total Causes of Death F08-05 to F08-11"&amp;CHAR(10),""),IF(Q355&lt;SUM(Q361,Q362,Q363,Q364,Q365,Q366,Q367)," * Total Died  for Age "&amp;P20&amp;" "&amp;Q21&amp;" is less than sum of Total Causes of Death F08-05 to F08-11"&amp;CHAR(10),""),IF(R355&lt;SUM(R361,R362,R363,R364,R365,R366,R367)," * Total Died  for Age "&amp;R20&amp;" "&amp;R21&amp;" is less than sum of Total Causes of Death F08-05 to F08-11"&amp;CHAR(10),""),IF(S355&lt;SUM(S361,S362,S363,S364,S365,S366,S367)," * Total Died  for Age "&amp;R20&amp;" "&amp;S21&amp;" is less than sum of Total Causes of Death F08-05 to F08-11"&amp;CHAR(10),""),IF(T355&lt;SUM(T361,T362,T363,T364,T365,T366,T367)," * Total Died  for Age "&amp;T20&amp;" "&amp;T21&amp;" is less than sum of Total Causes of Death F08-05 to F08-11"&amp;CHAR(10),""),IF(U355&lt;SUM(U361,U362,U363,U364,U365,U366,U367)," * Total Died  for Age "&amp;T20&amp;" "&amp;U21&amp;" is less than sum of Total Causes of Death F08-05 to F08-11"&amp;CHAR(10),""),IF(V355&lt;SUM(V361,V362,V363,V364,V365,V366,V367)," * Total Died  for Age "&amp;V20&amp;" "&amp;V21&amp;" is less than sum of Total Causes of Death F08-05 to F08-11"&amp;CHAR(10),""),IF(W355&lt;SUM(W361,W362,W363,W364,W365,W366,W367)," * Total Died  for Age "&amp;V20&amp;" "&amp;W21&amp;" is less than sum of Total Causes of Death F08-05 to F08-11"&amp;CHAR(10),""),IF(X355&lt;SUM(X361,X362,X363,X364,X365,X366,X367)," * Total Died  for Age "&amp;X20&amp;" "&amp;X21&amp;" is less than sum of Total Causes of Death F08-05 to F08-11"&amp;CHAR(10),""),IF(Y355&lt;SUM(Y361,Y362,Y363,Y364,Y365,Y366,Y367)," * Total Died  for Age "&amp;X20&amp;" "&amp;Y21&amp;" is less than sum of Total Causes of Death F08-05 to F08-11"&amp;CHAR(10),""),IF(Z355&lt;SUM(Z361,Z362,Z363,Z364,Z365,Z366,Z367)," * Total Died  for Age "&amp;Z20&amp;" "&amp;Z21&amp;" is less than sum of Total Causes of Death F08-05 to F08-11"&amp;CHAR(10),""),IF(AA355&lt;SUM(AA361,AA362,AA363,AA364,AA365,AA366,AA367)," * Total Died  for Age "&amp;Z20&amp;" "&amp;AA21&amp;" is less than sum of Total Causes of Death F08-05 to F08-11"&amp;CHAR(10),""))</f>
        <v/>
      </c>
      <c r="AL355" s="782"/>
      <c r="AM355" s="32"/>
      <c r="AN355" s="771"/>
      <c r="AO355" s="14">
        <v>303</v>
      </c>
      <c r="AP355" s="76"/>
      <c r="AQ355" s="77"/>
    </row>
    <row r="356" spans="1:43" s="63" customFormat="1" ht="51" hidden="1" x14ac:dyDescent="0.75">
      <c r="A356" s="635"/>
      <c r="B356" s="78" t="s">
        <v>597</v>
      </c>
      <c r="C356" s="899" t="s">
        <v>449</v>
      </c>
      <c r="D356" s="253"/>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341"/>
      <c r="AC356" s="341"/>
      <c r="AD356" s="341"/>
      <c r="AE356" s="341"/>
      <c r="AF356" s="341"/>
      <c r="AG356" s="341"/>
      <c r="AH356" s="341"/>
      <c r="AI356" s="341"/>
      <c r="AJ356" s="30">
        <f t="shared" si="124"/>
        <v>0</v>
      </c>
      <c r="AK356" s="122"/>
      <c r="AL356" s="782"/>
      <c r="AM356" s="62"/>
      <c r="AN356" s="771"/>
      <c r="AO356" s="14">
        <v>304</v>
      </c>
      <c r="AP356" s="82"/>
      <c r="AQ356" s="77"/>
    </row>
    <row r="357" spans="1:43" ht="51" hidden="1" x14ac:dyDescent="0.75">
      <c r="A357" s="635"/>
      <c r="B357" s="78" t="s">
        <v>453</v>
      </c>
      <c r="C357" s="899" t="s">
        <v>450</v>
      </c>
      <c r="D357" s="253"/>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341"/>
      <c r="AC357" s="341"/>
      <c r="AD357" s="341"/>
      <c r="AE357" s="341"/>
      <c r="AF357" s="341"/>
      <c r="AG357" s="341"/>
      <c r="AH357" s="341"/>
      <c r="AI357" s="341"/>
      <c r="AJ357" s="30">
        <f t="shared" si="124"/>
        <v>0</v>
      </c>
      <c r="AK357" s="122"/>
      <c r="AL357" s="782"/>
      <c r="AM357" s="32"/>
      <c r="AN357" s="771"/>
      <c r="AO357" s="14">
        <v>305</v>
      </c>
      <c r="AP357" s="76"/>
      <c r="AQ357" s="77"/>
    </row>
    <row r="358" spans="1:43" ht="25.5" hidden="1" x14ac:dyDescent="0.75">
      <c r="A358" s="635"/>
      <c r="B358" s="78" t="s">
        <v>711</v>
      </c>
      <c r="C358" s="899" t="s">
        <v>451</v>
      </c>
      <c r="D358" s="253"/>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341"/>
      <c r="AC358" s="341"/>
      <c r="AD358" s="341"/>
      <c r="AE358" s="341"/>
      <c r="AF358" s="341"/>
      <c r="AG358" s="341"/>
      <c r="AH358" s="341"/>
      <c r="AI358" s="341"/>
      <c r="AJ358" s="30">
        <f t="shared" si="124"/>
        <v>0</v>
      </c>
      <c r="AK358" s="122"/>
      <c r="AL358" s="782"/>
      <c r="AM358" s="32"/>
      <c r="AN358" s="771"/>
      <c r="AO358" s="14">
        <v>306</v>
      </c>
      <c r="AP358" s="76"/>
      <c r="AQ358" s="77"/>
    </row>
    <row r="359" spans="1:43" ht="25.5" hidden="1" x14ac:dyDescent="0.75">
      <c r="A359" s="635"/>
      <c r="B359" s="78" t="s">
        <v>448</v>
      </c>
      <c r="C359" s="899" t="s">
        <v>452</v>
      </c>
      <c r="D359" s="253"/>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341"/>
      <c r="AC359" s="341"/>
      <c r="AD359" s="341"/>
      <c r="AE359" s="341"/>
      <c r="AF359" s="341"/>
      <c r="AG359" s="341"/>
      <c r="AH359" s="341"/>
      <c r="AI359" s="341"/>
      <c r="AJ359" s="30">
        <f t="shared" si="124"/>
        <v>0</v>
      </c>
      <c r="AK359" s="122"/>
      <c r="AL359" s="782"/>
      <c r="AM359" s="32"/>
      <c r="AN359" s="771"/>
      <c r="AO359" s="14">
        <v>307</v>
      </c>
      <c r="AP359" s="76"/>
      <c r="AQ359" s="77"/>
    </row>
    <row r="360" spans="1:43" ht="25.9" hidden="1" thickBot="1" x14ac:dyDescent="0.8">
      <c r="A360" s="586"/>
      <c r="B360" s="276" t="s">
        <v>460</v>
      </c>
      <c r="C360" s="919" t="s">
        <v>306</v>
      </c>
      <c r="D360" s="277">
        <f>SUM(D355:D359)</f>
        <v>0</v>
      </c>
      <c r="E360" s="278">
        <f t="shared" ref="E360:AJ360" si="125">SUM(E355:E359)</f>
        <v>0</v>
      </c>
      <c r="F360" s="278">
        <f t="shared" si="125"/>
        <v>0</v>
      </c>
      <c r="G360" s="278">
        <f t="shared" si="125"/>
        <v>0</v>
      </c>
      <c r="H360" s="278">
        <f t="shared" si="125"/>
        <v>0</v>
      </c>
      <c r="I360" s="278">
        <f t="shared" si="125"/>
        <v>0</v>
      </c>
      <c r="J360" s="278">
        <f t="shared" si="125"/>
        <v>0</v>
      </c>
      <c r="K360" s="278">
        <f t="shared" si="125"/>
        <v>0</v>
      </c>
      <c r="L360" s="278">
        <f t="shared" si="125"/>
        <v>0</v>
      </c>
      <c r="M360" s="278">
        <f t="shared" si="125"/>
        <v>0</v>
      </c>
      <c r="N360" s="278">
        <f t="shared" si="125"/>
        <v>0</v>
      </c>
      <c r="O360" s="278">
        <f t="shared" si="125"/>
        <v>0</v>
      </c>
      <c r="P360" s="278">
        <f t="shared" si="125"/>
        <v>0</v>
      </c>
      <c r="Q360" s="278">
        <f t="shared" si="125"/>
        <v>0</v>
      </c>
      <c r="R360" s="278">
        <f t="shared" si="125"/>
        <v>0</v>
      </c>
      <c r="S360" s="278">
        <f t="shared" si="125"/>
        <v>0</v>
      </c>
      <c r="T360" s="278">
        <f t="shared" si="125"/>
        <v>0</v>
      </c>
      <c r="U360" s="278">
        <f t="shared" si="125"/>
        <v>0</v>
      </c>
      <c r="V360" s="278">
        <f t="shared" si="125"/>
        <v>0</v>
      </c>
      <c r="W360" s="278">
        <f t="shared" si="125"/>
        <v>0</v>
      </c>
      <c r="X360" s="278">
        <f t="shared" si="125"/>
        <v>0</v>
      </c>
      <c r="Y360" s="278">
        <f t="shared" si="125"/>
        <v>0</v>
      </c>
      <c r="Z360" s="278">
        <f t="shared" si="125"/>
        <v>0</v>
      </c>
      <c r="AA360" s="278">
        <f t="shared" si="125"/>
        <v>0</v>
      </c>
      <c r="AB360" s="391"/>
      <c r="AC360" s="391"/>
      <c r="AD360" s="391"/>
      <c r="AE360" s="391"/>
      <c r="AF360" s="391"/>
      <c r="AG360" s="391"/>
      <c r="AH360" s="391"/>
      <c r="AI360" s="391"/>
      <c r="AJ360" s="279">
        <f t="shared" si="125"/>
        <v>0</v>
      </c>
      <c r="AK360" s="122"/>
      <c r="AL360" s="782"/>
      <c r="AM360" s="32"/>
      <c r="AN360" s="771"/>
      <c r="AO360" s="14">
        <v>308</v>
      </c>
      <c r="AP360" s="76"/>
      <c r="AQ360" s="77"/>
    </row>
    <row r="361" spans="1:43" ht="25.5" hidden="1" x14ac:dyDescent="0.75">
      <c r="A361" s="585" t="s">
        <v>1026</v>
      </c>
      <c r="B361" s="94" t="s">
        <v>316</v>
      </c>
      <c r="C361" s="898" t="s">
        <v>307</v>
      </c>
      <c r="D361" s="252"/>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344"/>
      <c r="AC361" s="344"/>
      <c r="AD361" s="344"/>
      <c r="AE361" s="344"/>
      <c r="AF361" s="344"/>
      <c r="AG361" s="344"/>
      <c r="AH361" s="344"/>
      <c r="AI361" s="344"/>
      <c r="AJ361" s="67">
        <f t="shared" ref="AJ361:AJ367" si="126">SUM(D361:AA361)</f>
        <v>0</v>
      </c>
      <c r="AK361" s="122"/>
      <c r="AL361" s="782"/>
      <c r="AM361" s="32"/>
      <c r="AN361" s="771"/>
      <c r="AO361" s="14">
        <v>309</v>
      </c>
      <c r="AP361" s="76"/>
      <c r="AQ361" s="77"/>
    </row>
    <row r="362" spans="1:43" ht="25.5" hidden="1" x14ac:dyDescent="0.75">
      <c r="A362" s="635"/>
      <c r="B362" s="78" t="s">
        <v>552</v>
      </c>
      <c r="C362" s="899" t="s">
        <v>308</v>
      </c>
      <c r="D362" s="253"/>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341"/>
      <c r="AC362" s="341"/>
      <c r="AD362" s="341"/>
      <c r="AE362" s="341"/>
      <c r="AF362" s="341"/>
      <c r="AG362" s="341"/>
      <c r="AH362" s="341"/>
      <c r="AI362" s="341"/>
      <c r="AJ362" s="30">
        <f t="shared" si="126"/>
        <v>0</v>
      </c>
      <c r="AK362" s="122"/>
      <c r="AL362" s="782"/>
      <c r="AM362" s="32"/>
      <c r="AN362" s="771"/>
      <c r="AO362" s="14">
        <v>310</v>
      </c>
      <c r="AP362" s="76"/>
      <c r="AQ362" s="77"/>
    </row>
    <row r="363" spans="1:43" ht="25.5" hidden="1" x14ac:dyDescent="0.75">
      <c r="A363" s="635"/>
      <c r="B363" s="78" t="s">
        <v>712</v>
      </c>
      <c r="C363" s="899" t="s">
        <v>309</v>
      </c>
      <c r="D363" s="253"/>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341"/>
      <c r="AC363" s="341"/>
      <c r="AD363" s="341"/>
      <c r="AE363" s="341"/>
      <c r="AF363" s="341"/>
      <c r="AG363" s="341"/>
      <c r="AH363" s="341"/>
      <c r="AI363" s="341"/>
      <c r="AJ363" s="30">
        <f t="shared" si="126"/>
        <v>0</v>
      </c>
      <c r="AK363" s="122"/>
      <c r="AL363" s="782"/>
      <c r="AM363" s="32"/>
      <c r="AN363" s="771"/>
      <c r="AO363" s="14">
        <v>311</v>
      </c>
      <c r="AP363" s="76"/>
      <c r="AQ363" s="77"/>
    </row>
    <row r="364" spans="1:43" s="63" customFormat="1" ht="51" hidden="1" x14ac:dyDescent="0.75">
      <c r="A364" s="635"/>
      <c r="B364" s="78" t="s">
        <v>317</v>
      </c>
      <c r="C364" s="899" t="s">
        <v>310</v>
      </c>
      <c r="D364" s="253"/>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341"/>
      <c r="AC364" s="341"/>
      <c r="AD364" s="341"/>
      <c r="AE364" s="341"/>
      <c r="AF364" s="341"/>
      <c r="AG364" s="341"/>
      <c r="AH364" s="341"/>
      <c r="AI364" s="341"/>
      <c r="AJ364" s="30">
        <f t="shared" si="126"/>
        <v>0</v>
      </c>
      <c r="AK364" s="122"/>
      <c r="AL364" s="782"/>
      <c r="AM364" s="62"/>
      <c r="AN364" s="771"/>
      <c r="AO364" s="14">
        <v>312</v>
      </c>
      <c r="AP364" s="82"/>
      <c r="AQ364" s="77"/>
    </row>
    <row r="365" spans="1:43" ht="25.5" hidden="1" x14ac:dyDescent="0.75">
      <c r="A365" s="635"/>
      <c r="B365" s="78" t="s">
        <v>553</v>
      </c>
      <c r="C365" s="899" t="s">
        <v>311</v>
      </c>
      <c r="D365" s="253"/>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341"/>
      <c r="AC365" s="341"/>
      <c r="AD365" s="341"/>
      <c r="AE365" s="341"/>
      <c r="AF365" s="341"/>
      <c r="AG365" s="341"/>
      <c r="AH365" s="341"/>
      <c r="AI365" s="341"/>
      <c r="AJ365" s="30">
        <f t="shared" si="126"/>
        <v>0</v>
      </c>
      <c r="AK365" s="122"/>
      <c r="AL365" s="782"/>
      <c r="AM365" s="32"/>
      <c r="AN365" s="771"/>
      <c r="AO365" s="14">
        <v>313</v>
      </c>
      <c r="AP365" s="76"/>
      <c r="AQ365" s="77"/>
    </row>
    <row r="366" spans="1:43" ht="25.5" hidden="1" x14ac:dyDescent="0.75">
      <c r="A366" s="635"/>
      <c r="B366" s="78" t="s">
        <v>318</v>
      </c>
      <c r="C366" s="899" t="s">
        <v>312</v>
      </c>
      <c r="D366" s="253"/>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341"/>
      <c r="AC366" s="341"/>
      <c r="AD366" s="341"/>
      <c r="AE366" s="341"/>
      <c r="AF366" s="341"/>
      <c r="AG366" s="341"/>
      <c r="AH366" s="341"/>
      <c r="AI366" s="341"/>
      <c r="AJ366" s="30">
        <f t="shared" si="126"/>
        <v>0</v>
      </c>
      <c r="AK366" s="122"/>
      <c r="AL366" s="782"/>
      <c r="AM366" s="32"/>
      <c r="AN366" s="771"/>
      <c r="AO366" s="14">
        <v>314</v>
      </c>
      <c r="AP366" s="76"/>
      <c r="AQ366" s="77"/>
    </row>
    <row r="367" spans="1:43" ht="25.9" hidden="1" thickBot="1" x14ac:dyDescent="0.8">
      <c r="A367" s="586"/>
      <c r="B367" s="89" t="s">
        <v>319</v>
      </c>
      <c r="C367" s="901" t="s">
        <v>313</v>
      </c>
      <c r="D367" s="15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343"/>
      <c r="AC367" s="343"/>
      <c r="AD367" s="343"/>
      <c r="AE367" s="343"/>
      <c r="AF367" s="343"/>
      <c r="AG367" s="343"/>
      <c r="AH367" s="343"/>
      <c r="AI367" s="343"/>
      <c r="AJ367" s="93">
        <f t="shared" si="126"/>
        <v>0</v>
      </c>
      <c r="AK367" s="122"/>
      <c r="AL367" s="783"/>
      <c r="AM367" s="32"/>
      <c r="AN367" s="772"/>
      <c r="AO367" s="14">
        <v>315</v>
      </c>
      <c r="AP367" s="76"/>
      <c r="AQ367" s="77"/>
    </row>
    <row r="368" spans="1:43" ht="25.9" thickBot="1" x14ac:dyDescent="0.8">
      <c r="A368" s="673" t="s">
        <v>580</v>
      </c>
      <c r="B368" s="674"/>
      <c r="C368" s="674"/>
      <c r="D368" s="674"/>
      <c r="E368" s="674"/>
      <c r="F368" s="674"/>
      <c r="G368" s="674"/>
      <c r="H368" s="674"/>
      <c r="I368" s="674"/>
      <c r="J368" s="674"/>
      <c r="K368" s="674"/>
      <c r="L368" s="674"/>
      <c r="M368" s="674"/>
      <c r="N368" s="674"/>
      <c r="O368" s="674"/>
      <c r="P368" s="674"/>
      <c r="Q368" s="674"/>
      <c r="R368" s="674"/>
      <c r="S368" s="674"/>
      <c r="T368" s="674"/>
      <c r="U368" s="674"/>
      <c r="V368" s="674"/>
      <c r="W368" s="674"/>
      <c r="X368" s="674"/>
      <c r="Y368" s="674"/>
      <c r="Z368" s="674"/>
      <c r="AA368" s="674"/>
      <c r="AB368" s="674"/>
      <c r="AC368" s="674"/>
      <c r="AD368" s="674"/>
      <c r="AE368" s="674"/>
      <c r="AF368" s="674"/>
      <c r="AG368" s="674"/>
      <c r="AH368" s="674"/>
      <c r="AI368" s="674"/>
      <c r="AJ368" s="674"/>
      <c r="AK368" s="674"/>
      <c r="AL368" s="674"/>
      <c r="AM368" s="674"/>
      <c r="AN368" s="675"/>
      <c r="AO368" s="14">
        <v>316</v>
      </c>
      <c r="AP368" s="76"/>
      <c r="AQ368" s="77"/>
    </row>
    <row r="369" spans="1:43" ht="50.25" customHeight="1" x14ac:dyDescent="0.75">
      <c r="A369" s="676" t="s">
        <v>524</v>
      </c>
      <c r="B369" s="94" t="s">
        <v>525</v>
      </c>
      <c r="C369" s="898" t="s">
        <v>528</v>
      </c>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344"/>
      <c r="AB369" s="411"/>
      <c r="AC369" s="412"/>
      <c r="AD369" s="412"/>
      <c r="AE369" s="412"/>
      <c r="AF369" s="412"/>
      <c r="AG369" s="412"/>
      <c r="AH369" s="412"/>
      <c r="AI369" s="339"/>
      <c r="AJ369" s="200">
        <f t="shared" ref="AJ369" si="127">SUM(D369:AA369)</f>
        <v>0</v>
      </c>
      <c r="AK369" s="31" t="str">
        <f>CONCATENATE(IF(D370&gt;D369," * TB Cases with Known HIV Positive status "&amp;$D$20&amp;" "&amp;$D$21&amp;" is more than Total TB Cases New and relapsed"&amp;CHAR(10),""),IF(E370&gt;E369," * TB Cases with Known HIV Positive status "&amp;$D$20&amp;" "&amp;$E$21&amp;" is more than Total TB Cases New and relapsed"&amp;CHAR(10),""),IF(F370&gt;F369," * TB Cases with Known HIV Positive status "&amp;$F$20&amp;" "&amp;$F$21&amp;" is more than Total TB Cases New and relapsed"&amp;CHAR(10),""),IF(G370&gt;G369," * TB Cases with Known HIV Positive status "&amp;$F$20&amp;" "&amp;$G$21&amp;" is more than Total TB Cases New and relapsed"&amp;CHAR(10),""),IF(H370&gt;H369," * TB Cases with Known HIV Positive status "&amp;$H$20&amp;" "&amp;$H$21&amp;" is more than Total TB Cases New and relapsed"&amp;CHAR(10),""),IF(I370&gt;I369," * TB Cases with Known HIV Positive status "&amp;$H$20&amp;" "&amp;$I$21&amp;" is more than Total TB Cases New and relapsed"&amp;CHAR(10),""),IF(J370&gt;J369," * TB Cases with Known HIV Positive status "&amp;$J$20&amp;" "&amp;$J$21&amp;" is more than Total TB Cases New and relapsed"&amp;CHAR(10),""),IF(K370&gt;K369," * TB Cases with Known HIV Positive status "&amp;$J$20&amp;" "&amp;$K$21&amp;" is more than Total TB Cases New and relapsed"&amp;CHAR(10),""),IF(L370&gt;L369," * TB Cases with Known HIV Positive status "&amp;$L$20&amp;" "&amp;$L$21&amp;" is more than Total TB Cases New and relapsed"&amp;CHAR(10),""),IF(M370&gt;M369," * TB Cases with Known HIV Positive status "&amp;$L$20&amp;" "&amp;$M$21&amp;" is more than Total TB Cases New and relapsed"&amp;CHAR(10),""),IF(N370&gt;N369," * TB Cases with Known HIV Positive status "&amp;$N$20&amp;" "&amp;$N$21&amp;" is more than Total TB Cases New and relapsed"&amp;CHAR(10),""),IF(O370&gt;O369," * TB Cases with Known HIV Positive status "&amp;$N$20&amp;" "&amp;$O$21&amp;" is more than Total TB Cases New and relapsed"&amp;CHAR(10),""),IF(P370&gt;P369," * TB Cases with Known HIV Positive status "&amp;$P$20&amp;" "&amp;$P$21&amp;" is more than Total TB Cases New and relapsed"&amp;CHAR(10),""),IF(Q370&gt;Q369," * TB Cases with Known HIV Positive status "&amp;$P$20&amp;" "&amp;$Q$21&amp;" is more than Total TB Cases New and relapsed"&amp;CHAR(10),""),IF(R370&gt;R369," * TB Cases with Known HIV Positive status "&amp;$R$20&amp;" "&amp;$R$21&amp;" is more than Total TB Cases New and relapsed"&amp;CHAR(10),""),IF(S370&gt;S369," * TB Cases with Known HIV Positive status "&amp;$R$20&amp;" "&amp;$S$21&amp;" is more than Total TB Cases New and relapsed"&amp;CHAR(10),""),IF(T370&gt;T369," * TB Cases with Known HIV Positive status "&amp;$T$20&amp;" "&amp;$T$21&amp;" is more than Total TB Cases New and relapsed"&amp;CHAR(10),""),IF(U370&gt;U369," * TB Cases with Known HIV Positive status "&amp;$T$20&amp;" "&amp;$U$21&amp;" is more than Total TB Cases New and relapsed"&amp;CHAR(10),""),IF(V370&gt;V369," * TB Cases with Known HIV Positive status "&amp;$V$20&amp;" "&amp;$V$21&amp;" is more than Total TB Cases New and relapsed"&amp;CHAR(10),""),IF(W370&gt;W369," * TB Cases with Known HIV Positive status "&amp;$V$20&amp;" "&amp;$W$21&amp;" is more than Total TB Cases New and relapsed"&amp;CHAR(10),""),IF(X370&gt;X369," * TB Cases with Known HIV Positive status "&amp;$X$20&amp;" "&amp;$X$21&amp;" is more than Total TB Cases New and relapsed"&amp;CHAR(10),""),IF(Y370&gt;Y369," * TB Cases with Known HIV Positive status "&amp;$X$20&amp;" "&amp;$Y$21&amp;" is more than Total TB Cases New and relapsed"&amp;CHAR(10),""),IF(Z370&gt;Z369," * TB Cases with Known HIV Positive status "&amp;$Z$20&amp;" "&amp;$Z$21&amp;" is more than Total TB Cases New and relapsed"&amp;CHAR(10),""),IF(AA370&gt;AA369," * TB Cases with Known HIV Positive status "&amp;$Z$20&amp;" "&amp;$AA$21&amp;" is more than Total TB Cases New and relapsed"&amp;CHAR(10),""))</f>
        <v/>
      </c>
      <c r="AL369" s="764" t="str">
        <f>CONCATENATE(AK369,AK370,AK373,AK374,AK375,AK376,AK377,AK378,AK379)</f>
        <v/>
      </c>
      <c r="AM369" s="32"/>
      <c r="AN369" s="767" t="str">
        <f>CONCATENATE(AM369,AM370,AM372,AM373,AM374,AM375,AM376,AM377,AM378,AM379)</f>
        <v/>
      </c>
      <c r="AO369" s="14">
        <v>317</v>
      </c>
      <c r="AP369" s="76"/>
      <c r="AQ369" s="77"/>
    </row>
    <row r="370" spans="1:43" s="15" customFormat="1" ht="51" x14ac:dyDescent="0.75">
      <c r="A370" s="677"/>
      <c r="B370" s="210" t="s">
        <v>1027</v>
      </c>
      <c r="C370" s="899" t="s">
        <v>538</v>
      </c>
      <c r="D370" s="212"/>
      <c r="E370" s="212"/>
      <c r="F370" s="212"/>
      <c r="G370" s="212"/>
      <c r="H370" s="212"/>
      <c r="I370" s="212"/>
      <c r="J370" s="212"/>
      <c r="K370" s="212"/>
      <c r="L370" s="212"/>
      <c r="M370" s="212"/>
      <c r="N370" s="212"/>
      <c r="O370" s="212"/>
      <c r="P370" s="212"/>
      <c r="Q370" s="212"/>
      <c r="R370" s="212"/>
      <c r="S370" s="212"/>
      <c r="T370" s="212"/>
      <c r="U370" s="212"/>
      <c r="V370" s="212"/>
      <c r="W370" s="212"/>
      <c r="X370" s="212"/>
      <c r="Y370" s="212"/>
      <c r="Z370" s="212"/>
      <c r="AA370" s="373"/>
      <c r="AB370" s="413"/>
      <c r="AC370" s="380"/>
      <c r="AD370" s="380"/>
      <c r="AE370" s="380"/>
      <c r="AF370" s="380"/>
      <c r="AG370" s="380"/>
      <c r="AH370" s="380"/>
      <c r="AI370" s="336"/>
      <c r="AJ370" s="185">
        <f t="shared" ref="AJ370:AJ379" si="128">SUM(D370:AA370)</f>
        <v>0</v>
      </c>
      <c r="AK370" s="140"/>
      <c r="AL370" s="765"/>
      <c r="AM370" s="32"/>
      <c r="AN370" s="768"/>
      <c r="AO370" s="14">
        <v>318</v>
      </c>
      <c r="AP370" s="76"/>
      <c r="AQ370" s="160"/>
    </row>
    <row r="371" spans="1:43" s="15" customFormat="1" ht="51" x14ac:dyDescent="0.75">
      <c r="A371" s="677"/>
      <c r="B371" s="210" t="s">
        <v>1028</v>
      </c>
      <c r="C371" s="899" t="s">
        <v>1007</v>
      </c>
      <c r="D371" s="211"/>
      <c r="E371" s="212"/>
      <c r="F371" s="212"/>
      <c r="G371" s="212"/>
      <c r="H371" s="212"/>
      <c r="I371" s="212"/>
      <c r="J371" s="212"/>
      <c r="K371" s="212"/>
      <c r="L371" s="212"/>
      <c r="M371" s="212"/>
      <c r="N371" s="212"/>
      <c r="O371" s="212"/>
      <c r="P371" s="212"/>
      <c r="Q371" s="212"/>
      <c r="R371" s="212"/>
      <c r="S371" s="212"/>
      <c r="T371" s="212"/>
      <c r="U371" s="212"/>
      <c r="V371" s="212"/>
      <c r="W371" s="212"/>
      <c r="X371" s="212"/>
      <c r="Y371" s="212"/>
      <c r="Z371" s="212"/>
      <c r="AA371" s="373"/>
      <c r="AB371" s="413"/>
      <c r="AC371" s="380"/>
      <c r="AD371" s="380"/>
      <c r="AE371" s="380"/>
      <c r="AF371" s="380"/>
      <c r="AG371" s="380"/>
      <c r="AH371" s="380"/>
      <c r="AI371" s="336"/>
      <c r="AJ371" s="185">
        <f t="shared" si="128"/>
        <v>0</v>
      </c>
      <c r="AK371" s="140"/>
      <c r="AL371" s="765"/>
      <c r="AM371" s="32"/>
      <c r="AN371" s="768"/>
      <c r="AO371" s="14"/>
      <c r="AP371" s="76"/>
      <c r="AQ371" s="160"/>
    </row>
    <row r="372" spans="1:43" s="15" customFormat="1" ht="25.5" x14ac:dyDescent="0.75">
      <c r="A372" s="677"/>
      <c r="B372" s="280" t="s">
        <v>526</v>
      </c>
      <c r="C372" s="899" t="s">
        <v>539</v>
      </c>
      <c r="D372" s="281"/>
      <c r="E372" s="282"/>
      <c r="F372" s="173">
        <f>F369-(F370+F371)</f>
        <v>0</v>
      </c>
      <c r="G372" s="173">
        <f t="shared" ref="G372:AA372" si="129">G369-(G370+G371)</f>
        <v>0</v>
      </c>
      <c r="H372" s="173">
        <f t="shared" si="129"/>
        <v>0</v>
      </c>
      <c r="I372" s="173">
        <f t="shared" si="129"/>
        <v>0</v>
      </c>
      <c r="J372" s="173">
        <f t="shared" si="129"/>
        <v>0</v>
      </c>
      <c r="K372" s="173">
        <f t="shared" si="129"/>
        <v>0</v>
      </c>
      <c r="L372" s="173">
        <f t="shared" si="129"/>
        <v>0</v>
      </c>
      <c r="M372" s="173">
        <f t="shared" si="129"/>
        <v>0</v>
      </c>
      <c r="N372" s="173">
        <f t="shared" si="129"/>
        <v>0</v>
      </c>
      <c r="O372" s="173">
        <f t="shared" si="129"/>
        <v>0</v>
      </c>
      <c r="P372" s="173">
        <f t="shared" si="129"/>
        <v>0</v>
      </c>
      <c r="Q372" s="173">
        <f t="shared" si="129"/>
        <v>0</v>
      </c>
      <c r="R372" s="173">
        <f t="shared" si="129"/>
        <v>0</v>
      </c>
      <c r="S372" s="173">
        <f t="shared" si="129"/>
        <v>0</v>
      </c>
      <c r="T372" s="173">
        <f t="shared" si="129"/>
        <v>0</v>
      </c>
      <c r="U372" s="173">
        <f t="shared" si="129"/>
        <v>0</v>
      </c>
      <c r="V372" s="173">
        <f t="shared" si="129"/>
        <v>0</v>
      </c>
      <c r="W372" s="173">
        <f t="shared" si="129"/>
        <v>0</v>
      </c>
      <c r="X372" s="173">
        <f t="shared" si="129"/>
        <v>0</v>
      </c>
      <c r="Y372" s="173">
        <f t="shared" si="129"/>
        <v>0</v>
      </c>
      <c r="Z372" s="173">
        <f t="shared" si="129"/>
        <v>0</v>
      </c>
      <c r="AA372" s="363">
        <f t="shared" si="129"/>
        <v>0</v>
      </c>
      <c r="AB372" s="413"/>
      <c r="AC372" s="380"/>
      <c r="AD372" s="380"/>
      <c r="AE372" s="380"/>
      <c r="AF372" s="380"/>
      <c r="AG372" s="380"/>
      <c r="AH372" s="380"/>
      <c r="AI372" s="336"/>
      <c r="AJ372" s="185">
        <f t="shared" si="128"/>
        <v>0</v>
      </c>
      <c r="AK372" s="140"/>
      <c r="AL372" s="765"/>
      <c r="AM372" s="32" t="str">
        <f>CONCATENATE(IF(D372&gt;D373," * TB Cases newly tested for HIV "&amp;$D$20&amp;" "&amp;$D$21&amp;" is less than TB Cases eligible for Testing"&amp;CHAR(10),""),IF(E372&gt;E373," * TB Cases newly tested for HIV "&amp;$D$20&amp;" "&amp;$E$21&amp;" is less than TB Cases eligible for Testing"&amp;CHAR(10),""),IF(F372&gt;F373," * TB Cases newly tested for HIV "&amp;$F$20&amp;" "&amp;$F$21&amp;" is less than TB Cases eligible for Testing"&amp;CHAR(10),""),IF(G372&gt;G373," * TB Cases newly tested for HIV "&amp;$F$20&amp;" "&amp;$G$21&amp;" is less than TB Cases eligible for Testing"&amp;CHAR(10),""),IF(H372&gt;H373," * TB Cases newly tested for HIV "&amp;$H$20&amp;" "&amp;$H$21&amp;" is less than TB Cases eligible for Testing"&amp;CHAR(10),""),IF(I372&gt;I373," * TB Cases newly tested for HIV "&amp;$H$20&amp;" "&amp;$I$21&amp;" is less than TB Cases eligible for Testing"&amp;CHAR(10),""),IF(J372&gt;J373," * TB Cases newly tested for HIV "&amp;$J$20&amp;" "&amp;$J$21&amp;" is less than TB Cases eligible for Testing"&amp;CHAR(10),""),IF(K372&gt;K373," * TB Cases newly tested for HIV "&amp;$J$20&amp;" "&amp;$K$21&amp;" is less than TB Cases eligible for Testing"&amp;CHAR(10),""),IF(L372&gt;L373," * TB Cases newly tested for HIV "&amp;$L$20&amp;" "&amp;$L$21&amp;" is less than TB Cases eligible for Testing"&amp;CHAR(10),""),IF(M372&gt;M373," * TB Cases newly tested for HIV "&amp;$L$20&amp;" "&amp;$M$21&amp;" is less than TB Cases eligible for Testing"&amp;CHAR(10),""),IF(N372&gt;N373," * TB Cases newly tested for HIV "&amp;$N$20&amp;" "&amp;$N$21&amp;" is less than TB Cases eligible for Testing"&amp;CHAR(10),""),IF(O372&gt;O373," * TB Cases newly tested for HIV "&amp;$N$20&amp;" "&amp;$O$21&amp;" is less than TB Cases eligible for Testing"&amp;CHAR(10),""),IF(P372&gt;P373," * TB Cases newly tested for HIV "&amp;$P$20&amp;" "&amp;$P$21&amp;" is less than TB Cases eligible for Testing"&amp;CHAR(10),""),IF(Q372&gt;Q373," * TB Cases newly tested for HIV "&amp;$P$20&amp;" "&amp;$Q$21&amp;" is less than TB Cases eligible for Testing"&amp;CHAR(10),""),IF(R372&gt;R373," * TB Cases newly tested for HIV "&amp;$R$20&amp;" "&amp;$R$21&amp;" is less than TB Cases eligible for Testing"&amp;CHAR(10),""),IF(S372&gt;S373," * TB Cases newly tested for HIV "&amp;$R$20&amp;" "&amp;$S$21&amp;" is less than TB Cases eligible for Testing"&amp;CHAR(10),""),IF(T372&gt;T373," * TB Cases newly tested for HIV "&amp;$T$20&amp;" "&amp;$T$21&amp;" is less than TB Cases eligible for Testing"&amp;CHAR(10),""),IF(U372&gt;U373," * TB Cases newly tested for HIV "&amp;$T$20&amp;" "&amp;$U$21&amp;" is less than TB Cases eligible for Testing"&amp;CHAR(10),""),IF(V372&gt;V373," * TB Cases newly tested for HIV "&amp;$V$20&amp;" "&amp;$V$21&amp;" is less than TB Cases eligible for Testing"&amp;CHAR(10),""),IF(W372&gt;W373," * TB Cases newly tested for HIV "&amp;$V$20&amp;" "&amp;$W$21&amp;" is less than TB Cases eligible for Testing"&amp;CHAR(10),""),IF(X372&gt;X373," * TB Cases newly tested for HIV "&amp;$X$20&amp;" "&amp;$X$21&amp;" is less than TB Cases eligible for Testing"&amp;CHAR(10),""),IF(Y372&gt;Y373," * TB Cases newly tested for HIV "&amp;$X$20&amp;" "&amp;$Y$21&amp;" is less than TB Cases eligible for Testing"&amp;CHAR(10),""),IF(Z372&gt;Z373," * TB Cases newly tested for HIV "&amp;$Z$20&amp;" "&amp;$Z$21&amp;" is less than TB Cases eligible for Testing"&amp;CHAR(10),""),IF(AA372&gt;AA373," * TB Cases newly tested for HIV "&amp;$Z$20&amp;" "&amp;$AA$21&amp;" is less than TB Cases eligible for Testing"&amp;CHAR(10),""))</f>
        <v/>
      </c>
      <c r="AN372" s="768"/>
      <c r="AO372" s="14">
        <v>319</v>
      </c>
      <c r="AP372" s="76"/>
      <c r="AQ372" s="160"/>
    </row>
    <row r="373" spans="1:43" s="283" customFormat="1" ht="25.5" x14ac:dyDescent="0.75">
      <c r="A373" s="677"/>
      <c r="B373" s="210" t="s">
        <v>548</v>
      </c>
      <c r="C373" s="899" t="s">
        <v>540</v>
      </c>
      <c r="D373" s="281"/>
      <c r="E373" s="282"/>
      <c r="F373" s="139"/>
      <c r="G373" s="139"/>
      <c r="H373" s="139"/>
      <c r="I373" s="139"/>
      <c r="J373" s="139"/>
      <c r="K373" s="139"/>
      <c r="L373" s="139"/>
      <c r="M373" s="139"/>
      <c r="N373" s="139"/>
      <c r="O373" s="139"/>
      <c r="P373" s="139"/>
      <c r="Q373" s="139"/>
      <c r="R373" s="139"/>
      <c r="S373" s="139"/>
      <c r="T373" s="139"/>
      <c r="U373" s="139"/>
      <c r="V373" s="139"/>
      <c r="W373" s="139"/>
      <c r="X373" s="139"/>
      <c r="Y373" s="139"/>
      <c r="Z373" s="139"/>
      <c r="AA373" s="354"/>
      <c r="AB373" s="413"/>
      <c r="AC373" s="380"/>
      <c r="AD373" s="380"/>
      <c r="AE373" s="380"/>
      <c r="AF373" s="380"/>
      <c r="AG373" s="380"/>
      <c r="AH373" s="380"/>
      <c r="AI373" s="336"/>
      <c r="AJ373" s="185">
        <f t="shared" si="128"/>
        <v>0</v>
      </c>
      <c r="AK373" s="31" t="str">
        <f>CONCATENATE(IF(D369&lt;D373," * TB Cases newly tested for HIV "&amp;$D$20&amp;" "&amp;$D$21&amp;" is more than Total TB Cases New and relapsed"&amp;CHAR(10),""),IF(E369&lt;E373," * TB Cases newly tested for HIV "&amp;$D$20&amp;" "&amp;$E$21&amp;" is more than Total TB Cases New and relapsed"&amp;CHAR(10),""),IF(F369&lt;F373," * TB Cases newly tested for HIV "&amp;$F$20&amp;" "&amp;$F$21&amp;" is more than Total TB Cases New and relapsed"&amp;CHAR(10),""),IF(G369&lt;G373," * TB Cases newly tested for HIV "&amp;$F$20&amp;" "&amp;$G$21&amp;" is more than Total TB Cases New and relapsed"&amp;CHAR(10),""),IF(H369&lt;H373," * TB Cases newly tested for HIV "&amp;$H$20&amp;" "&amp;$H$21&amp;" is more than Total TB Cases New and relapsed"&amp;CHAR(10),""),IF(I369&lt;I373," * TB Cases newly tested for HIV "&amp;$H$20&amp;" "&amp;$I$21&amp;" is more than Total TB Cases New and relapsed"&amp;CHAR(10),""),IF(J369&lt;J373," * TB Cases newly tested for HIV "&amp;$J$20&amp;" "&amp;$J$21&amp;" is more than Total TB Cases New and relapsed"&amp;CHAR(10),""),IF(K369&lt;K373," * TB Cases newly tested for HIV "&amp;$J$20&amp;" "&amp;$K$21&amp;" is more than Total TB Cases New and relapsed"&amp;CHAR(10),""),IF(L369&lt;L373," * TB Cases newly tested for HIV "&amp;$L$20&amp;" "&amp;$L$21&amp;" is more than Total TB Cases New and relapsed"&amp;CHAR(10),""),IF(M369&lt;M373," * TB Cases newly tested for HIV "&amp;$L$20&amp;" "&amp;$M$21&amp;" is more than Total TB Cases New and relapsed"&amp;CHAR(10),""),IF(N369&lt;N373," * TB Cases newly tested for HIV "&amp;$N$20&amp;" "&amp;$N$21&amp;" is more than Total TB Cases New and relapsed"&amp;CHAR(10),""),IF(O369&lt;O373," * TB Cases newly tested for HIV "&amp;$N$20&amp;" "&amp;$O$21&amp;" is more than Total TB Cases New and relapsed"&amp;CHAR(10),""),IF(P369&lt;P373," * TB Cases newly tested for HIV "&amp;$P$20&amp;" "&amp;$P$21&amp;" is more than Total TB Cases New and relapsed"&amp;CHAR(10),""),IF(Q369&lt;Q373," * TB Cases newly tested for HIV "&amp;$P$20&amp;" "&amp;$Q$21&amp;" is more than Total TB Cases New and relapsed"&amp;CHAR(10),""),IF(R369&lt;R373," * TB Cases newly tested for HIV "&amp;$R$20&amp;" "&amp;$R$21&amp;" is more than Total TB Cases New and relapsed"&amp;CHAR(10),""),IF(S369&lt;S373," * TB Cases newly tested for HIV "&amp;$R$20&amp;" "&amp;$S$21&amp;" is more than Total TB Cases New and relapsed"&amp;CHAR(10),""),IF(T369&lt;T373," * TB Cases newly tested for HIV "&amp;$T$20&amp;" "&amp;$T$21&amp;" is more than Total TB Cases New and relapsed"&amp;CHAR(10),""),IF(U369&lt;U373," * TB Cases newly tested for HIV "&amp;$T$20&amp;" "&amp;$U$21&amp;" is more than Total TB Cases New and relapsed"&amp;CHAR(10),""),IF(V369&lt;V373," * TB Cases newly tested for HIV "&amp;$V$20&amp;" "&amp;$V$21&amp;" is more than Total TB Cases New and relapsed"&amp;CHAR(10),""),IF(W369&lt;W373," * TB Cases newly tested for HIV "&amp;$V$20&amp;" "&amp;$W$21&amp;" is more than Total TB Cases New and relapsed"&amp;CHAR(10),""),IF(X369&lt;X373," * TB Cases newly tested for HIV "&amp;$X$20&amp;" "&amp;$X$21&amp;" is more than Total TB Cases New and relapsed"&amp;CHAR(10),""),IF(Y369&lt;Y373," * TB Cases newly tested for HIV "&amp;$X$20&amp;" "&amp;$Y$21&amp;" is more than Total TB Cases New and relapsed"&amp;CHAR(10),""),IF(Z369&lt;Z373," * TB Cases newly tested for HIV "&amp;$Z$20&amp;" "&amp;$Z$21&amp;" is more than Total TB Cases New and relapsed"&amp;CHAR(10),""),IF(AA369&lt;AA373," * TB Cases newly tested for HIV "&amp;$Z$20&amp;" "&amp;$AA$21&amp;" is more than Total TB Cases New and relapsed"&amp;CHAR(10),""))</f>
        <v/>
      </c>
      <c r="AL373" s="765"/>
      <c r="AM373" s="62"/>
      <c r="AN373" s="768"/>
      <c r="AO373" s="14">
        <v>320</v>
      </c>
      <c r="AP373" s="82"/>
      <c r="AQ373" s="160"/>
    </row>
    <row r="374" spans="1:43" s="15" customFormat="1" ht="25.5" x14ac:dyDescent="0.75">
      <c r="A374" s="677"/>
      <c r="B374" s="280" t="s">
        <v>527</v>
      </c>
      <c r="C374" s="899" t="s">
        <v>541</v>
      </c>
      <c r="D374" s="281"/>
      <c r="E374" s="282"/>
      <c r="F374" s="173">
        <f t="shared" ref="F374:AA374" si="130">F373+F370</f>
        <v>0</v>
      </c>
      <c r="G374" s="173">
        <f t="shared" si="130"/>
        <v>0</v>
      </c>
      <c r="H374" s="173">
        <f t="shared" si="130"/>
        <v>0</v>
      </c>
      <c r="I374" s="173">
        <f t="shared" si="130"/>
        <v>0</v>
      </c>
      <c r="J374" s="173">
        <f t="shared" si="130"/>
        <v>0</v>
      </c>
      <c r="K374" s="173">
        <f t="shared" si="130"/>
        <v>0</v>
      </c>
      <c r="L374" s="173">
        <f t="shared" si="130"/>
        <v>0</v>
      </c>
      <c r="M374" s="173">
        <f t="shared" si="130"/>
        <v>0</v>
      </c>
      <c r="N374" s="173">
        <f t="shared" si="130"/>
        <v>0</v>
      </c>
      <c r="O374" s="173">
        <f t="shared" si="130"/>
        <v>0</v>
      </c>
      <c r="P374" s="173">
        <f t="shared" si="130"/>
        <v>0</v>
      </c>
      <c r="Q374" s="173">
        <f t="shared" si="130"/>
        <v>0</v>
      </c>
      <c r="R374" s="173">
        <f t="shared" si="130"/>
        <v>0</v>
      </c>
      <c r="S374" s="173">
        <f t="shared" si="130"/>
        <v>0</v>
      </c>
      <c r="T374" s="173">
        <f t="shared" si="130"/>
        <v>0</v>
      </c>
      <c r="U374" s="173">
        <f t="shared" si="130"/>
        <v>0</v>
      </c>
      <c r="V374" s="173">
        <f t="shared" si="130"/>
        <v>0</v>
      </c>
      <c r="W374" s="173">
        <f t="shared" si="130"/>
        <v>0</v>
      </c>
      <c r="X374" s="173">
        <f t="shared" si="130"/>
        <v>0</v>
      </c>
      <c r="Y374" s="173">
        <f t="shared" si="130"/>
        <v>0</v>
      </c>
      <c r="Z374" s="173">
        <f t="shared" si="130"/>
        <v>0</v>
      </c>
      <c r="AA374" s="363">
        <f t="shared" si="130"/>
        <v>0</v>
      </c>
      <c r="AB374" s="413"/>
      <c r="AC374" s="380"/>
      <c r="AD374" s="380"/>
      <c r="AE374" s="380"/>
      <c r="AF374" s="380"/>
      <c r="AG374" s="380"/>
      <c r="AH374" s="380"/>
      <c r="AI374" s="336"/>
      <c r="AJ374" s="185">
        <f t="shared" si="128"/>
        <v>0</v>
      </c>
      <c r="AK374" s="31" t="str">
        <f>CONCATENATE(IF(D369&lt;D374," * TB cases with documented HIV status "&amp;$D$20&amp;" "&amp;$D$21&amp;" is more than Total TB Cases New and relapsed"&amp;CHAR(10),""),IF(E369&lt;E374," * TB cases with documented HIV status "&amp;$D$20&amp;" "&amp;$E$21&amp;" is more than Total TB Cases New and relapsed"&amp;CHAR(10),""),IF(F369&lt;F374," * TB cases with documented HIV status "&amp;$F$20&amp;" "&amp;$F$21&amp;" is more than Total TB Cases New and relapsed"&amp;CHAR(10),""),IF(G369&lt;G374," * TB cases with documented HIV status "&amp;$F$20&amp;" "&amp;$G$21&amp;" is more than Total TB Cases New and relapsed"&amp;CHAR(10),""),IF(H369&lt;H374," * TB cases with documented HIV status "&amp;$H$20&amp;" "&amp;$H$21&amp;" is more than Total TB Cases New and relapsed"&amp;CHAR(10),""),IF(I369&lt;I374," * TB cases with documented HIV status "&amp;$H$20&amp;" "&amp;$I$21&amp;" is more than Total TB Cases New and relapsed"&amp;CHAR(10),""),IF(J369&lt;J374," * TB cases with documented HIV status "&amp;$J$20&amp;" "&amp;$J$21&amp;" is more than Total TB Cases New and relapsed"&amp;CHAR(10),""),IF(K369&lt;K374," * TB cases with documented HIV status "&amp;$J$20&amp;" "&amp;$K$21&amp;" is more than Total TB Cases New and relapsed"&amp;CHAR(10),""),IF(L369&lt;L374," * TB cases with documented HIV status "&amp;$L$20&amp;" "&amp;$L$21&amp;" is more than Total TB Cases New and relapsed"&amp;CHAR(10),""),IF(M369&lt;M374," * TB cases with documented HIV status "&amp;$L$20&amp;" "&amp;$M$21&amp;" is more than Total TB Cases New and relapsed"&amp;CHAR(10),""),IF(N369&lt;N374," * TB cases with documented HIV status "&amp;$N$20&amp;" "&amp;$N$21&amp;" is more than Total TB Cases New and relapsed"&amp;CHAR(10),""),IF(O369&lt;O374," * TB cases with documented HIV status "&amp;$N$20&amp;" "&amp;$O$21&amp;" is more than Total TB Cases New and relapsed"&amp;CHAR(10),""),IF(P369&lt;P374," * TB cases with documented HIV status "&amp;$P$20&amp;" "&amp;$P$21&amp;" is more than Total TB Cases New and relapsed"&amp;CHAR(10),""),IF(Q369&lt;Q374," * TB cases with documented HIV status "&amp;$P$20&amp;" "&amp;$Q$21&amp;" is more than Total TB Cases New and relapsed"&amp;CHAR(10),""),IF(R369&lt;R374," * TB cases with documented HIV status "&amp;$R$20&amp;" "&amp;$R$21&amp;" is more than Total TB Cases New and relapsed"&amp;CHAR(10),""),IF(S369&lt;S374," * TB cases with documented HIV status "&amp;$R$20&amp;" "&amp;$S$21&amp;" is more than Total TB Cases New and relapsed"&amp;CHAR(10),""),IF(T369&lt;T374," * TB cases with documented HIV status "&amp;$T$20&amp;" "&amp;$T$21&amp;" is more than Total TB Cases New and relapsed"&amp;CHAR(10),""),IF(U369&lt;U374," * TB cases with documented HIV status "&amp;$T$20&amp;" "&amp;$U$21&amp;" is more than Total TB Cases New and relapsed"&amp;CHAR(10),""),IF(V369&lt;V374," * TB cases with documented HIV status "&amp;$V$20&amp;" "&amp;$V$21&amp;" is more than Total TB Cases New and relapsed"&amp;CHAR(10),""),IF(W369&lt;W374," * TB cases with documented HIV status "&amp;$V$20&amp;" "&amp;$W$21&amp;" is more than Total TB Cases New and relapsed"&amp;CHAR(10),""),IF(X369&lt;X374," * TB cases with documented HIV status "&amp;$X$20&amp;" "&amp;$X$21&amp;" is more than Total TB Cases New and relapsed"&amp;CHAR(10),""),IF(Y369&lt;Y374," * TB cases with documented HIV status "&amp;$X$20&amp;" "&amp;$Y$21&amp;" is more than Total TB Cases New and relapsed"&amp;CHAR(10),""),IF(Z369&lt;Z374," * TB cases with documented HIV status "&amp;$Z$20&amp;" "&amp;$Z$21&amp;" is more than Total TB Cases New and relapsed"&amp;CHAR(10),""),IF(AA369&lt;AA374," * TB cases with documented HIV status "&amp;$Z$20&amp;" "&amp;$AA$21&amp;" is more than Total TB Cases New and relapsed"&amp;CHAR(10),""))</f>
        <v/>
      </c>
      <c r="AL374" s="765"/>
      <c r="AM374" s="32"/>
      <c r="AN374" s="768"/>
      <c r="AO374" s="14">
        <v>321</v>
      </c>
      <c r="AP374" s="76"/>
      <c r="AQ374" s="160"/>
    </row>
    <row r="375" spans="1:43" ht="25.5" x14ac:dyDescent="0.75">
      <c r="A375" s="677"/>
      <c r="B375" s="210" t="s">
        <v>550</v>
      </c>
      <c r="C375" s="899" t="s">
        <v>542</v>
      </c>
      <c r="D375" s="281"/>
      <c r="E375" s="282"/>
      <c r="F375" s="81"/>
      <c r="G375" s="81"/>
      <c r="H375" s="81"/>
      <c r="I375" s="81"/>
      <c r="J375" s="81"/>
      <c r="K375" s="81"/>
      <c r="L375" s="81"/>
      <c r="M375" s="81"/>
      <c r="N375" s="81"/>
      <c r="O375" s="81"/>
      <c r="P375" s="81"/>
      <c r="Q375" s="81"/>
      <c r="R375" s="81"/>
      <c r="S375" s="81"/>
      <c r="T375" s="81"/>
      <c r="U375" s="81"/>
      <c r="V375" s="81"/>
      <c r="W375" s="81"/>
      <c r="X375" s="81"/>
      <c r="Y375" s="81"/>
      <c r="Z375" s="81"/>
      <c r="AA375" s="341"/>
      <c r="AB375" s="413"/>
      <c r="AC375" s="380"/>
      <c r="AD375" s="380"/>
      <c r="AE375" s="380"/>
      <c r="AF375" s="380"/>
      <c r="AG375" s="380"/>
      <c r="AH375" s="380"/>
      <c r="AI375" s="336"/>
      <c r="AJ375" s="185">
        <f t="shared" si="128"/>
        <v>0</v>
      </c>
      <c r="AK375" s="31" t="str">
        <f>CONCATENATE(IF(D373&lt;D375," * Newly Tested Positives "&amp;$D$20&amp;" "&amp;$D$21&amp;" is more than TB Cases newly tested for HIV"&amp;CHAR(10),""),IF(E373&lt;E375," * Newly Tested Positives "&amp;$D$20&amp;" "&amp;$E$21&amp;" is more than TB Cases newly tested for HIV"&amp;CHAR(10),""),IF(F373&lt;F375," * Newly Tested Positives "&amp;$F$20&amp;" "&amp;$F$21&amp;" is more than TB Cases newly tested for HIV"&amp;CHAR(10),""),IF(G373&lt;G375," * Newly Tested Positives "&amp;$F$20&amp;" "&amp;$G$21&amp;" is more than TB Cases newly tested for HIV"&amp;CHAR(10),""),IF(H373&lt;H375," * Newly Tested Positives "&amp;$H$20&amp;" "&amp;$H$21&amp;" is more than TB Cases newly tested for HIV"&amp;CHAR(10),""),IF(I373&lt;I375," * Newly Tested Positives "&amp;$H$20&amp;" "&amp;$I$21&amp;" is more than TB Cases newly tested for HIV"&amp;CHAR(10),""),IF(J373&lt;J375," * Newly Tested Positives "&amp;$J$20&amp;" "&amp;$J$21&amp;" is more than TB Cases newly tested for HIV"&amp;CHAR(10),""),IF(K373&lt;K375," * Newly Tested Positives "&amp;$J$20&amp;" "&amp;$K$21&amp;" is more than TB Cases newly tested for HIV"&amp;CHAR(10),""),IF(L373&lt;L375," * Newly Tested Positives "&amp;$L$20&amp;" "&amp;$L$21&amp;" is more than TB Cases newly tested for HIV"&amp;CHAR(10),""),IF(M373&lt;M375," * Newly Tested Positives "&amp;$L$20&amp;" "&amp;$M$21&amp;" is more than TB Cases newly tested for HIV"&amp;CHAR(10),""),IF(N373&lt;N375," * Newly Tested Positives "&amp;$N$20&amp;" "&amp;$N$21&amp;" is more than TB Cases newly tested for HIV"&amp;CHAR(10),""),IF(O373&lt;O375," * Newly Tested Positives "&amp;$N$20&amp;" "&amp;$O$21&amp;" is more than TB Cases newly tested for HIV"&amp;CHAR(10),""),IF(P373&lt;P375," * Newly Tested Positives "&amp;$P$20&amp;" "&amp;$P$21&amp;" is more than TB Cases newly tested for HIV"&amp;CHAR(10),""),IF(Q373&lt;Q375," * Newly Tested Positives "&amp;$P$20&amp;" "&amp;$Q$21&amp;" is more than TB Cases newly tested for HIV"&amp;CHAR(10),""),IF(R373&lt;R375," * Newly Tested Positives "&amp;$R$20&amp;" "&amp;$R$21&amp;" is more than TB Cases newly tested for HIV"&amp;CHAR(10),""),IF(S373&lt;S375," * Newly Tested Positives "&amp;$R$20&amp;" "&amp;$S$21&amp;" is more than TB Cases newly tested for HIV"&amp;CHAR(10),""),IF(T373&lt;T375," * Newly Tested Positives "&amp;$T$20&amp;" "&amp;$T$21&amp;" is more than TB Cases newly tested for HIV"&amp;CHAR(10),""),IF(U373&lt;U375," * Newly Tested Positives "&amp;$T$20&amp;" "&amp;$U$21&amp;" is more than TB Cases newly tested for HIV"&amp;CHAR(10),""),IF(V373&lt;V375," * Newly Tested Positives "&amp;$V$20&amp;" "&amp;$V$21&amp;" is more than TB Cases newly tested for HIV"&amp;CHAR(10),""),IF(W373&lt;W375," * Newly Tested Positives "&amp;$V$20&amp;" "&amp;$W$21&amp;" is more than TB Cases newly tested for HIV"&amp;CHAR(10),""),IF(X373&lt;X375," * Newly Tested Positives "&amp;$X$20&amp;" "&amp;$X$21&amp;" is more than TB Cases newly tested for HIV"&amp;CHAR(10),""),IF(Y373&lt;Y375," * Newly Tested Positives "&amp;$X$20&amp;" "&amp;$Y$21&amp;" is more than TB Cases newly tested for HIV"&amp;CHAR(10),""),IF(Z373&lt;Z375," * Newly Tested Positives "&amp;$Z$20&amp;" "&amp;$Z$21&amp;" is more than TB Cases newly tested for HIV"&amp;CHAR(10),""),IF(AA373&lt;AA375," * Newly Tested Positives "&amp;$Z$20&amp;" "&amp;$AA$21&amp;" is more than TB Cases newly tested for HIV"&amp;CHAR(10),""))</f>
        <v/>
      </c>
      <c r="AL375" s="765"/>
      <c r="AM375" s="32"/>
      <c r="AN375" s="768"/>
      <c r="AO375" s="14">
        <v>322</v>
      </c>
      <c r="AP375" s="76"/>
      <c r="AQ375" s="77"/>
    </row>
    <row r="376" spans="1:43" ht="25.9" thickBot="1" x14ac:dyDescent="0.8">
      <c r="A376" s="677"/>
      <c r="B376" s="236" t="s">
        <v>543</v>
      </c>
      <c r="C376" s="916" t="s">
        <v>544</v>
      </c>
      <c r="D376" s="284"/>
      <c r="E376" s="121"/>
      <c r="F376" s="285">
        <f t="shared" ref="F376:AA376" si="131">F375+F370</f>
        <v>0</v>
      </c>
      <c r="G376" s="285">
        <f t="shared" si="131"/>
        <v>0</v>
      </c>
      <c r="H376" s="285">
        <f t="shared" si="131"/>
        <v>0</v>
      </c>
      <c r="I376" s="285">
        <f t="shared" si="131"/>
        <v>0</v>
      </c>
      <c r="J376" s="285">
        <f t="shared" si="131"/>
        <v>0</v>
      </c>
      <c r="K376" s="285">
        <f t="shared" si="131"/>
        <v>0</v>
      </c>
      <c r="L376" s="285">
        <f t="shared" si="131"/>
        <v>0</v>
      </c>
      <c r="M376" s="285">
        <f t="shared" si="131"/>
        <v>0</v>
      </c>
      <c r="N376" s="285">
        <f t="shared" si="131"/>
        <v>0</v>
      </c>
      <c r="O376" s="285">
        <f t="shared" si="131"/>
        <v>0</v>
      </c>
      <c r="P376" s="285">
        <f t="shared" si="131"/>
        <v>0</v>
      </c>
      <c r="Q376" s="285">
        <f t="shared" si="131"/>
        <v>0</v>
      </c>
      <c r="R376" s="285">
        <f t="shared" si="131"/>
        <v>0</v>
      </c>
      <c r="S376" s="285">
        <f t="shared" si="131"/>
        <v>0</v>
      </c>
      <c r="T376" s="285">
        <f t="shared" si="131"/>
        <v>0</v>
      </c>
      <c r="U376" s="285">
        <f t="shared" si="131"/>
        <v>0</v>
      </c>
      <c r="V376" s="285">
        <f t="shared" si="131"/>
        <v>0</v>
      </c>
      <c r="W376" s="285">
        <f t="shared" si="131"/>
        <v>0</v>
      </c>
      <c r="X376" s="285">
        <f t="shared" si="131"/>
        <v>0</v>
      </c>
      <c r="Y376" s="285">
        <f t="shared" si="131"/>
        <v>0</v>
      </c>
      <c r="Z376" s="285">
        <f t="shared" si="131"/>
        <v>0</v>
      </c>
      <c r="AA376" s="392">
        <f t="shared" si="131"/>
        <v>0</v>
      </c>
      <c r="AB376" s="413"/>
      <c r="AC376" s="380"/>
      <c r="AD376" s="380"/>
      <c r="AE376" s="380"/>
      <c r="AF376" s="380"/>
      <c r="AG376" s="380"/>
      <c r="AH376" s="380"/>
      <c r="AI376" s="336"/>
      <c r="AJ376" s="418">
        <f t="shared" si="128"/>
        <v>0</v>
      </c>
      <c r="AK376" s="539"/>
      <c r="AL376" s="765"/>
      <c r="AM376" s="32"/>
      <c r="AN376" s="768"/>
      <c r="AO376" s="14">
        <v>323</v>
      </c>
      <c r="AP376" s="76"/>
      <c r="AQ376" s="77"/>
    </row>
    <row r="377" spans="1:43" ht="51" x14ac:dyDescent="0.75">
      <c r="A377" s="677"/>
      <c r="B377" s="286" t="s">
        <v>547</v>
      </c>
      <c r="C377" s="898" t="s">
        <v>545</v>
      </c>
      <c r="D377" s="287"/>
      <c r="E377" s="288"/>
      <c r="F377" s="97"/>
      <c r="G377" s="97"/>
      <c r="H377" s="97"/>
      <c r="I377" s="97"/>
      <c r="J377" s="97"/>
      <c r="K377" s="97"/>
      <c r="L377" s="97"/>
      <c r="M377" s="97"/>
      <c r="N377" s="97"/>
      <c r="O377" s="97"/>
      <c r="P377" s="97"/>
      <c r="Q377" s="97"/>
      <c r="R377" s="97"/>
      <c r="S377" s="97"/>
      <c r="T377" s="97"/>
      <c r="U377" s="97"/>
      <c r="V377" s="97"/>
      <c r="W377" s="97"/>
      <c r="X377" s="97"/>
      <c r="Y377" s="97"/>
      <c r="Z377" s="97"/>
      <c r="AA377" s="344"/>
      <c r="AB377" s="413"/>
      <c r="AC377" s="380"/>
      <c r="AD377" s="380"/>
      <c r="AE377" s="380"/>
      <c r="AF377" s="380"/>
      <c r="AG377" s="380"/>
      <c r="AH377" s="380"/>
      <c r="AI377" s="336"/>
      <c r="AJ377" s="200">
        <f t="shared" si="128"/>
        <v>0</v>
      </c>
      <c r="AK377" s="31"/>
      <c r="AL377" s="765"/>
      <c r="AM377" s="31" t="str">
        <f>CONCATENATE(IF(D375&gt;D377," * Newly Tested Positives "&amp;$D$20&amp;" "&amp;$D$21&amp;" is more than Total Positive Clients newly started on ART"&amp;CHAR(10),""),IF(E375&gt;E377," * Newly Tested Positives "&amp;$D$20&amp;" "&amp;$E$21&amp;" is more than Total Positive Clients newly started on ART"&amp;CHAR(10),""),IF(F375&gt;F377," * Newly Tested Positives "&amp;$F$20&amp;" "&amp;$F$21&amp;" is more than Total Positive Clients newly started on ART"&amp;CHAR(10),""),IF(G375&gt;G377," * Newly Tested Positives "&amp;$F$20&amp;" "&amp;$G$21&amp;" is more than Total Positive Clients newly started on ART"&amp;CHAR(10),""),IF(H375&gt;H377," * Newly Tested Positives "&amp;$H$20&amp;" "&amp;$H$21&amp;" is more than Total Positive Clients newly started on ART"&amp;CHAR(10),""),IF(I375&gt;I377," * Newly Tested Positives "&amp;$H$20&amp;" "&amp;$I$21&amp;" is more than Total Positive Clients newly started on ART"&amp;CHAR(10),""),IF(J375&gt;J377," * Newly Tested Positives "&amp;$J$20&amp;" "&amp;$J$21&amp;" is more than Total Positive Clients newly started on ART"&amp;CHAR(10),""),IF(K375&gt;K377," * Newly Tested Positives "&amp;$J$20&amp;" "&amp;$K$21&amp;" is more than Total Positive Clients newly started on ART"&amp;CHAR(10),""),IF(L375&gt;L377," * Newly Tested Positives "&amp;$L$20&amp;" "&amp;$L$21&amp;" is more than Total Positive Clients newly started on ART"&amp;CHAR(10),""),IF(M375&gt;M377," * Newly Tested Positives "&amp;$L$20&amp;" "&amp;$M$21&amp;" is more than Total Positive Clients newly started on ART"&amp;CHAR(10),""),IF(N375&gt;N377," * Newly Tested Positives "&amp;$N$20&amp;" "&amp;$N$21&amp;" is more than Total Positive Clients newly started on ART"&amp;CHAR(10),""),IF(O375&gt;O377," * Newly Tested Positives "&amp;$N$20&amp;" "&amp;$O$21&amp;" is more than Total Positive Clients newly started on ART"&amp;CHAR(10),""),IF(P375&gt;P377," * Newly Tested Positives "&amp;$P$20&amp;" "&amp;$P$21&amp;" is more than Total Positive Clients newly started on ART"&amp;CHAR(10),""),IF(Q375&gt;Q377," * Newly Tested Positives "&amp;$P$20&amp;" "&amp;$Q$21&amp;" is more than Total Positive Clients newly started on ART"&amp;CHAR(10),""),IF(R375&gt;R377," * Newly Tested Positives "&amp;$R$20&amp;" "&amp;$R$21&amp;" is more than Total Positive Clients newly started on ART"&amp;CHAR(10),""),IF(S375&gt;S377," * Newly Tested Positives "&amp;$R$20&amp;" "&amp;$S$21&amp;" is more than Total Positive Clients newly started on ART"&amp;CHAR(10),""),IF(T375&gt;T377," * Newly Tested Positives "&amp;$T$20&amp;" "&amp;$T$21&amp;" is more than Total Positive Clients newly started on ART"&amp;CHAR(10),""),IF(U375&gt;U377," * Newly Tested Positives "&amp;$T$20&amp;" "&amp;$U$21&amp;" is more than Total Positive Clients newly started on ART"&amp;CHAR(10),""),IF(V375&gt;V377," * Newly Tested Positives "&amp;$V$20&amp;" "&amp;$V$21&amp;" is more than Total Positive Clients newly started on ART"&amp;CHAR(10),""),IF(W375&gt;W377," * Newly Tested Positives "&amp;$V$20&amp;" "&amp;$W$21&amp;" is more than Total Positive Clients newly started on ART"&amp;CHAR(10),""),IF(X375&gt;X377," * Newly Tested Positives "&amp;$X$20&amp;" "&amp;$X$21&amp;" is more than Total Positive Clients newly started on ART"&amp;CHAR(10),""),IF(Y375&gt;Y377," * Newly Tested Positives "&amp;$X$20&amp;" "&amp;$Y$21&amp;" is more than Total Positive Clients newly started on ART"&amp;CHAR(10),""),IF(Z375&gt;Z377," * Newly Tested Positives "&amp;$Z$20&amp;" "&amp;$Z$21&amp;" is more than Total Positive Clients newly started on ART"&amp;CHAR(10),""),IF(AA375&gt;AA377," * Newly Tested Positives "&amp;$Z$20&amp;" "&amp;$AA$21&amp;" is more than Total Positive Clients newly started on ART"&amp;CHAR(10),""))</f>
        <v/>
      </c>
      <c r="AN377" s="768"/>
      <c r="AO377" s="14">
        <v>324</v>
      </c>
      <c r="AP377" s="76"/>
      <c r="AQ377" s="77"/>
    </row>
    <row r="378" spans="1:43" ht="51" x14ac:dyDescent="0.75">
      <c r="A378" s="677"/>
      <c r="B378" s="289" t="s">
        <v>549</v>
      </c>
      <c r="C378" s="899" t="s">
        <v>546</v>
      </c>
      <c r="D378" s="281"/>
      <c r="E378" s="282"/>
      <c r="F378" s="81"/>
      <c r="G378" s="81"/>
      <c r="H378" s="81"/>
      <c r="I378" s="81"/>
      <c r="J378" s="81"/>
      <c r="K378" s="81"/>
      <c r="L378" s="81"/>
      <c r="M378" s="81"/>
      <c r="N378" s="81"/>
      <c r="O378" s="81"/>
      <c r="P378" s="81"/>
      <c r="Q378" s="81"/>
      <c r="R378" s="81"/>
      <c r="S378" s="81"/>
      <c r="T378" s="81"/>
      <c r="U378" s="81"/>
      <c r="V378" s="81"/>
      <c r="W378" s="81"/>
      <c r="X378" s="81"/>
      <c r="Y378" s="81"/>
      <c r="Z378" s="81"/>
      <c r="AA378" s="341"/>
      <c r="AB378" s="413"/>
      <c r="AC378" s="380"/>
      <c r="AD378" s="380"/>
      <c r="AE378" s="380"/>
      <c r="AF378" s="380"/>
      <c r="AG378" s="380"/>
      <c r="AH378" s="380"/>
      <c r="AI378" s="336"/>
      <c r="AJ378" s="185">
        <f t="shared" si="128"/>
        <v>0</v>
      </c>
      <c r="AK378" s="31" t="str">
        <f>CONCATENATE(IF(D370&lt;&gt;D378," * TB Cases Already on ART at entry in TB clinic "&amp;$D$20&amp;" "&amp;$D$21&amp;" is Not equal to  TB cases with known HIV +ve status"&amp;CHAR(10),""),IF(E370&lt;&gt;E378," * TB Cases Already on ART at entry in TB clinic "&amp;$D$20&amp;" "&amp;$E$21&amp;" is Not equal to  TB cases with known HIV +ve status"&amp;CHAR(10),""),IF(F370&lt;&gt;F378," * TB Cases Already on ART at entry in TB clinic "&amp;$F$20&amp;" "&amp;$F$21&amp;" is Not equal to  TB cases with known HIV +ve status"&amp;CHAR(10),""),IF(G370&lt;&gt;G378," * TB Cases Already on ART at entry in TB clinic "&amp;$F$20&amp;" "&amp;$G$21&amp;" is Not equal to  TB cases with known HIV +ve status"&amp;CHAR(10),""),IF(H370&lt;&gt;H378," * TB Cases Already on ART at entry in TB clinic "&amp;$H$20&amp;" "&amp;$H$21&amp;" is Not equal to  TB cases with known HIV +ve status"&amp;CHAR(10),""),IF(I370&lt;&gt;I378," * TB Cases Already on ART at entry in TB clinic "&amp;$H$20&amp;" "&amp;$I$21&amp;" is Not equal to  TB cases with known HIV +ve status"&amp;CHAR(10),""),IF(J370&lt;&gt;J378," * TB Cases Already on ART at entry in TB clinic "&amp;$J$20&amp;" "&amp;$J$21&amp;" is Not equal to  TB cases with known HIV +ve status"&amp;CHAR(10),""),IF(K370&lt;&gt;K378," * TB Cases Already on ART at entry in TB clinic "&amp;$J$20&amp;" "&amp;$K$21&amp;" is Not equal to  TB cases with known HIV +ve status"&amp;CHAR(10),""),IF(L370&lt;&gt;L378," * TB Cases Already on ART at entry in TB clinic "&amp;$L$20&amp;" "&amp;$L$21&amp;" is Not equal to  TB cases with known HIV +ve status"&amp;CHAR(10),""),IF(M370&lt;&gt;M378," * TB Cases Already on ART at entry in TB clinic "&amp;$L$20&amp;" "&amp;$M$21&amp;" is Not equal to  TB cases with known HIV +ve status"&amp;CHAR(10),""),IF(N370&lt;&gt;N378," * TB Cases Already on ART at entry in TB clinic "&amp;$N$20&amp;" "&amp;$N$21&amp;" is Not equal to  TB cases with known HIV +ve status"&amp;CHAR(10),""),IF(O370&lt;&gt;O378," * TB Cases Already on ART at entry in TB clinic "&amp;$N$20&amp;" "&amp;$O$21&amp;" is Not equal to  TB cases with known HIV +ve status"&amp;CHAR(10),""),IF(P370&lt;&gt;P378," * TB Cases Already on ART at entry in TB clinic "&amp;$P$20&amp;" "&amp;$P$21&amp;" is Not equal to  TB cases with known HIV +ve status"&amp;CHAR(10),""),IF(Q370&lt;&gt;Q378," * TB Cases Already on ART at entry in TB clinic "&amp;$P$20&amp;" "&amp;$Q$21&amp;" is Not equal to  TB cases with known HIV +ve status"&amp;CHAR(10),""),IF(R370&lt;&gt;R378," * TB Cases Already on ART at entry in TB clinic "&amp;$R$20&amp;" "&amp;$R$21&amp;" is Not equal to  TB cases with known HIV +ve status"&amp;CHAR(10),""),IF(S370&lt;&gt;S378," * TB Cases Already on ART at entry in TB clinic "&amp;$R$20&amp;" "&amp;$S$21&amp;" is Not equal to  TB cases with known HIV +ve status"&amp;CHAR(10),""),IF(T370&lt;&gt;T378," * TB Cases Already on ART at entry in TB clinic "&amp;$T$20&amp;" "&amp;$T$21&amp;" is Not equal to  TB cases with known HIV +ve status"&amp;CHAR(10),""),IF(U370&lt;&gt;U378," * TB Cases Already on ART at entry in TB clinic "&amp;$T$20&amp;" "&amp;$U$21&amp;" is Not equal to  TB cases with known HIV +ve status"&amp;CHAR(10),""),IF(V370&lt;&gt;V378," * TB Cases Already on ART at entry in TB clinic "&amp;$V$20&amp;" "&amp;$V$21&amp;" is Not equal to  TB cases with known HIV +ve status"&amp;CHAR(10),""),IF(W370&lt;&gt;W378," * TB Cases Already on ART at entry in TB clinic "&amp;$V$20&amp;" "&amp;$W$21&amp;" is Not equal to  TB cases with known HIV +ve status"&amp;CHAR(10),""),IF(X370&lt;&gt;X378," * TB Cases Already on ART at entry in TB clinic "&amp;$X$20&amp;" "&amp;$X$21&amp;" is Not equal to  TB cases with known HIV +ve status"&amp;CHAR(10),""),IF(Y370&lt;&gt;Y378," * TB Cases Already on ART at entry in TB clinic "&amp;$X$20&amp;" "&amp;$Y$21&amp;" is Not equal to  TB cases with known HIV +ve status"&amp;CHAR(10),""),IF(Z370&lt;&gt;Z378," * TB Cases Already on ART at entry in TB clinic "&amp;$Z$20&amp;" "&amp;$Z$21&amp;" is Not equal to  TB cases with known HIV +ve status"&amp;CHAR(10),""),IF(AA370&lt;&gt;AA378," * TB Cases Already on ART at entry in TB clinic "&amp;$Z$20&amp;" "&amp;$AA$21&amp;" is Not equal to  TB cases with known HIV +ve status"&amp;CHAR(10),""))</f>
        <v/>
      </c>
      <c r="AL378" s="765"/>
      <c r="AM378" s="32"/>
      <c r="AN378" s="768"/>
      <c r="AO378" s="14">
        <v>325</v>
      </c>
      <c r="AP378" s="76"/>
      <c r="AQ378" s="77"/>
    </row>
    <row r="379" spans="1:43" s="85" customFormat="1" ht="25.9" thickBot="1" x14ac:dyDescent="0.5">
      <c r="A379" s="678"/>
      <c r="B379" s="290" t="s">
        <v>555</v>
      </c>
      <c r="C379" s="901" t="s">
        <v>554</v>
      </c>
      <c r="D379" s="169"/>
      <c r="E379" s="16"/>
      <c r="F379" s="278">
        <f t="shared" ref="F379:AA379" si="132">F378+F377</f>
        <v>0</v>
      </c>
      <c r="G379" s="278">
        <f t="shared" si="132"/>
        <v>0</v>
      </c>
      <c r="H379" s="278">
        <f t="shared" si="132"/>
        <v>0</v>
      </c>
      <c r="I379" s="278">
        <f t="shared" si="132"/>
        <v>0</v>
      </c>
      <c r="J379" s="278">
        <f t="shared" si="132"/>
        <v>0</v>
      </c>
      <c r="K379" s="278">
        <f t="shared" si="132"/>
        <v>0</v>
      </c>
      <c r="L379" s="278">
        <f t="shared" si="132"/>
        <v>0</v>
      </c>
      <c r="M379" s="278">
        <f t="shared" si="132"/>
        <v>0</v>
      </c>
      <c r="N379" s="278">
        <f t="shared" si="132"/>
        <v>0</v>
      </c>
      <c r="O379" s="278">
        <f t="shared" si="132"/>
        <v>0</v>
      </c>
      <c r="P379" s="278">
        <f t="shared" si="132"/>
        <v>0</v>
      </c>
      <c r="Q379" s="278">
        <f t="shared" si="132"/>
        <v>0</v>
      </c>
      <c r="R379" s="278">
        <f t="shared" si="132"/>
        <v>0</v>
      </c>
      <c r="S379" s="278">
        <f t="shared" si="132"/>
        <v>0</v>
      </c>
      <c r="T379" s="278">
        <f t="shared" si="132"/>
        <v>0</v>
      </c>
      <c r="U379" s="278">
        <f t="shared" si="132"/>
        <v>0</v>
      </c>
      <c r="V379" s="278">
        <f t="shared" si="132"/>
        <v>0</v>
      </c>
      <c r="W379" s="278">
        <f t="shared" si="132"/>
        <v>0</v>
      </c>
      <c r="X379" s="278">
        <f t="shared" si="132"/>
        <v>0</v>
      </c>
      <c r="Y379" s="278">
        <f t="shared" si="132"/>
        <v>0</v>
      </c>
      <c r="Z379" s="278">
        <f t="shared" si="132"/>
        <v>0</v>
      </c>
      <c r="AA379" s="391">
        <f t="shared" si="132"/>
        <v>0</v>
      </c>
      <c r="AB379" s="414"/>
      <c r="AC379" s="415"/>
      <c r="AD379" s="415"/>
      <c r="AE379" s="415"/>
      <c r="AF379" s="415"/>
      <c r="AG379" s="415"/>
      <c r="AH379" s="415"/>
      <c r="AI379" s="337"/>
      <c r="AJ379" s="204">
        <f t="shared" si="128"/>
        <v>0</v>
      </c>
      <c r="AK379" s="291" t="str">
        <f>CONCATENATE(IF(D374&lt;D379," * HIV coinfected clients started on ART "&amp;$D$20&amp;" "&amp;$D$21&amp;" is more than TB cases with documented HIV status"&amp;CHAR(10),""),IF(E374&lt;E379," * HIV coinfected clients started on ART "&amp;$D$20&amp;" "&amp;$E$21&amp;" is more than TB cases with documented HIV status"&amp;CHAR(10),""),IF(F374&lt;F379," * HIV coinfected clients started on ART "&amp;$F$20&amp;" "&amp;$F$21&amp;" is more than TB cases with documented HIV status"&amp;CHAR(10),""),IF(G374&lt;G379," * HIV coinfected clients started on ART "&amp;$F$20&amp;" "&amp;$G$21&amp;" is more than TB cases with documented HIV status"&amp;CHAR(10),""),IF(H374&lt;H379," * HIV coinfected clients started on ART "&amp;$H$20&amp;" "&amp;$H$21&amp;" is more than TB cases with documented HIV status"&amp;CHAR(10),""),IF(I374&lt;I379," * HIV coinfected clients started on ART "&amp;$H$20&amp;" "&amp;$I$21&amp;" is more than TB cases with documented HIV status"&amp;CHAR(10),""),IF(J374&lt;J379," * HIV coinfected clients started on ART "&amp;$J$20&amp;" "&amp;$J$21&amp;" is more than TB cases with documented HIV status"&amp;CHAR(10),""),IF(K374&lt;K379," * HIV coinfected clients started on ART "&amp;$J$20&amp;" "&amp;$K$21&amp;" is more than TB cases with documented HIV status"&amp;CHAR(10),""),IF(L374&lt;L379," * HIV coinfected clients started on ART "&amp;$L$20&amp;" "&amp;$L$21&amp;" is more than TB cases with documented HIV status"&amp;CHAR(10),""),IF(M374&lt;M379," * HIV coinfected clients started on ART "&amp;$L$20&amp;" "&amp;$M$21&amp;" is more than TB cases with documented HIV status"&amp;CHAR(10),""),IF(N374&lt;N379," * HIV coinfected clients started on ART "&amp;$N$20&amp;" "&amp;$N$21&amp;" is more than TB cases with documented HIV status"&amp;CHAR(10),""),IF(O374&lt;O379," * HIV coinfected clients started on ART "&amp;$N$20&amp;" "&amp;$O$21&amp;" is more than TB cases with documented HIV status"&amp;CHAR(10),""),IF(P374&lt;P379," * HIV coinfected clients started on ART "&amp;$P$20&amp;" "&amp;$P$21&amp;" is more than TB cases with documented HIV status"&amp;CHAR(10),""),IF(Q374&lt;Q379," * HIV coinfected clients started on ART "&amp;$P$20&amp;" "&amp;$Q$21&amp;" is more than TB cases with documented HIV status"&amp;CHAR(10),""),IF(R374&lt;R379," * HIV coinfected clients started on ART "&amp;$R$20&amp;" "&amp;$R$21&amp;" is more than TB cases with documented HIV status"&amp;CHAR(10),""),IF(S374&lt;S379," * HIV coinfected clients started on ART "&amp;$R$20&amp;" "&amp;$S$21&amp;" is more than TB cases with documented HIV status"&amp;CHAR(10),""),IF(T374&lt;T379," * HIV coinfected clients started on ART "&amp;$T$20&amp;" "&amp;$T$21&amp;" is more than TB cases with documented HIV status"&amp;CHAR(10),""),IF(U374&lt;U379," * HIV coinfected clients started on ART "&amp;$T$20&amp;" "&amp;$U$21&amp;" is more than TB cases with documented HIV status"&amp;CHAR(10),""),IF(V374&lt;V379," * HIV coinfected clients started on ART "&amp;$V$20&amp;" "&amp;$V$21&amp;" is more than TB cases with documented HIV status"&amp;CHAR(10),""),IF(W374&lt;W379," * HIV coinfected clients started on ART "&amp;$V$20&amp;" "&amp;$W$21&amp;" is more than TB cases with documented HIV status"&amp;CHAR(10),""),IF(X374&lt;X379," * HIV coinfected clients started on ART "&amp;$X$20&amp;" "&amp;$X$21&amp;" is more than TB cases with documented HIV status"&amp;CHAR(10),""),IF(Y374&lt;Y379," * HIV coinfected clients started on ART "&amp;$X$20&amp;" "&amp;$Y$21&amp;" is more than TB cases with documented HIV status"&amp;CHAR(10),""),IF(Z374&lt;Z379," * HIV coinfected clients started on ART "&amp;$Z$20&amp;" "&amp;$Z$21&amp;" is more than TB cases with documented HIV status"&amp;CHAR(10),""),IF(AA374&lt;AA379," * HIV coinfected clients started on ART "&amp;$Z$20&amp;" "&amp;$AA$21&amp;" is more than TB cases with documented HIV status"&amp;CHAR(10),""))</f>
        <v/>
      </c>
      <c r="AL379" s="766"/>
      <c r="AM379" s="292"/>
      <c r="AN379" s="769"/>
      <c r="AO379" s="293">
        <v>326</v>
      </c>
      <c r="AP379" s="83"/>
      <c r="AQ379" s="84"/>
    </row>
    <row r="380" spans="1:43" ht="25.9" hidden="1" thickBot="1" x14ac:dyDescent="0.8">
      <c r="A380" s="737" t="s">
        <v>980</v>
      </c>
      <c r="B380" s="737"/>
      <c r="C380" s="737"/>
      <c r="D380" s="737"/>
      <c r="E380" s="737"/>
      <c r="F380" s="737"/>
      <c r="G380" s="737"/>
      <c r="H380" s="737"/>
      <c r="I380" s="737"/>
      <c r="J380" s="737"/>
      <c r="K380" s="737"/>
      <c r="L380" s="737"/>
      <c r="M380" s="737"/>
      <c r="N380" s="737"/>
      <c r="O380" s="737"/>
      <c r="P380" s="737"/>
      <c r="Q380" s="737"/>
      <c r="R380" s="737"/>
      <c r="S380" s="737"/>
      <c r="T380" s="737"/>
      <c r="U380" s="737"/>
      <c r="V380" s="737"/>
      <c r="W380" s="737"/>
      <c r="X380" s="737"/>
      <c r="Y380" s="737"/>
      <c r="Z380" s="737"/>
      <c r="AA380" s="737"/>
      <c r="AB380" s="737"/>
      <c r="AC380" s="737"/>
      <c r="AD380" s="737"/>
      <c r="AE380" s="737"/>
      <c r="AF380" s="737"/>
      <c r="AG380" s="737"/>
      <c r="AH380" s="737"/>
      <c r="AI380" s="737"/>
      <c r="AJ380" s="737"/>
      <c r="AK380" s="848"/>
      <c r="AL380" s="737"/>
      <c r="AM380" s="849"/>
      <c r="AN380" s="673"/>
      <c r="AO380" s="14">
        <v>327</v>
      </c>
      <c r="AP380" s="76"/>
      <c r="AQ380" s="77"/>
    </row>
    <row r="381" spans="1:43" ht="51.4" hidden="1" thickBot="1" x14ac:dyDescent="0.8">
      <c r="A381" s="286" t="s">
        <v>982</v>
      </c>
      <c r="B381" s="286" t="s">
        <v>981</v>
      </c>
      <c r="C381" s="908" t="s">
        <v>979</v>
      </c>
      <c r="D381" s="287"/>
      <c r="E381" s="288"/>
      <c r="F381" s="287"/>
      <c r="G381" s="288"/>
      <c r="H381" s="287"/>
      <c r="I381" s="288"/>
      <c r="J381" s="97"/>
      <c r="K381" s="97"/>
      <c r="L381" s="97"/>
      <c r="M381" s="97"/>
      <c r="N381" s="97"/>
      <c r="O381" s="97"/>
      <c r="P381" s="97"/>
      <c r="Q381" s="97"/>
      <c r="R381" s="97"/>
      <c r="S381" s="97"/>
      <c r="T381" s="97"/>
      <c r="U381" s="97"/>
      <c r="V381" s="97"/>
      <c r="W381" s="97"/>
      <c r="X381" s="97"/>
      <c r="Y381" s="97"/>
      <c r="Z381" s="97"/>
      <c r="AA381" s="97"/>
      <c r="AB381" s="344"/>
      <c r="AC381" s="344"/>
      <c r="AD381" s="344"/>
      <c r="AE381" s="344"/>
      <c r="AF381" s="344"/>
      <c r="AG381" s="344"/>
      <c r="AH381" s="344"/>
      <c r="AI381" s="344"/>
      <c r="AJ381" s="67">
        <f t="shared" ref="AJ381" si="133">SUM(D381:AA381)</f>
        <v>0</v>
      </c>
      <c r="AK381" s="31"/>
      <c r="AL381" s="294"/>
      <c r="AM381" s="295" t="str">
        <f>CONCATENATE(IF(D379&gt;D381," * Newly Tested Positives "&amp;$D$20&amp;" "&amp;$D$21&amp;" is more than Total Positive Clients newly started on ART"&amp;CHAR(10),""),IF(E379&gt;E381," * Newly Tested Positives "&amp;$D$20&amp;" "&amp;$E$21&amp;" is more than Total Positive Clients newly started on ART"&amp;CHAR(10),""),IF(F379&gt;F381," * Newly Tested Positives "&amp;$F$20&amp;" "&amp;$F$21&amp;" is more than Total Positive Clients newly started on ART"&amp;CHAR(10),""),IF(G379&gt;G381," * Newly Tested Positives "&amp;$F$20&amp;" "&amp;$G$21&amp;" is more than Total Positive Clients newly started on ART"&amp;CHAR(10),""),IF(H379&gt;H381," * Newly Tested Positives "&amp;$H$20&amp;" "&amp;$H$21&amp;" is more than Total Positive Clients newly started on ART"&amp;CHAR(10),""),IF(I379&gt;I381," * Newly Tested Positives "&amp;$H$20&amp;" "&amp;$I$21&amp;" is more than Total Positive Clients newly started on ART"&amp;CHAR(10),""),IF(J379&gt;J381," * Newly Tested Positives "&amp;$J$20&amp;" "&amp;$J$21&amp;" is more than Total Positive Clients newly started on ART"&amp;CHAR(10),""),IF(K379&gt;K381," * Newly Tested Positives "&amp;$J$20&amp;" "&amp;$K$21&amp;" is more than Total Positive Clients newly started on ART"&amp;CHAR(10),""),IF(L379&gt;L381," * Newly Tested Positives "&amp;$L$20&amp;" "&amp;$L$21&amp;" is more than Total Positive Clients newly started on ART"&amp;CHAR(10),""),IF(M379&gt;M381," * Newly Tested Positives "&amp;$L$20&amp;" "&amp;$M$21&amp;" is more than Total Positive Clients newly started on ART"&amp;CHAR(10),""),IF(N379&gt;N381," * Newly Tested Positives "&amp;$N$20&amp;" "&amp;$N$21&amp;" is more than Total Positive Clients newly started on ART"&amp;CHAR(10),""),IF(O379&gt;O381," * Newly Tested Positives "&amp;$N$20&amp;" "&amp;$O$21&amp;" is more than Total Positive Clients newly started on ART"&amp;CHAR(10),""),IF(P379&gt;P381," * Newly Tested Positives "&amp;$P$20&amp;" "&amp;$P$21&amp;" is more than Total Positive Clients newly started on ART"&amp;CHAR(10),""),IF(Q379&gt;Q381," * Newly Tested Positives "&amp;$P$20&amp;" "&amp;$Q$21&amp;" is more than Total Positive Clients newly started on ART"&amp;CHAR(10),""),IF(R379&gt;R381," * Newly Tested Positives "&amp;$R$20&amp;" "&amp;$R$21&amp;" is more than Total Positive Clients newly started on ART"&amp;CHAR(10),""),IF(S379&gt;S381," * Newly Tested Positives "&amp;$R$20&amp;" "&amp;$S$21&amp;" is more than Total Positive Clients newly started on ART"&amp;CHAR(10),""),IF(T379&gt;T381," * Newly Tested Positives "&amp;$T$20&amp;" "&amp;$T$21&amp;" is more than Total Positive Clients newly started on ART"&amp;CHAR(10),""),IF(U379&gt;U381," * Newly Tested Positives "&amp;$T$20&amp;" "&amp;$U$21&amp;" is more than Total Positive Clients newly started on ART"&amp;CHAR(10),""),IF(V379&gt;V381," * Newly Tested Positives "&amp;$V$20&amp;" "&amp;$V$21&amp;" is more than Total Positive Clients newly started on ART"&amp;CHAR(10),""),IF(W379&gt;W381," * Newly Tested Positives "&amp;$V$20&amp;" "&amp;$W$21&amp;" is more than Total Positive Clients newly started on ART"&amp;CHAR(10),""),IF(X379&gt;X381," * Newly Tested Positives "&amp;$X$20&amp;" "&amp;$X$21&amp;" is more than Total Positive Clients newly started on ART"&amp;CHAR(10),""),IF(Y379&gt;Y381," * Newly Tested Positives "&amp;$X$20&amp;" "&amp;$Y$21&amp;" is more than Total Positive Clients newly started on ART"&amp;CHAR(10),""),IF(Z379&gt;Z381," * Newly Tested Positives "&amp;$Z$20&amp;" "&amp;$Z$21&amp;" is more than Total Positive Clients newly started on ART"&amp;CHAR(10),""),IF(AA379&gt;AA381," * Newly Tested Positives "&amp;$Z$20&amp;" "&amp;$AA$21&amp;" is more than Total Positive Clients newly started on ART"&amp;CHAR(10),""))</f>
        <v/>
      </c>
      <c r="AN381" s="296"/>
      <c r="AO381" s="14">
        <v>328</v>
      </c>
      <c r="AP381" s="76"/>
      <c r="AQ381" s="77"/>
    </row>
    <row r="382" spans="1:43" ht="36.75" customHeight="1" thickBot="1" x14ac:dyDescent="0.8">
      <c r="A382" s="640" t="s">
        <v>1133</v>
      </c>
      <c r="B382" s="641"/>
      <c r="C382" s="641"/>
      <c r="D382" s="641"/>
      <c r="E382" s="641"/>
      <c r="F382" s="641"/>
      <c r="G382" s="641"/>
      <c r="H382" s="641"/>
      <c r="I382" s="641"/>
      <c r="J382" s="641"/>
      <c r="K382" s="641"/>
      <c r="L382" s="641"/>
      <c r="M382" s="641"/>
      <c r="N382" s="641"/>
      <c r="O382" s="641"/>
      <c r="P382" s="641"/>
      <c r="Q382" s="641"/>
      <c r="R382" s="641"/>
      <c r="S382" s="641"/>
      <c r="T382" s="641"/>
      <c r="U382" s="641"/>
      <c r="V382" s="641"/>
      <c r="W382" s="641"/>
      <c r="X382" s="641"/>
      <c r="Y382" s="641"/>
      <c r="Z382" s="641"/>
      <c r="AA382" s="641"/>
      <c r="AB382" s="641"/>
      <c r="AC382" s="641"/>
      <c r="AD382" s="641"/>
      <c r="AE382" s="641"/>
      <c r="AF382" s="641"/>
      <c r="AG382" s="641"/>
      <c r="AH382" s="641"/>
      <c r="AI382" s="641"/>
      <c r="AJ382" s="641"/>
      <c r="AK382" s="641"/>
      <c r="AL382" s="641"/>
      <c r="AM382" s="641"/>
      <c r="AN382" s="711"/>
      <c r="AO382" s="554"/>
      <c r="AP382" s="558"/>
      <c r="AQ382" s="558"/>
    </row>
    <row r="383" spans="1:43" s="15" customFormat="1" ht="33" customHeight="1" x14ac:dyDescent="0.75">
      <c r="A383" s="617" t="s">
        <v>37</v>
      </c>
      <c r="B383" s="644" t="s">
        <v>346</v>
      </c>
      <c r="C383" s="897" t="s">
        <v>327</v>
      </c>
      <c r="D383" s="614" t="s">
        <v>0</v>
      </c>
      <c r="E383" s="614"/>
      <c r="F383" s="614" t="s">
        <v>1</v>
      </c>
      <c r="G383" s="614"/>
      <c r="H383" s="614" t="s">
        <v>2</v>
      </c>
      <c r="I383" s="614"/>
      <c r="J383" s="614" t="s">
        <v>3</v>
      </c>
      <c r="K383" s="614"/>
      <c r="L383" s="614" t="s">
        <v>4</v>
      </c>
      <c r="M383" s="614"/>
      <c r="N383" s="614" t="s">
        <v>5</v>
      </c>
      <c r="O383" s="614"/>
      <c r="P383" s="614" t="s">
        <v>6</v>
      </c>
      <c r="Q383" s="614"/>
      <c r="R383" s="614" t="s">
        <v>7</v>
      </c>
      <c r="S383" s="614"/>
      <c r="T383" s="614" t="s">
        <v>8</v>
      </c>
      <c r="U383" s="614"/>
      <c r="V383" s="614" t="s">
        <v>23</v>
      </c>
      <c r="W383" s="614"/>
      <c r="X383" s="614" t="s">
        <v>24</v>
      </c>
      <c r="Y383" s="614"/>
      <c r="Z383" s="614" t="s">
        <v>9</v>
      </c>
      <c r="AA383" s="614"/>
      <c r="AB383" s="624" t="s">
        <v>1034</v>
      </c>
      <c r="AC383" s="647"/>
      <c r="AD383" s="624" t="s">
        <v>1035</v>
      </c>
      <c r="AE383" s="647"/>
      <c r="AF383" s="624" t="s">
        <v>1036</v>
      </c>
      <c r="AG383" s="647"/>
      <c r="AH383" s="624" t="s">
        <v>1036</v>
      </c>
      <c r="AI383" s="647"/>
      <c r="AJ383" s="661" t="s">
        <v>19</v>
      </c>
      <c r="AK383" s="657" t="s">
        <v>380</v>
      </c>
      <c r="AL383" s="638" t="s">
        <v>386</v>
      </c>
      <c r="AM383" s="659" t="s">
        <v>387</v>
      </c>
      <c r="AN383" s="722" t="s">
        <v>387</v>
      </c>
      <c r="AO383" s="554"/>
      <c r="AP383" s="558"/>
      <c r="AQ383" s="558"/>
    </row>
    <row r="384" spans="1:43" s="15" customFormat="1" ht="33" customHeight="1" thickBot="1" x14ac:dyDescent="0.8">
      <c r="A384" s="686"/>
      <c r="B384" s="773"/>
      <c r="C384" s="902"/>
      <c r="D384" s="315" t="s">
        <v>10</v>
      </c>
      <c r="E384" s="315" t="s">
        <v>11</v>
      </c>
      <c r="F384" s="315" t="s">
        <v>10</v>
      </c>
      <c r="G384" s="315" t="s">
        <v>11</v>
      </c>
      <c r="H384" s="315" t="s">
        <v>10</v>
      </c>
      <c r="I384" s="315" t="s">
        <v>11</v>
      </c>
      <c r="J384" s="315" t="s">
        <v>10</v>
      </c>
      <c r="K384" s="315" t="s">
        <v>11</v>
      </c>
      <c r="L384" s="315" t="s">
        <v>10</v>
      </c>
      <c r="M384" s="315" t="s">
        <v>11</v>
      </c>
      <c r="N384" s="315" t="s">
        <v>10</v>
      </c>
      <c r="O384" s="315" t="s">
        <v>11</v>
      </c>
      <c r="P384" s="315" t="s">
        <v>10</v>
      </c>
      <c r="Q384" s="315" t="s">
        <v>11</v>
      </c>
      <c r="R384" s="315" t="s">
        <v>10</v>
      </c>
      <c r="S384" s="315" t="s">
        <v>11</v>
      </c>
      <c r="T384" s="315" t="s">
        <v>10</v>
      </c>
      <c r="U384" s="315" t="s">
        <v>11</v>
      </c>
      <c r="V384" s="315" t="s">
        <v>10</v>
      </c>
      <c r="W384" s="315" t="s">
        <v>11</v>
      </c>
      <c r="X384" s="315" t="s">
        <v>10</v>
      </c>
      <c r="Y384" s="315" t="s">
        <v>11</v>
      </c>
      <c r="Z384" s="315" t="s">
        <v>10</v>
      </c>
      <c r="AA384" s="315" t="s">
        <v>11</v>
      </c>
      <c r="AB384" s="315" t="s">
        <v>10</v>
      </c>
      <c r="AC384" s="315" t="s">
        <v>11</v>
      </c>
      <c r="AD384" s="315" t="s">
        <v>10</v>
      </c>
      <c r="AE384" s="315" t="s">
        <v>11</v>
      </c>
      <c r="AF384" s="315" t="s">
        <v>10</v>
      </c>
      <c r="AG384" s="315" t="s">
        <v>11</v>
      </c>
      <c r="AH384" s="315" t="s">
        <v>10</v>
      </c>
      <c r="AI384" s="315" t="s">
        <v>11</v>
      </c>
      <c r="AJ384" s="855"/>
      <c r="AK384" s="658"/>
      <c r="AL384" s="639"/>
      <c r="AM384" s="697"/>
      <c r="AN384" s="723"/>
      <c r="AO384" s="554"/>
      <c r="AP384" s="558"/>
      <c r="AQ384" s="558"/>
    </row>
    <row r="385" spans="1:43" s="85" customFormat="1" ht="25.9" thickBot="1" x14ac:dyDescent="0.8">
      <c r="A385" s="852" t="s">
        <v>121</v>
      </c>
      <c r="B385" s="563" t="s">
        <v>152</v>
      </c>
      <c r="C385" s="920" t="s">
        <v>1134</v>
      </c>
      <c r="D385" s="564"/>
      <c r="E385" s="571"/>
      <c r="F385" s="860">
        <f>F28</f>
        <v>0</v>
      </c>
      <c r="G385" s="861">
        <f>G28</f>
        <v>0</v>
      </c>
      <c r="H385" s="860">
        <f>H28</f>
        <v>0</v>
      </c>
      <c r="I385" s="861">
        <f>I28</f>
        <v>0</v>
      </c>
      <c r="J385" s="860">
        <f>J28</f>
        <v>0</v>
      </c>
      <c r="K385" s="861">
        <f>K28</f>
        <v>0</v>
      </c>
      <c r="L385" s="860">
        <f>L28</f>
        <v>0</v>
      </c>
      <c r="M385" s="861">
        <f>M28</f>
        <v>0</v>
      </c>
      <c r="N385" s="860">
        <f>N28</f>
        <v>0</v>
      </c>
      <c r="O385" s="861">
        <f>O28</f>
        <v>0</v>
      </c>
      <c r="P385" s="860">
        <f>P28</f>
        <v>0</v>
      </c>
      <c r="Q385" s="861">
        <f>Q28</f>
        <v>0</v>
      </c>
      <c r="R385" s="860">
        <f>R28</f>
        <v>0</v>
      </c>
      <c r="S385" s="861">
        <f>S28</f>
        <v>0</v>
      </c>
      <c r="T385" s="860">
        <f>T28</f>
        <v>0</v>
      </c>
      <c r="U385" s="861">
        <f>U28</f>
        <v>0</v>
      </c>
      <c r="V385" s="860">
        <f>V28</f>
        <v>0</v>
      </c>
      <c r="W385" s="861">
        <f>W28</f>
        <v>0</v>
      </c>
      <c r="X385" s="860">
        <f>X28</f>
        <v>0</v>
      </c>
      <c r="Y385" s="861">
        <f>Y28</f>
        <v>0</v>
      </c>
      <c r="Z385" s="860">
        <f>Z28</f>
        <v>0</v>
      </c>
      <c r="AA385" s="861">
        <f>AA28</f>
        <v>0</v>
      </c>
      <c r="AB385" s="412"/>
      <c r="AC385" s="412"/>
      <c r="AD385" s="412"/>
      <c r="AE385" s="412"/>
      <c r="AF385" s="412"/>
      <c r="AG385" s="412"/>
      <c r="AH385" s="412"/>
      <c r="AI385" s="412"/>
      <c r="AJ385" s="567">
        <f t="shared" ref="AJ385:AJ387" si="134">SUM(D385:AA385)</f>
        <v>0</v>
      </c>
      <c r="AK385" s="553"/>
      <c r="AL385" s="555"/>
      <c r="AM385" s="32"/>
      <c r="AN385" s="556"/>
      <c r="AO385" s="14">
        <v>31</v>
      </c>
      <c r="AP385" s="83"/>
      <c r="AQ385" s="84"/>
    </row>
    <row r="386" spans="1:43" s="85" customFormat="1" ht="25.5" x14ac:dyDescent="0.75">
      <c r="A386" s="853"/>
      <c r="B386" s="560" t="s">
        <v>1156</v>
      </c>
      <c r="C386" s="921" t="s">
        <v>1135</v>
      </c>
      <c r="D386" s="561"/>
      <c r="E386" s="572"/>
      <c r="F386" s="575"/>
      <c r="G386" s="576"/>
      <c r="H386" s="576"/>
      <c r="I386" s="576"/>
      <c r="J386" s="576"/>
      <c r="K386" s="576"/>
      <c r="L386" s="576"/>
      <c r="M386" s="576"/>
      <c r="N386" s="576"/>
      <c r="O386" s="576"/>
      <c r="P386" s="576"/>
      <c r="Q386" s="576"/>
      <c r="R386" s="576"/>
      <c r="S386" s="576"/>
      <c r="T386" s="576"/>
      <c r="U386" s="576"/>
      <c r="V386" s="576"/>
      <c r="W386" s="576"/>
      <c r="X386" s="576"/>
      <c r="Y386" s="576"/>
      <c r="Z386" s="576"/>
      <c r="AA386" s="577"/>
      <c r="AB386" s="380"/>
      <c r="AC386" s="380"/>
      <c r="AD386" s="380"/>
      <c r="AE386" s="380"/>
      <c r="AF386" s="380"/>
      <c r="AG386" s="380"/>
      <c r="AH386" s="380"/>
      <c r="AI386" s="380"/>
      <c r="AJ386" s="568">
        <f t="shared" si="134"/>
        <v>0</v>
      </c>
      <c r="AK386" s="691" t="str">
        <f>CONCATENATE(IF(D387&gt;D386," * Positive F01-13 for Age "&amp;D373&amp;" "&amp;D374&amp;" is more than Tested F01-12"&amp;CHAR(10),""),IF(E387&gt;E386," * Positive F01-13 for Age "&amp;D373&amp;" "&amp;E374&amp;" is more than Tested F01-12"&amp;CHAR(10),""),IF(F387&gt;F386," * Positive F01-13 for Age "&amp;F373&amp;" "&amp;F374&amp;" is more than Tested F01-12"&amp;CHAR(10),""),IF(G387&gt;G386," * Positive F01-13 for Age "&amp;F373&amp;" "&amp;G374&amp;" is more than Tested F01-12"&amp;CHAR(10),""),IF(H387&gt;H386," * Positive F01-13 for Age "&amp;H373&amp;" "&amp;H374&amp;" is more than Tested F01-12"&amp;CHAR(10),""),IF(I387&gt;I386," * Positive F01-13 for Age "&amp;H373&amp;" "&amp;I374&amp;" is more than Tested F01-12"&amp;CHAR(10),""),IF(J387&gt;J386," * Positive F01-13 for Age "&amp;J373&amp;" "&amp;J374&amp;" is more than Tested F01-12"&amp;CHAR(10),""),IF(K387&gt;K386," * Positive F01-13 for Age "&amp;J373&amp;" "&amp;K374&amp;" is more than Tested F01-12"&amp;CHAR(10),""),IF(L387&gt;L386," * Positive F01-13 for Age "&amp;L373&amp;" "&amp;L374&amp;" is more than Tested F01-12"&amp;CHAR(10),""),IF(M387&gt;M386," * Positive F01-13 for Age "&amp;L373&amp;" "&amp;M374&amp;" is more than Tested F01-12"&amp;CHAR(10),""),IF(N387&gt;N386," * Positive F01-13 for Age "&amp;N373&amp;" "&amp;N374&amp;" is more than Tested F01-12"&amp;CHAR(10),""),IF(O387&gt;O386," * Positive F01-13 for Age "&amp;N373&amp;" "&amp;O374&amp;" is more than Tested F01-12"&amp;CHAR(10),""),IF(P387&gt;P386," * Positive F01-13 for Age "&amp;P373&amp;" "&amp;P374&amp;" is more than Tested F01-12"&amp;CHAR(10),""),IF(Q387&gt;Q386," * Positive F01-13 for Age "&amp;P373&amp;" "&amp;Q374&amp;" is more than Tested F01-12"&amp;CHAR(10),""),IF(R387&gt;R386," * Positive F01-13 for Age "&amp;R373&amp;" "&amp;R374&amp;" is more than Tested F01-12"&amp;CHAR(10),""),IF(S387&gt;S386," * Positive F01-13 for Age "&amp;R373&amp;" "&amp;S374&amp;" is more than Tested F01-12"&amp;CHAR(10),""),IF(T387&gt;T386," * Positive F01-13 for Age "&amp;T373&amp;" "&amp;T374&amp;" is more than Tested F01-12"&amp;CHAR(10),""),IF(U387&gt;U386," * Positive F01-13 for Age "&amp;T373&amp;" "&amp;U374&amp;" is more than Tested F01-12"&amp;CHAR(10),""),IF(V387&gt;V386," * Positive F01-13 for Age "&amp;V373&amp;" "&amp;V374&amp;" is more than Tested F01-12"&amp;CHAR(10),""),IF(W387&gt;W386," * Positive F01-13 for Age "&amp;V373&amp;" "&amp;W374&amp;" is more than Tested F01-12"&amp;CHAR(10),""),IF(X387&gt;X386," * Positive F01-13 for Age "&amp;X373&amp;" "&amp;X374&amp;" is more than Tested F01-12"&amp;CHAR(10),""),IF(Y387&gt;Y386," * Positive F01-13 for Age "&amp;X373&amp;" "&amp;Y374&amp;" is more than Tested F01-12"&amp;CHAR(10),""),IF(Z387&gt;Z386," * Positive F01-13 for Age "&amp;Z373&amp;" "&amp;Z374&amp;" is more than Tested F01-12"&amp;CHAR(10),""),IF(AA387&gt;AA386," * Positive F01-13 for Age "&amp;Z373&amp;" "&amp;AA374&amp;" is more than Tested F01-12"&amp;CHAR(10),""))</f>
        <v/>
      </c>
      <c r="AL386" s="555"/>
      <c r="AM386" s="32" t="str">
        <f>CONCATENATE(IF(AND(IFERROR((AJ387*100)/AJ386,0)&gt;10,AJ387&gt;5)," * This facility has a high positivity rate for Index Testing. Kindly confirm if this is the true reflection"&amp;CHAR(10),""),"")</f>
        <v/>
      </c>
      <c r="AN386" s="556"/>
      <c r="AO386" s="14">
        <v>32</v>
      </c>
      <c r="AP386" s="83"/>
      <c r="AQ386" s="84"/>
    </row>
    <row r="387" spans="1:43" s="85" customFormat="1" ht="25.5" x14ac:dyDescent="0.75">
      <c r="A387" s="853"/>
      <c r="B387" s="560" t="s">
        <v>1137</v>
      </c>
      <c r="C387" s="921" t="s">
        <v>1136</v>
      </c>
      <c r="D387" s="559"/>
      <c r="E387" s="573"/>
      <c r="F387" s="575"/>
      <c r="G387" s="576"/>
      <c r="H387" s="576"/>
      <c r="I387" s="576"/>
      <c r="J387" s="576"/>
      <c r="K387" s="576"/>
      <c r="L387" s="576"/>
      <c r="M387" s="576"/>
      <c r="N387" s="576"/>
      <c r="O387" s="576"/>
      <c r="P387" s="576"/>
      <c r="Q387" s="576"/>
      <c r="R387" s="576"/>
      <c r="S387" s="576"/>
      <c r="T387" s="576"/>
      <c r="U387" s="576"/>
      <c r="V387" s="576"/>
      <c r="W387" s="576"/>
      <c r="X387" s="576"/>
      <c r="Y387" s="576"/>
      <c r="Z387" s="576"/>
      <c r="AA387" s="577"/>
      <c r="AB387" s="380"/>
      <c r="AC387" s="380"/>
      <c r="AD387" s="380"/>
      <c r="AE387" s="380"/>
      <c r="AF387" s="380"/>
      <c r="AG387" s="380"/>
      <c r="AH387" s="380"/>
      <c r="AI387" s="380"/>
      <c r="AJ387" s="569">
        <f t="shared" si="134"/>
        <v>0</v>
      </c>
      <c r="AK387" s="691"/>
      <c r="AL387" s="555"/>
      <c r="AM387" s="32" t="e">
        <f>CONCATENATE(IF(D386&gt;0," * F01-12 for Age "&amp;D373&amp;" "&amp;D374&amp;" has a value greater than 0"&amp;CHAR(10),""),IF(E386&gt;0," * F01-12 for Age "&amp;D373&amp;" "&amp;E374&amp;" has a value greater than 0"&amp;CHAR(10),""),IF(D387&gt;0," * F01-13 for Age "&amp;D373&amp;" "&amp;D374&amp;" has a value greater than 0"&amp;CHAR(10),""),IF(E387&gt;0," * F01-13 for Age "&amp;D373&amp;" "&amp;E374&amp;" has a value greater than 0"&amp;CHAR(10),""),IF(#REF!&gt;0," * F01-14 for Age "&amp;D373&amp;" "&amp;D374&amp;" has a value greater than 0"&amp;CHAR(10),""),IF(#REF!&gt;0," * F01-14 for Age "&amp;D373&amp;" "&amp;E374&amp;" has a value greater than 0"&amp;CHAR(10),""),IF(D450&gt;0," * F01-15 for Age "&amp;D373&amp;" "&amp;D374&amp;" has a value greater than 0"&amp;CHAR(10),""),IF(E450&gt;0," * F01-15 for Age "&amp;D373&amp;" "&amp;E374&amp;" has a value greater than 0"&amp;CHAR(10),""),IF(D455&gt;0," * F01-20 for Age "&amp;D373&amp;" "&amp;D374&amp;" has a value greater than 0"&amp;CHAR(10),""),IF(E455&gt;0," * F01-20 for Age "&amp;D373&amp;" "&amp;E374&amp;" has a value greater than 0"&amp;CHAR(10),""),IF(D456&gt;0," * F01-21 for Age "&amp;D373&amp;" "&amp;D374&amp;" has a value greater than 0"&amp;CHAR(10),""),IF(E456&gt;0," * F01-21 for Age "&amp;D373&amp;" "&amp;E374&amp;" has a value greater than 0"&amp;CHAR(10),""),IF(D457&gt;0," * F01-22 for Age "&amp;D373&amp;" "&amp;D374&amp;" has a value greater than 0"&amp;CHAR(10),""),IF(E457&gt;0," * F01-22 for Age "&amp;D373&amp;" "&amp;E374&amp;" has a value greater than 0"&amp;CHAR(10),""),IF(D458&gt;0," * F01-23 for Age "&amp;D373&amp;" "&amp;D374&amp;" has a value greater than 0"&amp;CHAR(10),""),IF(E458&gt;0," * F01-23 for Age "&amp;D373&amp;" "&amp;E374&amp;" has a value greater than 0"&amp;CHAR(10),""),"")</f>
        <v>#REF!</v>
      </c>
      <c r="AN387" s="556"/>
      <c r="AO387" s="14">
        <v>33</v>
      </c>
      <c r="AP387" s="83"/>
      <c r="AQ387" s="84"/>
    </row>
    <row r="388" spans="1:43" s="85" customFormat="1" ht="25.9" thickBot="1" x14ac:dyDescent="0.8">
      <c r="A388" s="853"/>
      <c r="B388" s="560" t="s">
        <v>1139</v>
      </c>
      <c r="C388" s="921" t="s">
        <v>1138</v>
      </c>
      <c r="D388" s="559"/>
      <c r="E388" s="573"/>
      <c r="F388" s="575"/>
      <c r="G388" s="576"/>
      <c r="H388" s="576"/>
      <c r="I388" s="576"/>
      <c r="J388" s="576"/>
      <c r="K388" s="576"/>
      <c r="L388" s="576"/>
      <c r="M388" s="576"/>
      <c r="N388" s="576"/>
      <c r="O388" s="576"/>
      <c r="P388" s="576"/>
      <c r="Q388" s="576"/>
      <c r="R388" s="576"/>
      <c r="S388" s="576"/>
      <c r="T388" s="576"/>
      <c r="U388" s="576"/>
      <c r="V388" s="576"/>
      <c r="W388" s="576"/>
      <c r="X388" s="576"/>
      <c r="Y388" s="576"/>
      <c r="Z388" s="576"/>
      <c r="AA388" s="577"/>
      <c r="AB388" s="380"/>
      <c r="AC388" s="380"/>
      <c r="AD388" s="380"/>
      <c r="AE388" s="380"/>
      <c r="AF388" s="380"/>
      <c r="AG388" s="380"/>
      <c r="AH388" s="380"/>
      <c r="AI388" s="380"/>
      <c r="AJ388" s="569">
        <f t="shared" ref="AJ388" si="135">SUM(D388:AA388)</f>
        <v>0</v>
      </c>
      <c r="AK388" s="557"/>
      <c r="AL388" s="555"/>
      <c r="AM388" s="32" t="str">
        <f>CONCATENATE(IF(D387&gt;0," * F01-12 for Age "&amp;D374&amp;" "&amp;D375&amp;" has a value greater than 0"&amp;CHAR(10),""),IF(E387&gt;0," * F01-12 for Age "&amp;D374&amp;" "&amp;E375&amp;" has a value greater than 0"&amp;CHAR(10),""),IF(D388&gt;0," * F01-13 for Age "&amp;D374&amp;" "&amp;D375&amp;" has a value greater than 0"&amp;CHAR(10),""),IF(E388&gt;0," * F01-13 for Age "&amp;D374&amp;" "&amp;E375&amp;" has a value greater than 0"&amp;CHAR(10),""),IF(D450&gt;0," * F01-14 for Age "&amp;D374&amp;" "&amp;D375&amp;" has a value greater than 0"&amp;CHAR(10),""),IF(E450&gt;0," * F01-14 for Age "&amp;D374&amp;" "&amp;E375&amp;" has a value greater than 0"&amp;CHAR(10),""),IF(D451&gt;0," * F01-15 for Age "&amp;D374&amp;" "&amp;D375&amp;" has a value greater than 0"&amp;CHAR(10),""),IF(E451&gt;0," * F01-15 for Age "&amp;D374&amp;" "&amp;E375&amp;" has a value greater than 0"&amp;CHAR(10),""),IF(D456&gt;0," * F01-20 for Age "&amp;D374&amp;" "&amp;D375&amp;" has a value greater than 0"&amp;CHAR(10),""),IF(E456&gt;0," * F01-20 for Age "&amp;D374&amp;" "&amp;E375&amp;" has a value greater than 0"&amp;CHAR(10),""),IF(D457&gt;0," * F01-21 for Age "&amp;D374&amp;" "&amp;D375&amp;" has a value greater than 0"&amp;CHAR(10),""),IF(E457&gt;0," * F01-21 for Age "&amp;D374&amp;" "&amp;E375&amp;" has a value greater than 0"&amp;CHAR(10),""),IF(D458&gt;0," * F01-22 for Age "&amp;D374&amp;" "&amp;D375&amp;" has a value greater than 0"&amp;CHAR(10),""),IF(E458&gt;0," * F01-22 for Age "&amp;D374&amp;" "&amp;E375&amp;" has a value greater than 0"&amp;CHAR(10),""),IF(D459&gt;0," * F01-23 for Age "&amp;D374&amp;" "&amp;D375&amp;" has a value greater than 0"&amp;CHAR(10),""),IF(E459&gt;0," * F01-23 for Age "&amp;D374&amp;" "&amp;E375&amp;" has a value greater than 0"&amp;CHAR(10),""),"")</f>
        <v/>
      </c>
      <c r="AN388" s="556"/>
      <c r="AO388" s="14">
        <v>33</v>
      </c>
      <c r="AP388" s="83"/>
      <c r="AQ388" s="84"/>
    </row>
    <row r="389" spans="1:43" s="85" customFormat="1" ht="25.9" thickBot="1" x14ac:dyDescent="0.8">
      <c r="A389" s="854"/>
      <c r="B389" s="565" t="s">
        <v>1141</v>
      </c>
      <c r="C389" s="922" t="s">
        <v>1140</v>
      </c>
      <c r="D389" s="566"/>
      <c r="E389" s="574"/>
      <c r="F389" s="862">
        <f>F385-SUM(F386:F388)</f>
        <v>0</v>
      </c>
      <c r="G389" s="863">
        <f t="shared" ref="G389:AA389" si="136">G385-SUM(G386:G388)</f>
        <v>0</v>
      </c>
      <c r="H389" s="862">
        <f t="shared" si="136"/>
        <v>0</v>
      </c>
      <c r="I389" s="863">
        <f t="shared" si="136"/>
        <v>0</v>
      </c>
      <c r="J389" s="862">
        <f t="shared" si="136"/>
        <v>0</v>
      </c>
      <c r="K389" s="863">
        <f t="shared" si="136"/>
        <v>0</v>
      </c>
      <c r="L389" s="862">
        <f t="shared" si="136"/>
        <v>0</v>
      </c>
      <c r="M389" s="863">
        <f t="shared" si="136"/>
        <v>0</v>
      </c>
      <c r="N389" s="862">
        <f t="shared" si="136"/>
        <v>0</v>
      </c>
      <c r="O389" s="863">
        <f t="shared" si="136"/>
        <v>0</v>
      </c>
      <c r="P389" s="862">
        <f t="shared" si="136"/>
        <v>0</v>
      </c>
      <c r="Q389" s="863">
        <f t="shared" si="136"/>
        <v>0</v>
      </c>
      <c r="R389" s="862">
        <f t="shared" si="136"/>
        <v>0</v>
      </c>
      <c r="S389" s="863">
        <f t="shared" si="136"/>
        <v>0</v>
      </c>
      <c r="T389" s="862">
        <f t="shared" si="136"/>
        <v>0</v>
      </c>
      <c r="U389" s="863">
        <f t="shared" si="136"/>
        <v>0</v>
      </c>
      <c r="V389" s="862">
        <f t="shared" si="136"/>
        <v>0</v>
      </c>
      <c r="W389" s="863">
        <f t="shared" si="136"/>
        <v>0</v>
      </c>
      <c r="X389" s="862">
        <f t="shared" si="136"/>
        <v>0</v>
      </c>
      <c r="Y389" s="863">
        <f t="shared" si="136"/>
        <v>0</v>
      </c>
      <c r="Z389" s="862">
        <f t="shared" si="136"/>
        <v>0</v>
      </c>
      <c r="AA389" s="863">
        <f t="shared" si="136"/>
        <v>0</v>
      </c>
      <c r="AB389" s="415"/>
      <c r="AC389" s="415"/>
      <c r="AD389" s="415"/>
      <c r="AE389" s="415"/>
      <c r="AF389" s="415"/>
      <c r="AG389" s="415"/>
      <c r="AH389" s="415"/>
      <c r="AI389" s="415"/>
      <c r="AJ389" s="570">
        <f t="shared" ref="AJ389:AJ393" si="137">SUM(D389:AA389)</f>
        <v>0</v>
      </c>
      <c r="AK389" s="557"/>
      <c r="AL389" s="555"/>
      <c r="AM389" s="32" t="str">
        <f>CONCATENATE(IF(D388&gt;0," * F01-12 for Age "&amp;D375&amp;" "&amp;D376&amp;" has a value greater than 0"&amp;CHAR(10),""),IF(E388&gt;0," * F01-12 for Age "&amp;D375&amp;" "&amp;E376&amp;" has a value greater than 0"&amp;CHAR(10),""),IF(D389&gt;0," * F01-13 for Age "&amp;D375&amp;" "&amp;D376&amp;" has a value greater than 0"&amp;CHAR(10),""),IF(E389&gt;0," * F01-13 for Age "&amp;D375&amp;" "&amp;E376&amp;" has a value greater than 0"&amp;CHAR(10),""),IF(D451&gt;0," * F01-14 for Age "&amp;D375&amp;" "&amp;D376&amp;" has a value greater than 0"&amp;CHAR(10),""),IF(E451&gt;0," * F01-14 for Age "&amp;D375&amp;" "&amp;E376&amp;" has a value greater than 0"&amp;CHAR(10),""),IF(D452&gt;0," * F01-15 for Age "&amp;D375&amp;" "&amp;D376&amp;" has a value greater than 0"&amp;CHAR(10),""),IF(E452&gt;0," * F01-15 for Age "&amp;D375&amp;" "&amp;E376&amp;" has a value greater than 0"&amp;CHAR(10),""),IF(D457&gt;0," * F01-20 for Age "&amp;D375&amp;" "&amp;D376&amp;" has a value greater than 0"&amp;CHAR(10),""),IF(E457&gt;0," * F01-20 for Age "&amp;D375&amp;" "&amp;E376&amp;" has a value greater than 0"&amp;CHAR(10),""),IF(D458&gt;0," * F01-21 for Age "&amp;D375&amp;" "&amp;D376&amp;" has a value greater than 0"&amp;CHAR(10),""),IF(E458&gt;0," * F01-21 for Age "&amp;D375&amp;" "&amp;E376&amp;" has a value greater than 0"&amp;CHAR(10),""),IF(D459&gt;0," * F01-22 for Age "&amp;D375&amp;" "&amp;D376&amp;" has a value greater than 0"&amp;CHAR(10),""),IF(E459&gt;0," * F01-22 for Age "&amp;D375&amp;" "&amp;E376&amp;" has a value greater than 0"&amp;CHAR(10),""),IF(D460&gt;0," * F01-23 for Age "&amp;D375&amp;" "&amp;D376&amp;" has a value greater than 0"&amp;CHAR(10),""),IF(E460&gt;0," * F01-23 for Age "&amp;D375&amp;" "&amp;E376&amp;" has a value greater than 0"&amp;CHAR(10),""),"")</f>
        <v/>
      </c>
      <c r="AN389" s="556"/>
      <c r="AO389" s="14">
        <v>33</v>
      </c>
      <c r="AP389" s="83"/>
      <c r="AQ389" s="84"/>
    </row>
    <row r="390" spans="1:43" s="85" customFormat="1" ht="25.9" thickBot="1" x14ac:dyDescent="0.8">
      <c r="A390" s="852" t="s">
        <v>13</v>
      </c>
      <c r="B390" s="563" t="s">
        <v>152</v>
      </c>
      <c r="C390" s="920" t="s">
        <v>1142</v>
      </c>
      <c r="D390" s="564"/>
      <c r="E390" s="571"/>
      <c r="F390" s="860">
        <f>F33</f>
        <v>0</v>
      </c>
      <c r="G390" s="861">
        <f>G33</f>
        <v>0</v>
      </c>
      <c r="H390" s="860">
        <f>H33</f>
        <v>0</v>
      </c>
      <c r="I390" s="861">
        <f>I33</f>
        <v>0</v>
      </c>
      <c r="J390" s="860">
        <f>J33</f>
        <v>0</v>
      </c>
      <c r="K390" s="861">
        <f>K33</f>
        <v>0</v>
      </c>
      <c r="L390" s="860">
        <f>L33</f>
        <v>0</v>
      </c>
      <c r="M390" s="861">
        <f>M33</f>
        <v>0</v>
      </c>
      <c r="N390" s="860">
        <f>N33</f>
        <v>0</v>
      </c>
      <c r="O390" s="861">
        <f>O33</f>
        <v>0</v>
      </c>
      <c r="P390" s="860">
        <f>P33</f>
        <v>0</v>
      </c>
      <c r="Q390" s="861">
        <f>Q33</f>
        <v>0</v>
      </c>
      <c r="R390" s="860">
        <f>R33</f>
        <v>0</v>
      </c>
      <c r="S390" s="861">
        <f>S33</f>
        <v>0</v>
      </c>
      <c r="T390" s="860">
        <f>T33</f>
        <v>0</v>
      </c>
      <c r="U390" s="861">
        <f>U33</f>
        <v>0</v>
      </c>
      <c r="V390" s="860">
        <f>V33</f>
        <v>0</v>
      </c>
      <c r="W390" s="861">
        <f>W33</f>
        <v>0</v>
      </c>
      <c r="X390" s="860">
        <f>X33</f>
        <v>0</v>
      </c>
      <c r="Y390" s="861">
        <f>Y33</f>
        <v>0</v>
      </c>
      <c r="Z390" s="860">
        <f>Z33</f>
        <v>0</v>
      </c>
      <c r="AA390" s="861">
        <f>AA33</f>
        <v>0</v>
      </c>
      <c r="AB390" s="412"/>
      <c r="AC390" s="412"/>
      <c r="AD390" s="412"/>
      <c r="AE390" s="412"/>
      <c r="AF390" s="412"/>
      <c r="AG390" s="412"/>
      <c r="AH390" s="412"/>
      <c r="AI390" s="412"/>
      <c r="AJ390" s="567">
        <f t="shared" si="137"/>
        <v>0</v>
      </c>
      <c r="AK390" s="553"/>
      <c r="AL390" s="555"/>
      <c r="AM390" s="32"/>
      <c r="AN390" s="556"/>
      <c r="AO390" s="14">
        <v>31</v>
      </c>
      <c r="AP390" s="83"/>
      <c r="AQ390" s="84"/>
    </row>
    <row r="391" spans="1:43" s="85" customFormat="1" ht="25.5" x14ac:dyDescent="0.75">
      <c r="A391" s="853"/>
      <c r="B391" s="560" t="s">
        <v>1156</v>
      </c>
      <c r="C391" s="921" t="s">
        <v>1143</v>
      </c>
      <c r="D391" s="561"/>
      <c r="E391" s="572"/>
      <c r="F391" s="575"/>
      <c r="G391" s="576"/>
      <c r="H391" s="576"/>
      <c r="I391" s="576"/>
      <c r="J391" s="576"/>
      <c r="K391" s="576"/>
      <c r="L391" s="576"/>
      <c r="M391" s="576"/>
      <c r="N391" s="576"/>
      <c r="O391" s="576"/>
      <c r="P391" s="576"/>
      <c r="Q391" s="576"/>
      <c r="R391" s="576"/>
      <c r="S391" s="576"/>
      <c r="T391" s="576"/>
      <c r="U391" s="576"/>
      <c r="V391" s="576"/>
      <c r="W391" s="576"/>
      <c r="X391" s="576"/>
      <c r="Y391" s="576"/>
      <c r="Z391" s="576"/>
      <c r="AA391" s="577"/>
      <c r="AB391" s="380"/>
      <c r="AC391" s="380"/>
      <c r="AD391" s="380"/>
      <c r="AE391" s="380"/>
      <c r="AF391" s="380"/>
      <c r="AG391" s="380"/>
      <c r="AH391" s="380"/>
      <c r="AI391" s="380"/>
      <c r="AJ391" s="568">
        <f t="shared" si="137"/>
        <v>0</v>
      </c>
      <c r="AK391" s="691" t="str">
        <f>CONCATENATE(IF(D392&gt;D391," * Positive F01-13 for Age "&amp;D378&amp;" "&amp;D379&amp;" is more than Tested F01-12"&amp;CHAR(10),""),IF(E392&gt;E391," * Positive F01-13 for Age "&amp;D378&amp;" "&amp;E379&amp;" is more than Tested F01-12"&amp;CHAR(10),""),IF(F392&gt;F391," * Positive F01-13 for Age "&amp;F378&amp;" "&amp;F379&amp;" is more than Tested F01-12"&amp;CHAR(10),""),IF(G392&gt;G391," * Positive F01-13 for Age "&amp;F378&amp;" "&amp;G379&amp;" is more than Tested F01-12"&amp;CHAR(10),""),IF(H392&gt;H391," * Positive F01-13 for Age "&amp;H378&amp;" "&amp;H379&amp;" is more than Tested F01-12"&amp;CHAR(10),""),IF(I392&gt;I391," * Positive F01-13 for Age "&amp;H378&amp;" "&amp;I379&amp;" is more than Tested F01-12"&amp;CHAR(10),""),IF(J392&gt;J391," * Positive F01-13 for Age "&amp;J378&amp;" "&amp;J379&amp;" is more than Tested F01-12"&amp;CHAR(10),""),IF(K392&gt;K391," * Positive F01-13 for Age "&amp;J378&amp;" "&amp;K379&amp;" is more than Tested F01-12"&amp;CHAR(10),""),IF(L392&gt;L391," * Positive F01-13 for Age "&amp;L378&amp;" "&amp;L379&amp;" is more than Tested F01-12"&amp;CHAR(10),""),IF(M392&gt;M391," * Positive F01-13 for Age "&amp;L378&amp;" "&amp;M379&amp;" is more than Tested F01-12"&amp;CHAR(10),""),IF(N392&gt;N391," * Positive F01-13 for Age "&amp;N378&amp;" "&amp;N379&amp;" is more than Tested F01-12"&amp;CHAR(10),""),IF(O392&gt;O391," * Positive F01-13 for Age "&amp;N378&amp;" "&amp;O379&amp;" is more than Tested F01-12"&amp;CHAR(10),""),IF(P392&gt;P391," * Positive F01-13 for Age "&amp;P378&amp;" "&amp;P379&amp;" is more than Tested F01-12"&amp;CHAR(10),""),IF(Q392&gt;Q391," * Positive F01-13 for Age "&amp;P378&amp;" "&amp;Q379&amp;" is more than Tested F01-12"&amp;CHAR(10),""),IF(R392&gt;R391," * Positive F01-13 for Age "&amp;R378&amp;" "&amp;R379&amp;" is more than Tested F01-12"&amp;CHAR(10),""),IF(S392&gt;S391," * Positive F01-13 for Age "&amp;R378&amp;" "&amp;S379&amp;" is more than Tested F01-12"&amp;CHAR(10),""),IF(T392&gt;T391," * Positive F01-13 for Age "&amp;T378&amp;" "&amp;T379&amp;" is more than Tested F01-12"&amp;CHAR(10),""),IF(U392&gt;U391," * Positive F01-13 for Age "&amp;T378&amp;" "&amp;U379&amp;" is more than Tested F01-12"&amp;CHAR(10),""),IF(V392&gt;V391," * Positive F01-13 for Age "&amp;V378&amp;" "&amp;V379&amp;" is more than Tested F01-12"&amp;CHAR(10),""),IF(W392&gt;W391," * Positive F01-13 for Age "&amp;V378&amp;" "&amp;W379&amp;" is more than Tested F01-12"&amp;CHAR(10),""),IF(X392&gt;X391," * Positive F01-13 for Age "&amp;X378&amp;" "&amp;X379&amp;" is more than Tested F01-12"&amp;CHAR(10),""),IF(Y392&gt;Y391," * Positive F01-13 for Age "&amp;X378&amp;" "&amp;Y379&amp;" is more than Tested F01-12"&amp;CHAR(10),""),IF(Z392&gt;Z391," * Positive F01-13 for Age "&amp;Z378&amp;" "&amp;Z379&amp;" is more than Tested F01-12"&amp;CHAR(10),""),IF(AA392&gt;AA391," * Positive F01-13 for Age "&amp;Z378&amp;" "&amp;AA379&amp;" is more than Tested F01-12"&amp;CHAR(10),""))</f>
        <v/>
      </c>
      <c r="AL391" s="555"/>
      <c r="AM391" s="32" t="str">
        <f>CONCATENATE(IF(AND(IFERROR((AJ392*100)/AJ391,0)&gt;10,AJ392&gt;5)," * This facility has a high positivity rate for Index Testing. Kindly confirm if this is the true reflection"&amp;CHAR(10),""),"")</f>
        <v/>
      </c>
      <c r="AN391" s="556"/>
      <c r="AO391" s="14">
        <v>32</v>
      </c>
      <c r="AP391" s="83"/>
      <c r="AQ391" s="84"/>
    </row>
    <row r="392" spans="1:43" s="85" customFormat="1" ht="25.5" x14ac:dyDescent="0.75">
      <c r="A392" s="853"/>
      <c r="B392" s="560" t="s">
        <v>1137</v>
      </c>
      <c r="C392" s="921" t="s">
        <v>1144</v>
      </c>
      <c r="D392" s="559"/>
      <c r="E392" s="573"/>
      <c r="F392" s="575"/>
      <c r="G392" s="576"/>
      <c r="H392" s="576"/>
      <c r="I392" s="576"/>
      <c r="J392" s="576"/>
      <c r="K392" s="576"/>
      <c r="L392" s="576"/>
      <c r="M392" s="576"/>
      <c r="N392" s="576"/>
      <c r="O392" s="576"/>
      <c r="P392" s="576"/>
      <c r="Q392" s="576"/>
      <c r="R392" s="576"/>
      <c r="S392" s="576"/>
      <c r="T392" s="576"/>
      <c r="U392" s="576"/>
      <c r="V392" s="576"/>
      <c r="W392" s="576"/>
      <c r="X392" s="576"/>
      <c r="Y392" s="576"/>
      <c r="Z392" s="576"/>
      <c r="AA392" s="577"/>
      <c r="AB392" s="380"/>
      <c r="AC392" s="380"/>
      <c r="AD392" s="380"/>
      <c r="AE392" s="380"/>
      <c r="AF392" s="380"/>
      <c r="AG392" s="380"/>
      <c r="AH392" s="380"/>
      <c r="AI392" s="380"/>
      <c r="AJ392" s="569">
        <f t="shared" si="137"/>
        <v>0</v>
      </c>
      <c r="AK392" s="691"/>
      <c r="AL392" s="555"/>
      <c r="AM392" s="32" t="e">
        <f>CONCATENATE(IF(D391&gt;0," * F01-12 for Age "&amp;D378&amp;" "&amp;D379&amp;" has a value greater than 0"&amp;CHAR(10),""),IF(E391&gt;0," * F01-12 for Age "&amp;D378&amp;" "&amp;E379&amp;" has a value greater than 0"&amp;CHAR(10),""),IF(D392&gt;0," * F01-13 for Age "&amp;D378&amp;" "&amp;D379&amp;" has a value greater than 0"&amp;CHAR(10),""),IF(E392&gt;0," * F01-13 for Age "&amp;D378&amp;" "&amp;E379&amp;" has a value greater than 0"&amp;CHAR(10),""),IF(#REF!&gt;0," * F01-14 for Age "&amp;D378&amp;" "&amp;D379&amp;" has a value greater than 0"&amp;CHAR(10),""),IF(#REF!&gt;0," * F01-14 for Age "&amp;D378&amp;" "&amp;E379&amp;" has a value greater than 0"&amp;CHAR(10),""),IF(D455&gt;0," * F01-15 for Age "&amp;D378&amp;" "&amp;D379&amp;" has a value greater than 0"&amp;CHAR(10),""),IF(E455&gt;0," * F01-15 for Age "&amp;D378&amp;" "&amp;E379&amp;" has a value greater than 0"&amp;CHAR(10),""),IF(D460&gt;0," * F01-20 for Age "&amp;D378&amp;" "&amp;D379&amp;" has a value greater than 0"&amp;CHAR(10),""),IF(E460&gt;0," * F01-20 for Age "&amp;D378&amp;" "&amp;E379&amp;" has a value greater than 0"&amp;CHAR(10),""),IF(D461&gt;0," * F01-21 for Age "&amp;D378&amp;" "&amp;D379&amp;" has a value greater than 0"&amp;CHAR(10),""),IF(E461&gt;0," * F01-21 for Age "&amp;D378&amp;" "&amp;E379&amp;" has a value greater than 0"&amp;CHAR(10),""),IF(D462&gt;0," * F01-22 for Age "&amp;D378&amp;" "&amp;D379&amp;" has a value greater than 0"&amp;CHAR(10),""),IF(E462&gt;0," * F01-22 for Age "&amp;D378&amp;" "&amp;E379&amp;" has a value greater than 0"&amp;CHAR(10),""),IF(D463&gt;0," * F01-23 for Age "&amp;D378&amp;" "&amp;D379&amp;" has a value greater than 0"&amp;CHAR(10),""),IF(E463&gt;0," * F01-23 for Age "&amp;D378&amp;" "&amp;E379&amp;" has a value greater than 0"&amp;CHAR(10),""),"")</f>
        <v>#REF!</v>
      </c>
      <c r="AN392" s="556"/>
      <c r="AO392" s="14">
        <v>33</v>
      </c>
      <c r="AP392" s="83"/>
      <c r="AQ392" s="84"/>
    </row>
    <row r="393" spans="1:43" s="85" customFormat="1" ht="25.9" thickBot="1" x14ac:dyDescent="0.8">
      <c r="A393" s="853"/>
      <c r="B393" s="560" t="s">
        <v>1139</v>
      </c>
      <c r="C393" s="921" t="s">
        <v>1145</v>
      </c>
      <c r="D393" s="559"/>
      <c r="E393" s="573"/>
      <c r="F393" s="575"/>
      <c r="G393" s="576"/>
      <c r="H393" s="576"/>
      <c r="I393" s="576"/>
      <c r="J393" s="576"/>
      <c r="K393" s="576"/>
      <c r="L393" s="576"/>
      <c r="M393" s="576"/>
      <c r="N393" s="576"/>
      <c r="O393" s="576"/>
      <c r="P393" s="576"/>
      <c r="Q393" s="576"/>
      <c r="R393" s="576"/>
      <c r="S393" s="576"/>
      <c r="T393" s="576"/>
      <c r="U393" s="576"/>
      <c r="V393" s="576"/>
      <c r="W393" s="576"/>
      <c r="X393" s="576"/>
      <c r="Y393" s="576"/>
      <c r="Z393" s="576"/>
      <c r="AA393" s="577"/>
      <c r="AB393" s="380"/>
      <c r="AC393" s="380"/>
      <c r="AD393" s="380"/>
      <c r="AE393" s="380"/>
      <c r="AF393" s="380"/>
      <c r="AG393" s="380"/>
      <c r="AH393" s="380"/>
      <c r="AI393" s="380"/>
      <c r="AJ393" s="569">
        <f t="shared" si="137"/>
        <v>0</v>
      </c>
      <c r="AK393" s="557"/>
      <c r="AL393" s="555"/>
      <c r="AM393" s="32" t="str">
        <f>CONCATENATE(IF(D392&gt;0," * F01-12 for Age "&amp;D379&amp;" "&amp;D380&amp;" has a value greater than 0"&amp;CHAR(10),""),IF(E392&gt;0," * F01-12 for Age "&amp;D379&amp;" "&amp;E380&amp;" has a value greater than 0"&amp;CHAR(10),""),IF(D393&gt;0," * F01-13 for Age "&amp;D379&amp;" "&amp;D380&amp;" has a value greater than 0"&amp;CHAR(10),""),IF(E393&gt;0," * F01-13 for Age "&amp;D379&amp;" "&amp;E380&amp;" has a value greater than 0"&amp;CHAR(10),""),IF(D455&gt;0," * F01-14 for Age "&amp;D379&amp;" "&amp;D380&amp;" has a value greater than 0"&amp;CHAR(10),""),IF(E455&gt;0," * F01-14 for Age "&amp;D379&amp;" "&amp;E380&amp;" has a value greater than 0"&amp;CHAR(10),""),IF(D456&gt;0," * F01-15 for Age "&amp;D379&amp;" "&amp;D380&amp;" has a value greater than 0"&amp;CHAR(10),""),IF(E456&gt;0," * F01-15 for Age "&amp;D379&amp;" "&amp;E380&amp;" has a value greater than 0"&amp;CHAR(10),""),IF(D461&gt;0," * F01-20 for Age "&amp;D379&amp;" "&amp;D380&amp;" has a value greater than 0"&amp;CHAR(10),""),IF(E461&gt;0," * F01-20 for Age "&amp;D379&amp;" "&amp;E380&amp;" has a value greater than 0"&amp;CHAR(10),""),IF(D462&gt;0," * F01-21 for Age "&amp;D379&amp;" "&amp;D380&amp;" has a value greater than 0"&amp;CHAR(10),""),IF(E462&gt;0," * F01-21 for Age "&amp;D379&amp;" "&amp;E380&amp;" has a value greater than 0"&amp;CHAR(10),""),IF(D463&gt;0," * F01-22 for Age "&amp;D379&amp;" "&amp;D380&amp;" has a value greater than 0"&amp;CHAR(10),""),IF(E463&gt;0," * F01-22 for Age "&amp;D379&amp;" "&amp;E380&amp;" has a value greater than 0"&amp;CHAR(10),""),IF(D464&gt;0," * F01-23 for Age "&amp;D379&amp;" "&amp;D380&amp;" has a value greater than 0"&amp;CHAR(10),""),IF(E464&gt;0," * F01-23 for Age "&amp;D379&amp;" "&amp;E380&amp;" has a value greater than 0"&amp;CHAR(10),""),"")</f>
        <v/>
      </c>
      <c r="AN393" s="556"/>
      <c r="AO393" s="14">
        <v>33</v>
      </c>
      <c r="AP393" s="83"/>
      <c r="AQ393" s="84"/>
    </row>
    <row r="394" spans="1:43" s="85" customFormat="1" ht="25.9" thickBot="1" x14ac:dyDescent="0.8">
      <c r="A394" s="854"/>
      <c r="B394" s="565" t="s">
        <v>1141</v>
      </c>
      <c r="C394" s="922" t="s">
        <v>1146</v>
      </c>
      <c r="D394" s="566"/>
      <c r="E394" s="574"/>
      <c r="F394" s="862">
        <f>F390-SUM(F391:F393)</f>
        <v>0</v>
      </c>
      <c r="G394" s="863">
        <f t="shared" ref="G394" si="138">G390-SUM(G391:G393)</f>
        <v>0</v>
      </c>
      <c r="H394" s="862">
        <f t="shared" ref="H394" si="139">H390-SUM(H391:H393)</f>
        <v>0</v>
      </c>
      <c r="I394" s="863">
        <f t="shared" ref="I394" si="140">I390-SUM(I391:I393)</f>
        <v>0</v>
      </c>
      <c r="J394" s="862">
        <f t="shared" ref="J394" si="141">J390-SUM(J391:J393)</f>
        <v>0</v>
      </c>
      <c r="K394" s="863">
        <f t="shared" ref="K394" si="142">K390-SUM(K391:K393)</f>
        <v>0</v>
      </c>
      <c r="L394" s="862">
        <f t="shared" ref="L394" si="143">L390-SUM(L391:L393)</f>
        <v>0</v>
      </c>
      <c r="M394" s="863">
        <f t="shared" ref="M394" si="144">M390-SUM(M391:M393)</f>
        <v>0</v>
      </c>
      <c r="N394" s="862">
        <f t="shared" ref="N394" si="145">N390-SUM(N391:N393)</f>
        <v>0</v>
      </c>
      <c r="O394" s="863">
        <f t="shared" ref="O394" si="146">O390-SUM(O391:O393)</f>
        <v>0</v>
      </c>
      <c r="P394" s="862">
        <f t="shared" ref="P394" si="147">P390-SUM(P391:P393)</f>
        <v>0</v>
      </c>
      <c r="Q394" s="863">
        <f t="shared" ref="Q394" si="148">Q390-SUM(Q391:Q393)</f>
        <v>0</v>
      </c>
      <c r="R394" s="862">
        <f t="shared" ref="R394" si="149">R390-SUM(R391:R393)</f>
        <v>0</v>
      </c>
      <c r="S394" s="863">
        <f t="shared" ref="S394" si="150">S390-SUM(S391:S393)</f>
        <v>0</v>
      </c>
      <c r="T394" s="862">
        <f t="shared" ref="T394" si="151">T390-SUM(T391:T393)</f>
        <v>0</v>
      </c>
      <c r="U394" s="863">
        <f t="shared" ref="U394" si="152">U390-SUM(U391:U393)</f>
        <v>0</v>
      </c>
      <c r="V394" s="862">
        <f t="shared" ref="V394" si="153">V390-SUM(V391:V393)</f>
        <v>0</v>
      </c>
      <c r="W394" s="863">
        <f t="shared" ref="W394" si="154">W390-SUM(W391:W393)</f>
        <v>0</v>
      </c>
      <c r="X394" s="862">
        <f t="shared" ref="X394" si="155">X390-SUM(X391:X393)</f>
        <v>0</v>
      </c>
      <c r="Y394" s="863">
        <f t="shared" ref="Y394" si="156">Y390-SUM(Y391:Y393)</f>
        <v>0</v>
      </c>
      <c r="Z394" s="862">
        <f t="shared" ref="Z394" si="157">Z390-SUM(Z391:Z393)</f>
        <v>0</v>
      </c>
      <c r="AA394" s="863">
        <f t="shared" ref="AA394" si="158">AA390-SUM(AA391:AA393)</f>
        <v>0</v>
      </c>
      <c r="AB394" s="415"/>
      <c r="AC394" s="415"/>
      <c r="AD394" s="415"/>
      <c r="AE394" s="415"/>
      <c r="AF394" s="415"/>
      <c r="AG394" s="415"/>
      <c r="AH394" s="415"/>
      <c r="AI394" s="415"/>
      <c r="AJ394" s="570">
        <f t="shared" ref="AJ394:AJ403" si="159">SUM(D394:AA394)</f>
        <v>0</v>
      </c>
      <c r="AK394" s="557"/>
      <c r="AL394" s="555"/>
      <c r="AM394" s="32" t="str">
        <f>CONCATENATE(IF(D393&gt;0," * F01-12 for Age "&amp;D380&amp;" "&amp;D381&amp;" has a value greater than 0"&amp;CHAR(10),""),IF(E393&gt;0," * F01-12 for Age "&amp;D380&amp;" "&amp;E381&amp;" has a value greater than 0"&amp;CHAR(10),""),IF(D394&gt;0," * F01-13 for Age "&amp;D380&amp;" "&amp;D381&amp;" has a value greater than 0"&amp;CHAR(10),""),IF(E394&gt;0," * F01-13 for Age "&amp;D380&amp;" "&amp;E381&amp;" has a value greater than 0"&amp;CHAR(10),""),IF(D456&gt;0," * F01-14 for Age "&amp;D380&amp;" "&amp;D381&amp;" has a value greater than 0"&amp;CHAR(10),""),IF(E456&gt;0," * F01-14 for Age "&amp;D380&amp;" "&amp;E381&amp;" has a value greater than 0"&amp;CHAR(10),""),IF(D457&gt;0," * F01-15 for Age "&amp;D380&amp;" "&amp;D381&amp;" has a value greater than 0"&amp;CHAR(10),""),IF(E457&gt;0," * F01-15 for Age "&amp;D380&amp;" "&amp;E381&amp;" has a value greater than 0"&amp;CHAR(10),""),IF(D462&gt;0," * F01-20 for Age "&amp;D380&amp;" "&amp;D381&amp;" has a value greater than 0"&amp;CHAR(10),""),IF(E462&gt;0," * F01-20 for Age "&amp;D380&amp;" "&amp;E381&amp;" has a value greater than 0"&amp;CHAR(10),""),IF(D463&gt;0," * F01-21 for Age "&amp;D380&amp;" "&amp;D381&amp;" has a value greater than 0"&amp;CHAR(10),""),IF(E463&gt;0," * F01-21 for Age "&amp;D380&amp;" "&amp;E381&amp;" has a value greater than 0"&amp;CHAR(10),""),IF(D464&gt;0," * F01-22 for Age "&amp;D380&amp;" "&amp;D381&amp;" has a value greater than 0"&amp;CHAR(10),""),IF(E464&gt;0," * F01-22 for Age "&amp;D380&amp;" "&amp;E381&amp;" has a value greater than 0"&amp;CHAR(10),""),IF(D465&gt;0," * F01-23 for Age "&amp;D380&amp;" "&amp;D381&amp;" has a value greater than 0"&amp;CHAR(10),""),IF(E465&gt;0," * F01-23 for Age "&amp;D380&amp;" "&amp;E381&amp;" has a value greater than 0"&amp;CHAR(10),""),"")</f>
        <v/>
      </c>
      <c r="AN394" s="556"/>
      <c r="AO394" s="14">
        <v>33</v>
      </c>
      <c r="AP394" s="83"/>
      <c r="AQ394" s="84"/>
    </row>
    <row r="395" spans="1:43" s="85" customFormat="1" ht="25.9" thickBot="1" x14ac:dyDescent="0.8">
      <c r="A395" s="852" t="s">
        <v>14</v>
      </c>
      <c r="B395" s="563" t="s">
        <v>152</v>
      </c>
      <c r="C395" s="920" t="s">
        <v>1147</v>
      </c>
      <c r="D395" s="564"/>
      <c r="E395" s="571"/>
      <c r="F395" s="860">
        <f>F35</f>
        <v>0</v>
      </c>
      <c r="G395" s="860">
        <f t="shared" ref="G395:AA395" si="160">G35</f>
        <v>0</v>
      </c>
      <c r="H395" s="860">
        <f t="shared" si="160"/>
        <v>0</v>
      </c>
      <c r="I395" s="860">
        <f t="shared" si="160"/>
        <v>0</v>
      </c>
      <c r="J395" s="860">
        <f t="shared" si="160"/>
        <v>0</v>
      </c>
      <c r="K395" s="860">
        <f t="shared" si="160"/>
        <v>0</v>
      </c>
      <c r="L395" s="860">
        <f t="shared" si="160"/>
        <v>0</v>
      </c>
      <c r="M395" s="860">
        <f t="shared" si="160"/>
        <v>0</v>
      </c>
      <c r="N395" s="860">
        <f t="shared" si="160"/>
        <v>0</v>
      </c>
      <c r="O395" s="860">
        <f t="shared" si="160"/>
        <v>0</v>
      </c>
      <c r="P395" s="860">
        <f t="shared" si="160"/>
        <v>0</v>
      </c>
      <c r="Q395" s="860">
        <f t="shared" si="160"/>
        <v>0</v>
      </c>
      <c r="R395" s="860">
        <f t="shared" si="160"/>
        <v>0</v>
      </c>
      <c r="S395" s="860">
        <f t="shared" si="160"/>
        <v>0</v>
      </c>
      <c r="T395" s="860">
        <f t="shared" si="160"/>
        <v>0</v>
      </c>
      <c r="U395" s="860">
        <f t="shared" si="160"/>
        <v>0</v>
      </c>
      <c r="V395" s="860">
        <f t="shared" si="160"/>
        <v>0</v>
      </c>
      <c r="W395" s="860">
        <f t="shared" si="160"/>
        <v>0</v>
      </c>
      <c r="X395" s="860">
        <f t="shared" si="160"/>
        <v>0</v>
      </c>
      <c r="Y395" s="860">
        <f t="shared" si="160"/>
        <v>0</v>
      </c>
      <c r="Z395" s="860">
        <f t="shared" si="160"/>
        <v>0</v>
      </c>
      <c r="AA395" s="860">
        <f t="shared" si="160"/>
        <v>0</v>
      </c>
      <c r="AB395" s="412"/>
      <c r="AC395" s="412"/>
      <c r="AD395" s="412"/>
      <c r="AE395" s="412"/>
      <c r="AF395" s="412"/>
      <c r="AG395" s="412"/>
      <c r="AH395" s="412"/>
      <c r="AI395" s="412"/>
      <c r="AJ395" s="567">
        <f t="shared" si="159"/>
        <v>0</v>
      </c>
      <c r="AK395" s="553"/>
      <c r="AL395" s="555"/>
      <c r="AM395" s="32"/>
      <c r="AN395" s="556"/>
      <c r="AO395" s="14">
        <v>31</v>
      </c>
      <c r="AP395" s="83"/>
      <c r="AQ395" s="84"/>
    </row>
    <row r="396" spans="1:43" s="85" customFormat="1" ht="25.5" x14ac:dyDescent="0.75">
      <c r="A396" s="853"/>
      <c r="B396" s="560" t="s">
        <v>1156</v>
      </c>
      <c r="C396" s="921" t="s">
        <v>1148</v>
      </c>
      <c r="D396" s="561"/>
      <c r="E396" s="572"/>
      <c r="F396" s="575"/>
      <c r="G396" s="576"/>
      <c r="H396" s="576"/>
      <c r="I396" s="576"/>
      <c r="J396" s="576"/>
      <c r="K396" s="576"/>
      <c r="L396" s="576"/>
      <c r="M396" s="576"/>
      <c r="N396" s="576"/>
      <c r="O396" s="576"/>
      <c r="P396" s="576"/>
      <c r="Q396" s="576"/>
      <c r="R396" s="576"/>
      <c r="S396" s="576"/>
      <c r="T396" s="576"/>
      <c r="U396" s="576"/>
      <c r="V396" s="576"/>
      <c r="W396" s="576"/>
      <c r="X396" s="576"/>
      <c r="Y396" s="576"/>
      <c r="Z396" s="576"/>
      <c r="AA396" s="577"/>
      <c r="AB396" s="380"/>
      <c r="AC396" s="380"/>
      <c r="AD396" s="380"/>
      <c r="AE396" s="380"/>
      <c r="AF396" s="380"/>
      <c r="AG396" s="380"/>
      <c r="AH396" s="380"/>
      <c r="AI396" s="380"/>
      <c r="AJ396" s="568">
        <f t="shared" si="159"/>
        <v>0</v>
      </c>
      <c r="AK396" s="691" t="str">
        <f>CONCATENATE(IF(D397&gt;D396," * Positive F01-13 for Age "&amp;D383&amp;" "&amp;D384&amp;" is more than Tested F01-12"&amp;CHAR(10),""),IF(E397&gt;E396," * Positive F01-13 for Age "&amp;D383&amp;" "&amp;E384&amp;" is more than Tested F01-12"&amp;CHAR(10),""),IF(F397&gt;F396," * Positive F01-13 for Age "&amp;F383&amp;" "&amp;F384&amp;" is more than Tested F01-12"&amp;CHAR(10),""),IF(G397&gt;G396," * Positive F01-13 for Age "&amp;F383&amp;" "&amp;G384&amp;" is more than Tested F01-12"&amp;CHAR(10),""),IF(H397&gt;H396," * Positive F01-13 for Age "&amp;H383&amp;" "&amp;H384&amp;" is more than Tested F01-12"&amp;CHAR(10),""),IF(I397&gt;I396," * Positive F01-13 for Age "&amp;H383&amp;" "&amp;I384&amp;" is more than Tested F01-12"&amp;CHAR(10),""),IF(J397&gt;J396," * Positive F01-13 for Age "&amp;J383&amp;" "&amp;J384&amp;" is more than Tested F01-12"&amp;CHAR(10),""),IF(K397&gt;K396," * Positive F01-13 for Age "&amp;J383&amp;" "&amp;K384&amp;" is more than Tested F01-12"&amp;CHAR(10),""),IF(L397&gt;L396," * Positive F01-13 for Age "&amp;L383&amp;" "&amp;L384&amp;" is more than Tested F01-12"&amp;CHAR(10),""),IF(M397&gt;M396," * Positive F01-13 for Age "&amp;L383&amp;" "&amp;M384&amp;" is more than Tested F01-12"&amp;CHAR(10),""),IF(N397&gt;N396," * Positive F01-13 for Age "&amp;N383&amp;" "&amp;N384&amp;" is more than Tested F01-12"&amp;CHAR(10),""),IF(O397&gt;O396," * Positive F01-13 for Age "&amp;N383&amp;" "&amp;O384&amp;" is more than Tested F01-12"&amp;CHAR(10),""),IF(P397&gt;P396," * Positive F01-13 for Age "&amp;P383&amp;" "&amp;P384&amp;" is more than Tested F01-12"&amp;CHAR(10),""),IF(Q397&gt;Q396," * Positive F01-13 for Age "&amp;P383&amp;" "&amp;Q384&amp;" is more than Tested F01-12"&amp;CHAR(10),""),IF(R397&gt;R396," * Positive F01-13 for Age "&amp;R383&amp;" "&amp;R384&amp;" is more than Tested F01-12"&amp;CHAR(10),""),IF(S397&gt;S396," * Positive F01-13 for Age "&amp;R383&amp;" "&amp;S384&amp;" is more than Tested F01-12"&amp;CHAR(10),""),IF(T397&gt;T396," * Positive F01-13 for Age "&amp;T383&amp;" "&amp;T384&amp;" is more than Tested F01-12"&amp;CHAR(10),""),IF(U397&gt;U396," * Positive F01-13 for Age "&amp;T383&amp;" "&amp;U384&amp;" is more than Tested F01-12"&amp;CHAR(10),""),IF(V397&gt;V396," * Positive F01-13 for Age "&amp;V383&amp;" "&amp;V384&amp;" is more than Tested F01-12"&amp;CHAR(10),""),IF(W397&gt;W396," * Positive F01-13 for Age "&amp;V383&amp;" "&amp;W384&amp;" is more than Tested F01-12"&amp;CHAR(10),""),IF(X397&gt;X396," * Positive F01-13 for Age "&amp;X383&amp;" "&amp;X384&amp;" is more than Tested F01-12"&amp;CHAR(10),""),IF(Y397&gt;Y396," * Positive F01-13 for Age "&amp;X383&amp;" "&amp;Y384&amp;" is more than Tested F01-12"&amp;CHAR(10),""),IF(Z397&gt;Z396," * Positive F01-13 for Age "&amp;Z383&amp;" "&amp;Z384&amp;" is more than Tested F01-12"&amp;CHAR(10),""),IF(AA397&gt;AA396," * Positive F01-13 for Age "&amp;Z383&amp;" "&amp;AA384&amp;" is more than Tested F01-12"&amp;CHAR(10),""))</f>
        <v/>
      </c>
      <c r="AL396" s="555"/>
      <c r="AM396" s="32" t="str">
        <f>CONCATENATE(IF(AND(IFERROR((AJ397*100)/AJ396,0)&gt;10,AJ397&gt;5)," * This facility has a high positivity rate for Index Testing. Kindly confirm if this is the true reflection"&amp;CHAR(10),""),"")</f>
        <v/>
      </c>
      <c r="AN396" s="556"/>
      <c r="AO396" s="14">
        <v>32</v>
      </c>
      <c r="AP396" s="83"/>
      <c r="AQ396" s="84"/>
    </row>
    <row r="397" spans="1:43" s="85" customFormat="1" ht="25.5" x14ac:dyDescent="0.75">
      <c r="A397" s="853"/>
      <c r="B397" s="560" t="s">
        <v>1137</v>
      </c>
      <c r="C397" s="921" t="s">
        <v>1149</v>
      </c>
      <c r="D397" s="559"/>
      <c r="E397" s="573"/>
      <c r="F397" s="575"/>
      <c r="G397" s="576"/>
      <c r="H397" s="576"/>
      <c r="I397" s="576"/>
      <c r="J397" s="576"/>
      <c r="K397" s="576"/>
      <c r="L397" s="576"/>
      <c r="M397" s="576"/>
      <c r="N397" s="576"/>
      <c r="O397" s="576"/>
      <c r="P397" s="576"/>
      <c r="Q397" s="576"/>
      <c r="R397" s="576"/>
      <c r="S397" s="576"/>
      <c r="T397" s="576"/>
      <c r="U397" s="576"/>
      <c r="V397" s="576"/>
      <c r="W397" s="576"/>
      <c r="X397" s="576"/>
      <c r="Y397" s="576"/>
      <c r="Z397" s="576"/>
      <c r="AA397" s="577"/>
      <c r="AB397" s="380"/>
      <c r="AC397" s="380"/>
      <c r="AD397" s="380"/>
      <c r="AE397" s="380"/>
      <c r="AF397" s="380"/>
      <c r="AG397" s="380"/>
      <c r="AH397" s="380"/>
      <c r="AI397" s="380"/>
      <c r="AJ397" s="569">
        <f t="shared" si="159"/>
        <v>0</v>
      </c>
      <c r="AK397" s="691"/>
      <c r="AL397" s="555"/>
      <c r="AM397" s="32" t="e">
        <f>CONCATENATE(IF(D396&gt;0," * F01-12 for Age "&amp;D383&amp;" "&amp;D384&amp;" has a value greater than 0"&amp;CHAR(10),""),IF(E396&gt;0," * F01-12 for Age "&amp;D383&amp;" "&amp;E384&amp;" has a value greater than 0"&amp;CHAR(10),""),IF(D397&gt;0," * F01-13 for Age "&amp;D383&amp;" "&amp;D384&amp;" has a value greater than 0"&amp;CHAR(10),""),IF(E397&gt;0," * F01-13 for Age "&amp;D383&amp;" "&amp;E384&amp;" has a value greater than 0"&amp;CHAR(10),""),IF(#REF!&gt;0," * F01-14 for Age "&amp;D383&amp;" "&amp;D384&amp;" has a value greater than 0"&amp;CHAR(10),""),IF(#REF!&gt;0," * F01-14 for Age "&amp;D383&amp;" "&amp;E384&amp;" has a value greater than 0"&amp;CHAR(10),""),IF(D460&gt;0," * F01-15 for Age "&amp;D383&amp;" "&amp;D384&amp;" has a value greater than 0"&amp;CHAR(10),""),IF(E460&gt;0," * F01-15 for Age "&amp;D383&amp;" "&amp;E384&amp;" has a value greater than 0"&amp;CHAR(10),""),IF(D465&gt;0," * F01-20 for Age "&amp;D383&amp;" "&amp;D384&amp;" has a value greater than 0"&amp;CHAR(10),""),IF(E465&gt;0," * F01-20 for Age "&amp;D383&amp;" "&amp;E384&amp;" has a value greater than 0"&amp;CHAR(10),""),IF(D466&gt;0," * F01-21 for Age "&amp;D383&amp;" "&amp;D384&amp;" has a value greater than 0"&amp;CHAR(10),""),IF(E466&gt;0," * F01-21 for Age "&amp;D383&amp;" "&amp;E384&amp;" has a value greater than 0"&amp;CHAR(10),""),IF(D467&gt;0," * F01-22 for Age "&amp;D383&amp;" "&amp;D384&amp;" has a value greater than 0"&amp;CHAR(10),""),IF(E467&gt;0," * F01-22 for Age "&amp;D383&amp;" "&amp;E384&amp;" has a value greater than 0"&amp;CHAR(10),""),IF(D468&gt;0," * F01-23 for Age "&amp;D383&amp;" "&amp;D384&amp;" has a value greater than 0"&amp;CHAR(10),""),IF(E468&gt;0," * F01-23 for Age "&amp;D383&amp;" "&amp;E384&amp;" has a value greater than 0"&amp;CHAR(10),""),"")</f>
        <v>#REF!</v>
      </c>
      <c r="AN397" s="556"/>
      <c r="AO397" s="14">
        <v>33</v>
      </c>
      <c r="AP397" s="83"/>
      <c r="AQ397" s="84"/>
    </row>
    <row r="398" spans="1:43" s="85" customFormat="1" ht="25.9" thickBot="1" x14ac:dyDescent="0.8">
      <c r="A398" s="853"/>
      <c r="B398" s="560" t="s">
        <v>1139</v>
      </c>
      <c r="C398" s="921" t="s">
        <v>1150</v>
      </c>
      <c r="D398" s="559"/>
      <c r="E398" s="573"/>
      <c r="F398" s="575"/>
      <c r="G398" s="576"/>
      <c r="H398" s="576"/>
      <c r="I398" s="576"/>
      <c r="J398" s="576"/>
      <c r="K398" s="576"/>
      <c r="L398" s="576"/>
      <c r="M398" s="576"/>
      <c r="N398" s="576"/>
      <c r="O398" s="576"/>
      <c r="P398" s="576"/>
      <c r="Q398" s="576"/>
      <c r="R398" s="576"/>
      <c r="S398" s="576"/>
      <c r="T398" s="576"/>
      <c r="U398" s="576"/>
      <c r="V398" s="576"/>
      <c r="W398" s="576"/>
      <c r="X398" s="576"/>
      <c r="Y398" s="576"/>
      <c r="Z398" s="576"/>
      <c r="AA398" s="577"/>
      <c r="AB398" s="380"/>
      <c r="AC398" s="380"/>
      <c r="AD398" s="380"/>
      <c r="AE398" s="380"/>
      <c r="AF398" s="380"/>
      <c r="AG398" s="380"/>
      <c r="AH398" s="380"/>
      <c r="AI398" s="380"/>
      <c r="AJ398" s="569">
        <f t="shared" si="159"/>
        <v>0</v>
      </c>
      <c r="AK398" s="557"/>
      <c r="AL398" s="555"/>
      <c r="AM398" s="32" t="str">
        <f>CONCATENATE(IF(D397&gt;0," * F01-12 for Age "&amp;D384&amp;" "&amp;D385&amp;" has a value greater than 0"&amp;CHAR(10),""),IF(E397&gt;0," * F01-12 for Age "&amp;D384&amp;" "&amp;E385&amp;" has a value greater than 0"&amp;CHAR(10),""),IF(D398&gt;0," * F01-13 for Age "&amp;D384&amp;" "&amp;D385&amp;" has a value greater than 0"&amp;CHAR(10),""),IF(E398&gt;0," * F01-13 for Age "&amp;D384&amp;" "&amp;E385&amp;" has a value greater than 0"&amp;CHAR(10),""),IF(D460&gt;0," * F01-14 for Age "&amp;D384&amp;" "&amp;D385&amp;" has a value greater than 0"&amp;CHAR(10),""),IF(E460&gt;0," * F01-14 for Age "&amp;D384&amp;" "&amp;E385&amp;" has a value greater than 0"&amp;CHAR(10),""),IF(D461&gt;0," * F01-15 for Age "&amp;D384&amp;" "&amp;D385&amp;" has a value greater than 0"&amp;CHAR(10),""),IF(E461&gt;0," * F01-15 for Age "&amp;D384&amp;" "&amp;E385&amp;" has a value greater than 0"&amp;CHAR(10),""),IF(D466&gt;0," * F01-20 for Age "&amp;D384&amp;" "&amp;D385&amp;" has a value greater than 0"&amp;CHAR(10),""),IF(E466&gt;0," * F01-20 for Age "&amp;D384&amp;" "&amp;E385&amp;" has a value greater than 0"&amp;CHAR(10),""),IF(D467&gt;0," * F01-21 for Age "&amp;D384&amp;" "&amp;D385&amp;" has a value greater than 0"&amp;CHAR(10),""),IF(E467&gt;0," * F01-21 for Age "&amp;D384&amp;" "&amp;E385&amp;" has a value greater than 0"&amp;CHAR(10),""),IF(D468&gt;0," * F01-22 for Age "&amp;D384&amp;" "&amp;D385&amp;" has a value greater than 0"&amp;CHAR(10),""),IF(E468&gt;0," * F01-22 for Age "&amp;D384&amp;" "&amp;E385&amp;" has a value greater than 0"&amp;CHAR(10),""),IF(D469&gt;0," * F01-23 for Age "&amp;D384&amp;" "&amp;D385&amp;" has a value greater than 0"&amp;CHAR(10),""),IF(E469&gt;0," * F01-23 for Age "&amp;D384&amp;" "&amp;E385&amp;" has a value greater than 0"&amp;CHAR(10),""),"")</f>
        <v/>
      </c>
      <c r="AN398" s="556"/>
      <c r="AO398" s="14">
        <v>33</v>
      </c>
      <c r="AP398" s="83"/>
      <c r="AQ398" s="84"/>
    </row>
    <row r="399" spans="1:43" s="85" customFormat="1" ht="25.9" thickBot="1" x14ac:dyDescent="0.8">
      <c r="A399" s="854"/>
      <c r="B399" s="565" t="s">
        <v>1141</v>
      </c>
      <c r="C399" s="922" t="s">
        <v>1151</v>
      </c>
      <c r="D399" s="566"/>
      <c r="E399" s="574"/>
      <c r="F399" s="862">
        <f>F395-SUM(F396:F398)</f>
        <v>0</v>
      </c>
      <c r="G399" s="863">
        <f t="shared" ref="G399" si="161">G395-SUM(G396:G398)</f>
        <v>0</v>
      </c>
      <c r="H399" s="862">
        <f t="shared" ref="H399" si="162">H395-SUM(H396:H398)</f>
        <v>0</v>
      </c>
      <c r="I399" s="863">
        <f t="shared" ref="I399" si="163">I395-SUM(I396:I398)</f>
        <v>0</v>
      </c>
      <c r="J399" s="862">
        <f t="shared" ref="J399" si="164">J395-SUM(J396:J398)</f>
        <v>0</v>
      </c>
      <c r="K399" s="863">
        <f t="shared" ref="K399" si="165">K395-SUM(K396:K398)</f>
        <v>0</v>
      </c>
      <c r="L399" s="862">
        <f t="shared" ref="L399" si="166">L395-SUM(L396:L398)</f>
        <v>0</v>
      </c>
      <c r="M399" s="863">
        <f t="shared" ref="M399" si="167">M395-SUM(M396:M398)</f>
        <v>0</v>
      </c>
      <c r="N399" s="862">
        <f t="shared" ref="N399" si="168">N395-SUM(N396:N398)</f>
        <v>0</v>
      </c>
      <c r="O399" s="863">
        <f t="shared" ref="O399" si="169">O395-SUM(O396:O398)</f>
        <v>0</v>
      </c>
      <c r="P399" s="862">
        <f t="shared" ref="P399" si="170">P395-SUM(P396:P398)</f>
        <v>0</v>
      </c>
      <c r="Q399" s="863">
        <f t="shared" ref="Q399" si="171">Q395-SUM(Q396:Q398)</f>
        <v>0</v>
      </c>
      <c r="R399" s="862">
        <f t="shared" ref="R399" si="172">R395-SUM(R396:R398)</f>
        <v>0</v>
      </c>
      <c r="S399" s="863">
        <f t="shared" ref="S399" si="173">S395-SUM(S396:S398)</f>
        <v>0</v>
      </c>
      <c r="T399" s="862">
        <f t="shared" ref="T399" si="174">T395-SUM(T396:T398)</f>
        <v>0</v>
      </c>
      <c r="U399" s="863">
        <f t="shared" ref="U399" si="175">U395-SUM(U396:U398)</f>
        <v>0</v>
      </c>
      <c r="V399" s="862">
        <f t="shared" ref="V399" si="176">V395-SUM(V396:V398)</f>
        <v>0</v>
      </c>
      <c r="W399" s="863">
        <f t="shared" ref="W399" si="177">W395-SUM(W396:W398)</f>
        <v>0</v>
      </c>
      <c r="X399" s="862">
        <f t="shared" ref="X399" si="178">X395-SUM(X396:X398)</f>
        <v>0</v>
      </c>
      <c r="Y399" s="863">
        <f t="shared" ref="Y399" si="179">Y395-SUM(Y396:Y398)</f>
        <v>0</v>
      </c>
      <c r="Z399" s="862">
        <f t="shared" ref="Z399" si="180">Z395-SUM(Z396:Z398)</f>
        <v>0</v>
      </c>
      <c r="AA399" s="863">
        <f t="shared" ref="AA399" si="181">AA395-SUM(AA396:AA398)</f>
        <v>0</v>
      </c>
      <c r="AB399" s="415"/>
      <c r="AC399" s="415"/>
      <c r="AD399" s="415"/>
      <c r="AE399" s="415"/>
      <c r="AF399" s="415"/>
      <c r="AG399" s="415"/>
      <c r="AH399" s="415"/>
      <c r="AI399" s="415"/>
      <c r="AJ399" s="570">
        <f t="shared" si="159"/>
        <v>0</v>
      </c>
      <c r="AK399" s="557"/>
      <c r="AL399" s="555"/>
      <c r="AM399" s="32" t="str">
        <f>CONCATENATE(IF(D398&gt;0," * F01-12 for Age "&amp;D385&amp;" "&amp;D386&amp;" has a value greater than 0"&amp;CHAR(10),""),IF(E398&gt;0," * F01-12 for Age "&amp;D385&amp;" "&amp;E386&amp;" has a value greater than 0"&amp;CHAR(10),""),IF(D399&gt;0," * F01-13 for Age "&amp;D385&amp;" "&amp;D386&amp;" has a value greater than 0"&amp;CHAR(10),""),IF(E399&gt;0," * F01-13 for Age "&amp;D385&amp;" "&amp;E386&amp;" has a value greater than 0"&amp;CHAR(10),""),IF(D461&gt;0," * F01-14 for Age "&amp;D385&amp;" "&amp;D386&amp;" has a value greater than 0"&amp;CHAR(10),""),IF(E461&gt;0," * F01-14 for Age "&amp;D385&amp;" "&amp;E386&amp;" has a value greater than 0"&amp;CHAR(10),""),IF(D462&gt;0," * F01-15 for Age "&amp;D385&amp;" "&amp;D386&amp;" has a value greater than 0"&amp;CHAR(10),""),IF(E462&gt;0," * F01-15 for Age "&amp;D385&amp;" "&amp;E386&amp;" has a value greater than 0"&amp;CHAR(10),""),IF(D467&gt;0," * F01-20 for Age "&amp;D385&amp;" "&amp;D386&amp;" has a value greater than 0"&amp;CHAR(10),""),IF(E467&gt;0," * F01-20 for Age "&amp;D385&amp;" "&amp;E386&amp;" has a value greater than 0"&amp;CHAR(10),""),IF(D468&gt;0," * F01-21 for Age "&amp;D385&amp;" "&amp;D386&amp;" has a value greater than 0"&amp;CHAR(10),""),IF(E468&gt;0," * F01-21 for Age "&amp;D385&amp;" "&amp;E386&amp;" has a value greater than 0"&amp;CHAR(10),""),IF(D469&gt;0," * F01-22 for Age "&amp;D385&amp;" "&amp;D386&amp;" has a value greater than 0"&amp;CHAR(10),""),IF(E469&gt;0," * F01-22 for Age "&amp;D385&amp;" "&amp;E386&amp;" has a value greater than 0"&amp;CHAR(10),""),IF(D470&gt;0," * F01-23 for Age "&amp;D385&amp;" "&amp;D386&amp;" has a value greater than 0"&amp;CHAR(10),""),IF(E470&gt;0," * F01-23 for Age "&amp;D385&amp;" "&amp;E386&amp;" has a value greater than 0"&amp;CHAR(10),""),"")</f>
        <v/>
      </c>
      <c r="AN399" s="556"/>
      <c r="AO399" s="14">
        <v>33</v>
      </c>
      <c r="AP399" s="83"/>
      <c r="AQ399" s="84"/>
    </row>
    <row r="400" spans="1:43" s="85" customFormat="1" ht="25.9" thickBot="1" x14ac:dyDescent="0.8">
      <c r="A400" s="852" t="s">
        <v>15</v>
      </c>
      <c r="B400" s="563" t="s">
        <v>152</v>
      </c>
      <c r="C400" s="920" t="s">
        <v>1152</v>
      </c>
      <c r="D400" s="564"/>
      <c r="E400" s="571"/>
      <c r="F400" s="860">
        <f>F37</f>
        <v>0</v>
      </c>
      <c r="G400" s="860">
        <f>G37</f>
        <v>0</v>
      </c>
      <c r="H400" s="930">
        <f>H43</f>
        <v>0</v>
      </c>
      <c r="I400" s="931">
        <f>I43</f>
        <v>0</v>
      </c>
      <c r="J400" s="930">
        <f>J43</f>
        <v>0</v>
      </c>
      <c r="K400" s="931">
        <f>K43</f>
        <v>0</v>
      </c>
      <c r="L400" s="930">
        <f>L43</f>
        <v>0</v>
      </c>
      <c r="M400" s="931">
        <f>M43</f>
        <v>0</v>
      </c>
      <c r="N400" s="930">
        <f>N43</f>
        <v>0</v>
      </c>
      <c r="O400" s="931">
        <f>O43</f>
        <v>0</v>
      </c>
      <c r="P400" s="930">
        <f>P43</f>
        <v>0</v>
      </c>
      <c r="Q400" s="931">
        <f>Q43</f>
        <v>0</v>
      </c>
      <c r="R400" s="930">
        <f>R43</f>
        <v>0</v>
      </c>
      <c r="S400" s="931">
        <f>S43</f>
        <v>0</v>
      </c>
      <c r="T400" s="930">
        <f>T43</f>
        <v>0</v>
      </c>
      <c r="U400" s="931">
        <f>U43</f>
        <v>0</v>
      </c>
      <c r="V400" s="930">
        <f>V43</f>
        <v>0</v>
      </c>
      <c r="W400" s="931">
        <f>W43</f>
        <v>0</v>
      </c>
      <c r="X400" s="930">
        <f>X43</f>
        <v>0</v>
      </c>
      <c r="Y400" s="931">
        <f>Y43</f>
        <v>0</v>
      </c>
      <c r="Z400" s="930">
        <f>Z43</f>
        <v>0</v>
      </c>
      <c r="AA400" s="931">
        <f>AA43</f>
        <v>0</v>
      </c>
      <c r="AB400" s="412"/>
      <c r="AC400" s="412"/>
      <c r="AD400" s="412"/>
      <c r="AE400" s="412"/>
      <c r="AF400" s="412"/>
      <c r="AG400" s="412"/>
      <c r="AH400" s="412"/>
      <c r="AI400" s="412"/>
      <c r="AJ400" s="567">
        <f t="shared" si="159"/>
        <v>0</v>
      </c>
      <c r="AK400" s="553"/>
      <c r="AL400" s="555"/>
      <c r="AM400" s="32"/>
      <c r="AN400" s="556"/>
      <c r="AO400" s="14">
        <v>31</v>
      </c>
      <c r="AP400" s="83"/>
      <c r="AQ400" s="84"/>
    </row>
    <row r="401" spans="1:43" s="85" customFormat="1" ht="25.5" x14ac:dyDescent="0.75">
      <c r="A401" s="853"/>
      <c r="B401" s="560" t="s">
        <v>1156</v>
      </c>
      <c r="C401" s="921" t="s">
        <v>1153</v>
      </c>
      <c r="D401" s="561"/>
      <c r="E401" s="572"/>
      <c r="F401" s="575"/>
      <c r="G401" s="929"/>
      <c r="H401" s="934"/>
      <c r="I401" s="934"/>
      <c r="J401" s="934"/>
      <c r="K401" s="934"/>
      <c r="L401" s="934"/>
      <c r="M401" s="934"/>
      <c r="N401" s="934"/>
      <c r="O401" s="934"/>
      <c r="P401" s="934"/>
      <c r="Q401" s="934"/>
      <c r="R401" s="934"/>
      <c r="S401" s="934"/>
      <c r="T401" s="934"/>
      <c r="U401" s="934"/>
      <c r="V401" s="934"/>
      <c r="W401" s="934"/>
      <c r="X401" s="934"/>
      <c r="Y401" s="934"/>
      <c r="Z401" s="934"/>
      <c r="AA401" s="934"/>
      <c r="AB401" s="380"/>
      <c r="AC401" s="380"/>
      <c r="AD401" s="380"/>
      <c r="AE401" s="380"/>
      <c r="AF401" s="380"/>
      <c r="AG401" s="380"/>
      <c r="AH401" s="380"/>
      <c r="AI401" s="380"/>
      <c r="AJ401" s="568">
        <f t="shared" si="159"/>
        <v>0</v>
      </c>
      <c r="AK401" s="691" t="str">
        <f>CONCATENATE(IF(D402&gt;D401," * Positive F01-13 for Age "&amp;D388&amp;" "&amp;D389&amp;" is more than Tested F01-12"&amp;CHAR(10),""),IF(E402&gt;E401," * Positive F01-13 for Age "&amp;D388&amp;" "&amp;E389&amp;" is more than Tested F01-12"&amp;CHAR(10),""),IF(F402&gt;F401," * Positive F01-13 for Age "&amp;F388&amp;" "&amp;F389&amp;" is more than Tested F01-12"&amp;CHAR(10),""),IF(G402&gt;G401," * Positive F01-13 for Age "&amp;F388&amp;" "&amp;G389&amp;" is more than Tested F01-12"&amp;CHAR(10),""),IF(H402&gt;H401," * Positive F01-13 for Age "&amp;H388&amp;" "&amp;H389&amp;" is more than Tested F01-12"&amp;CHAR(10),""),IF(I402&gt;I401," * Positive F01-13 for Age "&amp;H388&amp;" "&amp;I389&amp;" is more than Tested F01-12"&amp;CHAR(10),""),IF(J402&gt;J401," * Positive F01-13 for Age "&amp;J388&amp;" "&amp;J389&amp;" is more than Tested F01-12"&amp;CHAR(10),""),IF(K402&gt;K401," * Positive F01-13 for Age "&amp;J388&amp;" "&amp;K389&amp;" is more than Tested F01-12"&amp;CHAR(10),""),IF(L402&gt;L401," * Positive F01-13 for Age "&amp;L388&amp;" "&amp;L389&amp;" is more than Tested F01-12"&amp;CHAR(10),""),IF(M402&gt;M401," * Positive F01-13 for Age "&amp;L388&amp;" "&amp;M389&amp;" is more than Tested F01-12"&amp;CHAR(10),""),IF(N402&gt;N401," * Positive F01-13 for Age "&amp;N388&amp;" "&amp;N389&amp;" is more than Tested F01-12"&amp;CHAR(10),""),IF(O402&gt;O401," * Positive F01-13 for Age "&amp;N388&amp;" "&amp;O389&amp;" is more than Tested F01-12"&amp;CHAR(10),""),IF(P402&gt;P401," * Positive F01-13 for Age "&amp;P388&amp;" "&amp;P389&amp;" is more than Tested F01-12"&amp;CHAR(10),""),IF(Q402&gt;Q401," * Positive F01-13 for Age "&amp;P388&amp;" "&amp;Q389&amp;" is more than Tested F01-12"&amp;CHAR(10),""),IF(R402&gt;R401," * Positive F01-13 for Age "&amp;R388&amp;" "&amp;R389&amp;" is more than Tested F01-12"&amp;CHAR(10),""),IF(S402&gt;S401," * Positive F01-13 for Age "&amp;R388&amp;" "&amp;S389&amp;" is more than Tested F01-12"&amp;CHAR(10),""),IF(T402&gt;T401," * Positive F01-13 for Age "&amp;T388&amp;" "&amp;T389&amp;" is more than Tested F01-12"&amp;CHAR(10),""),IF(U402&gt;U401," * Positive F01-13 for Age "&amp;T388&amp;" "&amp;U389&amp;" is more than Tested F01-12"&amp;CHAR(10),""),IF(V402&gt;V401," * Positive F01-13 for Age "&amp;V388&amp;" "&amp;V389&amp;" is more than Tested F01-12"&amp;CHAR(10),""),IF(W402&gt;W401," * Positive F01-13 for Age "&amp;V388&amp;" "&amp;W389&amp;" is more than Tested F01-12"&amp;CHAR(10),""),IF(X402&gt;X401," * Positive F01-13 for Age "&amp;X388&amp;" "&amp;X389&amp;" is more than Tested F01-12"&amp;CHAR(10),""),IF(Y402&gt;Y401," * Positive F01-13 for Age "&amp;X388&amp;" "&amp;Y389&amp;" is more than Tested F01-12"&amp;CHAR(10),""),IF(Z402&gt;Z401," * Positive F01-13 for Age "&amp;Z388&amp;" "&amp;Z389&amp;" is more than Tested F01-12"&amp;CHAR(10),""),IF(AA402&gt;AA401," * Positive F01-13 for Age "&amp;Z388&amp;" "&amp;AA389&amp;" is more than Tested F01-12"&amp;CHAR(10),""))</f>
        <v/>
      </c>
      <c r="AL401" s="555"/>
      <c r="AM401" s="32" t="str">
        <f>CONCATENATE(IF(AND(IFERROR((AJ402*100)/AJ401,0)&gt;10,AJ402&gt;5)," * This facility has a high positivity rate for Index Testing. Kindly confirm if this is the true reflection"&amp;CHAR(10),""),"")</f>
        <v/>
      </c>
      <c r="AN401" s="556"/>
      <c r="AO401" s="14">
        <v>32</v>
      </c>
      <c r="AP401" s="83"/>
      <c r="AQ401" s="84"/>
    </row>
    <row r="402" spans="1:43" s="85" customFormat="1" ht="25.5" x14ac:dyDescent="0.75">
      <c r="A402" s="853"/>
      <c r="B402" s="560" t="s">
        <v>1137</v>
      </c>
      <c r="C402" s="921" t="s">
        <v>1154</v>
      </c>
      <c r="D402" s="559"/>
      <c r="E402" s="573"/>
      <c r="F402" s="575"/>
      <c r="G402" s="929"/>
      <c r="H402" s="934"/>
      <c r="I402" s="934"/>
      <c r="J402" s="934"/>
      <c r="K402" s="934"/>
      <c r="L402" s="934"/>
      <c r="M402" s="934"/>
      <c r="N402" s="934"/>
      <c r="O402" s="934"/>
      <c r="P402" s="934"/>
      <c r="Q402" s="934"/>
      <c r="R402" s="934"/>
      <c r="S402" s="934"/>
      <c r="T402" s="934"/>
      <c r="U402" s="934"/>
      <c r="V402" s="934"/>
      <c r="W402" s="934"/>
      <c r="X402" s="934"/>
      <c r="Y402" s="934"/>
      <c r="Z402" s="934"/>
      <c r="AA402" s="934"/>
      <c r="AB402" s="380"/>
      <c r="AC402" s="380"/>
      <c r="AD402" s="380"/>
      <c r="AE402" s="380"/>
      <c r="AF402" s="380"/>
      <c r="AG402" s="380"/>
      <c r="AH402" s="380"/>
      <c r="AI402" s="380"/>
      <c r="AJ402" s="569">
        <f t="shared" si="159"/>
        <v>0</v>
      </c>
      <c r="AK402" s="691"/>
      <c r="AL402" s="555"/>
      <c r="AM402" s="32" t="e">
        <f>CONCATENATE(IF(D401&gt;0," * F01-12 for Age "&amp;D388&amp;" "&amp;D389&amp;" has a value greater than 0"&amp;CHAR(10),""),IF(E401&gt;0," * F01-12 for Age "&amp;D388&amp;" "&amp;E389&amp;" has a value greater than 0"&amp;CHAR(10),""),IF(D402&gt;0," * F01-13 for Age "&amp;D388&amp;" "&amp;D389&amp;" has a value greater than 0"&amp;CHAR(10),""),IF(E402&gt;0," * F01-13 for Age "&amp;D388&amp;" "&amp;E389&amp;" has a value greater than 0"&amp;CHAR(10),""),IF(#REF!&gt;0," * F01-14 for Age "&amp;D388&amp;" "&amp;D389&amp;" has a value greater than 0"&amp;CHAR(10),""),IF(#REF!&gt;0," * F01-14 for Age "&amp;D388&amp;" "&amp;E389&amp;" has a value greater than 0"&amp;CHAR(10),""),IF(D465&gt;0," * F01-15 for Age "&amp;D388&amp;" "&amp;D389&amp;" has a value greater than 0"&amp;CHAR(10),""),IF(E465&gt;0," * F01-15 for Age "&amp;D388&amp;" "&amp;E389&amp;" has a value greater than 0"&amp;CHAR(10),""),IF(D470&gt;0," * F01-20 for Age "&amp;D388&amp;" "&amp;D389&amp;" has a value greater than 0"&amp;CHAR(10),""),IF(E470&gt;0," * F01-20 for Age "&amp;D388&amp;" "&amp;E389&amp;" has a value greater than 0"&amp;CHAR(10),""),IF(D471&gt;0," * F01-21 for Age "&amp;D388&amp;" "&amp;D389&amp;" has a value greater than 0"&amp;CHAR(10),""),IF(E471&gt;0," * F01-21 for Age "&amp;D388&amp;" "&amp;E389&amp;" has a value greater than 0"&amp;CHAR(10),""),IF(D472&gt;0," * F01-22 for Age "&amp;D388&amp;" "&amp;D389&amp;" has a value greater than 0"&amp;CHAR(10),""),IF(E472&gt;0," * F01-22 for Age "&amp;D388&amp;" "&amp;E389&amp;" has a value greater than 0"&amp;CHAR(10),""),IF(D473&gt;0," * F01-23 for Age "&amp;D388&amp;" "&amp;D389&amp;" has a value greater than 0"&amp;CHAR(10),""),IF(E473&gt;0," * F01-23 for Age "&amp;D388&amp;" "&amp;E389&amp;" has a value greater than 0"&amp;CHAR(10),""),"")</f>
        <v>#REF!</v>
      </c>
      <c r="AN402" s="556"/>
      <c r="AO402" s="14">
        <v>33</v>
      </c>
      <c r="AP402" s="83"/>
      <c r="AQ402" s="84"/>
    </row>
    <row r="403" spans="1:43" s="85" customFormat="1" ht="25.9" thickBot="1" x14ac:dyDescent="0.8">
      <c r="A403" s="853"/>
      <c r="B403" s="560" t="s">
        <v>1139</v>
      </c>
      <c r="C403" s="921" t="s">
        <v>1155</v>
      </c>
      <c r="D403" s="559"/>
      <c r="E403" s="573"/>
      <c r="F403" s="575"/>
      <c r="G403" s="929"/>
      <c r="H403" s="934"/>
      <c r="I403" s="934"/>
      <c r="J403" s="934"/>
      <c r="K403" s="934"/>
      <c r="L403" s="934"/>
      <c r="M403" s="934"/>
      <c r="N403" s="934"/>
      <c r="O403" s="934"/>
      <c r="P403" s="934"/>
      <c r="Q403" s="934"/>
      <c r="R403" s="934"/>
      <c r="S403" s="934"/>
      <c r="T403" s="934"/>
      <c r="U403" s="934"/>
      <c r="V403" s="934"/>
      <c r="W403" s="934"/>
      <c r="X403" s="934"/>
      <c r="Y403" s="934"/>
      <c r="Z403" s="934"/>
      <c r="AA403" s="934"/>
      <c r="AB403" s="380"/>
      <c r="AC403" s="380"/>
      <c r="AD403" s="380"/>
      <c r="AE403" s="380"/>
      <c r="AF403" s="380"/>
      <c r="AG403" s="380"/>
      <c r="AH403" s="380"/>
      <c r="AI403" s="380"/>
      <c r="AJ403" s="569">
        <f t="shared" si="159"/>
        <v>0</v>
      </c>
      <c r="AK403" s="557"/>
      <c r="AL403" s="555"/>
      <c r="AM403" s="32" t="str">
        <f>CONCATENATE(IF(D402&gt;0," * F01-12 for Age "&amp;D389&amp;" "&amp;D390&amp;" has a value greater than 0"&amp;CHAR(10),""),IF(E402&gt;0," * F01-12 for Age "&amp;D389&amp;" "&amp;E390&amp;" has a value greater than 0"&amp;CHAR(10),""),IF(D403&gt;0," * F01-13 for Age "&amp;D389&amp;" "&amp;D390&amp;" has a value greater than 0"&amp;CHAR(10),""),IF(E403&gt;0," * F01-13 for Age "&amp;D389&amp;" "&amp;E390&amp;" has a value greater than 0"&amp;CHAR(10),""),IF(D465&gt;0," * F01-14 for Age "&amp;D389&amp;" "&amp;D390&amp;" has a value greater than 0"&amp;CHAR(10),""),IF(E465&gt;0," * F01-14 for Age "&amp;D389&amp;" "&amp;E390&amp;" has a value greater than 0"&amp;CHAR(10),""),IF(D466&gt;0," * F01-15 for Age "&amp;D389&amp;" "&amp;D390&amp;" has a value greater than 0"&amp;CHAR(10),""),IF(E466&gt;0," * F01-15 for Age "&amp;D389&amp;" "&amp;E390&amp;" has a value greater than 0"&amp;CHAR(10),""),IF(D471&gt;0," * F01-20 for Age "&amp;D389&amp;" "&amp;D390&amp;" has a value greater than 0"&amp;CHAR(10),""),IF(E471&gt;0," * F01-20 for Age "&amp;D389&amp;" "&amp;E390&amp;" has a value greater than 0"&amp;CHAR(10),""),IF(D472&gt;0," * F01-21 for Age "&amp;D389&amp;" "&amp;D390&amp;" has a value greater than 0"&amp;CHAR(10),""),IF(E472&gt;0," * F01-21 for Age "&amp;D389&amp;" "&amp;E390&amp;" has a value greater than 0"&amp;CHAR(10),""),IF(D473&gt;0," * F01-22 for Age "&amp;D389&amp;" "&amp;D390&amp;" has a value greater than 0"&amp;CHAR(10),""),IF(E473&gt;0," * F01-22 for Age "&amp;D389&amp;" "&amp;E390&amp;" has a value greater than 0"&amp;CHAR(10),""),IF(D474&gt;0," * F01-23 for Age "&amp;D389&amp;" "&amp;D390&amp;" has a value greater than 0"&amp;CHAR(10),""),IF(E474&gt;0," * F01-23 for Age "&amp;D389&amp;" "&amp;E390&amp;" has a value greater than 0"&amp;CHAR(10),""),"")</f>
        <v/>
      </c>
      <c r="AN403" s="556"/>
      <c r="AO403" s="14">
        <v>33</v>
      </c>
      <c r="AP403" s="83"/>
      <c r="AQ403" s="84"/>
    </row>
    <row r="404" spans="1:43" s="85" customFormat="1" ht="25.9" thickBot="1" x14ac:dyDescent="0.8">
      <c r="A404" s="854"/>
      <c r="B404" s="565" t="s">
        <v>1141</v>
      </c>
      <c r="C404" s="922" t="s">
        <v>1161</v>
      </c>
      <c r="D404" s="566"/>
      <c r="E404" s="574"/>
      <c r="F404" s="862">
        <f>F400-SUM(F401:F403)</f>
        <v>0</v>
      </c>
      <c r="G404" s="863">
        <f t="shared" ref="G404" si="182">G400-SUM(G401:G403)</f>
        <v>0</v>
      </c>
      <c r="H404" s="932">
        <f t="shared" ref="H404" si="183">H400-SUM(H401:H403)</f>
        <v>0</v>
      </c>
      <c r="I404" s="933">
        <f t="shared" ref="I404" si="184">I400-SUM(I401:I403)</f>
        <v>0</v>
      </c>
      <c r="J404" s="932">
        <f t="shared" ref="J404" si="185">J400-SUM(J401:J403)</f>
        <v>0</v>
      </c>
      <c r="K404" s="933">
        <f t="shared" ref="K404" si="186">K400-SUM(K401:K403)</f>
        <v>0</v>
      </c>
      <c r="L404" s="932">
        <f t="shared" ref="L404" si="187">L400-SUM(L401:L403)</f>
        <v>0</v>
      </c>
      <c r="M404" s="933">
        <f t="shared" ref="M404" si="188">M400-SUM(M401:M403)</f>
        <v>0</v>
      </c>
      <c r="N404" s="932">
        <f t="shared" ref="N404" si="189">N400-SUM(N401:N403)</f>
        <v>0</v>
      </c>
      <c r="O404" s="933">
        <f t="shared" ref="O404" si="190">O400-SUM(O401:O403)</f>
        <v>0</v>
      </c>
      <c r="P404" s="932">
        <f t="shared" ref="P404" si="191">P400-SUM(P401:P403)</f>
        <v>0</v>
      </c>
      <c r="Q404" s="933">
        <f t="shared" ref="Q404" si="192">Q400-SUM(Q401:Q403)</f>
        <v>0</v>
      </c>
      <c r="R404" s="932">
        <f t="shared" ref="R404" si="193">R400-SUM(R401:R403)</f>
        <v>0</v>
      </c>
      <c r="S404" s="933">
        <f t="shared" ref="S404" si="194">S400-SUM(S401:S403)</f>
        <v>0</v>
      </c>
      <c r="T404" s="932">
        <f t="shared" ref="T404" si="195">T400-SUM(T401:T403)</f>
        <v>0</v>
      </c>
      <c r="U404" s="933">
        <f t="shared" ref="U404" si="196">U400-SUM(U401:U403)</f>
        <v>0</v>
      </c>
      <c r="V404" s="932">
        <f t="shared" ref="V404" si="197">V400-SUM(V401:V403)</f>
        <v>0</v>
      </c>
      <c r="W404" s="933">
        <f t="shared" ref="W404" si="198">W400-SUM(W401:W403)</f>
        <v>0</v>
      </c>
      <c r="X404" s="932">
        <f t="shared" ref="X404" si="199">X400-SUM(X401:X403)</f>
        <v>0</v>
      </c>
      <c r="Y404" s="933">
        <f t="shared" ref="Y404" si="200">Y400-SUM(Y401:Y403)</f>
        <v>0</v>
      </c>
      <c r="Z404" s="932">
        <f t="shared" ref="Z404" si="201">Z400-SUM(Z401:Z403)</f>
        <v>0</v>
      </c>
      <c r="AA404" s="933">
        <f t="shared" ref="AA404" si="202">AA400-SUM(AA401:AA403)</f>
        <v>0</v>
      </c>
      <c r="AB404" s="415"/>
      <c r="AC404" s="415"/>
      <c r="AD404" s="415"/>
      <c r="AE404" s="415"/>
      <c r="AF404" s="415"/>
      <c r="AG404" s="415"/>
      <c r="AH404" s="415"/>
      <c r="AI404" s="415"/>
      <c r="AJ404" s="570">
        <f t="shared" ref="AJ404:AJ423" si="203">SUM(D404:AA404)</f>
        <v>0</v>
      </c>
      <c r="AK404" s="557"/>
      <c r="AL404" s="555"/>
      <c r="AM404" s="32" t="str">
        <f>CONCATENATE(IF(D403&gt;0," * F01-12 for Age "&amp;D390&amp;" "&amp;D391&amp;" has a value greater than 0"&amp;CHAR(10),""),IF(E403&gt;0," * F01-12 for Age "&amp;D390&amp;" "&amp;E391&amp;" has a value greater than 0"&amp;CHAR(10),""),IF(D404&gt;0," * F01-13 for Age "&amp;D390&amp;" "&amp;D391&amp;" has a value greater than 0"&amp;CHAR(10),""),IF(E404&gt;0," * F01-13 for Age "&amp;D390&amp;" "&amp;E391&amp;" has a value greater than 0"&amp;CHAR(10),""),IF(D466&gt;0," * F01-14 for Age "&amp;D390&amp;" "&amp;D391&amp;" has a value greater than 0"&amp;CHAR(10),""),IF(E466&gt;0," * F01-14 for Age "&amp;D390&amp;" "&amp;E391&amp;" has a value greater than 0"&amp;CHAR(10),""),IF(D467&gt;0," * F01-15 for Age "&amp;D390&amp;" "&amp;D391&amp;" has a value greater than 0"&amp;CHAR(10),""),IF(E467&gt;0," * F01-15 for Age "&amp;D390&amp;" "&amp;E391&amp;" has a value greater than 0"&amp;CHAR(10),""),IF(D472&gt;0," * F01-20 for Age "&amp;D390&amp;" "&amp;D391&amp;" has a value greater than 0"&amp;CHAR(10),""),IF(E472&gt;0," * F01-20 for Age "&amp;D390&amp;" "&amp;E391&amp;" has a value greater than 0"&amp;CHAR(10),""),IF(D473&gt;0," * F01-21 for Age "&amp;D390&amp;" "&amp;D391&amp;" has a value greater than 0"&amp;CHAR(10),""),IF(E473&gt;0," * F01-21 for Age "&amp;D390&amp;" "&amp;E391&amp;" has a value greater than 0"&amp;CHAR(10),""),IF(D474&gt;0," * F01-22 for Age "&amp;D390&amp;" "&amp;D391&amp;" has a value greater than 0"&amp;CHAR(10),""),IF(E474&gt;0," * F01-22 for Age "&amp;D390&amp;" "&amp;E391&amp;" has a value greater than 0"&amp;CHAR(10),""),IF(D475&gt;0," * F01-23 for Age "&amp;D390&amp;" "&amp;D391&amp;" has a value greater than 0"&amp;CHAR(10),""),IF(E475&gt;0," * F01-23 for Age "&amp;D390&amp;" "&amp;E391&amp;" has a value greater than 0"&amp;CHAR(10),""),"")</f>
        <v/>
      </c>
      <c r="AN404" s="556"/>
      <c r="AO404" s="14">
        <v>33</v>
      </c>
      <c r="AP404" s="83"/>
      <c r="AQ404" s="84"/>
    </row>
    <row r="405" spans="1:43" s="85" customFormat="1" ht="25.9" thickBot="1" x14ac:dyDescent="0.8">
      <c r="A405" s="852" t="s">
        <v>1157</v>
      </c>
      <c r="B405" s="563" t="s">
        <v>152</v>
      </c>
      <c r="C405" s="920" t="s">
        <v>1162</v>
      </c>
      <c r="D405" s="564"/>
      <c r="E405" s="571"/>
      <c r="F405" s="860">
        <f>F39</f>
        <v>0</v>
      </c>
      <c r="G405" s="860">
        <f>G39</f>
        <v>0</v>
      </c>
      <c r="H405" s="930">
        <f t="shared" ref="H405:AA405" si="204">H39</f>
        <v>0</v>
      </c>
      <c r="I405" s="930">
        <f t="shared" si="204"/>
        <v>0</v>
      </c>
      <c r="J405" s="930">
        <f t="shared" si="204"/>
        <v>0</v>
      </c>
      <c r="K405" s="930">
        <f t="shared" si="204"/>
        <v>0</v>
      </c>
      <c r="L405" s="930">
        <f t="shared" si="204"/>
        <v>0</v>
      </c>
      <c r="M405" s="930">
        <f t="shared" si="204"/>
        <v>0</v>
      </c>
      <c r="N405" s="930">
        <f t="shared" si="204"/>
        <v>0</v>
      </c>
      <c r="O405" s="930">
        <f t="shared" si="204"/>
        <v>0</v>
      </c>
      <c r="P405" s="930">
        <f t="shared" si="204"/>
        <v>0</v>
      </c>
      <c r="Q405" s="930">
        <f t="shared" si="204"/>
        <v>0</v>
      </c>
      <c r="R405" s="930">
        <f t="shared" si="204"/>
        <v>0</v>
      </c>
      <c r="S405" s="930">
        <f t="shared" si="204"/>
        <v>0</v>
      </c>
      <c r="T405" s="930">
        <f t="shared" si="204"/>
        <v>0</v>
      </c>
      <c r="U405" s="930">
        <f t="shared" si="204"/>
        <v>0</v>
      </c>
      <c r="V405" s="930">
        <f t="shared" si="204"/>
        <v>0</v>
      </c>
      <c r="W405" s="930">
        <f t="shared" si="204"/>
        <v>0</v>
      </c>
      <c r="X405" s="930">
        <f t="shared" si="204"/>
        <v>0</v>
      </c>
      <c r="Y405" s="930">
        <f t="shared" si="204"/>
        <v>0</v>
      </c>
      <c r="Z405" s="930">
        <f t="shared" si="204"/>
        <v>0</v>
      </c>
      <c r="AA405" s="930">
        <f t="shared" si="204"/>
        <v>0</v>
      </c>
      <c r="AB405" s="412"/>
      <c r="AC405" s="412"/>
      <c r="AD405" s="412"/>
      <c r="AE405" s="412"/>
      <c r="AF405" s="412"/>
      <c r="AG405" s="412"/>
      <c r="AH405" s="412"/>
      <c r="AI405" s="412"/>
      <c r="AJ405" s="567">
        <f t="shared" si="203"/>
        <v>0</v>
      </c>
      <c r="AK405" s="553"/>
      <c r="AL405" s="555"/>
      <c r="AM405" s="32"/>
      <c r="AN405" s="556"/>
      <c r="AO405" s="14">
        <v>31</v>
      </c>
      <c r="AP405" s="83"/>
      <c r="AQ405" s="84"/>
    </row>
    <row r="406" spans="1:43" s="85" customFormat="1" ht="25.5" x14ac:dyDescent="0.75">
      <c r="A406" s="853"/>
      <c r="B406" s="560" t="s">
        <v>1156</v>
      </c>
      <c r="C406" s="921" t="s">
        <v>1163</v>
      </c>
      <c r="D406" s="561"/>
      <c r="E406" s="572"/>
      <c r="F406" s="575"/>
      <c r="G406" s="929"/>
      <c r="H406" s="934"/>
      <c r="I406" s="934"/>
      <c r="J406" s="934"/>
      <c r="K406" s="934"/>
      <c r="L406" s="934"/>
      <c r="M406" s="934"/>
      <c r="N406" s="934"/>
      <c r="O406" s="934"/>
      <c r="P406" s="934"/>
      <c r="Q406" s="934"/>
      <c r="R406" s="934"/>
      <c r="S406" s="934"/>
      <c r="T406" s="934"/>
      <c r="U406" s="934"/>
      <c r="V406" s="934"/>
      <c r="W406" s="934"/>
      <c r="X406" s="934"/>
      <c r="Y406" s="934"/>
      <c r="Z406" s="934"/>
      <c r="AA406" s="934"/>
      <c r="AB406" s="380"/>
      <c r="AC406" s="380"/>
      <c r="AD406" s="380"/>
      <c r="AE406" s="380"/>
      <c r="AF406" s="380"/>
      <c r="AG406" s="380"/>
      <c r="AH406" s="380"/>
      <c r="AI406" s="380"/>
      <c r="AJ406" s="568">
        <f t="shared" si="203"/>
        <v>0</v>
      </c>
      <c r="AK406" s="691" t="str">
        <f>CONCATENATE(IF(D407&gt;D406," * Positive F01-13 for Age "&amp;D393&amp;" "&amp;D394&amp;" is more than Tested F01-12"&amp;CHAR(10),""),IF(E407&gt;E406," * Positive F01-13 for Age "&amp;D393&amp;" "&amp;E394&amp;" is more than Tested F01-12"&amp;CHAR(10),""),IF(F407&gt;F406," * Positive F01-13 for Age "&amp;F393&amp;" "&amp;F394&amp;" is more than Tested F01-12"&amp;CHAR(10),""),IF(G407&gt;G406," * Positive F01-13 for Age "&amp;F393&amp;" "&amp;G394&amp;" is more than Tested F01-12"&amp;CHAR(10),""),IF(H407&gt;H406," * Positive F01-13 for Age "&amp;H393&amp;" "&amp;H394&amp;" is more than Tested F01-12"&amp;CHAR(10),""),IF(I407&gt;I406," * Positive F01-13 for Age "&amp;H393&amp;" "&amp;I394&amp;" is more than Tested F01-12"&amp;CHAR(10),""),IF(J407&gt;J406," * Positive F01-13 for Age "&amp;J393&amp;" "&amp;J394&amp;" is more than Tested F01-12"&amp;CHAR(10),""),IF(K407&gt;K406," * Positive F01-13 for Age "&amp;J393&amp;" "&amp;K394&amp;" is more than Tested F01-12"&amp;CHAR(10),""),IF(L407&gt;L406," * Positive F01-13 for Age "&amp;L393&amp;" "&amp;L394&amp;" is more than Tested F01-12"&amp;CHAR(10),""),IF(M407&gt;M406," * Positive F01-13 for Age "&amp;L393&amp;" "&amp;M394&amp;" is more than Tested F01-12"&amp;CHAR(10),""),IF(N407&gt;N406," * Positive F01-13 for Age "&amp;N393&amp;" "&amp;N394&amp;" is more than Tested F01-12"&amp;CHAR(10),""),IF(O407&gt;O406," * Positive F01-13 for Age "&amp;N393&amp;" "&amp;O394&amp;" is more than Tested F01-12"&amp;CHAR(10),""),IF(P407&gt;P406," * Positive F01-13 for Age "&amp;P393&amp;" "&amp;P394&amp;" is more than Tested F01-12"&amp;CHAR(10),""),IF(Q407&gt;Q406," * Positive F01-13 for Age "&amp;P393&amp;" "&amp;Q394&amp;" is more than Tested F01-12"&amp;CHAR(10),""),IF(R407&gt;R406," * Positive F01-13 for Age "&amp;R393&amp;" "&amp;R394&amp;" is more than Tested F01-12"&amp;CHAR(10),""),IF(S407&gt;S406," * Positive F01-13 for Age "&amp;R393&amp;" "&amp;S394&amp;" is more than Tested F01-12"&amp;CHAR(10),""),IF(T407&gt;T406," * Positive F01-13 for Age "&amp;T393&amp;" "&amp;T394&amp;" is more than Tested F01-12"&amp;CHAR(10),""),IF(U407&gt;U406," * Positive F01-13 for Age "&amp;T393&amp;" "&amp;U394&amp;" is more than Tested F01-12"&amp;CHAR(10),""),IF(V407&gt;V406," * Positive F01-13 for Age "&amp;V393&amp;" "&amp;V394&amp;" is more than Tested F01-12"&amp;CHAR(10),""),IF(W407&gt;W406," * Positive F01-13 for Age "&amp;V393&amp;" "&amp;W394&amp;" is more than Tested F01-12"&amp;CHAR(10),""),IF(X407&gt;X406," * Positive F01-13 for Age "&amp;X393&amp;" "&amp;X394&amp;" is more than Tested F01-12"&amp;CHAR(10),""),IF(Y407&gt;Y406," * Positive F01-13 for Age "&amp;X393&amp;" "&amp;Y394&amp;" is more than Tested F01-12"&amp;CHAR(10),""),IF(Z407&gt;Z406," * Positive F01-13 for Age "&amp;Z393&amp;" "&amp;Z394&amp;" is more than Tested F01-12"&amp;CHAR(10),""),IF(AA407&gt;AA406," * Positive F01-13 for Age "&amp;Z393&amp;" "&amp;AA394&amp;" is more than Tested F01-12"&amp;CHAR(10),""))</f>
        <v/>
      </c>
      <c r="AL406" s="555"/>
      <c r="AM406" s="32" t="str">
        <f>CONCATENATE(IF(AND(IFERROR((AJ407*100)/AJ406,0)&gt;10,AJ407&gt;5)," * This facility has a high positivity rate for Index Testing. Kindly confirm if this is the true reflection"&amp;CHAR(10),""),"")</f>
        <v/>
      </c>
      <c r="AN406" s="556"/>
      <c r="AO406" s="14">
        <v>32</v>
      </c>
      <c r="AP406" s="83"/>
      <c r="AQ406" s="84"/>
    </row>
    <row r="407" spans="1:43" s="85" customFormat="1" ht="25.5" x14ac:dyDescent="0.75">
      <c r="A407" s="853"/>
      <c r="B407" s="560" t="s">
        <v>1137</v>
      </c>
      <c r="C407" s="921" t="s">
        <v>1164</v>
      </c>
      <c r="D407" s="559"/>
      <c r="E407" s="573"/>
      <c r="F407" s="575"/>
      <c r="G407" s="929"/>
      <c r="H407" s="934"/>
      <c r="I407" s="934"/>
      <c r="J407" s="934"/>
      <c r="K407" s="934"/>
      <c r="L407" s="934"/>
      <c r="M407" s="934"/>
      <c r="N407" s="934"/>
      <c r="O407" s="934"/>
      <c r="P407" s="934"/>
      <c r="Q407" s="934"/>
      <c r="R407" s="934"/>
      <c r="S407" s="934"/>
      <c r="T407" s="934"/>
      <c r="U407" s="934"/>
      <c r="V407" s="934"/>
      <c r="W407" s="934"/>
      <c r="X407" s="934"/>
      <c r="Y407" s="934"/>
      <c r="Z407" s="934"/>
      <c r="AA407" s="934"/>
      <c r="AB407" s="380"/>
      <c r="AC407" s="380"/>
      <c r="AD407" s="380"/>
      <c r="AE407" s="380"/>
      <c r="AF407" s="380"/>
      <c r="AG407" s="380"/>
      <c r="AH407" s="380"/>
      <c r="AI407" s="380"/>
      <c r="AJ407" s="569">
        <f t="shared" si="203"/>
        <v>0</v>
      </c>
      <c r="AK407" s="691"/>
      <c r="AL407" s="555"/>
      <c r="AM407" s="32" t="e">
        <f>CONCATENATE(IF(D406&gt;0," * F01-12 for Age "&amp;D393&amp;" "&amp;D394&amp;" has a value greater than 0"&amp;CHAR(10),""),IF(E406&gt;0," * F01-12 for Age "&amp;D393&amp;" "&amp;E394&amp;" has a value greater than 0"&amp;CHAR(10),""),IF(D407&gt;0," * F01-13 for Age "&amp;D393&amp;" "&amp;D394&amp;" has a value greater than 0"&amp;CHAR(10),""),IF(E407&gt;0," * F01-13 for Age "&amp;D393&amp;" "&amp;E394&amp;" has a value greater than 0"&amp;CHAR(10),""),IF(#REF!&gt;0," * F01-14 for Age "&amp;D393&amp;" "&amp;D394&amp;" has a value greater than 0"&amp;CHAR(10),""),IF(#REF!&gt;0," * F01-14 for Age "&amp;D393&amp;" "&amp;E394&amp;" has a value greater than 0"&amp;CHAR(10),""),IF(D470&gt;0," * F01-15 for Age "&amp;D393&amp;" "&amp;D394&amp;" has a value greater than 0"&amp;CHAR(10),""),IF(E470&gt;0," * F01-15 for Age "&amp;D393&amp;" "&amp;E394&amp;" has a value greater than 0"&amp;CHAR(10),""),IF(D475&gt;0," * F01-20 for Age "&amp;D393&amp;" "&amp;D394&amp;" has a value greater than 0"&amp;CHAR(10),""),IF(E475&gt;0," * F01-20 for Age "&amp;D393&amp;" "&amp;E394&amp;" has a value greater than 0"&amp;CHAR(10),""),IF(D476&gt;0," * F01-21 for Age "&amp;D393&amp;" "&amp;D394&amp;" has a value greater than 0"&amp;CHAR(10),""),IF(E476&gt;0," * F01-21 for Age "&amp;D393&amp;" "&amp;E394&amp;" has a value greater than 0"&amp;CHAR(10),""),IF(D477&gt;0," * F01-22 for Age "&amp;D393&amp;" "&amp;D394&amp;" has a value greater than 0"&amp;CHAR(10),""),IF(E477&gt;0," * F01-22 for Age "&amp;D393&amp;" "&amp;E394&amp;" has a value greater than 0"&amp;CHAR(10),""),IF(D478&gt;0," * F01-23 for Age "&amp;D393&amp;" "&amp;D394&amp;" has a value greater than 0"&amp;CHAR(10),""),IF(E478&gt;0," * F01-23 for Age "&amp;D393&amp;" "&amp;E394&amp;" has a value greater than 0"&amp;CHAR(10),""),"")</f>
        <v>#REF!</v>
      </c>
      <c r="AN407" s="556"/>
      <c r="AO407" s="14">
        <v>33</v>
      </c>
      <c r="AP407" s="83"/>
      <c r="AQ407" s="84"/>
    </row>
    <row r="408" spans="1:43" s="85" customFormat="1" ht="25.9" thickBot="1" x14ac:dyDescent="0.8">
      <c r="A408" s="853"/>
      <c r="B408" s="560" t="s">
        <v>1139</v>
      </c>
      <c r="C408" s="921" t="s">
        <v>1165</v>
      </c>
      <c r="D408" s="559"/>
      <c r="E408" s="573"/>
      <c r="F408" s="575"/>
      <c r="G408" s="929"/>
      <c r="H408" s="934"/>
      <c r="I408" s="934"/>
      <c r="J408" s="934"/>
      <c r="K408" s="934"/>
      <c r="L408" s="934"/>
      <c r="M408" s="934"/>
      <c r="N408" s="934"/>
      <c r="O408" s="934"/>
      <c r="P408" s="934"/>
      <c r="Q408" s="934"/>
      <c r="R408" s="934"/>
      <c r="S408" s="934"/>
      <c r="T408" s="934"/>
      <c r="U408" s="934"/>
      <c r="V408" s="934"/>
      <c r="W408" s="934"/>
      <c r="X408" s="934"/>
      <c r="Y408" s="934"/>
      <c r="Z408" s="934"/>
      <c r="AA408" s="934"/>
      <c r="AB408" s="380"/>
      <c r="AC408" s="380"/>
      <c r="AD408" s="380"/>
      <c r="AE408" s="380"/>
      <c r="AF408" s="380"/>
      <c r="AG408" s="380"/>
      <c r="AH408" s="380"/>
      <c r="AI408" s="380"/>
      <c r="AJ408" s="569">
        <f t="shared" si="203"/>
        <v>0</v>
      </c>
      <c r="AK408" s="557"/>
      <c r="AL408" s="555"/>
      <c r="AM408" s="32" t="str">
        <f>CONCATENATE(IF(D407&gt;0," * F01-12 for Age "&amp;D394&amp;" "&amp;D395&amp;" has a value greater than 0"&amp;CHAR(10),""),IF(E407&gt;0," * F01-12 for Age "&amp;D394&amp;" "&amp;E395&amp;" has a value greater than 0"&amp;CHAR(10),""),IF(D408&gt;0," * F01-13 for Age "&amp;D394&amp;" "&amp;D395&amp;" has a value greater than 0"&amp;CHAR(10),""),IF(E408&gt;0," * F01-13 for Age "&amp;D394&amp;" "&amp;E395&amp;" has a value greater than 0"&amp;CHAR(10),""),IF(D470&gt;0," * F01-14 for Age "&amp;D394&amp;" "&amp;D395&amp;" has a value greater than 0"&amp;CHAR(10),""),IF(E470&gt;0," * F01-14 for Age "&amp;D394&amp;" "&amp;E395&amp;" has a value greater than 0"&amp;CHAR(10),""),IF(D471&gt;0," * F01-15 for Age "&amp;D394&amp;" "&amp;D395&amp;" has a value greater than 0"&amp;CHAR(10),""),IF(E471&gt;0," * F01-15 for Age "&amp;D394&amp;" "&amp;E395&amp;" has a value greater than 0"&amp;CHAR(10),""),IF(D476&gt;0," * F01-20 for Age "&amp;D394&amp;" "&amp;D395&amp;" has a value greater than 0"&amp;CHAR(10),""),IF(E476&gt;0," * F01-20 for Age "&amp;D394&amp;" "&amp;E395&amp;" has a value greater than 0"&amp;CHAR(10),""),IF(D477&gt;0," * F01-21 for Age "&amp;D394&amp;" "&amp;D395&amp;" has a value greater than 0"&amp;CHAR(10),""),IF(E477&gt;0," * F01-21 for Age "&amp;D394&amp;" "&amp;E395&amp;" has a value greater than 0"&amp;CHAR(10),""),IF(D478&gt;0," * F01-22 for Age "&amp;D394&amp;" "&amp;D395&amp;" has a value greater than 0"&amp;CHAR(10),""),IF(E478&gt;0," * F01-22 for Age "&amp;D394&amp;" "&amp;E395&amp;" has a value greater than 0"&amp;CHAR(10),""),IF(D479&gt;0," * F01-23 for Age "&amp;D394&amp;" "&amp;D395&amp;" has a value greater than 0"&amp;CHAR(10),""),IF(E479&gt;0," * F01-23 for Age "&amp;D394&amp;" "&amp;E395&amp;" has a value greater than 0"&amp;CHAR(10),""),"")</f>
        <v/>
      </c>
      <c r="AN408" s="556"/>
      <c r="AO408" s="14">
        <v>33</v>
      </c>
      <c r="AP408" s="83"/>
      <c r="AQ408" s="84"/>
    </row>
    <row r="409" spans="1:43" s="85" customFormat="1" ht="25.9" thickBot="1" x14ac:dyDescent="0.8">
      <c r="A409" s="854"/>
      <c r="B409" s="565" t="s">
        <v>1141</v>
      </c>
      <c r="C409" s="922" t="s">
        <v>1166</v>
      </c>
      <c r="D409" s="566"/>
      <c r="E409" s="574"/>
      <c r="F409" s="862">
        <f>F405-SUM(F406:F408)</f>
        <v>0</v>
      </c>
      <c r="G409" s="863">
        <f t="shared" ref="G409" si="205">G405-SUM(G406:G408)</f>
        <v>0</v>
      </c>
      <c r="H409" s="932">
        <f t="shared" ref="H409" si="206">H405-SUM(H406:H408)</f>
        <v>0</v>
      </c>
      <c r="I409" s="933">
        <f t="shared" ref="I409" si="207">I405-SUM(I406:I408)</f>
        <v>0</v>
      </c>
      <c r="J409" s="932">
        <f t="shared" ref="J409" si="208">J405-SUM(J406:J408)</f>
        <v>0</v>
      </c>
      <c r="K409" s="933">
        <f t="shared" ref="K409" si="209">K405-SUM(K406:K408)</f>
        <v>0</v>
      </c>
      <c r="L409" s="932">
        <f t="shared" ref="L409" si="210">L405-SUM(L406:L408)</f>
        <v>0</v>
      </c>
      <c r="M409" s="933">
        <f t="shared" ref="M409" si="211">M405-SUM(M406:M408)</f>
        <v>0</v>
      </c>
      <c r="N409" s="932">
        <f t="shared" ref="N409" si="212">N405-SUM(N406:N408)</f>
        <v>0</v>
      </c>
      <c r="O409" s="933">
        <f t="shared" ref="O409" si="213">O405-SUM(O406:O408)</f>
        <v>0</v>
      </c>
      <c r="P409" s="932">
        <f t="shared" ref="P409" si="214">P405-SUM(P406:P408)</f>
        <v>0</v>
      </c>
      <c r="Q409" s="933">
        <f t="shared" ref="Q409" si="215">Q405-SUM(Q406:Q408)</f>
        <v>0</v>
      </c>
      <c r="R409" s="932">
        <f t="shared" ref="R409" si="216">R405-SUM(R406:R408)</f>
        <v>0</v>
      </c>
      <c r="S409" s="933">
        <f t="shared" ref="S409" si="217">S405-SUM(S406:S408)</f>
        <v>0</v>
      </c>
      <c r="T409" s="932">
        <f t="shared" ref="T409" si="218">T405-SUM(T406:T408)</f>
        <v>0</v>
      </c>
      <c r="U409" s="933">
        <f t="shared" ref="U409" si="219">U405-SUM(U406:U408)</f>
        <v>0</v>
      </c>
      <c r="V409" s="932">
        <f t="shared" ref="V409" si="220">V405-SUM(V406:V408)</f>
        <v>0</v>
      </c>
      <c r="W409" s="933">
        <f t="shared" ref="W409" si="221">W405-SUM(W406:W408)</f>
        <v>0</v>
      </c>
      <c r="X409" s="932">
        <f t="shared" ref="X409" si="222">X405-SUM(X406:X408)</f>
        <v>0</v>
      </c>
      <c r="Y409" s="933">
        <f t="shared" ref="Y409" si="223">Y405-SUM(Y406:Y408)</f>
        <v>0</v>
      </c>
      <c r="Z409" s="932">
        <f t="shared" ref="Z409" si="224">Z405-SUM(Z406:Z408)</f>
        <v>0</v>
      </c>
      <c r="AA409" s="933">
        <f t="shared" ref="AA409" si="225">AA405-SUM(AA406:AA408)</f>
        <v>0</v>
      </c>
      <c r="AB409" s="415"/>
      <c r="AC409" s="415"/>
      <c r="AD409" s="415"/>
      <c r="AE409" s="415"/>
      <c r="AF409" s="415"/>
      <c r="AG409" s="415"/>
      <c r="AH409" s="415"/>
      <c r="AI409" s="415"/>
      <c r="AJ409" s="570">
        <f t="shared" si="203"/>
        <v>0</v>
      </c>
      <c r="AK409" s="557"/>
      <c r="AL409" s="555"/>
      <c r="AM409" s="32" t="str">
        <f>CONCATENATE(IF(D408&gt;0," * F01-12 for Age "&amp;D395&amp;" "&amp;D396&amp;" has a value greater than 0"&amp;CHAR(10),""),IF(E408&gt;0," * F01-12 for Age "&amp;D395&amp;" "&amp;E396&amp;" has a value greater than 0"&amp;CHAR(10),""),IF(D409&gt;0," * F01-13 for Age "&amp;D395&amp;" "&amp;D396&amp;" has a value greater than 0"&amp;CHAR(10),""),IF(E409&gt;0," * F01-13 for Age "&amp;D395&amp;" "&amp;E396&amp;" has a value greater than 0"&amp;CHAR(10),""),IF(D471&gt;0," * F01-14 for Age "&amp;D395&amp;" "&amp;D396&amp;" has a value greater than 0"&amp;CHAR(10),""),IF(E471&gt;0," * F01-14 for Age "&amp;D395&amp;" "&amp;E396&amp;" has a value greater than 0"&amp;CHAR(10),""),IF(D472&gt;0," * F01-15 for Age "&amp;D395&amp;" "&amp;D396&amp;" has a value greater than 0"&amp;CHAR(10),""),IF(E472&gt;0," * F01-15 for Age "&amp;D395&amp;" "&amp;E396&amp;" has a value greater than 0"&amp;CHAR(10),""),IF(D477&gt;0," * F01-20 for Age "&amp;D395&amp;" "&amp;D396&amp;" has a value greater than 0"&amp;CHAR(10),""),IF(E477&gt;0," * F01-20 for Age "&amp;D395&amp;" "&amp;E396&amp;" has a value greater than 0"&amp;CHAR(10),""),IF(D478&gt;0," * F01-21 for Age "&amp;D395&amp;" "&amp;D396&amp;" has a value greater than 0"&amp;CHAR(10),""),IF(E478&gt;0," * F01-21 for Age "&amp;D395&amp;" "&amp;E396&amp;" has a value greater than 0"&amp;CHAR(10),""),IF(D479&gt;0," * F01-22 for Age "&amp;D395&amp;" "&amp;D396&amp;" has a value greater than 0"&amp;CHAR(10),""),IF(E479&gt;0," * F01-22 for Age "&amp;D395&amp;" "&amp;E396&amp;" has a value greater than 0"&amp;CHAR(10),""),IF(D480&gt;0," * F01-23 for Age "&amp;D395&amp;" "&amp;D396&amp;" has a value greater than 0"&amp;CHAR(10),""),IF(E480&gt;0," * F01-23 for Age "&amp;D395&amp;" "&amp;E396&amp;" has a value greater than 0"&amp;CHAR(10),""),"")</f>
        <v/>
      </c>
      <c r="AN409" s="556"/>
      <c r="AO409" s="14">
        <v>33</v>
      </c>
      <c r="AP409" s="83"/>
      <c r="AQ409" s="84"/>
    </row>
    <row r="410" spans="1:43" s="85" customFormat="1" ht="25.9" thickBot="1" x14ac:dyDescent="0.8">
      <c r="A410" s="852" t="s">
        <v>16</v>
      </c>
      <c r="B410" s="563" t="s">
        <v>152</v>
      </c>
      <c r="C410" s="920" t="s">
        <v>1167</v>
      </c>
      <c r="D410" s="564"/>
      <c r="E410" s="571"/>
      <c r="F410" s="860">
        <f>F41</f>
        <v>0</v>
      </c>
      <c r="G410" s="860">
        <f t="shared" ref="G410:AA410" si="226">G41</f>
        <v>0</v>
      </c>
      <c r="H410" s="860">
        <f t="shared" si="226"/>
        <v>0</v>
      </c>
      <c r="I410" s="860">
        <f t="shared" si="226"/>
        <v>0</v>
      </c>
      <c r="J410" s="860">
        <f t="shared" si="226"/>
        <v>0</v>
      </c>
      <c r="K410" s="860">
        <f t="shared" si="226"/>
        <v>0</v>
      </c>
      <c r="L410" s="860">
        <f t="shared" si="226"/>
        <v>0</v>
      </c>
      <c r="M410" s="860">
        <f t="shared" si="226"/>
        <v>0</v>
      </c>
      <c r="N410" s="860">
        <f t="shared" si="226"/>
        <v>0</v>
      </c>
      <c r="O410" s="860">
        <f t="shared" si="226"/>
        <v>0</v>
      </c>
      <c r="P410" s="860">
        <f t="shared" si="226"/>
        <v>0</v>
      </c>
      <c r="Q410" s="860">
        <f t="shared" si="226"/>
        <v>0</v>
      </c>
      <c r="R410" s="860">
        <f t="shared" si="226"/>
        <v>0</v>
      </c>
      <c r="S410" s="860">
        <f t="shared" si="226"/>
        <v>0</v>
      </c>
      <c r="T410" s="860">
        <f t="shared" si="226"/>
        <v>0</v>
      </c>
      <c r="U410" s="860">
        <f t="shared" si="226"/>
        <v>0</v>
      </c>
      <c r="V410" s="860">
        <f t="shared" si="226"/>
        <v>0</v>
      </c>
      <c r="W410" s="860">
        <f t="shared" si="226"/>
        <v>0</v>
      </c>
      <c r="X410" s="860">
        <f t="shared" si="226"/>
        <v>0</v>
      </c>
      <c r="Y410" s="860">
        <f t="shared" si="226"/>
        <v>0</v>
      </c>
      <c r="Z410" s="860">
        <f t="shared" si="226"/>
        <v>0</v>
      </c>
      <c r="AA410" s="860">
        <f t="shared" si="226"/>
        <v>0</v>
      </c>
      <c r="AB410" s="412"/>
      <c r="AC410" s="412"/>
      <c r="AD410" s="412"/>
      <c r="AE410" s="412"/>
      <c r="AF410" s="412"/>
      <c r="AG410" s="412"/>
      <c r="AH410" s="412"/>
      <c r="AI410" s="412"/>
      <c r="AJ410" s="567">
        <f t="shared" si="203"/>
        <v>0</v>
      </c>
      <c r="AK410" s="553"/>
      <c r="AL410" s="555"/>
      <c r="AM410" s="32"/>
      <c r="AN410" s="556"/>
      <c r="AO410" s="14">
        <v>31</v>
      </c>
      <c r="AP410" s="83"/>
      <c r="AQ410" s="84"/>
    </row>
    <row r="411" spans="1:43" s="85" customFormat="1" ht="25.5" x14ac:dyDescent="0.75">
      <c r="A411" s="853"/>
      <c r="B411" s="560" t="s">
        <v>1156</v>
      </c>
      <c r="C411" s="921" t="s">
        <v>1168</v>
      </c>
      <c r="D411" s="561"/>
      <c r="E411" s="572"/>
      <c r="F411" s="575"/>
      <c r="G411" s="576"/>
      <c r="H411" s="576"/>
      <c r="I411" s="576"/>
      <c r="J411" s="576"/>
      <c r="K411" s="576"/>
      <c r="L411" s="576"/>
      <c r="M411" s="576"/>
      <c r="N411" s="576"/>
      <c r="O411" s="576"/>
      <c r="P411" s="576"/>
      <c r="Q411" s="576"/>
      <c r="R411" s="576"/>
      <c r="S411" s="576"/>
      <c r="T411" s="576"/>
      <c r="U411" s="576"/>
      <c r="V411" s="576"/>
      <c r="W411" s="576"/>
      <c r="X411" s="576"/>
      <c r="Y411" s="576"/>
      <c r="Z411" s="576"/>
      <c r="AA411" s="577"/>
      <c r="AB411" s="380"/>
      <c r="AC411" s="380"/>
      <c r="AD411" s="380"/>
      <c r="AE411" s="380"/>
      <c r="AF411" s="380"/>
      <c r="AG411" s="380"/>
      <c r="AH411" s="380"/>
      <c r="AI411" s="380"/>
      <c r="AJ411" s="568">
        <f t="shared" si="203"/>
        <v>0</v>
      </c>
      <c r="AK411" s="691" t="str">
        <f>CONCATENATE(IF(D412&gt;D411," * Positive F01-13 for Age "&amp;D398&amp;" "&amp;D399&amp;" is more than Tested F01-12"&amp;CHAR(10),""),IF(E412&gt;E411," * Positive F01-13 for Age "&amp;D398&amp;" "&amp;E399&amp;" is more than Tested F01-12"&amp;CHAR(10),""),IF(F412&gt;F411," * Positive F01-13 for Age "&amp;F398&amp;" "&amp;F399&amp;" is more than Tested F01-12"&amp;CHAR(10),""),IF(G412&gt;G411," * Positive F01-13 for Age "&amp;F398&amp;" "&amp;G399&amp;" is more than Tested F01-12"&amp;CHAR(10),""),IF(H412&gt;H411," * Positive F01-13 for Age "&amp;H398&amp;" "&amp;H399&amp;" is more than Tested F01-12"&amp;CHAR(10),""),IF(I412&gt;I411," * Positive F01-13 for Age "&amp;H398&amp;" "&amp;I399&amp;" is more than Tested F01-12"&amp;CHAR(10),""),IF(J412&gt;J411," * Positive F01-13 for Age "&amp;J398&amp;" "&amp;J399&amp;" is more than Tested F01-12"&amp;CHAR(10),""),IF(K412&gt;K411," * Positive F01-13 for Age "&amp;J398&amp;" "&amp;K399&amp;" is more than Tested F01-12"&amp;CHAR(10),""),IF(L412&gt;L411," * Positive F01-13 for Age "&amp;L398&amp;" "&amp;L399&amp;" is more than Tested F01-12"&amp;CHAR(10),""),IF(M412&gt;M411," * Positive F01-13 for Age "&amp;L398&amp;" "&amp;M399&amp;" is more than Tested F01-12"&amp;CHAR(10),""),IF(N412&gt;N411," * Positive F01-13 for Age "&amp;N398&amp;" "&amp;N399&amp;" is more than Tested F01-12"&amp;CHAR(10),""),IF(O412&gt;O411," * Positive F01-13 for Age "&amp;N398&amp;" "&amp;O399&amp;" is more than Tested F01-12"&amp;CHAR(10),""),IF(P412&gt;P411," * Positive F01-13 for Age "&amp;P398&amp;" "&amp;P399&amp;" is more than Tested F01-12"&amp;CHAR(10),""),IF(Q412&gt;Q411," * Positive F01-13 for Age "&amp;P398&amp;" "&amp;Q399&amp;" is more than Tested F01-12"&amp;CHAR(10),""),IF(R412&gt;R411," * Positive F01-13 for Age "&amp;R398&amp;" "&amp;R399&amp;" is more than Tested F01-12"&amp;CHAR(10),""),IF(S412&gt;S411," * Positive F01-13 for Age "&amp;R398&amp;" "&amp;S399&amp;" is more than Tested F01-12"&amp;CHAR(10),""),IF(T412&gt;T411," * Positive F01-13 for Age "&amp;T398&amp;" "&amp;T399&amp;" is more than Tested F01-12"&amp;CHAR(10),""),IF(U412&gt;U411," * Positive F01-13 for Age "&amp;T398&amp;" "&amp;U399&amp;" is more than Tested F01-12"&amp;CHAR(10),""),IF(V412&gt;V411," * Positive F01-13 for Age "&amp;V398&amp;" "&amp;V399&amp;" is more than Tested F01-12"&amp;CHAR(10),""),IF(W412&gt;W411," * Positive F01-13 for Age "&amp;V398&amp;" "&amp;W399&amp;" is more than Tested F01-12"&amp;CHAR(10),""),IF(X412&gt;X411," * Positive F01-13 for Age "&amp;X398&amp;" "&amp;X399&amp;" is more than Tested F01-12"&amp;CHAR(10),""),IF(Y412&gt;Y411," * Positive F01-13 for Age "&amp;X398&amp;" "&amp;Y399&amp;" is more than Tested F01-12"&amp;CHAR(10),""),IF(Z412&gt;Z411," * Positive F01-13 for Age "&amp;Z398&amp;" "&amp;Z399&amp;" is more than Tested F01-12"&amp;CHAR(10),""),IF(AA412&gt;AA411," * Positive F01-13 for Age "&amp;Z398&amp;" "&amp;AA399&amp;" is more than Tested F01-12"&amp;CHAR(10),""))</f>
        <v/>
      </c>
      <c r="AL411" s="555"/>
      <c r="AM411" s="32" t="str">
        <f>CONCATENATE(IF(AND(IFERROR((AJ412*100)/AJ411,0)&gt;10,AJ412&gt;5)," * This facility has a high positivity rate for Index Testing. Kindly confirm if this is the true reflection"&amp;CHAR(10),""),"")</f>
        <v/>
      </c>
      <c r="AN411" s="556"/>
      <c r="AO411" s="14">
        <v>32</v>
      </c>
      <c r="AP411" s="83"/>
      <c r="AQ411" s="84"/>
    </row>
    <row r="412" spans="1:43" s="85" customFormat="1" ht="25.5" x14ac:dyDescent="0.75">
      <c r="A412" s="853"/>
      <c r="B412" s="560" t="s">
        <v>1137</v>
      </c>
      <c r="C412" s="921" t="s">
        <v>1169</v>
      </c>
      <c r="D412" s="559"/>
      <c r="E412" s="573"/>
      <c r="F412" s="575"/>
      <c r="G412" s="576"/>
      <c r="H412" s="576"/>
      <c r="I412" s="576"/>
      <c r="J412" s="576"/>
      <c r="K412" s="576"/>
      <c r="L412" s="576"/>
      <c r="M412" s="576"/>
      <c r="N412" s="576"/>
      <c r="O412" s="576"/>
      <c r="P412" s="576"/>
      <c r="Q412" s="576"/>
      <c r="R412" s="576"/>
      <c r="S412" s="576"/>
      <c r="T412" s="576"/>
      <c r="U412" s="576"/>
      <c r="V412" s="576"/>
      <c r="W412" s="576"/>
      <c r="X412" s="576"/>
      <c r="Y412" s="576"/>
      <c r="Z412" s="576"/>
      <c r="AA412" s="577"/>
      <c r="AB412" s="380"/>
      <c r="AC412" s="380"/>
      <c r="AD412" s="380"/>
      <c r="AE412" s="380"/>
      <c r="AF412" s="380"/>
      <c r="AG412" s="380"/>
      <c r="AH412" s="380"/>
      <c r="AI412" s="380"/>
      <c r="AJ412" s="569">
        <f t="shared" si="203"/>
        <v>0</v>
      </c>
      <c r="AK412" s="691"/>
      <c r="AL412" s="555"/>
      <c r="AM412" s="32" t="e">
        <f>CONCATENATE(IF(D411&gt;0," * F01-12 for Age "&amp;D398&amp;" "&amp;D399&amp;" has a value greater than 0"&amp;CHAR(10),""),IF(E411&gt;0," * F01-12 for Age "&amp;D398&amp;" "&amp;E399&amp;" has a value greater than 0"&amp;CHAR(10),""),IF(D412&gt;0," * F01-13 for Age "&amp;D398&amp;" "&amp;D399&amp;" has a value greater than 0"&amp;CHAR(10),""),IF(E412&gt;0," * F01-13 for Age "&amp;D398&amp;" "&amp;E399&amp;" has a value greater than 0"&amp;CHAR(10),""),IF(#REF!&gt;0," * F01-14 for Age "&amp;D398&amp;" "&amp;D399&amp;" has a value greater than 0"&amp;CHAR(10),""),IF(#REF!&gt;0," * F01-14 for Age "&amp;D398&amp;" "&amp;E399&amp;" has a value greater than 0"&amp;CHAR(10),""),IF(D475&gt;0," * F01-15 for Age "&amp;D398&amp;" "&amp;D399&amp;" has a value greater than 0"&amp;CHAR(10),""),IF(E475&gt;0," * F01-15 for Age "&amp;D398&amp;" "&amp;E399&amp;" has a value greater than 0"&amp;CHAR(10),""),IF(D480&gt;0," * F01-20 for Age "&amp;D398&amp;" "&amp;D399&amp;" has a value greater than 0"&amp;CHAR(10),""),IF(E480&gt;0," * F01-20 for Age "&amp;D398&amp;" "&amp;E399&amp;" has a value greater than 0"&amp;CHAR(10),""),IF(D481&gt;0," * F01-21 for Age "&amp;D398&amp;" "&amp;D399&amp;" has a value greater than 0"&amp;CHAR(10),""),IF(E481&gt;0," * F01-21 for Age "&amp;D398&amp;" "&amp;E399&amp;" has a value greater than 0"&amp;CHAR(10),""),IF(D482&gt;0," * F01-22 for Age "&amp;D398&amp;" "&amp;D399&amp;" has a value greater than 0"&amp;CHAR(10),""),IF(E482&gt;0," * F01-22 for Age "&amp;D398&amp;" "&amp;E399&amp;" has a value greater than 0"&amp;CHAR(10),""),IF(D483&gt;0," * F01-23 for Age "&amp;D398&amp;" "&amp;D399&amp;" has a value greater than 0"&amp;CHAR(10),""),IF(E483&gt;0," * F01-23 for Age "&amp;D398&amp;" "&amp;E399&amp;" has a value greater than 0"&amp;CHAR(10),""),"")</f>
        <v>#REF!</v>
      </c>
      <c r="AN412" s="556"/>
      <c r="AO412" s="14">
        <v>33</v>
      </c>
      <c r="AP412" s="83"/>
      <c r="AQ412" s="84"/>
    </row>
    <row r="413" spans="1:43" s="85" customFormat="1" ht="25.9" thickBot="1" x14ac:dyDescent="0.8">
      <c r="A413" s="853"/>
      <c r="B413" s="560" t="s">
        <v>1139</v>
      </c>
      <c r="C413" s="921" t="s">
        <v>1170</v>
      </c>
      <c r="D413" s="559"/>
      <c r="E413" s="573"/>
      <c r="F413" s="575"/>
      <c r="G413" s="576"/>
      <c r="H413" s="576"/>
      <c r="I413" s="576"/>
      <c r="J413" s="576"/>
      <c r="K413" s="576"/>
      <c r="L413" s="576"/>
      <c r="M413" s="576"/>
      <c r="N413" s="576"/>
      <c r="O413" s="576"/>
      <c r="P413" s="576"/>
      <c r="Q413" s="576"/>
      <c r="R413" s="576"/>
      <c r="S413" s="576"/>
      <c r="T413" s="576"/>
      <c r="U413" s="576"/>
      <c r="V413" s="576"/>
      <c r="W413" s="576"/>
      <c r="X413" s="576"/>
      <c r="Y413" s="576"/>
      <c r="Z413" s="576"/>
      <c r="AA413" s="577"/>
      <c r="AB413" s="380"/>
      <c r="AC413" s="380"/>
      <c r="AD413" s="380"/>
      <c r="AE413" s="380"/>
      <c r="AF413" s="380"/>
      <c r="AG413" s="380"/>
      <c r="AH413" s="380"/>
      <c r="AI413" s="380"/>
      <c r="AJ413" s="569">
        <f t="shared" si="203"/>
        <v>0</v>
      </c>
      <c r="AK413" s="557"/>
      <c r="AL413" s="555"/>
      <c r="AM413" s="32" t="str">
        <f>CONCATENATE(IF(D412&gt;0," * F01-12 for Age "&amp;D399&amp;" "&amp;D400&amp;" has a value greater than 0"&amp;CHAR(10),""),IF(E412&gt;0," * F01-12 for Age "&amp;D399&amp;" "&amp;E400&amp;" has a value greater than 0"&amp;CHAR(10),""),IF(D413&gt;0," * F01-13 for Age "&amp;D399&amp;" "&amp;D400&amp;" has a value greater than 0"&amp;CHAR(10),""),IF(E413&gt;0," * F01-13 for Age "&amp;D399&amp;" "&amp;E400&amp;" has a value greater than 0"&amp;CHAR(10),""),IF(D475&gt;0," * F01-14 for Age "&amp;D399&amp;" "&amp;D400&amp;" has a value greater than 0"&amp;CHAR(10),""),IF(E475&gt;0," * F01-14 for Age "&amp;D399&amp;" "&amp;E400&amp;" has a value greater than 0"&amp;CHAR(10),""),IF(D476&gt;0," * F01-15 for Age "&amp;D399&amp;" "&amp;D400&amp;" has a value greater than 0"&amp;CHAR(10),""),IF(E476&gt;0," * F01-15 for Age "&amp;D399&amp;" "&amp;E400&amp;" has a value greater than 0"&amp;CHAR(10),""),IF(D481&gt;0," * F01-20 for Age "&amp;D399&amp;" "&amp;D400&amp;" has a value greater than 0"&amp;CHAR(10),""),IF(E481&gt;0," * F01-20 for Age "&amp;D399&amp;" "&amp;E400&amp;" has a value greater than 0"&amp;CHAR(10),""),IF(D482&gt;0," * F01-21 for Age "&amp;D399&amp;" "&amp;D400&amp;" has a value greater than 0"&amp;CHAR(10),""),IF(E482&gt;0," * F01-21 for Age "&amp;D399&amp;" "&amp;E400&amp;" has a value greater than 0"&amp;CHAR(10),""),IF(D483&gt;0," * F01-22 for Age "&amp;D399&amp;" "&amp;D400&amp;" has a value greater than 0"&amp;CHAR(10),""),IF(E483&gt;0," * F01-22 for Age "&amp;D399&amp;" "&amp;E400&amp;" has a value greater than 0"&amp;CHAR(10),""),IF(D484&gt;0," * F01-23 for Age "&amp;D399&amp;" "&amp;D400&amp;" has a value greater than 0"&amp;CHAR(10),""),IF(E484&gt;0," * F01-23 for Age "&amp;D399&amp;" "&amp;E400&amp;" has a value greater than 0"&amp;CHAR(10),""),"")</f>
        <v/>
      </c>
      <c r="AN413" s="556"/>
      <c r="AO413" s="14">
        <v>33</v>
      </c>
      <c r="AP413" s="83"/>
      <c r="AQ413" s="84"/>
    </row>
    <row r="414" spans="1:43" s="85" customFormat="1" ht="25.9" thickBot="1" x14ac:dyDescent="0.8">
      <c r="A414" s="854"/>
      <c r="B414" s="565" t="s">
        <v>1141</v>
      </c>
      <c r="C414" s="922" t="s">
        <v>1171</v>
      </c>
      <c r="D414" s="566"/>
      <c r="E414" s="574"/>
      <c r="F414" s="862">
        <f>F410-SUM(F411:F413)</f>
        <v>0</v>
      </c>
      <c r="G414" s="863">
        <f t="shared" ref="G414" si="227">G410-SUM(G411:G413)</f>
        <v>0</v>
      </c>
      <c r="H414" s="862">
        <f t="shared" ref="H414" si="228">H410-SUM(H411:H413)</f>
        <v>0</v>
      </c>
      <c r="I414" s="863">
        <f t="shared" ref="I414" si="229">I410-SUM(I411:I413)</f>
        <v>0</v>
      </c>
      <c r="J414" s="862">
        <f t="shared" ref="J414" si="230">J410-SUM(J411:J413)</f>
        <v>0</v>
      </c>
      <c r="K414" s="863">
        <f t="shared" ref="K414" si="231">K410-SUM(K411:K413)</f>
        <v>0</v>
      </c>
      <c r="L414" s="862">
        <f t="shared" ref="L414" si="232">L410-SUM(L411:L413)</f>
        <v>0</v>
      </c>
      <c r="M414" s="863">
        <f t="shared" ref="M414" si="233">M410-SUM(M411:M413)</f>
        <v>0</v>
      </c>
      <c r="N414" s="862">
        <f t="shared" ref="N414" si="234">N410-SUM(N411:N413)</f>
        <v>0</v>
      </c>
      <c r="O414" s="863">
        <f t="shared" ref="O414" si="235">O410-SUM(O411:O413)</f>
        <v>0</v>
      </c>
      <c r="P414" s="862">
        <f t="shared" ref="P414" si="236">P410-SUM(P411:P413)</f>
        <v>0</v>
      </c>
      <c r="Q414" s="863">
        <f t="shared" ref="Q414" si="237">Q410-SUM(Q411:Q413)</f>
        <v>0</v>
      </c>
      <c r="R414" s="862">
        <f t="shared" ref="R414" si="238">R410-SUM(R411:R413)</f>
        <v>0</v>
      </c>
      <c r="S414" s="863">
        <f t="shared" ref="S414" si="239">S410-SUM(S411:S413)</f>
        <v>0</v>
      </c>
      <c r="T414" s="862">
        <f t="shared" ref="T414" si="240">T410-SUM(T411:T413)</f>
        <v>0</v>
      </c>
      <c r="U414" s="863">
        <f t="shared" ref="U414" si="241">U410-SUM(U411:U413)</f>
        <v>0</v>
      </c>
      <c r="V414" s="862">
        <f t="shared" ref="V414" si="242">V410-SUM(V411:V413)</f>
        <v>0</v>
      </c>
      <c r="W414" s="863">
        <f t="shared" ref="W414" si="243">W410-SUM(W411:W413)</f>
        <v>0</v>
      </c>
      <c r="X414" s="862">
        <f t="shared" ref="X414" si="244">X410-SUM(X411:X413)</f>
        <v>0</v>
      </c>
      <c r="Y414" s="863">
        <f t="shared" ref="Y414" si="245">Y410-SUM(Y411:Y413)</f>
        <v>0</v>
      </c>
      <c r="Z414" s="862">
        <f t="shared" ref="Z414" si="246">Z410-SUM(Z411:Z413)</f>
        <v>0</v>
      </c>
      <c r="AA414" s="863">
        <f t="shared" ref="AA414" si="247">AA410-SUM(AA411:AA413)</f>
        <v>0</v>
      </c>
      <c r="AB414" s="415"/>
      <c r="AC414" s="415"/>
      <c r="AD414" s="415"/>
      <c r="AE414" s="415"/>
      <c r="AF414" s="415"/>
      <c r="AG414" s="415"/>
      <c r="AH414" s="415"/>
      <c r="AI414" s="415"/>
      <c r="AJ414" s="570">
        <f t="shared" si="203"/>
        <v>0</v>
      </c>
      <c r="AK414" s="557"/>
      <c r="AL414" s="555"/>
      <c r="AM414" s="32" t="str">
        <f>CONCATENATE(IF(D413&gt;0," * F01-12 for Age "&amp;D400&amp;" "&amp;D401&amp;" has a value greater than 0"&amp;CHAR(10),""),IF(E413&gt;0," * F01-12 for Age "&amp;D400&amp;" "&amp;E401&amp;" has a value greater than 0"&amp;CHAR(10),""),IF(D414&gt;0," * F01-13 for Age "&amp;D400&amp;" "&amp;D401&amp;" has a value greater than 0"&amp;CHAR(10),""),IF(E414&gt;0," * F01-13 for Age "&amp;D400&amp;" "&amp;E401&amp;" has a value greater than 0"&amp;CHAR(10),""),IF(D476&gt;0," * F01-14 for Age "&amp;D400&amp;" "&amp;D401&amp;" has a value greater than 0"&amp;CHAR(10),""),IF(E476&gt;0," * F01-14 for Age "&amp;D400&amp;" "&amp;E401&amp;" has a value greater than 0"&amp;CHAR(10),""),IF(D477&gt;0," * F01-15 for Age "&amp;D400&amp;" "&amp;D401&amp;" has a value greater than 0"&amp;CHAR(10),""),IF(E477&gt;0," * F01-15 for Age "&amp;D400&amp;" "&amp;E401&amp;" has a value greater than 0"&amp;CHAR(10),""),IF(D482&gt;0," * F01-20 for Age "&amp;D400&amp;" "&amp;D401&amp;" has a value greater than 0"&amp;CHAR(10),""),IF(E482&gt;0," * F01-20 for Age "&amp;D400&amp;" "&amp;E401&amp;" has a value greater than 0"&amp;CHAR(10),""),IF(D483&gt;0," * F01-21 for Age "&amp;D400&amp;" "&amp;D401&amp;" has a value greater than 0"&amp;CHAR(10),""),IF(E483&gt;0," * F01-21 for Age "&amp;D400&amp;" "&amp;E401&amp;" has a value greater than 0"&amp;CHAR(10),""),IF(D484&gt;0," * F01-22 for Age "&amp;D400&amp;" "&amp;D401&amp;" has a value greater than 0"&amp;CHAR(10),""),IF(E484&gt;0," * F01-22 for Age "&amp;D400&amp;" "&amp;E401&amp;" has a value greater than 0"&amp;CHAR(10),""),IF(D485&gt;0," * F01-23 for Age "&amp;D400&amp;" "&amp;D401&amp;" has a value greater than 0"&amp;CHAR(10),""),IF(E485&gt;0," * F01-23 for Age "&amp;D400&amp;" "&amp;E401&amp;" has a value greater than 0"&amp;CHAR(10),""),"")</f>
        <v/>
      </c>
      <c r="AN414" s="556"/>
      <c r="AO414" s="14">
        <v>33</v>
      </c>
      <c r="AP414" s="83"/>
      <c r="AQ414" s="84"/>
    </row>
    <row r="415" spans="1:43" s="85" customFormat="1" ht="25.9" thickBot="1" x14ac:dyDescent="0.8">
      <c r="A415" s="852" t="s">
        <v>1158</v>
      </c>
      <c r="B415" s="563" t="s">
        <v>152</v>
      </c>
      <c r="C415" s="920" t="s">
        <v>1172</v>
      </c>
      <c r="D415" s="564"/>
      <c r="E415" s="571"/>
      <c r="F415" s="860">
        <f>F43</f>
        <v>0</v>
      </c>
      <c r="G415" s="860">
        <f t="shared" ref="G415:AA415" si="248">G43</f>
        <v>0</v>
      </c>
      <c r="H415" s="860">
        <f t="shared" si="248"/>
        <v>0</v>
      </c>
      <c r="I415" s="860">
        <f t="shared" si="248"/>
        <v>0</v>
      </c>
      <c r="J415" s="860">
        <f t="shared" si="248"/>
        <v>0</v>
      </c>
      <c r="K415" s="860">
        <f t="shared" si="248"/>
        <v>0</v>
      </c>
      <c r="L415" s="860">
        <f t="shared" si="248"/>
        <v>0</v>
      </c>
      <c r="M415" s="860">
        <f t="shared" si="248"/>
        <v>0</v>
      </c>
      <c r="N415" s="860">
        <f t="shared" si="248"/>
        <v>0</v>
      </c>
      <c r="O415" s="860">
        <f t="shared" si="248"/>
        <v>0</v>
      </c>
      <c r="P415" s="860">
        <f t="shared" si="248"/>
        <v>0</v>
      </c>
      <c r="Q415" s="860">
        <f t="shared" si="248"/>
        <v>0</v>
      </c>
      <c r="R415" s="860">
        <f t="shared" si="248"/>
        <v>0</v>
      </c>
      <c r="S415" s="860">
        <f t="shared" si="248"/>
        <v>0</v>
      </c>
      <c r="T415" s="860">
        <f t="shared" si="248"/>
        <v>0</v>
      </c>
      <c r="U415" s="860">
        <f t="shared" si="248"/>
        <v>0</v>
      </c>
      <c r="V415" s="860">
        <f t="shared" si="248"/>
        <v>0</v>
      </c>
      <c r="W415" s="860">
        <f t="shared" si="248"/>
        <v>0</v>
      </c>
      <c r="X415" s="860">
        <f t="shared" si="248"/>
        <v>0</v>
      </c>
      <c r="Y415" s="860">
        <f t="shared" si="248"/>
        <v>0</v>
      </c>
      <c r="Z415" s="860">
        <f t="shared" si="248"/>
        <v>0</v>
      </c>
      <c r="AA415" s="860">
        <f t="shared" si="248"/>
        <v>0</v>
      </c>
      <c r="AB415" s="412"/>
      <c r="AC415" s="412"/>
      <c r="AD415" s="412"/>
      <c r="AE415" s="412"/>
      <c r="AF415" s="412"/>
      <c r="AG415" s="412"/>
      <c r="AH415" s="412"/>
      <c r="AI415" s="412"/>
      <c r="AJ415" s="567">
        <f t="shared" si="203"/>
        <v>0</v>
      </c>
      <c r="AK415" s="553"/>
      <c r="AL415" s="555"/>
      <c r="AM415" s="32"/>
      <c r="AN415" s="556"/>
      <c r="AO415" s="14">
        <v>31</v>
      </c>
      <c r="AP415" s="83"/>
      <c r="AQ415" s="84"/>
    </row>
    <row r="416" spans="1:43" s="85" customFormat="1" ht="25.5" x14ac:dyDescent="0.75">
      <c r="A416" s="853"/>
      <c r="B416" s="560" t="s">
        <v>1156</v>
      </c>
      <c r="C416" s="921" t="s">
        <v>1173</v>
      </c>
      <c r="D416" s="561"/>
      <c r="E416" s="572"/>
      <c r="F416" s="575"/>
      <c r="G416" s="576"/>
      <c r="H416" s="576"/>
      <c r="I416" s="576"/>
      <c r="J416" s="576"/>
      <c r="K416" s="576"/>
      <c r="L416" s="576"/>
      <c r="M416" s="576"/>
      <c r="N416" s="576"/>
      <c r="O416" s="576"/>
      <c r="P416" s="576"/>
      <c r="Q416" s="576"/>
      <c r="R416" s="576"/>
      <c r="S416" s="576"/>
      <c r="T416" s="576"/>
      <c r="U416" s="576"/>
      <c r="V416" s="576"/>
      <c r="W416" s="576"/>
      <c r="X416" s="576"/>
      <c r="Y416" s="576"/>
      <c r="Z416" s="576"/>
      <c r="AA416" s="577"/>
      <c r="AB416" s="380"/>
      <c r="AC416" s="380"/>
      <c r="AD416" s="380"/>
      <c r="AE416" s="380"/>
      <c r="AF416" s="380"/>
      <c r="AG416" s="380"/>
      <c r="AH416" s="380"/>
      <c r="AI416" s="380"/>
      <c r="AJ416" s="568">
        <f t="shared" si="203"/>
        <v>0</v>
      </c>
      <c r="AK416" s="691" t="str">
        <f>CONCATENATE(IF(D417&gt;D416," * Positive F01-13 for Age "&amp;D403&amp;" "&amp;D404&amp;" is more than Tested F01-12"&amp;CHAR(10),""),IF(E417&gt;E416," * Positive F01-13 for Age "&amp;D403&amp;" "&amp;E404&amp;" is more than Tested F01-12"&amp;CHAR(10),""),IF(F417&gt;F416," * Positive F01-13 for Age "&amp;F403&amp;" "&amp;F404&amp;" is more than Tested F01-12"&amp;CHAR(10),""),IF(G417&gt;G416," * Positive F01-13 for Age "&amp;F403&amp;" "&amp;G404&amp;" is more than Tested F01-12"&amp;CHAR(10),""),IF(H417&gt;H416," * Positive F01-13 for Age "&amp;H403&amp;" "&amp;H404&amp;" is more than Tested F01-12"&amp;CHAR(10),""),IF(I417&gt;I416," * Positive F01-13 for Age "&amp;H403&amp;" "&amp;I404&amp;" is more than Tested F01-12"&amp;CHAR(10),""),IF(J417&gt;J416," * Positive F01-13 for Age "&amp;J403&amp;" "&amp;J404&amp;" is more than Tested F01-12"&amp;CHAR(10),""),IF(K417&gt;K416," * Positive F01-13 for Age "&amp;J403&amp;" "&amp;K404&amp;" is more than Tested F01-12"&amp;CHAR(10),""),IF(L417&gt;L416," * Positive F01-13 for Age "&amp;L403&amp;" "&amp;L404&amp;" is more than Tested F01-12"&amp;CHAR(10),""),IF(M417&gt;M416," * Positive F01-13 for Age "&amp;L403&amp;" "&amp;M404&amp;" is more than Tested F01-12"&amp;CHAR(10),""),IF(N417&gt;N416," * Positive F01-13 for Age "&amp;N403&amp;" "&amp;N404&amp;" is more than Tested F01-12"&amp;CHAR(10),""),IF(O417&gt;O416," * Positive F01-13 for Age "&amp;N403&amp;" "&amp;O404&amp;" is more than Tested F01-12"&amp;CHAR(10),""),IF(P417&gt;P416," * Positive F01-13 for Age "&amp;P403&amp;" "&amp;P404&amp;" is more than Tested F01-12"&amp;CHAR(10),""),IF(Q417&gt;Q416," * Positive F01-13 for Age "&amp;P403&amp;" "&amp;Q404&amp;" is more than Tested F01-12"&amp;CHAR(10),""),IF(R417&gt;R416," * Positive F01-13 for Age "&amp;R403&amp;" "&amp;R404&amp;" is more than Tested F01-12"&amp;CHAR(10),""),IF(S417&gt;S416," * Positive F01-13 for Age "&amp;R403&amp;" "&amp;S404&amp;" is more than Tested F01-12"&amp;CHAR(10),""),IF(T417&gt;T416," * Positive F01-13 for Age "&amp;T403&amp;" "&amp;T404&amp;" is more than Tested F01-12"&amp;CHAR(10),""),IF(U417&gt;U416," * Positive F01-13 for Age "&amp;T403&amp;" "&amp;U404&amp;" is more than Tested F01-12"&amp;CHAR(10),""),IF(V417&gt;V416," * Positive F01-13 for Age "&amp;V403&amp;" "&amp;V404&amp;" is more than Tested F01-12"&amp;CHAR(10),""),IF(W417&gt;W416," * Positive F01-13 for Age "&amp;V403&amp;" "&amp;W404&amp;" is more than Tested F01-12"&amp;CHAR(10),""),IF(X417&gt;X416," * Positive F01-13 for Age "&amp;X403&amp;" "&amp;X404&amp;" is more than Tested F01-12"&amp;CHAR(10),""),IF(Y417&gt;Y416," * Positive F01-13 for Age "&amp;X403&amp;" "&amp;Y404&amp;" is more than Tested F01-12"&amp;CHAR(10),""),IF(Z417&gt;Z416," * Positive F01-13 for Age "&amp;Z403&amp;" "&amp;Z404&amp;" is more than Tested F01-12"&amp;CHAR(10),""),IF(AA417&gt;AA416," * Positive F01-13 for Age "&amp;Z403&amp;" "&amp;AA404&amp;" is more than Tested F01-12"&amp;CHAR(10),""))</f>
        <v/>
      </c>
      <c r="AL416" s="555"/>
      <c r="AM416" s="32" t="str">
        <f>CONCATENATE(IF(AND(IFERROR((AJ417*100)/AJ416,0)&gt;10,AJ417&gt;5)," * This facility has a high positivity rate for Index Testing. Kindly confirm if this is the true reflection"&amp;CHAR(10),""),"")</f>
        <v/>
      </c>
      <c r="AN416" s="556"/>
      <c r="AO416" s="14">
        <v>32</v>
      </c>
      <c r="AP416" s="83"/>
      <c r="AQ416" s="84"/>
    </row>
    <row r="417" spans="1:43" s="85" customFormat="1" ht="25.5" x14ac:dyDescent="0.75">
      <c r="A417" s="853"/>
      <c r="B417" s="560" t="s">
        <v>1137</v>
      </c>
      <c r="C417" s="921" t="s">
        <v>1174</v>
      </c>
      <c r="D417" s="559"/>
      <c r="E417" s="573"/>
      <c r="F417" s="575"/>
      <c r="G417" s="576"/>
      <c r="H417" s="576"/>
      <c r="I417" s="576"/>
      <c r="J417" s="576"/>
      <c r="K417" s="576"/>
      <c r="L417" s="576"/>
      <c r="M417" s="576"/>
      <c r="N417" s="576"/>
      <c r="O417" s="576"/>
      <c r="P417" s="576"/>
      <c r="Q417" s="576"/>
      <c r="R417" s="576"/>
      <c r="S417" s="576"/>
      <c r="T417" s="576"/>
      <c r="U417" s="576"/>
      <c r="V417" s="576"/>
      <c r="W417" s="576"/>
      <c r="X417" s="576"/>
      <c r="Y417" s="576"/>
      <c r="Z417" s="576"/>
      <c r="AA417" s="577"/>
      <c r="AB417" s="380"/>
      <c r="AC417" s="380"/>
      <c r="AD417" s="380"/>
      <c r="AE417" s="380"/>
      <c r="AF417" s="380"/>
      <c r="AG417" s="380"/>
      <c r="AH417" s="380"/>
      <c r="AI417" s="380"/>
      <c r="AJ417" s="569">
        <f t="shared" si="203"/>
        <v>0</v>
      </c>
      <c r="AK417" s="691"/>
      <c r="AL417" s="555"/>
      <c r="AM417" s="32" t="e">
        <f>CONCATENATE(IF(D416&gt;0," * F01-12 for Age "&amp;D403&amp;" "&amp;D404&amp;" has a value greater than 0"&amp;CHAR(10),""),IF(E416&gt;0," * F01-12 for Age "&amp;D403&amp;" "&amp;E404&amp;" has a value greater than 0"&amp;CHAR(10),""),IF(D417&gt;0," * F01-13 for Age "&amp;D403&amp;" "&amp;D404&amp;" has a value greater than 0"&amp;CHAR(10),""),IF(E417&gt;0," * F01-13 for Age "&amp;D403&amp;" "&amp;E404&amp;" has a value greater than 0"&amp;CHAR(10),""),IF(#REF!&gt;0," * F01-14 for Age "&amp;D403&amp;" "&amp;D404&amp;" has a value greater than 0"&amp;CHAR(10),""),IF(#REF!&gt;0," * F01-14 for Age "&amp;D403&amp;" "&amp;E404&amp;" has a value greater than 0"&amp;CHAR(10),""),IF(D480&gt;0," * F01-15 for Age "&amp;D403&amp;" "&amp;D404&amp;" has a value greater than 0"&amp;CHAR(10),""),IF(E480&gt;0," * F01-15 for Age "&amp;D403&amp;" "&amp;E404&amp;" has a value greater than 0"&amp;CHAR(10),""),IF(D485&gt;0," * F01-20 for Age "&amp;D403&amp;" "&amp;D404&amp;" has a value greater than 0"&amp;CHAR(10),""),IF(E485&gt;0," * F01-20 for Age "&amp;D403&amp;" "&amp;E404&amp;" has a value greater than 0"&amp;CHAR(10),""),IF(D486&gt;0," * F01-21 for Age "&amp;D403&amp;" "&amp;D404&amp;" has a value greater than 0"&amp;CHAR(10),""),IF(E486&gt;0," * F01-21 for Age "&amp;D403&amp;" "&amp;E404&amp;" has a value greater than 0"&amp;CHAR(10),""),IF(D487&gt;0," * F01-22 for Age "&amp;D403&amp;" "&amp;D404&amp;" has a value greater than 0"&amp;CHAR(10),""),IF(E487&gt;0," * F01-22 for Age "&amp;D403&amp;" "&amp;E404&amp;" has a value greater than 0"&amp;CHAR(10),""),IF(D488&gt;0," * F01-23 for Age "&amp;D403&amp;" "&amp;D404&amp;" has a value greater than 0"&amp;CHAR(10),""),IF(E488&gt;0," * F01-23 for Age "&amp;D403&amp;" "&amp;E404&amp;" has a value greater than 0"&amp;CHAR(10),""),"")</f>
        <v>#REF!</v>
      </c>
      <c r="AN417" s="556"/>
      <c r="AO417" s="14">
        <v>33</v>
      </c>
      <c r="AP417" s="83"/>
      <c r="AQ417" s="84"/>
    </row>
    <row r="418" spans="1:43" s="85" customFormat="1" ht="25.9" thickBot="1" x14ac:dyDescent="0.8">
      <c r="A418" s="853"/>
      <c r="B418" s="560" t="s">
        <v>1139</v>
      </c>
      <c r="C418" s="921" t="s">
        <v>1175</v>
      </c>
      <c r="D418" s="559"/>
      <c r="E418" s="573"/>
      <c r="F418" s="575"/>
      <c r="G418" s="576"/>
      <c r="H418" s="576"/>
      <c r="I418" s="576"/>
      <c r="J418" s="576"/>
      <c r="K418" s="576"/>
      <c r="L418" s="576"/>
      <c r="M418" s="576"/>
      <c r="N418" s="576"/>
      <c r="O418" s="576"/>
      <c r="P418" s="576"/>
      <c r="Q418" s="576"/>
      <c r="R418" s="576"/>
      <c r="S418" s="576"/>
      <c r="T418" s="576"/>
      <c r="U418" s="576"/>
      <c r="V418" s="576"/>
      <c r="W418" s="576"/>
      <c r="X418" s="576"/>
      <c r="Y418" s="576"/>
      <c r="Z418" s="576"/>
      <c r="AA418" s="577"/>
      <c r="AB418" s="380"/>
      <c r="AC418" s="380"/>
      <c r="AD418" s="380"/>
      <c r="AE418" s="380"/>
      <c r="AF418" s="380"/>
      <c r="AG418" s="380"/>
      <c r="AH418" s="380"/>
      <c r="AI418" s="380"/>
      <c r="AJ418" s="569">
        <f t="shared" si="203"/>
        <v>0</v>
      </c>
      <c r="AK418" s="557"/>
      <c r="AL418" s="555"/>
      <c r="AM418" s="32" t="str">
        <f>CONCATENATE(IF(D417&gt;0," * F01-12 for Age "&amp;D404&amp;" "&amp;D405&amp;" has a value greater than 0"&amp;CHAR(10),""),IF(E417&gt;0," * F01-12 for Age "&amp;D404&amp;" "&amp;E405&amp;" has a value greater than 0"&amp;CHAR(10),""),IF(D418&gt;0," * F01-13 for Age "&amp;D404&amp;" "&amp;D405&amp;" has a value greater than 0"&amp;CHAR(10),""),IF(E418&gt;0," * F01-13 for Age "&amp;D404&amp;" "&amp;E405&amp;" has a value greater than 0"&amp;CHAR(10),""),IF(D480&gt;0," * F01-14 for Age "&amp;D404&amp;" "&amp;D405&amp;" has a value greater than 0"&amp;CHAR(10),""),IF(E480&gt;0," * F01-14 for Age "&amp;D404&amp;" "&amp;E405&amp;" has a value greater than 0"&amp;CHAR(10),""),IF(D481&gt;0," * F01-15 for Age "&amp;D404&amp;" "&amp;D405&amp;" has a value greater than 0"&amp;CHAR(10),""),IF(E481&gt;0," * F01-15 for Age "&amp;D404&amp;" "&amp;E405&amp;" has a value greater than 0"&amp;CHAR(10),""),IF(D486&gt;0," * F01-20 for Age "&amp;D404&amp;" "&amp;D405&amp;" has a value greater than 0"&amp;CHAR(10),""),IF(E486&gt;0," * F01-20 for Age "&amp;D404&amp;" "&amp;E405&amp;" has a value greater than 0"&amp;CHAR(10),""),IF(D487&gt;0," * F01-21 for Age "&amp;D404&amp;" "&amp;D405&amp;" has a value greater than 0"&amp;CHAR(10),""),IF(E487&gt;0," * F01-21 for Age "&amp;D404&amp;" "&amp;E405&amp;" has a value greater than 0"&amp;CHAR(10),""),IF(D488&gt;0," * F01-22 for Age "&amp;D404&amp;" "&amp;D405&amp;" has a value greater than 0"&amp;CHAR(10),""),IF(E488&gt;0," * F01-22 for Age "&amp;D404&amp;" "&amp;E405&amp;" has a value greater than 0"&amp;CHAR(10),""),IF(D489&gt;0," * F01-23 for Age "&amp;D404&amp;" "&amp;D405&amp;" has a value greater than 0"&amp;CHAR(10),""),IF(E489&gt;0," * F01-23 for Age "&amp;D404&amp;" "&amp;E405&amp;" has a value greater than 0"&amp;CHAR(10),""),"")</f>
        <v/>
      </c>
      <c r="AN418" s="556"/>
      <c r="AO418" s="14">
        <v>33</v>
      </c>
      <c r="AP418" s="83"/>
      <c r="AQ418" s="84"/>
    </row>
    <row r="419" spans="1:43" s="85" customFormat="1" ht="25.9" thickBot="1" x14ac:dyDescent="0.8">
      <c r="A419" s="854"/>
      <c r="B419" s="565" t="s">
        <v>1141</v>
      </c>
      <c r="C419" s="922" t="s">
        <v>1176</v>
      </c>
      <c r="D419" s="566"/>
      <c r="E419" s="574"/>
      <c r="F419" s="862">
        <f>F415-SUM(F416:F418)</f>
        <v>0</v>
      </c>
      <c r="G419" s="863">
        <f t="shared" ref="G419" si="249">G415-SUM(G416:G418)</f>
        <v>0</v>
      </c>
      <c r="H419" s="862">
        <f t="shared" ref="H419" si="250">H415-SUM(H416:H418)</f>
        <v>0</v>
      </c>
      <c r="I419" s="863">
        <f t="shared" ref="I419" si="251">I415-SUM(I416:I418)</f>
        <v>0</v>
      </c>
      <c r="J419" s="862">
        <f t="shared" ref="J419" si="252">J415-SUM(J416:J418)</f>
        <v>0</v>
      </c>
      <c r="K419" s="863">
        <f t="shared" ref="K419" si="253">K415-SUM(K416:K418)</f>
        <v>0</v>
      </c>
      <c r="L419" s="862">
        <f t="shared" ref="L419" si="254">L415-SUM(L416:L418)</f>
        <v>0</v>
      </c>
      <c r="M419" s="863">
        <f t="shared" ref="M419" si="255">M415-SUM(M416:M418)</f>
        <v>0</v>
      </c>
      <c r="N419" s="862">
        <f t="shared" ref="N419" si="256">N415-SUM(N416:N418)</f>
        <v>0</v>
      </c>
      <c r="O419" s="863">
        <f t="shared" ref="O419" si="257">O415-SUM(O416:O418)</f>
        <v>0</v>
      </c>
      <c r="P419" s="862">
        <f t="shared" ref="P419" si="258">P415-SUM(P416:P418)</f>
        <v>0</v>
      </c>
      <c r="Q419" s="863">
        <f t="shared" ref="Q419" si="259">Q415-SUM(Q416:Q418)</f>
        <v>0</v>
      </c>
      <c r="R419" s="862">
        <f t="shared" ref="R419" si="260">R415-SUM(R416:R418)</f>
        <v>0</v>
      </c>
      <c r="S419" s="863">
        <f t="shared" ref="S419" si="261">S415-SUM(S416:S418)</f>
        <v>0</v>
      </c>
      <c r="T419" s="862">
        <f t="shared" ref="T419" si="262">T415-SUM(T416:T418)</f>
        <v>0</v>
      </c>
      <c r="U419" s="863">
        <f t="shared" ref="U419" si="263">U415-SUM(U416:U418)</f>
        <v>0</v>
      </c>
      <c r="V419" s="862">
        <f t="shared" ref="V419" si="264">V415-SUM(V416:V418)</f>
        <v>0</v>
      </c>
      <c r="W419" s="863">
        <f t="shared" ref="W419" si="265">W415-SUM(W416:W418)</f>
        <v>0</v>
      </c>
      <c r="X419" s="862">
        <f t="shared" ref="X419" si="266">X415-SUM(X416:X418)</f>
        <v>0</v>
      </c>
      <c r="Y419" s="863">
        <f t="shared" ref="Y419" si="267">Y415-SUM(Y416:Y418)</f>
        <v>0</v>
      </c>
      <c r="Z419" s="862">
        <f t="shared" ref="Z419" si="268">Z415-SUM(Z416:Z418)</f>
        <v>0</v>
      </c>
      <c r="AA419" s="863">
        <f t="shared" ref="AA419" si="269">AA415-SUM(AA416:AA418)</f>
        <v>0</v>
      </c>
      <c r="AB419" s="415"/>
      <c r="AC419" s="415"/>
      <c r="AD419" s="415"/>
      <c r="AE419" s="415"/>
      <c r="AF419" s="415"/>
      <c r="AG419" s="415"/>
      <c r="AH419" s="415"/>
      <c r="AI419" s="415"/>
      <c r="AJ419" s="570">
        <f t="shared" si="203"/>
        <v>0</v>
      </c>
      <c r="AK419" s="557"/>
      <c r="AL419" s="555"/>
      <c r="AM419" s="32" t="str">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0"&amp;CHAR(10),""),IF(D481&gt;0," * F01-14 for Age "&amp;D405&amp;" "&amp;D406&amp;" has a value greater than 0"&amp;CHAR(10),""),IF(E481&gt;0,"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
      </c>
      <c r="AN419" s="556"/>
      <c r="AO419" s="14">
        <v>33</v>
      </c>
      <c r="AP419" s="83"/>
      <c r="AQ419" s="84"/>
    </row>
    <row r="420" spans="1:43" s="85" customFormat="1" ht="25.9" thickBot="1" x14ac:dyDescent="0.8">
      <c r="A420" s="852" t="s">
        <v>22</v>
      </c>
      <c r="B420" s="563" t="s">
        <v>152</v>
      </c>
      <c r="C420" s="920" t="s">
        <v>1177</v>
      </c>
      <c r="D420" s="564"/>
      <c r="E420" s="571"/>
      <c r="F420" s="860">
        <f>F45</f>
        <v>0</v>
      </c>
      <c r="G420" s="860">
        <f t="shared" ref="G420:AA420" si="270">G45</f>
        <v>0</v>
      </c>
      <c r="H420" s="860">
        <f t="shared" si="270"/>
        <v>0</v>
      </c>
      <c r="I420" s="860">
        <f t="shared" si="270"/>
        <v>0</v>
      </c>
      <c r="J420" s="860">
        <f t="shared" si="270"/>
        <v>0</v>
      </c>
      <c r="K420" s="860">
        <f t="shared" si="270"/>
        <v>0</v>
      </c>
      <c r="L420" s="860">
        <f t="shared" si="270"/>
        <v>0</v>
      </c>
      <c r="M420" s="860">
        <f t="shared" si="270"/>
        <v>0</v>
      </c>
      <c r="N420" s="860">
        <f t="shared" si="270"/>
        <v>0</v>
      </c>
      <c r="O420" s="860">
        <f t="shared" si="270"/>
        <v>0</v>
      </c>
      <c r="P420" s="860">
        <f t="shared" si="270"/>
        <v>0</v>
      </c>
      <c r="Q420" s="860">
        <f t="shared" si="270"/>
        <v>0</v>
      </c>
      <c r="R420" s="860">
        <f t="shared" si="270"/>
        <v>0</v>
      </c>
      <c r="S420" s="860">
        <f t="shared" si="270"/>
        <v>0</v>
      </c>
      <c r="T420" s="860">
        <f t="shared" si="270"/>
        <v>0</v>
      </c>
      <c r="U420" s="860">
        <f t="shared" si="270"/>
        <v>0</v>
      </c>
      <c r="V420" s="860">
        <f t="shared" si="270"/>
        <v>0</v>
      </c>
      <c r="W420" s="860">
        <f t="shared" si="270"/>
        <v>0</v>
      </c>
      <c r="X420" s="860">
        <f t="shared" si="270"/>
        <v>0</v>
      </c>
      <c r="Y420" s="860">
        <f t="shared" si="270"/>
        <v>0</v>
      </c>
      <c r="Z420" s="860">
        <f t="shared" si="270"/>
        <v>0</v>
      </c>
      <c r="AA420" s="860">
        <f t="shared" si="270"/>
        <v>0</v>
      </c>
      <c r="AB420" s="412"/>
      <c r="AC420" s="412"/>
      <c r="AD420" s="412"/>
      <c r="AE420" s="412"/>
      <c r="AF420" s="412"/>
      <c r="AG420" s="412"/>
      <c r="AH420" s="412"/>
      <c r="AI420" s="412"/>
      <c r="AJ420" s="567">
        <f t="shared" si="203"/>
        <v>0</v>
      </c>
      <c r="AK420" s="553"/>
      <c r="AL420" s="555"/>
      <c r="AM420" s="32"/>
      <c r="AN420" s="556"/>
      <c r="AO420" s="14">
        <v>31</v>
      </c>
      <c r="AP420" s="83"/>
      <c r="AQ420" s="84"/>
    </row>
    <row r="421" spans="1:43" s="85" customFormat="1" ht="25.5" x14ac:dyDescent="0.75">
      <c r="A421" s="853"/>
      <c r="B421" s="560" t="s">
        <v>1156</v>
      </c>
      <c r="C421" s="921" t="s">
        <v>1178</v>
      </c>
      <c r="D421" s="561"/>
      <c r="E421" s="572"/>
      <c r="F421" s="575"/>
      <c r="G421" s="576"/>
      <c r="H421" s="576"/>
      <c r="I421" s="576"/>
      <c r="J421" s="576"/>
      <c r="K421" s="576"/>
      <c r="L421" s="576"/>
      <c r="M421" s="576"/>
      <c r="N421" s="576"/>
      <c r="O421" s="576"/>
      <c r="P421" s="576"/>
      <c r="Q421" s="576"/>
      <c r="R421" s="576"/>
      <c r="S421" s="576"/>
      <c r="T421" s="576"/>
      <c r="U421" s="576"/>
      <c r="V421" s="576"/>
      <c r="W421" s="576"/>
      <c r="X421" s="576"/>
      <c r="Y421" s="576"/>
      <c r="Z421" s="576"/>
      <c r="AA421" s="577"/>
      <c r="AB421" s="380"/>
      <c r="AC421" s="380"/>
      <c r="AD421" s="380"/>
      <c r="AE421" s="380"/>
      <c r="AF421" s="380"/>
      <c r="AG421" s="380"/>
      <c r="AH421" s="380"/>
      <c r="AI421" s="380"/>
      <c r="AJ421" s="568">
        <f t="shared" si="203"/>
        <v>0</v>
      </c>
      <c r="AK421" s="691" t="str">
        <f>CONCATENATE(IF(D422&gt;D421," * Positive F01-13 for Age "&amp;D408&amp;" "&amp;D409&amp;" is more than Tested F01-12"&amp;CHAR(10),""),IF(E422&gt;E421," * Positive F01-13 for Age "&amp;D408&amp;" "&amp;E409&amp;" is more than Tested F01-12"&amp;CHAR(10),""),IF(F422&gt;F421," * Positive F01-13 for Age "&amp;F408&amp;" "&amp;F409&amp;" is more than Tested F01-12"&amp;CHAR(10),""),IF(G422&gt;G421," * Positive F01-13 for Age "&amp;F408&amp;" "&amp;G409&amp;" is more than Tested F01-12"&amp;CHAR(10),""),IF(H422&gt;H421," * Positive F01-13 for Age "&amp;H408&amp;" "&amp;H409&amp;" is more than Tested F01-12"&amp;CHAR(10),""),IF(I422&gt;I421," * Positive F01-13 for Age "&amp;H408&amp;" "&amp;I409&amp;" is more than Tested F01-12"&amp;CHAR(10),""),IF(J422&gt;J421," * Positive F01-13 for Age "&amp;J408&amp;" "&amp;J409&amp;" is more than Tested F01-12"&amp;CHAR(10),""),IF(K422&gt;K421," * Positive F01-13 for Age "&amp;J408&amp;" "&amp;K409&amp;" is more than Tested F01-12"&amp;CHAR(10),""),IF(L422&gt;L421," * Positive F01-13 for Age "&amp;L408&amp;" "&amp;L409&amp;" is more than Tested F01-12"&amp;CHAR(10),""),IF(M422&gt;M421," * Positive F01-13 for Age "&amp;L408&amp;" "&amp;M409&amp;" is more than Tested F01-12"&amp;CHAR(10),""),IF(N422&gt;N421," * Positive F01-13 for Age "&amp;N408&amp;" "&amp;N409&amp;" is more than Tested F01-12"&amp;CHAR(10),""),IF(O422&gt;O421," * Positive F01-13 for Age "&amp;N408&amp;" "&amp;O409&amp;" is more than Tested F01-12"&amp;CHAR(10),""),IF(P422&gt;P421," * Positive F01-13 for Age "&amp;P408&amp;" "&amp;P409&amp;" is more than Tested F01-12"&amp;CHAR(10),""),IF(Q422&gt;Q421," * Positive F01-13 for Age "&amp;P408&amp;" "&amp;Q409&amp;" is more than Tested F01-12"&amp;CHAR(10),""),IF(R422&gt;R421," * Positive F01-13 for Age "&amp;R408&amp;" "&amp;R409&amp;" is more than Tested F01-12"&amp;CHAR(10),""),IF(S422&gt;S421," * Positive F01-13 for Age "&amp;R408&amp;" "&amp;S409&amp;" is more than Tested F01-12"&amp;CHAR(10),""),IF(T422&gt;T421," * Positive F01-13 for Age "&amp;T408&amp;" "&amp;T409&amp;" is more than Tested F01-12"&amp;CHAR(10),""),IF(U422&gt;U421," * Positive F01-13 for Age "&amp;T408&amp;" "&amp;U409&amp;" is more than Tested F01-12"&amp;CHAR(10),""),IF(V422&gt;V421," * Positive F01-13 for Age "&amp;V408&amp;" "&amp;V409&amp;" is more than Tested F01-12"&amp;CHAR(10),""),IF(W422&gt;W421," * Positive F01-13 for Age "&amp;V408&amp;" "&amp;W409&amp;" is more than Tested F01-12"&amp;CHAR(10),""),IF(X422&gt;X421," * Positive F01-13 for Age "&amp;X408&amp;" "&amp;X409&amp;" is more than Tested F01-12"&amp;CHAR(10),""),IF(Y422&gt;Y421," * Positive F01-13 for Age "&amp;X408&amp;" "&amp;Y409&amp;" is more than Tested F01-12"&amp;CHAR(10),""),IF(Z422&gt;Z421," * Positive F01-13 for Age "&amp;Z408&amp;" "&amp;Z409&amp;" is more than Tested F01-12"&amp;CHAR(10),""),IF(AA422&gt;AA421," * Positive F01-13 for Age "&amp;Z408&amp;" "&amp;AA409&amp;" is more than Tested F01-12"&amp;CHAR(10),""))</f>
        <v/>
      </c>
      <c r="AL421" s="555"/>
      <c r="AM421" s="32" t="str">
        <f>CONCATENATE(IF(AND(IFERROR((AJ422*100)/AJ421,0)&gt;10,AJ422&gt;5)," * This facility has a high positivity rate for Index Testing. Kindly confirm if this is the true reflection"&amp;CHAR(10),""),"")</f>
        <v/>
      </c>
      <c r="AN421" s="556"/>
      <c r="AO421" s="14">
        <v>32</v>
      </c>
      <c r="AP421" s="83"/>
      <c r="AQ421" s="84"/>
    </row>
    <row r="422" spans="1:43" s="85" customFormat="1" ht="25.5" x14ac:dyDescent="0.75">
      <c r="A422" s="853"/>
      <c r="B422" s="560" t="s">
        <v>1137</v>
      </c>
      <c r="C422" s="921" t="s">
        <v>1179</v>
      </c>
      <c r="D422" s="559"/>
      <c r="E422" s="573"/>
      <c r="F422" s="575"/>
      <c r="G422" s="576"/>
      <c r="H422" s="576"/>
      <c r="I422" s="576"/>
      <c r="J422" s="576"/>
      <c r="K422" s="576"/>
      <c r="L422" s="576"/>
      <c r="M422" s="576"/>
      <c r="N422" s="576"/>
      <c r="O422" s="576"/>
      <c r="P422" s="576"/>
      <c r="Q422" s="576"/>
      <c r="R422" s="576"/>
      <c r="S422" s="576"/>
      <c r="T422" s="576"/>
      <c r="U422" s="576"/>
      <c r="V422" s="576"/>
      <c r="W422" s="576"/>
      <c r="X422" s="576"/>
      <c r="Y422" s="576"/>
      <c r="Z422" s="576"/>
      <c r="AA422" s="577"/>
      <c r="AB422" s="380"/>
      <c r="AC422" s="380"/>
      <c r="AD422" s="380"/>
      <c r="AE422" s="380"/>
      <c r="AF422" s="380"/>
      <c r="AG422" s="380"/>
      <c r="AH422" s="380"/>
      <c r="AI422" s="380"/>
      <c r="AJ422" s="569">
        <f t="shared" si="203"/>
        <v>0</v>
      </c>
      <c r="AK422" s="691"/>
      <c r="AL422" s="555"/>
      <c r="AM422" s="32" t="e">
        <f>CONCATENATE(IF(D421&gt;0," * F01-12 for Age "&amp;D408&amp;" "&amp;D409&amp;" has a value greater than 0"&amp;CHAR(10),""),IF(E421&gt;0," * F01-12 for Age "&amp;D408&amp;" "&amp;E409&amp;" has a value greater than 0"&amp;CHAR(10),""),IF(D422&gt;0," * F01-13 for Age "&amp;D408&amp;" "&amp;D409&amp;" has a value greater than 0"&amp;CHAR(10),""),IF(E422&gt;0," * F01-13 for Age "&amp;D408&amp;" "&amp;E409&amp;" has a value greater than 0"&amp;CHAR(10),""),IF(#REF!&gt;0," * F01-14 for Age "&amp;D408&amp;" "&amp;D409&amp;" has a value greater than 0"&amp;CHAR(10),""),IF(#REF!&gt;0," * F01-14 for Age "&amp;D408&amp;" "&amp;E409&amp;" has a value greater than 0"&amp;CHAR(10),""),IF(D485&gt;0," * F01-15 for Age "&amp;D408&amp;" "&amp;D409&amp;" has a value greater than 0"&amp;CHAR(10),""),IF(E485&gt;0," * F01-15 for Age "&amp;D408&amp;" "&amp;E409&amp;" has a value greater than 0"&amp;CHAR(10),""),IF(D490&gt;0," * F01-20 for Age "&amp;D408&amp;" "&amp;D409&amp;" has a value greater than 0"&amp;CHAR(10),""),IF(E490&gt;0," * F01-20 for Age "&amp;D408&amp;" "&amp;E409&amp;" has a value greater than 0"&amp;CHAR(10),""),IF(D491&gt;0," * F01-21 for Age "&amp;D408&amp;" "&amp;D409&amp;" has a value greater than 0"&amp;CHAR(10),""),IF(E491&gt;0," * F01-21 for Age "&amp;D408&amp;" "&amp;E409&amp;" has a value greater than 0"&amp;CHAR(10),""),IF(D492&gt;0," * F01-22 for Age "&amp;D408&amp;" "&amp;D409&amp;" has a value greater than 0"&amp;CHAR(10),""),IF(E492&gt;0," * F01-22 for Age "&amp;D408&amp;" "&amp;E409&amp;" has a value greater than 0"&amp;CHAR(10),""),IF(D493&gt;0," * F01-23 for Age "&amp;D408&amp;" "&amp;D409&amp;" has a value greater than 0"&amp;CHAR(10),""),IF(E493&gt;0," * F01-23 for Age "&amp;D408&amp;" "&amp;E409&amp;" has a value greater than 0"&amp;CHAR(10),""),"")</f>
        <v>#REF!</v>
      </c>
      <c r="AN422" s="556"/>
      <c r="AO422" s="14">
        <v>33</v>
      </c>
      <c r="AP422" s="83"/>
      <c r="AQ422" s="84"/>
    </row>
    <row r="423" spans="1:43" s="85" customFormat="1" ht="25.9" thickBot="1" x14ac:dyDescent="0.8">
      <c r="A423" s="853"/>
      <c r="B423" s="560" t="s">
        <v>1139</v>
      </c>
      <c r="C423" s="921" t="s">
        <v>1180</v>
      </c>
      <c r="D423" s="559"/>
      <c r="E423" s="573"/>
      <c r="F423" s="575"/>
      <c r="G423" s="576"/>
      <c r="H423" s="576"/>
      <c r="I423" s="576"/>
      <c r="J423" s="576"/>
      <c r="K423" s="576"/>
      <c r="L423" s="576"/>
      <c r="M423" s="576"/>
      <c r="N423" s="576"/>
      <c r="O423" s="576"/>
      <c r="P423" s="576"/>
      <c r="Q423" s="576"/>
      <c r="R423" s="576"/>
      <c r="S423" s="576"/>
      <c r="T423" s="576"/>
      <c r="U423" s="576"/>
      <c r="V423" s="576"/>
      <c r="W423" s="576"/>
      <c r="X423" s="576"/>
      <c r="Y423" s="576"/>
      <c r="Z423" s="576"/>
      <c r="AA423" s="577"/>
      <c r="AB423" s="380"/>
      <c r="AC423" s="380"/>
      <c r="AD423" s="380"/>
      <c r="AE423" s="380"/>
      <c r="AF423" s="380"/>
      <c r="AG423" s="380"/>
      <c r="AH423" s="380"/>
      <c r="AI423" s="380"/>
      <c r="AJ423" s="569">
        <f t="shared" si="203"/>
        <v>0</v>
      </c>
      <c r="AK423" s="557"/>
      <c r="AL423" s="555"/>
      <c r="AM423" s="32" t="str">
        <f>CONCATENATE(IF(D422&gt;0," * F01-12 for Age "&amp;D409&amp;" "&amp;D410&amp;" has a value greater than 0"&amp;CHAR(10),""),IF(E422&gt;0," * F01-12 for Age "&amp;D409&amp;" "&amp;E410&amp;" has a value greater than 0"&amp;CHAR(10),""),IF(D423&gt;0," * F01-13 for Age "&amp;D409&amp;" "&amp;D410&amp;" has a value greater than 0"&amp;CHAR(10),""),IF(E423&gt;0," * F01-13 for Age "&amp;D409&amp;" "&amp;E410&amp;" has a value greater than 0"&amp;CHAR(10),""),IF(D485&gt;0," * F01-14 for Age "&amp;D409&amp;" "&amp;D410&amp;" has a value greater than 0"&amp;CHAR(10),""),IF(E485&gt;0," * F01-14 for Age "&amp;D409&amp;" "&amp;E410&amp;" has a value greater than 0"&amp;CHAR(10),""),IF(D486&gt;0," * F01-15 for Age "&amp;D409&amp;" "&amp;D410&amp;" has a value greater than 0"&amp;CHAR(10),""),IF(E486&gt;0," * F01-15 for Age "&amp;D409&amp;" "&amp;E410&amp;" has a value greater than 0"&amp;CHAR(10),""),IF(D491&gt;0," * F01-20 for Age "&amp;D409&amp;" "&amp;D410&amp;" has a value greater than 0"&amp;CHAR(10),""),IF(E491&gt;0," * F01-20 for Age "&amp;D409&amp;" "&amp;E410&amp;" has a value greater than 0"&amp;CHAR(10),""),IF(D492&gt;0," * F01-21 for Age "&amp;D409&amp;" "&amp;D410&amp;" has a value greater than 0"&amp;CHAR(10),""),IF(E492&gt;0," * F01-21 for Age "&amp;D409&amp;" "&amp;E410&amp;" has a value greater than 0"&amp;CHAR(10),""),IF(D493&gt;0," * F01-22 for Age "&amp;D409&amp;" "&amp;D410&amp;" has a value greater than 0"&amp;CHAR(10),""),IF(E493&gt;0," * F01-22 for Age "&amp;D409&amp;" "&amp;E410&amp;" has a value greater than 0"&amp;CHAR(10),""),IF(D494&gt;0," * F01-23 for Age "&amp;D409&amp;" "&amp;D410&amp;" has a value greater than 0"&amp;CHAR(10),""),IF(E494&gt;0," * F01-23 for Age "&amp;D409&amp;" "&amp;E410&amp;" has a value greater than 0"&amp;CHAR(10),""),"")</f>
        <v/>
      </c>
      <c r="AN423" s="556"/>
      <c r="AO423" s="14">
        <v>33</v>
      </c>
      <c r="AP423" s="83"/>
      <c r="AQ423" s="84"/>
    </row>
    <row r="424" spans="1:43" s="85" customFormat="1" ht="25.9" thickBot="1" x14ac:dyDescent="0.8">
      <c r="A424" s="854"/>
      <c r="B424" s="565" t="s">
        <v>1141</v>
      </c>
      <c r="C424" s="922" t="s">
        <v>1181</v>
      </c>
      <c r="D424" s="566"/>
      <c r="E424" s="574"/>
      <c r="F424" s="862">
        <f>F420-SUM(F421:F423)</f>
        <v>0</v>
      </c>
      <c r="G424" s="863">
        <f t="shared" ref="G424" si="271">G420-SUM(G421:G423)</f>
        <v>0</v>
      </c>
      <c r="H424" s="862">
        <f t="shared" ref="H424" si="272">H420-SUM(H421:H423)</f>
        <v>0</v>
      </c>
      <c r="I424" s="863">
        <f t="shared" ref="I424" si="273">I420-SUM(I421:I423)</f>
        <v>0</v>
      </c>
      <c r="J424" s="862">
        <f t="shared" ref="J424" si="274">J420-SUM(J421:J423)</f>
        <v>0</v>
      </c>
      <c r="K424" s="863">
        <f t="shared" ref="K424" si="275">K420-SUM(K421:K423)</f>
        <v>0</v>
      </c>
      <c r="L424" s="862">
        <f t="shared" ref="L424" si="276">L420-SUM(L421:L423)</f>
        <v>0</v>
      </c>
      <c r="M424" s="863">
        <f t="shared" ref="M424" si="277">M420-SUM(M421:M423)</f>
        <v>0</v>
      </c>
      <c r="N424" s="862">
        <f t="shared" ref="N424" si="278">N420-SUM(N421:N423)</f>
        <v>0</v>
      </c>
      <c r="O424" s="863">
        <f t="shared" ref="O424" si="279">O420-SUM(O421:O423)</f>
        <v>0</v>
      </c>
      <c r="P424" s="862">
        <f t="shared" ref="P424" si="280">P420-SUM(P421:P423)</f>
        <v>0</v>
      </c>
      <c r="Q424" s="863">
        <f t="shared" ref="Q424" si="281">Q420-SUM(Q421:Q423)</f>
        <v>0</v>
      </c>
      <c r="R424" s="862">
        <f t="shared" ref="R424" si="282">R420-SUM(R421:R423)</f>
        <v>0</v>
      </c>
      <c r="S424" s="863">
        <f t="shared" ref="S424" si="283">S420-SUM(S421:S423)</f>
        <v>0</v>
      </c>
      <c r="T424" s="862">
        <f t="shared" ref="T424" si="284">T420-SUM(T421:T423)</f>
        <v>0</v>
      </c>
      <c r="U424" s="863">
        <f t="shared" ref="U424" si="285">U420-SUM(U421:U423)</f>
        <v>0</v>
      </c>
      <c r="V424" s="862">
        <f t="shared" ref="V424" si="286">V420-SUM(V421:V423)</f>
        <v>0</v>
      </c>
      <c r="W424" s="863">
        <f t="shared" ref="W424" si="287">W420-SUM(W421:W423)</f>
        <v>0</v>
      </c>
      <c r="X424" s="862">
        <f t="shared" ref="X424" si="288">X420-SUM(X421:X423)</f>
        <v>0</v>
      </c>
      <c r="Y424" s="863">
        <f t="shared" ref="Y424" si="289">Y420-SUM(Y421:Y423)</f>
        <v>0</v>
      </c>
      <c r="Z424" s="862">
        <f t="shared" ref="Z424" si="290">Z420-SUM(Z421:Z423)</f>
        <v>0</v>
      </c>
      <c r="AA424" s="863">
        <f t="shared" ref="AA424" si="291">AA420-SUM(AA421:AA423)</f>
        <v>0</v>
      </c>
      <c r="AB424" s="415"/>
      <c r="AC424" s="415"/>
      <c r="AD424" s="415"/>
      <c r="AE424" s="415"/>
      <c r="AF424" s="415"/>
      <c r="AG424" s="415"/>
      <c r="AH424" s="415"/>
      <c r="AI424" s="415"/>
      <c r="AJ424" s="570">
        <f t="shared" ref="AJ424:AJ443" si="292">SUM(D424:AA424)</f>
        <v>0</v>
      </c>
      <c r="AK424" s="557"/>
      <c r="AL424" s="555"/>
      <c r="AM424" s="32" t="str">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0"&amp;CHAR(10),""),IF(D486&gt;0," * F01-14 for Age "&amp;D410&amp;" "&amp;D411&amp;" has a value greater than 0"&amp;CHAR(10),""),IF(E486&gt;0,"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
      </c>
      <c r="AN424" s="556"/>
      <c r="AO424" s="14">
        <v>33</v>
      </c>
      <c r="AP424" s="83"/>
      <c r="AQ424" s="84"/>
    </row>
    <row r="425" spans="1:43" s="85" customFormat="1" ht="25.9" thickBot="1" x14ac:dyDescent="0.8">
      <c r="A425" s="852" t="s">
        <v>18</v>
      </c>
      <c r="B425" s="563" t="s">
        <v>152</v>
      </c>
      <c r="C425" s="920" t="s">
        <v>1182</v>
      </c>
      <c r="D425" s="564"/>
      <c r="E425" s="571"/>
      <c r="F425" s="860">
        <f>F47</f>
        <v>0</v>
      </c>
      <c r="G425" s="860">
        <f t="shared" ref="G425:AA425" si="293">G47</f>
        <v>0</v>
      </c>
      <c r="H425" s="860">
        <f t="shared" si="293"/>
        <v>0</v>
      </c>
      <c r="I425" s="860">
        <f t="shared" si="293"/>
        <v>0</v>
      </c>
      <c r="J425" s="860">
        <f t="shared" si="293"/>
        <v>0</v>
      </c>
      <c r="K425" s="860">
        <f t="shared" si="293"/>
        <v>0</v>
      </c>
      <c r="L425" s="860">
        <f t="shared" si="293"/>
        <v>0</v>
      </c>
      <c r="M425" s="860">
        <f t="shared" si="293"/>
        <v>0</v>
      </c>
      <c r="N425" s="860">
        <f t="shared" si="293"/>
        <v>0</v>
      </c>
      <c r="O425" s="860">
        <f t="shared" si="293"/>
        <v>0</v>
      </c>
      <c r="P425" s="860">
        <f t="shared" si="293"/>
        <v>0</v>
      </c>
      <c r="Q425" s="860">
        <f t="shared" si="293"/>
        <v>0</v>
      </c>
      <c r="R425" s="860">
        <f t="shared" si="293"/>
        <v>0</v>
      </c>
      <c r="S425" s="860">
        <f t="shared" si="293"/>
        <v>0</v>
      </c>
      <c r="T425" s="860">
        <f t="shared" si="293"/>
        <v>0</v>
      </c>
      <c r="U425" s="860">
        <f t="shared" si="293"/>
        <v>0</v>
      </c>
      <c r="V425" s="860">
        <f t="shared" si="293"/>
        <v>0</v>
      </c>
      <c r="W425" s="860">
        <f t="shared" si="293"/>
        <v>0</v>
      </c>
      <c r="X425" s="860">
        <f t="shared" si="293"/>
        <v>0</v>
      </c>
      <c r="Y425" s="860">
        <f t="shared" si="293"/>
        <v>0</v>
      </c>
      <c r="Z425" s="860">
        <f t="shared" si="293"/>
        <v>0</v>
      </c>
      <c r="AA425" s="860">
        <f t="shared" si="293"/>
        <v>0</v>
      </c>
      <c r="AB425" s="412"/>
      <c r="AC425" s="412"/>
      <c r="AD425" s="412"/>
      <c r="AE425" s="412"/>
      <c r="AF425" s="412"/>
      <c r="AG425" s="412"/>
      <c r="AH425" s="412"/>
      <c r="AI425" s="412"/>
      <c r="AJ425" s="567">
        <f t="shared" si="292"/>
        <v>0</v>
      </c>
      <c r="AK425" s="553"/>
      <c r="AL425" s="555"/>
      <c r="AM425" s="32"/>
      <c r="AN425" s="556"/>
      <c r="AO425" s="14">
        <v>31</v>
      </c>
      <c r="AP425" s="83"/>
      <c r="AQ425" s="84"/>
    </row>
    <row r="426" spans="1:43" s="85" customFormat="1" ht="25.5" x14ac:dyDescent="0.75">
      <c r="A426" s="853"/>
      <c r="B426" s="560" t="s">
        <v>1156</v>
      </c>
      <c r="C426" s="921" t="s">
        <v>1183</v>
      </c>
      <c r="D426" s="561"/>
      <c r="E426" s="572"/>
      <c r="F426" s="857"/>
      <c r="G426" s="857"/>
      <c r="H426" s="857"/>
      <c r="I426" s="857"/>
      <c r="J426" s="857"/>
      <c r="K426" s="857"/>
      <c r="L426" s="576"/>
      <c r="M426" s="576"/>
      <c r="N426" s="576"/>
      <c r="O426" s="576"/>
      <c r="P426" s="576"/>
      <c r="Q426" s="576"/>
      <c r="R426" s="576"/>
      <c r="S426" s="576"/>
      <c r="T426" s="576"/>
      <c r="U426" s="576"/>
      <c r="V426" s="576"/>
      <c r="W426" s="576"/>
      <c r="X426" s="576"/>
      <c r="Y426" s="576"/>
      <c r="Z426" s="576"/>
      <c r="AA426" s="577"/>
      <c r="AB426" s="380"/>
      <c r="AC426" s="380"/>
      <c r="AD426" s="380"/>
      <c r="AE426" s="380"/>
      <c r="AF426" s="380"/>
      <c r="AG426" s="380"/>
      <c r="AH426" s="380"/>
      <c r="AI426" s="380"/>
      <c r="AJ426" s="568">
        <f t="shared" si="292"/>
        <v>0</v>
      </c>
      <c r="AK426" s="691" t="str">
        <f>CONCATENATE(IF(D427&gt;D426," * Positive F01-13 for Age "&amp;D413&amp;" "&amp;D414&amp;" is more than Tested F01-12"&amp;CHAR(10),""),IF(E427&gt;E426," * Positive F01-13 for Age "&amp;D413&amp;" "&amp;E414&amp;" is more than Tested F01-12"&amp;CHAR(10),""),IF(F427&gt;F426," * Positive F01-13 for Age "&amp;F413&amp;" "&amp;F414&amp;" is more than Tested F01-12"&amp;CHAR(10),""),IF(G427&gt;G426," * Positive F01-13 for Age "&amp;F413&amp;" "&amp;G414&amp;" is more than Tested F01-12"&amp;CHAR(10),""),IF(H427&gt;H426," * Positive F01-13 for Age "&amp;H413&amp;" "&amp;H414&amp;" is more than Tested F01-12"&amp;CHAR(10),""),IF(I427&gt;I426," * Positive F01-13 for Age "&amp;H413&amp;" "&amp;I414&amp;" is more than Tested F01-12"&amp;CHAR(10),""),IF(J427&gt;J426," * Positive F01-13 for Age "&amp;J413&amp;" "&amp;J414&amp;" is more than Tested F01-12"&amp;CHAR(10),""),IF(K427&gt;K426," * Positive F01-13 for Age "&amp;J413&amp;" "&amp;K414&amp;" is more than Tested F01-12"&amp;CHAR(10),""),IF(L427&gt;L426," * Positive F01-13 for Age "&amp;L413&amp;" "&amp;L414&amp;" is more than Tested F01-12"&amp;CHAR(10),""),IF(M427&gt;M426," * Positive F01-13 for Age "&amp;L413&amp;" "&amp;M414&amp;" is more than Tested F01-12"&amp;CHAR(10),""),IF(N427&gt;N426," * Positive F01-13 for Age "&amp;N413&amp;" "&amp;N414&amp;" is more than Tested F01-12"&amp;CHAR(10),""),IF(O427&gt;O426," * Positive F01-13 for Age "&amp;N413&amp;" "&amp;O414&amp;" is more than Tested F01-12"&amp;CHAR(10),""),IF(P427&gt;P426," * Positive F01-13 for Age "&amp;P413&amp;" "&amp;P414&amp;" is more than Tested F01-12"&amp;CHAR(10),""),IF(Q427&gt;Q426," * Positive F01-13 for Age "&amp;P413&amp;" "&amp;Q414&amp;" is more than Tested F01-12"&amp;CHAR(10),""),IF(R427&gt;R426," * Positive F01-13 for Age "&amp;R413&amp;" "&amp;R414&amp;" is more than Tested F01-12"&amp;CHAR(10),""),IF(S427&gt;S426," * Positive F01-13 for Age "&amp;R413&amp;" "&amp;S414&amp;" is more than Tested F01-12"&amp;CHAR(10),""),IF(T427&gt;T426," * Positive F01-13 for Age "&amp;T413&amp;" "&amp;T414&amp;" is more than Tested F01-12"&amp;CHAR(10),""),IF(U427&gt;U426," * Positive F01-13 for Age "&amp;T413&amp;" "&amp;U414&amp;" is more than Tested F01-12"&amp;CHAR(10),""),IF(V427&gt;V426," * Positive F01-13 for Age "&amp;V413&amp;" "&amp;V414&amp;" is more than Tested F01-12"&amp;CHAR(10),""),IF(W427&gt;W426," * Positive F01-13 for Age "&amp;V413&amp;" "&amp;W414&amp;" is more than Tested F01-12"&amp;CHAR(10),""),IF(X427&gt;X426," * Positive F01-13 for Age "&amp;X413&amp;" "&amp;X414&amp;" is more than Tested F01-12"&amp;CHAR(10),""),IF(Y427&gt;Y426," * Positive F01-13 for Age "&amp;X413&amp;" "&amp;Y414&amp;" is more than Tested F01-12"&amp;CHAR(10),""),IF(Z427&gt;Z426," * Positive F01-13 for Age "&amp;Z413&amp;" "&amp;Z414&amp;" is more than Tested F01-12"&amp;CHAR(10),""),IF(AA427&gt;AA426," * Positive F01-13 for Age "&amp;Z413&amp;" "&amp;AA414&amp;" is more than Tested F01-12"&amp;CHAR(10),""))</f>
        <v/>
      </c>
      <c r="AL426" s="555"/>
      <c r="AM426" s="32" t="str">
        <f>CONCATENATE(IF(AND(IFERROR((AJ427*100)/AJ426,0)&gt;10,AJ427&gt;5)," * This facility has a high positivity rate for Index Testing. Kindly confirm if this is the true reflection"&amp;CHAR(10),""),"")</f>
        <v/>
      </c>
      <c r="AN426" s="556"/>
      <c r="AO426" s="14">
        <v>32</v>
      </c>
      <c r="AP426" s="83"/>
      <c r="AQ426" s="84"/>
    </row>
    <row r="427" spans="1:43" s="85" customFormat="1" ht="25.5" x14ac:dyDescent="0.75">
      <c r="A427" s="853"/>
      <c r="B427" s="560" t="s">
        <v>1137</v>
      </c>
      <c r="C427" s="921" t="s">
        <v>1184</v>
      </c>
      <c r="D427" s="559"/>
      <c r="E427" s="573"/>
      <c r="F427" s="856"/>
      <c r="G427" s="856"/>
      <c r="H427" s="856"/>
      <c r="I427" s="856"/>
      <c r="J427" s="856"/>
      <c r="K427" s="856"/>
      <c r="L427" s="576"/>
      <c r="M427" s="576"/>
      <c r="N427" s="576"/>
      <c r="O427" s="576"/>
      <c r="P427" s="576"/>
      <c r="Q427" s="576"/>
      <c r="R427" s="576"/>
      <c r="S427" s="576"/>
      <c r="T427" s="576"/>
      <c r="U427" s="576"/>
      <c r="V427" s="576"/>
      <c r="W427" s="576"/>
      <c r="X427" s="576"/>
      <c r="Y427" s="576"/>
      <c r="Z427" s="576"/>
      <c r="AA427" s="577"/>
      <c r="AB427" s="380"/>
      <c r="AC427" s="380"/>
      <c r="AD427" s="380"/>
      <c r="AE427" s="380"/>
      <c r="AF427" s="380"/>
      <c r="AG427" s="380"/>
      <c r="AH427" s="380"/>
      <c r="AI427" s="380"/>
      <c r="AJ427" s="569">
        <f t="shared" si="292"/>
        <v>0</v>
      </c>
      <c r="AK427" s="691"/>
      <c r="AL427" s="555"/>
      <c r="AM427" s="32" t="e">
        <f>CONCATENATE(IF(D426&gt;0," * F01-12 for Age "&amp;D413&amp;" "&amp;D414&amp;" has a value greater than 0"&amp;CHAR(10),""),IF(E426&gt;0," * F01-12 for Age "&amp;D413&amp;" "&amp;E414&amp;" has a value greater than 0"&amp;CHAR(10),""),IF(D427&gt;0," * F01-13 for Age "&amp;D413&amp;" "&amp;D414&amp;" has a value greater than 0"&amp;CHAR(10),""),IF(E427&gt;0," * F01-13 for Age "&amp;D413&amp;" "&amp;E414&amp;" has a value greater than 0"&amp;CHAR(10),""),IF(#REF!&gt;0," * F01-14 for Age "&amp;D413&amp;" "&amp;D414&amp;" has a value greater than 0"&amp;CHAR(10),""),IF(#REF!&gt;0," * F01-14 for Age "&amp;D413&amp;" "&amp;E414&amp;" has a value greater than 0"&amp;CHAR(10),""),IF(D490&gt;0," * F01-15 for Age "&amp;D413&amp;" "&amp;D414&amp;" has a value greater than 0"&amp;CHAR(10),""),IF(E490&gt;0," * F01-15 for Age "&amp;D413&amp;" "&amp;E414&amp;" has a value greater than 0"&amp;CHAR(10),""),IF(D495&gt;0," * F01-20 for Age "&amp;D413&amp;" "&amp;D414&amp;" has a value greater than 0"&amp;CHAR(10),""),IF(E495&gt;0," * F01-20 for Age "&amp;D413&amp;" "&amp;E414&amp;" has a value greater than 0"&amp;CHAR(10),""),IF(D496&gt;0," * F01-21 for Age "&amp;D413&amp;" "&amp;D414&amp;" has a value greater than 0"&amp;CHAR(10),""),IF(E496&gt;0," * F01-21 for Age "&amp;D413&amp;" "&amp;E414&amp;" has a value greater than 0"&amp;CHAR(10),""),IF(D497&gt;0," * F01-22 for Age "&amp;D413&amp;" "&amp;D414&amp;" has a value greater than 0"&amp;CHAR(10),""),IF(E497&gt;0," * F01-22 for Age "&amp;D413&amp;" "&amp;E414&amp;" has a value greater than 0"&amp;CHAR(10),""),IF(D498&gt;0," * F01-23 for Age "&amp;D413&amp;" "&amp;D414&amp;" has a value greater than 0"&amp;CHAR(10),""),IF(E498&gt;0," * F01-23 for Age "&amp;D413&amp;" "&amp;E414&amp;" has a value greater than 0"&amp;CHAR(10),""),"")</f>
        <v>#REF!</v>
      </c>
      <c r="AN427" s="556"/>
      <c r="AO427" s="14">
        <v>33</v>
      </c>
      <c r="AP427" s="83"/>
      <c r="AQ427" s="84"/>
    </row>
    <row r="428" spans="1:43" s="85" customFormat="1" ht="25.9" thickBot="1" x14ac:dyDescent="0.8">
      <c r="A428" s="853"/>
      <c r="B428" s="560" t="s">
        <v>1139</v>
      </c>
      <c r="C428" s="921" t="s">
        <v>1185</v>
      </c>
      <c r="D428" s="559"/>
      <c r="E428" s="573"/>
      <c r="F428" s="856"/>
      <c r="G428" s="856"/>
      <c r="H428" s="856"/>
      <c r="I428" s="856"/>
      <c r="J428" s="856"/>
      <c r="K428" s="856"/>
      <c r="L428" s="576"/>
      <c r="M428" s="576"/>
      <c r="N428" s="576"/>
      <c r="O428" s="576"/>
      <c r="P428" s="576"/>
      <c r="Q428" s="576"/>
      <c r="R428" s="576"/>
      <c r="S428" s="576"/>
      <c r="T428" s="576"/>
      <c r="U428" s="576"/>
      <c r="V428" s="576"/>
      <c r="W428" s="576"/>
      <c r="X428" s="576"/>
      <c r="Y428" s="576"/>
      <c r="Z428" s="576"/>
      <c r="AA428" s="577"/>
      <c r="AB428" s="380"/>
      <c r="AC428" s="380"/>
      <c r="AD428" s="380"/>
      <c r="AE428" s="380"/>
      <c r="AF428" s="380"/>
      <c r="AG428" s="380"/>
      <c r="AH428" s="380"/>
      <c r="AI428" s="380"/>
      <c r="AJ428" s="569">
        <f t="shared" si="292"/>
        <v>0</v>
      </c>
      <c r="AK428" s="557"/>
      <c r="AL428" s="555"/>
      <c r="AM428" s="32" t="str">
        <f>CONCATENATE(IF(D427&gt;0," * F01-12 for Age "&amp;D414&amp;" "&amp;D415&amp;" has a value greater than 0"&amp;CHAR(10),""),IF(E427&gt;0," * F01-12 for Age "&amp;D414&amp;" "&amp;E415&amp;" has a value greater than 0"&amp;CHAR(10),""),IF(D428&gt;0," * F01-13 for Age "&amp;D414&amp;" "&amp;D415&amp;" has a value greater than 0"&amp;CHAR(10),""),IF(E428&gt;0," * F01-13 for Age "&amp;D414&amp;" "&amp;E415&amp;" has a value greater than 0"&amp;CHAR(10),""),IF(D490&gt;0," * F01-14 for Age "&amp;D414&amp;" "&amp;D415&amp;" has a value greater than 0"&amp;CHAR(10),""),IF(E490&gt;0," * F01-14 for Age "&amp;D414&amp;" "&amp;E415&amp;" has a value greater than 0"&amp;CHAR(10),""),IF(D491&gt;0," * F01-15 for Age "&amp;D414&amp;" "&amp;D415&amp;" has a value greater than 0"&amp;CHAR(10),""),IF(E491&gt;0," * F01-15 for Age "&amp;D414&amp;" "&amp;E415&amp;" has a value greater than 0"&amp;CHAR(10),""),IF(D496&gt;0," * F01-20 for Age "&amp;D414&amp;" "&amp;D415&amp;" has a value greater than 0"&amp;CHAR(10),""),IF(E496&gt;0," * F01-20 for Age "&amp;D414&amp;" "&amp;E415&amp;" has a value greater than 0"&amp;CHAR(10),""),IF(D497&gt;0," * F01-21 for Age "&amp;D414&amp;" "&amp;D415&amp;" has a value greater than 0"&amp;CHAR(10),""),IF(E497&gt;0," * F01-21 for Age "&amp;D414&amp;" "&amp;E415&amp;" has a value greater than 0"&amp;CHAR(10),""),IF(D498&gt;0," * F01-22 for Age "&amp;D414&amp;" "&amp;D415&amp;" has a value greater than 0"&amp;CHAR(10),""),IF(E498&gt;0," * F01-22 for Age "&amp;D414&amp;" "&amp;E415&amp;" has a value greater than 0"&amp;CHAR(10),""),IF(D499&gt;0," * F01-23 for Age "&amp;D414&amp;" "&amp;D415&amp;" has a value greater than 0"&amp;CHAR(10),""),IF(E499&gt;0," * F01-23 for Age "&amp;D414&amp;" "&amp;E415&amp;" has a value greater than 0"&amp;CHAR(10),""),"")</f>
        <v/>
      </c>
      <c r="AN428" s="556"/>
      <c r="AO428" s="14">
        <v>33</v>
      </c>
      <c r="AP428" s="83"/>
      <c r="AQ428" s="84"/>
    </row>
    <row r="429" spans="1:43" s="85" customFormat="1" ht="25.9" thickBot="1" x14ac:dyDescent="0.8">
      <c r="A429" s="854"/>
      <c r="B429" s="565" t="s">
        <v>1141</v>
      </c>
      <c r="C429" s="922" t="s">
        <v>1186</v>
      </c>
      <c r="D429" s="566"/>
      <c r="E429" s="574"/>
      <c r="F429" s="862">
        <f>F425-SUM(F426:F428)</f>
        <v>0</v>
      </c>
      <c r="G429" s="863">
        <f t="shared" ref="G429" si="294">G425-SUM(G426:G428)</f>
        <v>0</v>
      </c>
      <c r="H429" s="862">
        <f t="shared" ref="H429" si="295">H425-SUM(H426:H428)</f>
        <v>0</v>
      </c>
      <c r="I429" s="863">
        <f t="shared" ref="I429" si="296">I425-SUM(I426:I428)</f>
        <v>0</v>
      </c>
      <c r="J429" s="862">
        <f t="shared" ref="J429" si="297">J425-SUM(J426:J428)</f>
        <v>0</v>
      </c>
      <c r="K429" s="863">
        <f t="shared" ref="K429" si="298">K425-SUM(K426:K428)</f>
        <v>0</v>
      </c>
      <c r="L429" s="862">
        <f t="shared" ref="L429" si="299">L425-SUM(L426:L428)</f>
        <v>0</v>
      </c>
      <c r="M429" s="863">
        <f t="shared" ref="M429" si="300">M425-SUM(M426:M428)</f>
        <v>0</v>
      </c>
      <c r="N429" s="862">
        <f t="shared" ref="N429" si="301">N425-SUM(N426:N428)</f>
        <v>0</v>
      </c>
      <c r="O429" s="863">
        <f t="shared" ref="O429" si="302">O425-SUM(O426:O428)</f>
        <v>0</v>
      </c>
      <c r="P429" s="862">
        <f t="shared" ref="P429" si="303">P425-SUM(P426:P428)</f>
        <v>0</v>
      </c>
      <c r="Q429" s="863">
        <f t="shared" ref="Q429" si="304">Q425-SUM(Q426:Q428)</f>
        <v>0</v>
      </c>
      <c r="R429" s="862">
        <f t="shared" ref="R429" si="305">R425-SUM(R426:R428)</f>
        <v>0</v>
      </c>
      <c r="S429" s="863">
        <f t="shared" ref="S429" si="306">S425-SUM(S426:S428)</f>
        <v>0</v>
      </c>
      <c r="T429" s="862">
        <f t="shared" ref="T429" si="307">T425-SUM(T426:T428)</f>
        <v>0</v>
      </c>
      <c r="U429" s="863">
        <f t="shared" ref="U429" si="308">U425-SUM(U426:U428)</f>
        <v>0</v>
      </c>
      <c r="V429" s="862">
        <f t="shared" ref="V429" si="309">V425-SUM(V426:V428)</f>
        <v>0</v>
      </c>
      <c r="W429" s="863">
        <f t="shared" ref="W429" si="310">W425-SUM(W426:W428)</f>
        <v>0</v>
      </c>
      <c r="X429" s="862">
        <f t="shared" ref="X429" si="311">X425-SUM(X426:X428)</f>
        <v>0</v>
      </c>
      <c r="Y429" s="863">
        <f t="shared" ref="Y429" si="312">Y425-SUM(Y426:Y428)</f>
        <v>0</v>
      </c>
      <c r="Z429" s="862">
        <f t="shared" ref="Z429" si="313">Z425-SUM(Z426:Z428)</f>
        <v>0</v>
      </c>
      <c r="AA429" s="863">
        <f t="shared" ref="AA429" si="314">AA425-SUM(AA426:AA428)</f>
        <v>0</v>
      </c>
      <c r="AB429" s="415"/>
      <c r="AC429" s="415"/>
      <c r="AD429" s="415"/>
      <c r="AE429" s="415"/>
      <c r="AF429" s="415"/>
      <c r="AG429" s="415"/>
      <c r="AH429" s="415"/>
      <c r="AI429" s="415"/>
      <c r="AJ429" s="570">
        <f t="shared" si="292"/>
        <v>0</v>
      </c>
      <c r="AK429" s="557"/>
      <c r="AL429" s="555"/>
      <c r="AM429" s="32" t="str">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0"&amp;CHAR(10),""),IF(D491&gt;0," * F01-14 for Age "&amp;D415&amp;" "&amp;D416&amp;" has a value greater than 0"&amp;CHAR(10),""),IF(E491&gt;0,"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
      </c>
      <c r="AN429" s="556"/>
      <c r="AO429" s="14">
        <v>33</v>
      </c>
      <c r="AP429" s="83"/>
      <c r="AQ429" s="84"/>
    </row>
    <row r="430" spans="1:43" s="85" customFormat="1" ht="25.9" thickBot="1" x14ac:dyDescent="0.8">
      <c r="A430" s="852" t="s">
        <v>1070</v>
      </c>
      <c r="B430" s="563" t="s">
        <v>152</v>
      </c>
      <c r="C430" s="920" t="s">
        <v>1187</v>
      </c>
      <c r="D430" s="564"/>
      <c r="E430" s="571"/>
      <c r="F430" s="861">
        <f>F51</f>
        <v>0</v>
      </c>
      <c r="G430" s="861">
        <f>G51</f>
        <v>0</v>
      </c>
      <c r="H430" s="861">
        <f t="shared" ref="H430:AA430" si="315">H51</f>
        <v>0</v>
      </c>
      <c r="I430" s="861">
        <f t="shared" si="315"/>
        <v>0</v>
      </c>
      <c r="J430" s="861">
        <f t="shared" si="315"/>
        <v>0</v>
      </c>
      <c r="K430" s="861">
        <f t="shared" si="315"/>
        <v>0</v>
      </c>
      <c r="L430" s="861">
        <f t="shared" si="315"/>
        <v>0</v>
      </c>
      <c r="M430" s="861">
        <f t="shared" si="315"/>
        <v>0</v>
      </c>
      <c r="N430" s="861">
        <f t="shared" si="315"/>
        <v>0</v>
      </c>
      <c r="O430" s="861">
        <f t="shared" si="315"/>
        <v>0</v>
      </c>
      <c r="P430" s="861">
        <f t="shared" si="315"/>
        <v>0</v>
      </c>
      <c r="Q430" s="861">
        <f t="shared" si="315"/>
        <v>0</v>
      </c>
      <c r="R430" s="861">
        <f t="shared" si="315"/>
        <v>0</v>
      </c>
      <c r="S430" s="861">
        <f t="shared" si="315"/>
        <v>0</v>
      </c>
      <c r="T430" s="861">
        <f t="shared" si="315"/>
        <v>0</v>
      </c>
      <c r="U430" s="861">
        <f t="shared" si="315"/>
        <v>0</v>
      </c>
      <c r="V430" s="861">
        <f t="shared" si="315"/>
        <v>0</v>
      </c>
      <c r="W430" s="861">
        <f t="shared" si="315"/>
        <v>0</v>
      </c>
      <c r="X430" s="861">
        <f t="shared" si="315"/>
        <v>0</v>
      </c>
      <c r="Y430" s="861">
        <f t="shared" si="315"/>
        <v>0</v>
      </c>
      <c r="Z430" s="861">
        <f t="shared" si="315"/>
        <v>0</v>
      </c>
      <c r="AA430" s="861">
        <f t="shared" si="315"/>
        <v>0</v>
      </c>
      <c r="AB430" s="412"/>
      <c r="AC430" s="412"/>
      <c r="AD430" s="412"/>
      <c r="AE430" s="412"/>
      <c r="AF430" s="412"/>
      <c r="AG430" s="412"/>
      <c r="AH430" s="412"/>
      <c r="AI430" s="412"/>
      <c r="AJ430" s="567">
        <f t="shared" si="292"/>
        <v>0</v>
      </c>
      <c r="AK430" s="553"/>
      <c r="AL430" s="555"/>
      <c r="AM430" s="32"/>
      <c r="AN430" s="556"/>
      <c r="AO430" s="14">
        <v>31</v>
      </c>
      <c r="AP430" s="83"/>
      <c r="AQ430" s="84"/>
    </row>
    <row r="431" spans="1:43" s="85" customFormat="1" ht="25.5" x14ac:dyDescent="0.75">
      <c r="A431" s="853"/>
      <c r="B431" s="560" t="s">
        <v>1156</v>
      </c>
      <c r="C431" s="921" t="s">
        <v>1188</v>
      </c>
      <c r="D431" s="561"/>
      <c r="E431" s="572"/>
      <c r="F431" s="575"/>
      <c r="G431" s="576"/>
      <c r="H431" s="576"/>
      <c r="I431" s="576"/>
      <c r="J431" s="576"/>
      <c r="K431" s="576"/>
      <c r="L431" s="576"/>
      <c r="M431" s="576"/>
      <c r="N431" s="576"/>
      <c r="O431" s="576"/>
      <c r="P431" s="576"/>
      <c r="Q431" s="576"/>
      <c r="R431" s="576"/>
      <c r="S431" s="576"/>
      <c r="T431" s="576"/>
      <c r="U431" s="576"/>
      <c r="V431" s="576"/>
      <c r="W431" s="576"/>
      <c r="X431" s="576"/>
      <c r="Y431" s="576"/>
      <c r="Z431" s="576"/>
      <c r="AA431" s="577"/>
      <c r="AB431" s="380"/>
      <c r="AC431" s="380"/>
      <c r="AD431" s="380"/>
      <c r="AE431" s="380"/>
      <c r="AF431" s="380"/>
      <c r="AG431" s="380"/>
      <c r="AH431" s="380"/>
      <c r="AI431" s="380"/>
      <c r="AJ431" s="568">
        <f t="shared" si="292"/>
        <v>0</v>
      </c>
      <c r="AK431" s="691" t="str">
        <f>CONCATENATE(IF(D432&gt;D431," * Positive F01-13 for Age "&amp;D418&amp;" "&amp;D419&amp;" is more than Tested F01-12"&amp;CHAR(10),""),IF(E432&gt;E431," * Positive F01-13 for Age "&amp;D418&amp;" "&amp;E419&amp;" is more than Tested F01-12"&amp;CHAR(10),""),IF(F432&gt;F431," * Positive F01-13 for Age "&amp;F418&amp;" "&amp;F419&amp;" is more than Tested F01-12"&amp;CHAR(10),""),IF(G432&gt;G431," * Positive F01-13 for Age "&amp;F418&amp;" "&amp;G419&amp;" is more than Tested F01-12"&amp;CHAR(10),""),IF(H432&gt;H431," * Positive F01-13 for Age "&amp;H418&amp;" "&amp;H419&amp;" is more than Tested F01-12"&amp;CHAR(10),""),IF(I432&gt;I431," * Positive F01-13 for Age "&amp;H418&amp;" "&amp;I419&amp;" is more than Tested F01-12"&amp;CHAR(10),""),IF(J432&gt;J431," * Positive F01-13 for Age "&amp;J418&amp;" "&amp;J419&amp;" is more than Tested F01-12"&amp;CHAR(10),""),IF(K432&gt;K431," * Positive F01-13 for Age "&amp;J418&amp;" "&amp;K419&amp;" is more than Tested F01-12"&amp;CHAR(10),""),IF(L432&gt;L431," * Positive F01-13 for Age "&amp;L418&amp;" "&amp;L419&amp;" is more than Tested F01-12"&amp;CHAR(10),""),IF(M432&gt;M431," * Positive F01-13 for Age "&amp;L418&amp;" "&amp;M419&amp;" is more than Tested F01-12"&amp;CHAR(10),""),IF(N432&gt;N431," * Positive F01-13 for Age "&amp;N418&amp;" "&amp;N419&amp;" is more than Tested F01-12"&amp;CHAR(10),""),IF(O432&gt;O431," * Positive F01-13 for Age "&amp;N418&amp;" "&amp;O419&amp;" is more than Tested F01-12"&amp;CHAR(10),""),IF(P432&gt;P431," * Positive F01-13 for Age "&amp;P418&amp;" "&amp;P419&amp;" is more than Tested F01-12"&amp;CHAR(10),""),IF(Q432&gt;Q431," * Positive F01-13 for Age "&amp;P418&amp;" "&amp;Q419&amp;" is more than Tested F01-12"&amp;CHAR(10),""),IF(R432&gt;R431," * Positive F01-13 for Age "&amp;R418&amp;" "&amp;R419&amp;" is more than Tested F01-12"&amp;CHAR(10),""),IF(S432&gt;S431," * Positive F01-13 for Age "&amp;R418&amp;" "&amp;S419&amp;" is more than Tested F01-12"&amp;CHAR(10),""),IF(T432&gt;T431," * Positive F01-13 for Age "&amp;T418&amp;" "&amp;T419&amp;" is more than Tested F01-12"&amp;CHAR(10),""),IF(U432&gt;U431," * Positive F01-13 for Age "&amp;T418&amp;" "&amp;U419&amp;" is more than Tested F01-12"&amp;CHAR(10),""),IF(V432&gt;V431," * Positive F01-13 for Age "&amp;V418&amp;" "&amp;V419&amp;" is more than Tested F01-12"&amp;CHAR(10),""),IF(W432&gt;W431," * Positive F01-13 for Age "&amp;V418&amp;" "&amp;W419&amp;" is more than Tested F01-12"&amp;CHAR(10),""),IF(X432&gt;X431," * Positive F01-13 for Age "&amp;X418&amp;" "&amp;X419&amp;" is more than Tested F01-12"&amp;CHAR(10),""),IF(Y432&gt;Y431," * Positive F01-13 for Age "&amp;X418&amp;" "&amp;Y419&amp;" is more than Tested F01-12"&amp;CHAR(10),""),IF(Z432&gt;Z431," * Positive F01-13 for Age "&amp;Z418&amp;" "&amp;Z419&amp;" is more than Tested F01-12"&amp;CHAR(10),""),IF(AA432&gt;AA431," * Positive F01-13 for Age "&amp;Z418&amp;" "&amp;AA419&amp;" is more than Tested F01-12"&amp;CHAR(10),""))</f>
        <v/>
      </c>
      <c r="AL431" s="555"/>
      <c r="AM431" s="32" t="str">
        <f>CONCATENATE(IF(AND(IFERROR((AJ432*100)/AJ431,0)&gt;10,AJ432&gt;5)," * This facility has a high positivity rate for Index Testing. Kindly confirm if this is the true reflection"&amp;CHAR(10),""),"")</f>
        <v/>
      </c>
      <c r="AN431" s="556"/>
      <c r="AO431" s="14">
        <v>32</v>
      </c>
      <c r="AP431" s="83"/>
      <c r="AQ431" s="84"/>
    </row>
    <row r="432" spans="1:43" s="85" customFormat="1" ht="25.5" x14ac:dyDescent="0.75">
      <c r="A432" s="853"/>
      <c r="B432" s="560" t="s">
        <v>1137</v>
      </c>
      <c r="C432" s="921" t="s">
        <v>1189</v>
      </c>
      <c r="D432" s="559"/>
      <c r="E432" s="573"/>
      <c r="F432" s="575"/>
      <c r="G432" s="576"/>
      <c r="H432" s="576"/>
      <c r="I432" s="576"/>
      <c r="J432" s="576"/>
      <c r="K432" s="576"/>
      <c r="L432" s="576"/>
      <c r="M432" s="576"/>
      <c r="N432" s="576"/>
      <c r="O432" s="576"/>
      <c r="P432" s="576"/>
      <c r="Q432" s="576"/>
      <c r="R432" s="576"/>
      <c r="S432" s="576"/>
      <c r="T432" s="576"/>
      <c r="U432" s="576"/>
      <c r="V432" s="576"/>
      <c r="W432" s="576"/>
      <c r="X432" s="576"/>
      <c r="Y432" s="576"/>
      <c r="Z432" s="576"/>
      <c r="AA432" s="577"/>
      <c r="AB432" s="380"/>
      <c r="AC432" s="380"/>
      <c r="AD432" s="380"/>
      <c r="AE432" s="380"/>
      <c r="AF432" s="380"/>
      <c r="AG432" s="380"/>
      <c r="AH432" s="380"/>
      <c r="AI432" s="380"/>
      <c r="AJ432" s="569">
        <f t="shared" si="292"/>
        <v>0</v>
      </c>
      <c r="AK432" s="691"/>
      <c r="AL432" s="555"/>
      <c r="AM432" s="32" t="e">
        <f>CONCATENATE(IF(D431&gt;0," * F01-12 for Age "&amp;D418&amp;" "&amp;D419&amp;" has a value greater than 0"&amp;CHAR(10),""),IF(E431&gt;0," * F01-12 for Age "&amp;D418&amp;" "&amp;E419&amp;" has a value greater than 0"&amp;CHAR(10),""),IF(D432&gt;0," * F01-13 for Age "&amp;D418&amp;" "&amp;D419&amp;" has a value greater than 0"&amp;CHAR(10),""),IF(E432&gt;0," * F01-13 for Age "&amp;D418&amp;" "&amp;E419&amp;" has a value greater than 0"&amp;CHAR(10),""),IF(#REF!&gt;0," * F01-14 for Age "&amp;D418&amp;" "&amp;D419&amp;" has a value greater than 0"&amp;CHAR(10),""),IF(#REF!&gt;0," * F01-14 for Age "&amp;D418&amp;" "&amp;E419&amp;" has a value greater than 0"&amp;CHAR(10),""),IF(D495&gt;0," * F01-15 for Age "&amp;D418&amp;" "&amp;D419&amp;" has a value greater than 0"&amp;CHAR(10),""),IF(E495&gt;0," * F01-15 for Age "&amp;D418&amp;" "&amp;E419&amp;" has a value greater than 0"&amp;CHAR(10),""),IF(D500&gt;0," * F01-20 for Age "&amp;D418&amp;" "&amp;D419&amp;" has a value greater than 0"&amp;CHAR(10),""),IF(E500&gt;0," * F01-20 for Age "&amp;D418&amp;" "&amp;E419&amp;" has a value greater than 0"&amp;CHAR(10),""),IF(D501&gt;0," * F01-21 for Age "&amp;D418&amp;" "&amp;D419&amp;" has a value greater than 0"&amp;CHAR(10),""),IF(E501&gt;0," * F01-21 for Age "&amp;D418&amp;" "&amp;E419&amp;" has a value greater than 0"&amp;CHAR(10),""),IF(D502&gt;0," * F01-22 for Age "&amp;D418&amp;" "&amp;D419&amp;" has a value greater than 0"&amp;CHAR(10),""),IF(E502&gt;0," * F01-22 for Age "&amp;D418&amp;" "&amp;E419&amp;" has a value greater than 0"&amp;CHAR(10),""),IF(D503&gt;0," * F01-23 for Age "&amp;D418&amp;" "&amp;D419&amp;" has a value greater than 0"&amp;CHAR(10),""),IF(E503&gt;0," * F01-23 for Age "&amp;D418&amp;" "&amp;E419&amp;" has a value greater than 0"&amp;CHAR(10),""),"")</f>
        <v>#REF!</v>
      </c>
      <c r="AN432" s="556"/>
      <c r="AO432" s="14">
        <v>33</v>
      </c>
      <c r="AP432" s="83"/>
      <c r="AQ432" s="84"/>
    </row>
    <row r="433" spans="1:43" s="85" customFormat="1" ht="25.9" thickBot="1" x14ac:dyDescent="0.8">
      <c r="A433" s="853"/>
      <c r="B433" s="560" t="s">
        <v>1139</v>
      </c>
      <c r="C433" s="921" t="s">
        <v>1190</v>
      </c>
      <c r="D433" s="559"/>
      <c r="E433" s="573"/>
      <c r="F433" s="575"/>
      <c r="G433" s="576"/>
      <c r="H433" s="576"/>
      <c r="I433" s="576"/>
      <c r="J433" s="576"/>
      <c r="K433" s="576"/>
      <c r="L433" s="576"/>
      <c r="M433" s="576"/>
      <c r="N433" s="576"/>
      <c r="O433" s="576"/>
      <c r="P433" s="576"/>
      <c r="Q433" s="576"/>
      <c r="R433" s="576"/>
      <c r="S433" s="576"/>
      <c r="T433" s="576"/>
      <c r="U433" s="576"/>
      <c r="V433" s="576"/>
      <c r="W433" s="576"/>
      <c r="X433" s="576"/>
      <c r="Y433" s="576"/>
      <c r="Z433" s="576"/>
      <c r="AA433" s="577"/>
      <c r="AB433" s="380"/>
      <c r="AC433" s="380"/>
      <c r="AD433" s="380"/>
      <c r="AE433" s="380"/>
      <c r="AF433" s="380"/>
      <c r="AG433" s="380"/>
      <c r="AH433" s="380"/>
      <c r="AI433" s="380"/>
      <c r="AJ433" s="569">
        <f t="shared" si="292"/>
        <v>0</v>
      </c>
      <c r="AK433" s="557"/>
      <c r="AL433" s="555"/>
      <c r="AM433" s="32" t="str">
        <f>CONCATENATE(IF(D432&gt;0," * F01-12 for Age "&amp;D419&amp;" "&amp;D420&amp;" has a value greater than 0"&amp;CHAR(10),""),IF(E432&gt;0," * F01-12 for Age "&amp;D419&amp;" "&amp;E420&amp;" has a value greater than 0"&amp;CHAR(10),""),IF(D433&gt;0," * F01-13 for Age "&amp;D419&amp;" "&amp;D420&amp;" has a value greater than 0"&amp;CHAR(10),""),IF(E433&gt;0," * F01-13 for Age "&amp;D419&amp;" "&amp;E420&amp;" has a value greater than 0"&amp;CHAR(10),""),IF(D495&gt;0," * F01-14 for Age "&amp;D419&amp;" "&amp;D420&amp;" has a value greater than 0"&amp;CHAR(10),""),IF(E495&gt;0," * F01-14 for Age "&amp;D419&amp;" "&amp;E420&amp;" has a value greater than 0"&amp;CHAR(10),""),IF(D496&gt;0," * F01-15 for Age "&amp;D419&amp;" "&amp;D420&amp;" has a value greater than 0"&amp;CHAR(10),""),IF(E496&gt;0," * F01-15 for Age "&amp;D419&amp;" "&amp;E420&amp;" has a value greater than 0"&amp;CHAR(10),""),IF(D501&gt;0," * F01-20 for Age "&amp;D419&amp;" "&amp;D420&amp;" has a value greater than 0"&amp;CHAR(10),""),IF(E501&gt;0," * F01-20 for Age "&amp;D419&amp;" "&amp;E420&amp;" has a value greater than 0"&amp;CHAR(10),""),IF(D502&gt;0," * F01-21 for Age "&amp;D419&amp;" "&amp;D420&amp;" has a value greater than 0"&amp;CHAR(10),""),IF(E502&gt;0," * F01-21 for Age "&amp;D419&amp;" "&amp;E420&amp;" has a value greater than 0"&amp;CHAR(10),""),IF(D503&gt;0," * F01-22 for Age "&amp;D419&amp;" "&amp;D420&amp;" has a value greater than 0"&amp;CHAR(10),""),IF(E503&gt;0," * F01-22 for Age "&amp;D419&amp;" "&amp;E420&amp;" has a value greater than 0"&amp;CHAR(10),""),IF(D504&gt;0," * F01-23 for Age "&amp;D419&amp;" "&amp;D420&amp;" has a value greater than 0"&amp;CHAR(10),""),IF(E504&gt;0," * F01-23 for Age "&amp;D419&amp;" "&amp;E420&amp;" has a value greater than 0"&amp;CHAR(10),""),"")</f>
        <v/>
      </c>
      <c r="AN433" s="556"/>
      <c r="AO433" s="14">
        <v>33</v>
      </c>
      <c r="AP433" s="83"/>
      <c r="AQ433" s="84"/>
    </row>
    <row r="434" spans="1:43" s="85" customFormat="1" ht="25.9" thickBot="1" x14ac:dyDescent="0.8">
      <c r="A434" s="854"/>
      <c r="B434" s="565" t="s">
        <v>1141</v>
      </c>
      <c r="C434" s="922" t="s">
        <v>1191</v>
      </c>
      <c r="D434" s="566"/>
      <c r="E434" s="574"/>
      <c r="F434" s="935">
        <f>F430-SUM(F431:F433)</f>
        <v>0</v>
      </c>
      <c r="G434" s="936">
        <f t="shared" ref="G434" si="316">G430-SUM(G431:G433)</f>
        <v>0</v>
      </c>
      <c r="H434" s="935">
        <f t="shared" ref="H434" si="317">H430-SUM(H431:H433)</f>
        <v>0</v>
      </c>
      <c r="I434" s="936">
        <f t="shared" ref="I434" si="318">I430-SUM(I431:I433)</f>
        <v>0</v>
      </c>
      <c r="J434" s="935">
        <f t="shared" ref="J434" si="319">J430-SUM(J431:J433)</f>
        <v>0</v>
      </c>
      <c r="K434" s="936">
        <f t="shared" ref="K434" si="320">K430-SUM(K431:K433)</f>
        <v>0</v>
      </c>
      <c r="L434" s="935">
        <f t="shared" ref="L434" si="321">L430-SUM(L431:L433)</f>
        <v>0</v>
      </c>
      <c r="M434" s="936">
        <f t="shared" ref="M434" si="322">M430-SUM(M431:M433)</f>
        <v>0</v>
      </c>
      <c r="N434" s="935">
        <f t="shared" ref="N434" si="323">N430-SUM(N431:N433)</f>
        <v>0</v>
      </c>
      <c r="O434" s="936">
        <f t="shared" ref="O434" si="324">O430-SUM(O431:O433)</f>
        <v>0</v>
      </c>
      <c r="P434" s="935">
        <f t="shared" ref="P434" si="325">P430-SUM(P431:P433)</f>
        <v>0</v>
      </c>
      <c r="Q434" s="936">
        <f t="shared" ref="Q434" si="326">Q430-SUM(Q431:Q433)</f>
        <v>0</v>
      </c>
      <c r="R434" s="935">
        <f t="shared" ref="R434" si="327">R430-SUM(R431:R433)</f>
        <v>0</v>
      </c>
      <c r="S434" s="936">
        <f t="shared" ref="S434" si="328">S430-SUM(S431:S433)</f>
        <v>0</v>
      </c>
      <c r="T434" s="935">
        <f t="shared" ref="T434" si="329">T430-SUM(T431:T433)</f>
        <v>0</v>
      </c>
      <c r="U434" s="936">
        <f t="shared" ref="U434" si="330">U430-SUM(U431:U433)</f>
        <v>0</v>
      </c>
      <c r="V434" s="935">
        <f t="shared" ref="V434" si="331">V430-SUM(V431:V433)</f>
        <v>0</v>
      </c>
      <c r="W434" s="936">
        <f t="shared" ref="W434" si="332">W430-SUM(W431:W433)</f>
        <v>0</v>
      </c>
      <c r="X434" s="935">
        <f t="shared" ref="X434" si="333">X430-SUM(X431:X433)</f>
        <v>0</v>
      </c>
      <c r="Y434" s="936">
        <f t="shared" ref="Y434" si="334">Y430-SUM(Y431:Y433)</f>
        <v>0</v>
      </c>
      <c r="Z434" s="935">
        <f t="shared" ref="Z434" si="335">Z430-SUM(Z431:Z433)</f>
        <v>0</v>
      </c>
      <c r="AA434" s="936">
        <f t="shared" ref="AA434" si="336">AA430-SUM(AA431:AA433)</f>
        <v>0</v>
      </c>
      <c r="AB434" s="415"/>
      <c r="AC434" s="415"/>
      <c r="AD434" s="415"/>
      <c r="AE434" s="415"/>
      <c r="AF434" s="415"/>
      <c r="AG434" s="415"/>
      <c r="AH434" s="415"/>
      <c r="AI434" s="415"/>
      <c r="AJ434" s="570">
        <f t="shared" si="292"/>
        <v>0</v>
      </c>
      <c r="AK434" s="557"/>
      <c r="AL434" s="555"/>
      <c r="AM434" s="32" t="str">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0"&amp;CHAR(10),""),IF(D496&gt;0," * F01-14 for Age "&amp;D420&amp;" "&amp;D421&amp;" has a value greater than 0"&amp;CHAR(10),""),IF(E496&gt;0,"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
      </c>
      <c r="AN434" s="556"/>
      <c r="AO434" s="14">
        <v>33</v>
      </c>
      <c r="AP434" s="83"/>
      <c r="AQ434" s="84"/>
    </row>
    <row r="435" spans="1:43" s="85" customFormat="1" ht="25.5" x14ac:dyDescent="0.75">
      <c r="A435" s="852" t="s">
        <v>1159</v>
      </c>
      <c r="B435" s="563" t="s">
        <v>152</v>
      </c>
      <c r="C435" s="920" t="s">
        <v>1192</v>
      </c>
      <c r="D435" s="564"/>
      <c r="E435" s="571"/>
      <c r="F435" s="934">
        <f>F251</f>
        <v>0</v>
      </c>
      <c r="G435" s="934">
        <f t="shared" ref="G435:AA435" si="337">G251</f>
        <v>0</v>
      </c>
      <c r="H435" s="934">
        <f t="shared" si="337"/>
        <v>0</v>
      </c>
      <c r="I435" s="934">
        <f t="shared" si="337"/>
        <v>0</v>
      </c>
      <c r="J435" s="934">
        <f t="shared" si="337"/>
        <v>0</v>
      </c>
      <c r="K435" s="934">
        <f t="shared" si="337"/>
        <v>0</v>
      </c>
      <c r="L435" s="934">
        <f t="shared" si="337"/>
        <v>0</v>
      </c>
      <c r="M435" s="934">
        <f t="shared" si="337"/>
        <v>0</v>
      </c>
      <c r="N435" s="934">
        <f t="shared" si="337"/>
        <v>0</v>
      </c>
      <c r="O435" s="934">
        <f t="shared" si="337"/>
        <v>0</v>
      </c>
      <c r="P435" s="934">
        <f t="shared" si="337"/>
        <v>0</v>
      </c>
      <c r="Q435" s="934">
        <f t="shared" si="337"/>
        <v>0</v>
      </c>
      <c r="R435" s="934">
        <f t="shared" si="337"/>
        <v>0</v>
      </c>
      <c r="S435" s="934">
        <f t="shared" si="337"/>
        <v>0</v>
      </c>
      <c r="T435" s="934">
        <f t="shared" si="337"/>
        <v>0</v>
      </c>
      <c r="U435" s="934">
        <f t="shared" si="337"/>
        <v>0</v>
      </c>
      <c r="V435" s="934">
        <f t="shared" si="337"/>
        <v>0</v>
      </c>
      <c r="W435" s="934">
        <f t="shared" si="337"/>
        <v>0</v>
      </c>
      <c r="X435" s="934">
        <f t="shared" si="337"/>
        <v>0</v>
      </c>
      <c r="Y435" s="934">
        <f t="shared" si="337"/>
        <v>0</v>
      </c>
      <c r="Z435" s="934">
        <f t="shared" si="337"/>
        <v>0</v>
      </c>
      <c r="AA435" s="934">
        <f t="shared" si="337"/>
        <v>0</v>
      </c>
      <c r="AB435" s="412"/>
      <c r="AC435" s="412"/>
      <c r="AD435" s="412"/>
      <c r="AE435" s="412"/>
      <c r="AF435" s="412"/>
      <c r="AG435" s="412"/>
      <c r="AH435" s="412"/>
      <c r="AI435" s="412"/>
      <c r="AJ435" s="567">
        <f t="shared" si="292"/>
        <v>0</v>
      </c>
      <c r="AK435" s="553"/>
      <c r="AL435" s="555"/>
      <c r="AM435" s="32"/>
      <c r="AN435" s="556"/>
      <c r="AO435" s="14">
        <v>31</v>
      </c>
      <c r="AP435" s="83"/>
      <c r="AQ435" s="84"/>
    </row>
    <row r="436" spans="1:43" s="85" customFormat="1" ht="25.5" x14ac:dyDescent="0.75">
      <c r="A436" s="853"/>
      <c r="B436" s="560" t="s">
        <v>1156</v>
      </c>
      <c r="C436" s="921" t="s">
        <v>1193</v>
      </c>
      <c r="D436" s="561"/>
      <c r="E436" s="572"/>
      <c r="F436" s="857"/>
      <c r="G436" s="858"/>
      <c r="H436" s="857"/>
      <c r="I436" s="858"/>
      <c r="J436" s="857"/>
      <c r="K436" s="858"/>
      <c r="L436" s="857"/>
      <c r="M436" s="858"/>
      <c r="N436" s="857"/>
      <c r="O436" s="858"/>
      <c r="P436" s="857"/>
      <c r="Q436" s="858"/>
      <c r="R436" s="857"/>
      <c r="S436" s="858"/>
      <c r="T436" s="857"/>
      <c r="U436" s="858"/>
      <c r="V436" s="857"/>
      <c r="W436" s="858"/>
      <c r="X436" s="857"/>
      <c r="Y436" s="858"/>
      <c r="Z436" s="857"/>
      <c r="AA436" s="859"/>
      <c r="AB436" s="380"/>
      <c r="AC436" s="380"/>
      <c r="AD436" s="380"/>
      <c r="AE436" s="380"/>
      <c r="AF436" s="380"/>
      <c r="AG436" s="380"/>
      <c r="AH436" s="380"/>
      <c r="AI436" s="380"/>
      <c r="AJ436" s="568">
        <f t="shared" si="292"/>
        <v>0</v>
      </c>
      <c r="AK436" s="691" t="str">
        <f>CONCATENATE(IF(D437&gt;D436," * Positive F01-13 for Age "&amp;D423&amp;" "&amp;D424&amp;" is more than Tested F01-12"&amp;CHAR(10),""),IF(E437&gt;E436," * Positive F01-13 for Age "&amp;D423&amp;" "&amp;E424&amp;" is more than Tested F01-12"&amp;CHAR(10),""),IF(F437&gt;F436," * Positive F01-13 for Age "&amp;F423&amp;" "&amp;F424&amp;" is more than Tested F01-12"&amp;CHAR(10),""),IF(G437&gt;G436," * Positive F01-13 for Age "&amp;F423&amp;" "&amp;G424&amp;" is more than Tested F01-12"&amp;CHAR(10),""),IF(H437&gt;H436," * Positive F01-13 for Age "&amp;H423&amp;" "&amp;H424&amp;" is more than Tested F01-12"&amp;CHAR(10),""),IF(I437&gt;I436," * Positive F01-13 for Age "&amp;H423&amp;" "&amp;I424&amp;" is more than Tested F01-12"&amp;CHAR(10),""),IF(J437&gt;J436," * Positive F01-13 for Age "&amp;J423&amp;" "&amp;J424&amp;" is more than Tested F01-12"&amp;CHAR(10),""),IF(K437&gt;K436," * Positive F01-13 for Age "&amp;J423&amp;" "&amp;K424&amp;" is more than Tested F01-12"&amp;CHAR(10),""),IF(L437&gt;L436," * Positive F01-13 for Age "&amp;L423&amp;" "&amp;L424&amp;" is more than Tested F01-12"&amp;CHAR(10),""),IF(M437&gt;M436," * Positive F01-13 for Age "&amp;L423&amp;" "&amp;M424&amp;" is more than Tested F01-12"&amp;CHAR(10),""),IF(N437&gt;N436," * Positive F01-13 for Age "&amp;N423&amp;" "&amp;N424&amp;" is more than Tested F01-12"&amp;CHAR(10),""),IF(O437&gt;O436," * Positive F01-13 for Age "&amp;N423&amp;" "&amp;O424&amp;" is more than Tested F01-12"&amp;CHAR(10),""),IF(P437&gt;P436," * Positive F01-13 for Age "&amp;P423&amp;" "&amp;P424&amp;" is more than Tested F01-12"&amp;CHAR(10),""),IF(Q437&gt;Q436," * Positive F01-13 for Age "&amp;P423&amp;" "&amp;Q424&amp;" is more than Tested F01-12"&amp;CHAR(10),""),IF(R437&gt;R436," * Positive F01-13 for Age "&amp;R423&amp;" "&amp;R424&amp;" is more than Tested F01-12"&amp;CHAR(10),""),IF(S437&gt;S436," * Positive F01-13 for Age "&amp;R423&amp;" "&amp;S424&amp;" is more than Tested F01-12"&amp;CHAR(10),""),IF(T437&gt;T436," * Positive F01-13 for Age "&amp;T423&amp;" "&amp;T424&amp;" is more than Tested F01-12"&amp;CHAR(10),""),IF(U437&gt;U436," * Positive F01-13 for Age "&amp;T423&amp;" "&amp;U424&amp;" is more than Tested F01-12"&amp;CHAR(10),""),IF(V437&gt;V436," * Positive F01-13 for Age "&amp;V423&amp;" "&amp;V424&amp;" is more than Tested F01-12"&amp;CHAR(10),""),IF(W437&gt;W436," * Positive F01-13 for Age "&amp;V423&amp;" "&amp;W424&amp;" is more than Tested F01-12"&amp;CHAR(10),""),IF(X437&gt;X436," * Positive F01-13 for Age "&amp;X423&amp;" "&amp;X424&amp;" is more than Tested F01-12"&amp;CHAR(10),""),IF(Y437&gt;Y436," * Positive F01-13 for Age "&amp;X423&amp;" "&amp;Y424&amp;" is more than Tested F01-12"&amp;CHAR(10),""),IF(Z437&gt;Z436," * Positive F01-13 for Age "&amp;Z423&amp;" "&amp;Z424&amp;" is more than Tested F01-12"&amp;CHAR(10),""),IF(AA437&gt;AA436," * Positive F01-13 for Age "&amp;Z423&amp;" "&amp;AA424&amp;" is more than Tested F01-12"&amp;CHAR(10),""))</f>
        <v/>
      </c>
      <c r="AL436" s="555"/>
      <c r="AM436" s="32" t="str">
        <f>CONCATENATE(IF(AND(IFERROR((AJ437*100)/AJ436,0)&gt;10,AJ437&gt;5)," * This facility has a high positivity rate for Index Testing. Kindly confirm if this is the true reflection"&amp;CHAR(10),""),"")</f>
        <v/>
      </c>
      <c r="AN436" s="556"/>
      <c r="AO436" s="14">
        <v>32</v>
      </c>
      <c r="AP436" s="83"/>
      <c r="AQ436" s="84"/>
    </row>
    <row r="437" spans="1:43" s="85" customFormat="1" ht="25.5" x14ac:dyDescent="0.75">
      <c r="A437" s="853"/>
      <c r="B437" s="560" t="s">
        <v>1137</v>
      </c>
      <c r="C437" s="921" t="s">
        <v>1194</v>
      </c>
      <c r="D437" s="559"/>
      <c r="E437" s="573"/>
      <c r="F437" s="856"/>
      <c r="G437" s="576"/>
      <c r="H437" s="856"/>
      <c r="I437" s="576"/>
      <c r="J437" s="856"/>
      <c r="K437" s="576"/>
      <c r="L437" s="856"/>
      <c r="M437" s="576"/>
      <c r="N437" s="856"/>
      <c r="O437" s="576"/>
      <c r="P437" s="856"/>
      <c r="Q437" s="576"/>
      <c r="R437" s="856"/>
      <c r="S437" s="576"/>
      <c r="T437" s="856"/>
      <c r="U437" s="576"/>
      <c r="V437" s="856"/>
      <c r="W437" s="576"/>
      <c r="X437" s="856"/>
      <c r="Y437" s="576"/>
      <c r="Z437" s="856"/>
      <c r="AA437" s="577"/>
      <c r="AB437" s="380"/>
      <c r="AC437" s="380"/>
      <c r="AD437" s="380"/>
      <c r="AE437" s="380"/>
      <c r="AF437" s="380"/>
      <c r="AG437" s="380"/>
      <c r="AH437" s="380"/>
      <c r="AI437" s="380"/>
      <c r="AJ437" s="569">
        <f t="shared" si="292"/>
        <v>0</v>
      </c>
      <c r="AK437" s="691"/>
      <c r="AL437" s="555"/>
      <c r="AM437" s="32" t="e">
        <f>CONCATENATE(IF(D436&gt;0," * F01-12 for Age "&amp;D423&amp;" "&amp;D424&amp;" has a value greater than 0"&amp;CHAR(10),""),IF(E436&gt;0," * F01-12 for Age "&amp;D423&amp;" "&amp;E424&amp;" has a value greater than 0"&amp;CHAR(10),""),IF(D437&gt;0," * F01-13 for Age "&amp;D423&amp;" "&amp;D424&amp;" has a value greater than 0"&amp;CHAR(10),""),IF(E437&gt;0," * F01-13 for Age "&amp;D423&amp;" "&amp;E424&amp;" has a value greater than 0"&amp;CHAR(10),""),IF(#REF!&gt;0," * F01-14 for Age "&amp;D423&amp;" "&amp;D424&amp;" has a value greater than 0"&amp;CHAR(10),""),IF(#REF!&gt;0," * F01-14 for Age "&amp;D423&amp;" "&amp;E424&amp;" has a value greater than 0"&amp;CHAR(10),""),IF(D500&gt;0," * F01-15 for Age "&amp;D423&amp;" "&amp;D424&amp;" has a value greater than 0"&amp;CHAR(10),""),IF(E500&gt;0," * F01-15 for Age "&amp;D423&amp;" "&amp;E424&amp;" has a value greater than 0"&amp;CHAR(10),""),IF(D505&gt;0," * F01-20 for Age "&amp;D423&amp;" "&amp;D424&amp;" has a value greater than 0"&amp;CHAR(10),""),IF(E505&gt;0," * F01-20 for Age "&amp;D423&amp;" "&amp;E424&amp;" has a value greater than 0"&amp;CHAR(10),""),IF(D506&gt;0," * F01-21 for Age "&amp;D423&amp;" "&amp;D424&amp;" has a value greater than 0"&amp;CHAR(10),""),IF(E506&gt;0," * F01-21 for Age "&amp;D423&amp;" "&amp;E424&amp;" has a value greater than 0"&amp;CHAR(10),""),IF(D507&gt;0," * F01-22 for Age "&amp;D423&amp;" "&amp;D424&amp;" has a value greater than 0"&amp;CHAR(10),""),IF(E507&gt;0," * F01-22 for Age "&amp;D423&amp;" "&amp;E424&amp;" has a value greater than 0"&amp;CHAR(10),""),IF(D508&gt;0," * F01-23 for Age "&amp;D423&amp;" "&amp;D424&amp;" has a value greater than 0"&amp;CHAR(10),""),IF(E508&gt;0," * F01-23 for Age "&amp;D423&amp;" "&amp;E424&amp;" has a value greater than 0"&amp;CHAR(10),""),"")</f>
        <v>#REF!</v>
      </c>
      <c r="AN437" s="556"/>
      <c r="AO437" s="14">
        <v>33</v>
      </c>
      <c r="AP437" s="83"/>
      <c r="AQ437" s="84"/>
    </row>
    <row r="438" spans="1:43" s="85" customFormat="1" ht="25.9" thickBot="1" x14ac:dyDescent="0.8">
      <c r="A438" s="853"/>
      <c r="B438" s="560" t="s">
        <v>1139</v>
      </c>
      <c r="C438" s="921" t="s">
        <v>1195</v>
      </c>
      <c r="D438" s="559"/>
      <c r="E438" s="573"/>
      <c r="F438" s="856"/>
      <c r="G438" s="576"/>
      <c r="H438" s="856"/>
      <c r="I438" s="576"/>
      <c r="J438" s="856"/>
      <c r="K438" s="576"/>
      <c r="L438" s="856"/>
      <c r="M438" s="576"/>
      <c r="N438" s="856"/>
      <c r="O438" s="576"/>
      <c r="P438" s="856"/>
      <c r="Q438" s="576"/>
      <c r="R438" s="856"/>
      <c r="S438" s="576"/>
      <c r="T438" s="856"/>
      <c r="U438" s="576"/>
      <c r="V438" s="856"/>
      <c r="W438" s="576"/>
      <c r="X438" s="856"/>
      <c r="Y438" s="576"/>
      <c r="Z438" s="856"/>
      <c r="AA438" s="577"/>
      <c r="AB438" s="380"/>
      <c r="AC438" s="380"/>
      <c r="AD438" s="380"/>
      <c r="AE438" s="380"/>
      <c r="AF438" s="380"/>
      <c r="AG438" s="380"/>
      <c r="AH438" s="380"/>
      <c r="AI438" s="380"/>
      <c r="AJ438" s="569">
        <f t="shared" si="292"/>
        <v>0</v>
      </c>
      <c r="AK438" s="557"/>
      <c r="AL438" s="555"/>
      <c r="AM438" s="32" t="str">
        <f>CONCATENATE(IF(D437&gt;0," * F01-12 for Age "&amp;D424&amp;" "&amp;D425&amp;" has a value greater than 0"&amp;CHAR(10),""),IF(E437&gt;0," * F01-12 for Age "&amp;D424&amp;" "&amp;E425&amp;" has a value greater than 0"&amp;CHAR(10),""),IF(D438&gt;0," * F01-13 for Age "&amp;D424&amp;" "&amp;D425&amp;" has a value greater than 0"&amp;CHAR(10),""),IF(E438&gt;0," * F01-13 for Age "&amp;D424&amp;" "&amp;E425&amp;" has a value greater than 0"&amp;CHAR(10),""),IF(D500&gt;0," * F01-14 for Age "&amp;D424&amp;" "&amp;D425&amp;" has a value greater than 0"&amp;CHAR(10),""),IF(E500&gt;0," * F01-14 for Age "&amp;D424&amp;" "&amp;E425&amp;" has a value greater than 0"&amp;CHAR(10),""),IF(D501&gt;0," * F01-15 for Age "&amp;D424&amp;" "&amp;D425&amp;" has a value greater than 0"&amp;CHAR(10),""),IF(E501&gt;0," * F01-15 for Age "&amp;D424&amp;" "&amp;E425&amp;" has a value greater than 0"&amp;CHAR(10),""),IF(D506&gt;0," * F01-20 for Age "&amp;D424&amp;" "&amp;D425&amp;" has a value greater than 0"&amp;CHAR(10),""),IF(E506&gt;0," * F01-20 for Age "&amp;D424&amp;" "&amp;E425&amp;" has a value greater than 0"&amp;CHAR(10),""),IF(D507&gt;0," * F01-21 for Age "&amp;D424&amp;" "&amp;D425&amp;" has a value greater than 0"&amp;CHAR(10),""),IF(E507&gt;0," * F01-21 for Age "&amp;D424&amp;" "&amp;E425&amp;" has a value greater than 0"&amp;CHAR(10),""),IF(D508&gt;0," * F01-22 for Age "&amp;D424&amp;" "&amp;D425&amp;" has a value greater than 0"&amp;CHAR(10),""),IF(E508&gt;0," * F01-22 for Age "&amp;D424&amp;" "&amp;E425&amp;" has a value greater than 0"&amp;CHAR(10),""),IF(D509&gt;0," * F01-23 for Age "&amp;D424&amp;" "&amp;D425&amp;" has a value greater than 0"&amp;CHAR(10),""),IF(E509&gt;0," * F01-23 for Age "&amp;D424&amp;" "&amp;E425&amp;" has a value greater than 0"&amp;CHAR(10),""),"")</f>
        <v/>
      </c>
      <c r="AN438" s="556"/>
      <c r="AO438" s="14">
        <v>33</v>
      </c>
      <c r="AP438" s="83"/>
      <c r="AQ438" s="84"/>
    </row>
    <row r="439" spans="1:43" s="85" customFormat="1" ht="25.9" thickBot="1" x14ac:dyDescent="0.8">
      <c r="A439" s="854"/>
      <c r="B439" s="565" t="s">
        <v>1141</v>
      </c>
      <c r="C439" s="922" t="s">
        <v>1196</v>
      </c>
      <c r="D439" s="566"/>
      <c r="E439" s="574"/>
      <c r="F439" s="930"/>
      <c r="G439" s="931">
        <f t="shared" ref="G439" si="338">G435-SUM(G436:G438)</f>
        <v>0</v>
      </c>
      <c r="H439" s="930"/>
      <c r="I439" s="931">
        <f t="shared" ref="I439" si="339">I435-SUM(I436:I438)</f>
        <v>0</v>
      </c>
      <c r="J439" s="930"/>
      <c r="K439" s="931">
        <f t="shared" ref="K439" si="340">K435-SUM(K436:K438)</f>
        <v>0</v>
      </c>
      <c r="L439" s="930"/>
      <c r="M439" s="931">
        <f t="shared" ref="M439" si="341">M435-SUM(M436:M438)</f>
        <v>0</v>
      </c>
      <c r="N439" s="930"/>
      <c r="O439" s="931">
        <f t="shared" ref="O439" si="342">O435-SUM(O436:O438)</f>
        <v>0</v>
      </c>
      <c r="P439" s="930"/>
      <c r="Q439" s="931">
        <f t="shared" ref="Q439" si="343">Q435-SUM(Q436:Q438)</f>
        <v>0</v>
      </c>
      <c r="R439" s="930"/>
      <c r="S439" s="931">
        <f t="shared" ref="S439" si="344">S435-SUM(S436:S438)</f>
        <v>0</v>
      </c>
      <c r="T439" s="930"/>
      <c r="U439" s="931">
        <f t="shared" ref="U439" si="345">U435-SUM(U436:U438)</f>
        <v>0</v>
      </c>
      <c r="V439" s="930"/>
      <c r="W439" s="931">
        <f t="shared" ref="W439" si="346">W435-SUM(W436:W438)</f>
        <v>0</v>
      </c>
      <c r="X439" s="930"/>
      <c r="Y439" s="931">
        <f t="shared" ref="Y439" si="347">Y435-SUM(Y436:Y438)</f>
        <v>0</v>
      </c>
      <c r="Z439" s="930"/>
      <c r="AA439" s="931">
        <f t="shared" ref="AA439" si="348">AA435-SUM(AA436:AA438)</f>
        <v>0</v>
      </c>
      <c r="AB439" s="415"/>
      <c r="AC439" s="415"/>
      <c r="AD439" s="415"/>
      <c r="AE439" s="415"/>
      <c r="AF439" s="415"/>
      <c r="AG439" s="415"/>
      <c r="AH439" s="415"/>
      <c r="AI439" s="415"/>
      <c r="AJ439" s="570">
        <f t="shared" si="292"/>
        <v>0</v>
      </c>
      <c r="AK439" s="557"/>
      <c r="AL439" s="555"/>
      <c r="AM439" s="32" t="str">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0"&amp;CHAR(10),""),IF(D501&gt;0," * F01-14 for Age "&amp;D425&amp;" "&amp;D426&amp;" has a value greater than 0"&amp;CHAR(10),""),IF(E501&gt;0,"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
      </c>
      <c r="AN439" s="556"/>
      <c r="AO439" s="14">
        <v>33</v>
      </c>
      <c r="AP439" s="83"/>
      <c r="AQ439" s="84"/>
    </row>
    <row r="440" spans="1:43" s="85" customFormat="1" ht="25.5" x14ac:dyDescent="0.75">
      <c r="A440" s="852" t="s">
        <v>1160</v>
      </c>
      <c r="B440" s="563" t="s">
        <v>152</v>
      </c>
      <c r="C440" s="920" t="s">
        <v>1197</v>
      </c>
      <c r="D440" s="564"/>
      <c r="E440" s="571"/>
      <c r="F440" s="934">
        <f>F255+F257+F259+F261+F263+F265</f>
        <v>0</v>
      </c>
      <c r="G440" s="934">
        <f t="shared" ref="G440:AA440" si="349">G255+G257+G259+G261+G263+G265</f>
        <v>0</v>
      </c>
      <c r="H440" s="934">
        <f t="shared" si="349"/>
        <v>0</v>
      </c>
      <c r="I440" s="934">
        <f t="shared" si="349"/>
        <v>0</v>
      </c>
      <c r="J440" s="934">
        <f t="shared" si="349"/>
        <v>0</v>
      </c>
      <c r="K440" s="934">
        <f t="shared" si="349"/>
        <v>0</v>
      </c>
      <c r="L440" s="934">
        <f t="shared" si="349"/>
        <v>0</v>
      </c>
      <c r="M440" s="934">
        <f t="shared" si="349"/>
        <v>0</v>
      </c>
      <c r="N440" s="934">
        <f t="shared" si="349"/>
        <v>0</v>
      </c>
      <c r="O440" s="934">
        <f t="shared" si="349"/>
        <v>0</v>
      </c>
      <c r="P440" s="934">
        <f t="shared" si="349"/>
        <v>0</v>
      </c>
      <c r="Q440" s="934">
        <f t="shared" si="349"/>
        <v>0</v>
      </c>
      <c r="R440" s="934">
        <f t="shared" si="349"/>
        <v>0</v>
      </c>
      <c r="S440" s="934">
        <f t="shared" si="349"/>
        <v>0</v>
      </c>
      <c r="T440" s="934">
        <f t="shared" si="349"/>
        <v>0</v>
      </c>
      <c r="U440" s="934">
        <f t="shared" si="349"/>
        <v>0</v>
      </c>
      <c r="V440" s="934">
        <f t="shared" si="349"/>
        <v>0</v>
      </c>
      <c r="W440" s="934">
        <f t="shared" si="349"/>
        <v>0</v>
      </c>
      <c r="X440" s="934">
        <f t="shared" si="349"/>
        <v>0</v>
      </c>
      <c r="Y440" s="934">
        <f t="shared" si="349"/>
        <v>0</v>
      </c>
      <c r="Z440" s="934">
        <f t="shared" si="349"/>
        <v>0</v>
      </c>
      <c r="AA440" s="934">
        <f t="shared" si="349"/>
        <v>0</v>
      </c>
      <c r="AB440" s="412"/>
      <c r="AC440" s="412"/>
      <c r="AD440" s="412"/>
      <c r="AE440" s="412"/>
      <c r="AF440" s="412"/>
      <c r="AG440" s="412"/>
      <c r="AH440" s="412"/>
      <c r="AI440" s="412"/>
      <c r="AJ440" s="567">
        <f t="shared" si="292"/>
        <v>0</v>
      </c>
      <c r="AK440" s="553"/>
      <c r="AL440" s="555"/>
      <c r="AM440" s="32"/>
      <c r="AN440" s="556"/>
      <c r="AO440" s="14">
        <v>31</v>
      </c>
      <c r="AP440" s="83"/>
      <c r="AQ440" s="84"/>
    </row>
    <row r="441" spans="1:43" s="85" customFormat="1" ht="25.5" x14ac:dyDescent="0.75">
      <c r="A441" s="853"/>
      <c r="B441" s="560" t="s">
        <v>1156</v>
      </c>
      <c r="C441" s="921" t="s">
        <v>1198</v>
      </c>
      <c r="D441" s="561"/>
      <c r="E441" s="572"/>
      <c r="F441" s="857"/>
      <c r="G441" s="858"/>
      <c r="H441" s="857"/>
      <c r="I441" s="858"/>
      <c r="J441" s="857"/>
      <c r="K441" s="858"/>
      <c r="L441" s="857"/>
      <c r="M441" s="858"/>
      <c r="N441" s="857"/>
      <c r="O441" s="858"/>
      <c r="P441" s="857"/>
      <c r="Q441" s="858"/>
      <c r="R441" s="857"/>
      <c r="S441" s="858"/>
      <c r="T441" s="857"/>
      <c r="U441" s="858"/>
      <c r="V441" s="857"/>
      <c r="W441" s="858"/>
      <c r="X441" s="857"/>
      <c r="Y441" s="858"/>
      <c r="Z441" s="857"/>
      <c r="AA441" s="859"/>
      <c r="AB441" s="380"/>
      <c r="AC441" s="380"/>
      <c r="AD441" s="380"/>
      <c r="AE441" s="380"/>
      <c r="AF441" s="380"/>
      <c r="AG441" s="380"/>
      <c r="AH441" s="380"/>
      <c r="AI441" s="380"/>
      <c r="AJ441" s="568">
        <f t="shared" si="292"/>
        <v>0</v>
      </c>
      <c r="AK441" s="691" t="str">
        <f>CONCATENATE(IF(D442&gt;D441," * Positive F01-13 for Age "&amp;D428&amp;" "&amp;D429&amp;" is more than Tested F01-12"&amp;CHAR(10),""),IF(E442&gt;E441," * Positive F01-13 for Age "&amp;D428&amp;" "&amp;E429&amp;" is more than Tested F01-12"&amp;CHAR(10),""),IF(F442&gt;F441," * Positive F01-13 for Age "&amp;F428&amp;" "&amp;F429&amp;" is more than Tested F01-12"&amp;CHAR(10),""),IF(G442&gt;G441," * Positive F01-13 for Age "&amp;F428&amp;" "&amp;G429&amp;" is more than Tested F01-12"&amp;CHAR(10),""),IF(H442&gt;H441," * Positive F01-13 for Age "&amp;H428&amp;" "&amp;H429&amp;" is more than Tested F01-12"&amp;CHAR(10),""),IF(I442&gt;I441," * Positive F01-13 for Age "&amp;H428&amp;" "&amp;I429&amp;" is more than Tested F01-12"&amp;CHAR(10),""),IF(J442&gt;J441," * Positive F01-13 for Age "&amp;J428&amp;" "&amp;J429&amp;" is more than Tested F01-12"&amp;CHAR(10),""),IF(K442&gt;K441," * Positive F01-13 for Age "&amp;J428&amp;" "&amp;K429&amp;" is more than Tested F01-12"&amp;CHAR(10),""),IF(L442&gt;L441," * Positive F01-13 for Age "&amp;L428&amp;" "&amp;L429&amp;" is more than Tested F01-12"&amp;CHAR(10),""),IF(M442&gt;M441," * Positive F01-13 for Age "&amp;L428&amp;" "&amp;M429&amp;" is more than Tested F01-12"&amp;CHAR(10),""),IF(N442&gt;N441," * Positive F01-13 for Age "&amp;N428&amp;" "&amp;N429&amp;" is more than Tested F01-12"&amp;CHAR(10),""),IF(O442&gt;O441," * Positive F01-13 for Age "&amp;N428&amp;" "&amp;O429&amp;" is more than Tested F01-12"&amp;CHAR(10),""),IF(P442&gt;P441," * Positive F01-13 for Age "&amp;P428&amp;" "&amp;P429&amp;" is more than Tested F01-12"&amp;CHAR(10),""),IF(Q442&gt;Q441," * Positive F01-13 for Age "&amp;P428&amp;" "&amp;Q429&amp;" is more than Tested F01-12"&amp;CHAR(10),""),IF(R442&gt;R441," * Positive F01-13 for Age "&amp;R428&amp;" "&amp;R429&amp;" is more than Tested F01-12"&amp;CHAR(10),""),IF(S442&gt;S441," * Positive F01-13 for Age "&amp;R428&amp;" "&amp;S429&amp;" is more than Tested F01-12"&amp;CHAR(10),""),IF(T442&gt;T441," * Positive F01-13 for Age "&amp;T428&amp;" "&amp;T429&amp;" is more than Tested F01-12"&amp;CHAR(10),""),IF(U442&gt;U441," * Positive F01-13 for Age "&amp;T428&amp;" "&amp;U429&amp;" is more than Tested F01-12"&amp;CHAR(10),""),IF(V442&gt;V441," * Positive F01-13 for Age "&amp;V428&amp;" "&amp;V429&amp;" is more than Tested F01-12"&amp;CHAR(10),""),IF(W442&gt;W441," * Positive F01-13 for Age "&amp;V428&amp;" "&amp;W429&amp;" is more than Tested F01-12"&amp;CHAR(10),""),IF(X442&gt;X441," * Positive F01-13 for Age "&amp;X428&amp;" "&amp;X429&amp;" is more than Tested F01-12"&amp;CHAR(10),""),IF(Y442&gt;Y441," * Positive F01-13 for Age "&amp;X428&amp;" "&amp;Y429&amp;" is more than Tested F01-12"&amp;CHAR(10),""),IF(Z442&gt;Z441," * Positive F01-13 for Age "&amp;Z428&amp;" "&amp;Z429&amp;" is more than Tested F01-12"&amp;CHAR(10),""),IF(AA442&gt;AA441," * Positive F01-13 for Age "&amp;Z428&amp;" "&amp;AA429&amp;" is more than Tested F01-12"&amp;CHAR(10),""))</f>
        <v/>
      </c>
      <c r="AL441" s="555"/>
      <c r="AM441" s="32" t="str">
        <f>CONCATENATE(IF(AND(IFERROR((AJ442*100)/AJ441,0)&gt;10,AJ442&gt;5)," * This facility has a high positivity rate for Index Testing. Kindly confirm if this is the true reflection"&amp;CHAR(10),""),"")</f>
        <v/>
      </c>
      <c r="AN441" s="556"/>
      <c r="AO441" s="14">
        <v>32</v>
      </c>
      <c r="AP441" s="83"/>
      <c r="AQ441" s="84"/>
    </row>
    <row r="442" spans="1:43" s="85" customFormat="1" ht="25.5" x14ac:dyDescent="0.75">
      <c r="A442" s="853"/>
      <c r="B442" s="560" t="s">
        <v>1137</v>
      </c>
      <c r="C442" s="921" t="s">
        <v>1199</v>
      </c>
      <c r="D442" s="559"/>
      <c r="E442" s="573"/>
      <c r="F442" s="856"/>
      <c r="G442" s="576"/>
      <c r="H442" s="856"/>
      <c r="I442" s="576"/>
      <c r="J442" s="856"/>
      <c r="K442" s="576"/>
      <c r="L442" s="856"/>
      <c r="M442" s="576"/>
      <c r="N442" s="856"/>
      <c r="O442" s="576"/>
      <c r="P442" s="856"/>
      <c r="Q442" s="576"/>
      <c r="R442" s="856"/>
      <c r="S442" s="576"/>
      <c r="T442" s="856"/>
      <c r="U442" s="576"/>
      <c r="V442" s="856"/>
      <c r="W442" s="576"/>
      <c r="X442" s="856"/>
      <c r="Y442" s="576"/>
      <c r="Z442" s="856"/>
      <c r="AA442" s="577"/>
      <c r="AB442" s="380"/>
      <c r="AC442" s="380"/>
      <c r="AD442" s="380"/>
      <c r="AE442" s="380"/>
      <c r="AF442" s="380"/>
      <c r="AG442" s="380"/>
      <c r="AH442" s="380"/>
      <c r="AI442" s="380"/>
      <c r="AJ442" s="569">
        <f t="shared" si="292"/>
        <v>0</v>
      </c>
      <c r="AK442" s="691"/>
      <c r="AL442" s="555"/>
      <c r="AM442" s="32" t="e">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0"&amp;CHAR(10),""),IF(#REF!&gt;0," * F01-14 for Age "&amp;D428&amp;" "&amp;D429&amp;" has a value greater than 0"&amp;CHAR(10),""),IF(#REF!&gt;0,"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#REF!</v>
      </c>
      <c r="AN442" s="556"/>
      <c r="AO442" s="14">
        <v>33</v>
      </c>
      <c r="AP442" s="83"/>
      <c r="AQ442" s="84"/>
    </row>
    <row r="443" spans="1:43" s="85" customFormat="1" ht="25.9" thickBot="1" x14ac:dyDescent="0.8">
      <c r="A443" s="853"/>
      <c r="B443" s="560" t="s">
        <v>1139</v>
      </c>
      <c r="C443" s="921" t="s">
        <v>1200</v>
      </c>
      <c r="D443" s="559"/>
      <c r="E443" s="573"/>
      <c r="F443" s="864"/>
      <c r="G443" s="865"/>
      <c r="H443" s="864"/>
      <c r="I443" s="865"/>
      <c r="J443" s="864"/>
      <c r="K443" s="865"/>
      <c r="L443" s="864"/>
      <c r="M443" s="865"/>
      <c r="N443" s="864"/>
      <c r="O443" s="865"/>
      <c r="P443" s="864"/>
      <c r="Q443" s="865"/>
      <c r="R443" s="864"/>
      <c r="S443" s="865"/>
      <c r="T443" s="864"/>
      <c r="U443" s="865"/>
      <c r="V443" s="864"/>
      <c r="W443" s="865"/>
      <c r="X443" s="864"/>
      <c r="Y443" s="865"/>
      <c r="Z443" s="864"/>
      <c r="AA443" s="866"/>
      <c r="AB443" s="380"/>
      <c r="AC443" s="380"/>
      <c r="AD443" s="380"/>
      <c r="AE443" s="380"/>
      <c r="AF443" s="380"/>
      <c r="AG443" s="380"/>
      <c r="AH443" s="380"/>
      <c r="AI443" s="380"/>
      <c r="AJ443" s="569">
        <f t="shared" si="292"/>
        <v>0</v>
      </c>
      <c r="AK443" s="557"/>
      <c r="AL443" s="555"/>
      <c r="AM443" s="32" t="str">
        <f>CONCATENATE(IF(D442&gt;0," * F01-12 for Age "&amp;D429&amp;" "&amp;D430&amp;" has a value greater than 0"&amp;CHAR(10),""),IF(E442&gt;0," * F01-12 for Age "&amp;D429&amp;" "&amp;E430&amp;" has a value greater than 0"&amp;CHAR(10),""),IF(D443&gt;0," * F01-13 for Age "&amp;D429&amp;" "&amp;D430&amp;" has a value greater than 0"&amp;CHAR(10),""),IF(E443&gt;0," * F01-13 for Age "&amp;D429&amp;" "&amp;E430&amp;" has a value greater than 0"&amp;CHAR(10),""),IF(D505&gt;0," * F01-14 for Age "&amp;D429&amp;" "&amp;D430&amp;" has a value greater than 0"&amp;CHAR(10),""),IF(E505&gt;0," * F01-14 for Age "&amp;D429&amp;" "&amp;E430&amp;" has a value greater than 0"&amp;CHAR(10),""),IF(D506&gt;0," * F01-15 for Age "&amp;D429&amp;" "&amp;D430&amp;" has a value greater than 0"&amp;CHAR(10),""),IF(E506&gt;0," * F01-15 for Age "&amp;D429&amp;" "&amp;E430&amp;" has a value greater than 0"&amp;CHAR(10),""),IF(D511&gt;0," * F01-20 for Age "&amp;D429&amp;" "&amp;D430&amp;" has a value greater than 0"&amp;CHAR(10),""),IF(E511&gt;0," * F01-20 for Age "&amp;D429&amp;" "&amp;E430&amp;" has a value greater than 0"&amp;CHAR(10),""),IF(D512&gt;0," * F01-21 for Age "&amp;D429&amp;" "&amp;D430&amp;" has a value greater than 0"&amp;CHAR(10),""),IF(E512&gt;0," * F01-21 for Age "&amp;D429&amp;" "&amp;E430&amp;" has a value greater than 0"&amp;CHAR(10),""),IF(D513&gt;0," * F01-22 for Age "&amp;D429&amp;" "&amp;D430&amp;" has a value greater than 0"&amp;CHAR(10),""),IF(E513&gt;0," * F01-22 for Age "&amp;D429&amp;" "&amp;E430&amp;" has a value greater than 0"&amp;CHAR(10),""),IF(D514&gt;0," * F01-23 for Age "&amp;D429&amp;" "&amp;D430&amp;" has a value greater than 0"&amp;CHAR(10),""),IF(E514&gt;0," * F01-23 for Age "&amp;D429&amp;" "&amp;E430&amp;" has a value greater than 0"&amp;CHAR(10),""),"")</f>
        <v/>
      </c>
      <c r="AN443" s="556"/>
      <c r="AO443" s="14">
        <v>33</v>
      </c>
      <c r="AP443" s="83"/>
      <c r="AQ443" s="84"/>
    </row>
    <row r="444" spans="1:43" s="85" customFormat="1" ht="25.9" thickBot="1" x14ac:dyDescent="0.8">
      <c r="A444" s="854"/>
      <c r="B444" s="565" t="s">
        <v>1141</v>
      </c>
      <c r="C444" s="922" t="s">
        <v>1201</v>
      </c>
      <c r="D444" s="566"/>
      <c r="E444" s="574"/>
      <c r="F444" s="868"/>
      <c r="G444" s="869">
        <f t="shared" ref="G444" si="350">G440-SUM(G441:G443)</f>
        <v>0</v>
      </c>
      <c r="H444" s="870"/>
      <c r="I444" s="869">
        <f t="shared" ref="I444" si="351">I440-SUM(I441:I443)</f>
        <v>0</v>
      </c>
      <c r="J444" s="870"/>
      <c r="K444" s="869">
        <f t="shared" ref="K444" si="352">K440-SUM(K441:K443)</f>
        <v>0</v>
      </c>
      <c r="L444" s="870"/>
      <c r="M444" s="869">
        <f t="shared" ref="M444" si="353">M440-SUM(M441:M443)</f>
        <v>0</v>
      </c>
      <c r="N444" s="870"/>
      <c r="O444" s="869">
        <f t="shared" ref="O444" si="354">O440-SUM(O441:O443)</f>
        <v>0</v>
      </c>
      <c r="P444" s="870"/>
      <c r="Q444" s="869">
        <f t="shared" ref="Q444" si="355">Q440-SUM(Q441:Q443)</f>
        <v>0</v>
      </c>
      <c r="R444" s="870"/>
      <c r="S444" s="869">
        <f t="shared" ref="S444" si="356">S440-SUM(S441:S443)</f>
        <v>0</v>
      </c>
      <c r="T444" s="870"/>
      <c r="U444" s="869">
        <f t="shared" ref="U444" si="357">U440-SUM(U441:U443)</f>
        <v>0</v>
      </c>
      <c r="V444" s="870"/>
      <c r="W444" s="869">
        <f t="shared" ref="W444" si="358">W440-SUM(W441:W443)</f>
        <v>0</v>
      </c>
      <c r="X444" s="870"/>
      <c r="Y444" s="869">
        <f t="shared" ref="Y444" si="359">Y440-SUM(Y441:Y443)</f>
        <v>0</v>
      </c>
      <c r="Z444" s="870"/>
      <c r="AA444" s="871">
        <f t="shared" ref="AA444" si="360">AA440-SUM(AA441:AA443)</f>
        <v>0</v>
      </c>
      <c r="AB444" s="415"/>
      <c r="AC444" s="415"/>
      <c r="AD444" s="415"/>
      <c r="AE444" s="415"/>
      <c r="AF444" s="415"/>
      <c r="AG444" s="415"/>
      <c r="AH444" s="415"/>
      <c r="AI444" s="415"/>
      <c r="AJ444" s="570">
        <f t="shared" ref="AJ444:AJ448" si="361">SUM(D444:AA444)</f>
        <v>0</v>
      </c>
      <c r="AK444" s="557"/>
      <c r="AL444" s="555"/>
      <c r="AM444" s="32" t="str">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0"&amp;CHAR(10),""),IF(D506&gt;0," * F01-14 for Age "&amp;D430&amp;" "&amp;D431&amp;" has a value greater than 0"&amp;CHAR(10),""),IF(E506&gt;0,"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
      </c>
      <c r="AN444" s="556"/>
      <c r="AO444" s="14">
        <v>33</v>
      </c>
      <c r="AP444" s="83"/>
      <c r="AQ444" s="84"/>
    </row>
    <row r="445" spans="1:43" s="85" customFormat="1" ht="25.9" thickBot="1" x14ac:dyDescent="0.8">
      <c r="A445" s="852" t="s">
        <v>1207</v>
      </c>
      <c r="B445" s="563" t="s">
        <v>152</v>
      </c>
      <c r="C445" s="920" t="s">
        <v>1202</v>
      </c>
      <c r="D445" s="564"/>
      <c r="E445" s="571"/>
      <c r="F445" s="867">
        <f>F385+F390+F395+F400+F405+F410+F415+F420+F425+F430+F435+F440</f>
        <v>0</v>
      </c>
      <c r="G445" s="867">
        <f t="shared" ref="G445:AA448" si="362">G385+G390+G395+G400+G405+G410+G415+G420+G425+G430+G435+G440</f>
        <v>0</v>
      </c>
      <c r="H445" s="867">
        <f t="shared" si="362"/>
        <v>0</v>
      </c>
      <c r="I445" s="867">
        <f t="shared" si="362"/>
        <v>0</v>
      </c>
      <c r="J445" s="867">
        <f t="shared" si="362"/>
        <v>0</v>
      </c>
      <c r="K445" s="867">
        <f t="shared" si="362"/>
        <v>0</v>
      </c>
      <c r="L445" s="867">
        <f t="shared" si="362"/>
        <v>0</v>
      </c>
      <c r="M445" s="867">
        <f t="shared" si="362"/>
        <v>0</v>
      </c>
      <c r="N445" s="867">
        <f t="shared" si="362"/>
        <v>0</v>
      </c>
      <c r="O445" s="867">
        <f t="shared" si="362"/>
        <v>0</v>
      </c>
      <c r="P445" s="867">
        <f t="shared" si="362"/>
        <v>0</v>
      </c>
      <c r="Q445" s="867">
        <f t="shared" si="362"/>
        <v>0</v>
      </c>
      <c r="R445" s="867">
        <f t="shared" si="362"/>
        <v>0</v>
      </c>
      <c r="S445" s="867">
        <f t="shared" si="362"/>
        <v>0</v>
      </c>
      <c r="T445" s="867">
        <f t="shared" si="362"/>
        <v>0</v>
      </c>
      <c r="U445" s="867">
        <f t="shared" si="362"/>
        <v>0</v>
      </c>
      <c r="V445" s="867">
        <f t="shared" si="362"/>
        <v>0</v>
      </c>
      <c r="W445" s="867">
        <f t="shared" si="362"/>
        <v>0</v>
      </c>
      <c r="X445" s="867">
        <f t="shared" si="362"/>
        <v>0</v>
      </c>
      <c r="Y445" s="867">
        <f t="shared" si="362"/>
        <v>0</v>
      </c>
      <c r="Z445" s="867">
        <f t="shared" si="362"/>
        <v>0</v>
      </c>
      <c r="AA445" s="867">
        <f t="shared" si="362"/>
        <v>0</v>
      </c>
      <c r="AB445" s="412"/>
      <c r="AC445" s="412"/>
      <c r="AD445" s="412"/>
      <c r="AE445" s="412"/>
      <c r="AF445" s="412"/>
      <c r="AG445" s="412"/>
      <c r="AH445" s="412"/>
      <c r="AI445" s="412"/>
      <c r="AJ445" s="567">
        <f t="shared" si="361"/>
        <v>0</v>
      </c>
      <c r="AK445" s="553"/>
      <c r="AL445" s="555"/>
      <c r="AM445" s="32"/>
      <c r="AN445" s="556"/>
      <c r="AO445" s="14">
        <v>31</v>
      </c>
      <c r="AP445" s="83"/>
      <c r="AQ445" s="84"/>
    </row>
    <row r="446" spans="1:43" s="85" customFormat="1" ht="25.9" thickBot="1" x14ac:dyDescent="0.8">
      <c r="A446" s="853"/>
      <c r="B446" s="560" t="s">
        <v>1156</v>
      </c>
      <c r="C446" s="921" t="s">
        <v>1203</v>
      </c>
      <c r="D446" s="561"/>
      <c r="E446" s="572"/>
      <c r="F446" s="578">
        <f t="shared" ref="F446:U448" si="363">F386+F391+F396+F401+F406+F411+F416+F421+F426+F431+F436+F441</f>
        <v>0</v>
      </c>
      <c r="G446" s="578">
        <f t="shared" si="363"/>
        <v>0</v>
      </c>
      <c r="H446" s="578">
        <f t="shared" si="363"/>
        <v>0</v>
      </c>
      <c r="I446" s="578">
        <f t="shared" si="363"/>
        <v>0</v>
      </c>
      <c r="J446" s="578">
        <f t="shared" si="363"/>
        <v>0</v>
      </c>
      <c r="K446" s="578">
        <f t="shared" si="363"/>
        <v>0</v>
      </c>
      <c r="L446" s="578">
        <f t="shared" si="363"/>
        <v>0</v>
      </c>
      <c r="M446" s="578">
        <f t="shared" si="363"/>
        <v>0</v>
      </c>
      <c r="N446" s="578">
        <f t="shared" si="363"/>
        <v>0</v>
      </c>
      <c r="O446" s="578">
        <f t="shared" si="363"/>
        <v>0</v>
      </c>
      <c r="P446" s="578">
        <f t="shared" si="363"/>
        <v>0</v>
      </c>
      <c r="Q446" s="578">
        <f t="shared" si="363"/>
        <v>0</v>
      </c>
      <c r="R446" s="578">
        <f t="shared" si="363"/>
        <v>0</v>
      </c>
      <c r="S446" s="578">
        <f t="shared" si="363"/>
        <v>0</v>
      </c>
      <c r="T446" s="578">
        <f t="shared" si="363"/>
        <v>0</v>
      </c>
      <c r="U446" s="578">
        <f t="shared" si="363"/>
        <v>0</v>
      </c>
      <c r="V446" s="578">
        <f t="shared" si="362"/>
        <v>0</v>
      </c>
      <c r="W446" s="578">
        <f t="shared" si="362"/>
        <v>0</v>
      </c>
      <c r="X446" s="578">
        <f t="shared" si="362"/>
        <v>0</v>
      </c>
      <c r="Y446" s="578">
        <f t="shared" si="362"/>
        <v>0</v>
      </c>
      <c r="Z446" s="578">
        <f t="shared" si="362"/>
        <v>0</v>
      </c>
      <c r="AA446" s="578">
        <f t="shared" si="362"/>
        <v>0</v>
      </c>
      <c r="AB446" s="380"/>
      <c r="AC446" s="380"/>
      <c r="AD446" s="380"/>
      <c r="AE446" s="380"/>
      <c r="AF446" s="380"/>
      <c r="AG446" s="380"/>
      <c r="AH446" s="380"/>
      <c r="AI446" s="380"/>
      <c r="AJ446" s="568">
        <f t="shared" si="361"/>
        <v>0</v>
      </c>
      <c r="AK446" s="691" t="str">
        <f>CONCATENATE(IF(D447&gt;D446," * Positive F01-13 for Age "&amp;D433&amp;" "&amp;D434&amp;" is more than Tested F01-12"&amp;CHAR(10),""),IF(E447&gt;E446," * Positive F01-13 for Age "&amp;D433&amp;" "&amp;E434&amp;" is more than Tested F01-12"&amp;CHAR(10),""),IF(F447&gt;F446," * Positive F01-13 for Age "&amp;F433&amp;" "&amp;F434&amp;" is more than Tested F01-12"&amp;CHAR(10),""),IF(G447&gt;G446," * Positive F01-13 for Age "&amp;F433&amp;" "&amp;G434&amp;" is more than Tested F01-12"&amp;CHAR(10),""),IF(H447&gt;H446," * Positive F01-13 for Age "&amp;H433&amp;" "&amp;H434&amp;" is more than Tested F01-12"&amp;CHAR(10),""),IF(I447&gt;I446," * Positive F01-13 for Age "&amp;H433&amp;" "&amp;I434&amp;" is more than Tested F01-12"&amp;CHAR(10),""),IF(J447&gt;J446," * Positive F01-13 for Age "&amp;J433&amp;" "&amp;J434&amp;" is more than Tested F01-12"&amp;CHAR(10),""),IF(K447&gt;K446," * Positive F01-13 for Age "&amp;J433&amp;" "&amp;K434&amp;" is more than Tested F01-12"&amp;CHAR(10),""),IF(L447&gt;L446," * Positive F01-13 for Age "&amp;L433&amp;" "&amp;L434&amp;" is more than Tested F01-12"&amp;CHAR(10),""),IF(M447&gt;M446," * Positive F01-13 for Age "&amp;L433&amp;" "&amp;M434&amp;" is more than Tested F01-12"&amp;CHAR(10),""),IF(N447&gt;N446," * Positive F01-13 for Age "&amp;N433&amp;" "&amp;N434&amp;" is more than Tested F01-12"&amp;CHAR(10),""),IF(O447&gt;O446," * Positive F01-13 for Age "&amp;N433&amp;" "&amp;O434&amp;" is more than Tested F01-12"&amp;CHAR(10),""),IF(P447&gt;P446," * Positive F01-13 for Age "&amp;P433&amp;" "&amp;P434&amp;" is more than Tested F01-12"&amp;CHAR(10),""),IF(Q447&gt;Q446," * Positive F01-13 for Age "&amp;P433&amp;" "&amp;Q434&amp;" is more than Tested F01-12"&amp;CHAR(10),""),IF(R447&gt;R446," * Positive F01-13 for Age "&amp;R433&amp;" "&amp;R434&amp;" is more than Tested F01-12"&amp;CHAR(10),""),IF(S447&gt;S446," * Positive F01-13 for Age "&amp;R433&amp;" "&amp;S434&amp;" is more than Tested F01-12"&amp;CHAR(10),""),IF(T447&gt;T446," * Positive F01-13 for Age "&amp;T433&amp;" "&amp;T434&amp;" is more than Tested F01-12"&amp;CHAR(10),""),IF(U447&gt;U446," * Positive F01-13 for Age "&amp;T433&amp;" "&amp;U434&amp;" is more than Tested F01-12"&amp;CHAR(10),""),IF(V447&gt;V446," * Positive F01-13 for Age "&amp;V433&amp;" "&amp;V434&amp;" is more than Tested F01-12"&amp;CHAR(10),""),IF(W447&gt;W446," * Positive F01-13 for Age "&amp;V433&amp;" "&amp;W434&amp;" is more than Tested F01-12"&amp;CHAR(10),""),IF(X447&gt;X446," * Positive F01-13 for Age "&amp;X433&amp;" "&amp;X434&amp;" is more than Tested F01-12"&amp;CHAR(10),""),IF(Y447&gt;Y446," * Positive F01-13 for Age "&amp;X433&amp;" "&amp;Y434&amp;" is more than Tested F01-12"&amp;CHAR(10),""),IF(Z447&gt;Z446," * Positive F01-13 for Age "&amp;Z433&amp;" "&amp;Z434&amp;" is more than Tested F01-12"&amp;CHAR(10),""),IF(AA447&gt;AA446," * Positive F01-13 for Age "&amp;Z433&amp;" "&amp;AA434&amp;" is more than Tested F01-12"&amp;CHAR(10),""))</f>
        <v/>
      </c>
      <c r="AL446" s="555"/>
      <c r="AM446" s="32" t="str">
        <f>CONCATENATE(IF(AND(IFERROR((AJ447*100)/AJ446,0)&gt;10,AJ447&gt;5)," * This facility has a high positivity rate for Index Testing. Kindly confirm if this is the true reflection"&amp;CHAR(10),""),"")</f>
        <v/>
      </c>
      <c r="AN446" s="556"/>
      <c r="AO446" s="14">
        <v>32</v>
      </c>
      <c r="AP446" s="83"/>
      <c r="AQ446" s="84"/>
    </row>
    <row r="447" spans="1:43" s="85" customFormat="1" ht="25.9" thickBot="1" x14ac:dyDescent="0.8">
      <c r="A447" s="853"/>
      <c r="B447" s="560" t="s">
        <v>1137</v>
      </c>
      <c r="C447" s="921" t="s">
        <v>1204</v>
      </c>
      <c r="D447" s="559"/>
      <c r="E447" s="573"/>
      <c r="F447" s="578">
        <f t="shared" si="363"/>
        <v>0</v>
      </c>
      <c r="G447" s="578">
        <f t="shared" si="362"/>
        <v>0</v>
      </c>
      <c r="H447" s="578">
        <f t="shared" si="362"/>
        <v>0</v>
      </c>
      <c r="I447" s="578">
        <f t="shared" si="362"/>
        <v>0</v>
      </c>
      <c r="J447" s="578">
        <f t="shared" si="362"/>
        <v>0</v>
      </c>
      <c r="K447" s="578">
        <f t="shared" si="362"/>
        <v>0</v>
      </c>
      <c r="L447" s="578">
        <f t="shared" si="362"/>
        <v>0</v>
      </c>
      <c r="M447" s="578">
        <f t="shared" si="362"/>
        <v>0</v>
      </c>
      <c r="N447" s="578">
        <f t="shared" si="362"/>
        <v>0</v>
      </c>
      <c r="O447" s="578">
        <f t="shared" si="362"/>
        <v>0</v>
      </c>
      <c r="P447" s="578">
        <f t="shared" si="362"/>
        <v>0</v>
      </c>
      <c r="Q447" s="578">
        <f t="shared" si="362"/>
        <v>0</v>
      </c>
      <c r="R447" s="578">
        <f t="shared" si="362"/>
        <v>0</v>
      </c>
      <c r="S447" s="578">
        <f t="shared" si="362"/>
        <v>0</v>
      </c>
      <c r="T447" s="578">
        <f t="shared" si="362"/>
        <v>0</v>
      </c>
      <c r="U447" s="578">
        <f t="shared" si="362"/>
        <v>0</v>
      </c>
      <c r="V447" s="578">
        <f t="shared" si="362"/>
        <v>0</v>
      </c>
      <c r="W447" s="578">
        <f t="shared" si="362"/>
        <v>0</v>
      </c>
      <c r="X447" s="578">
        <f t="shared" si="362"/>
        <v>0</v>
      </c>
      <c r="Y447" s="578">
        <f t="shared" si="362"/>
        <v>0</v>
      </c>
      <c r="Z447" s="578">
        <f t="shared" si="362"/>
        <v>0</v>
      </c>
      <c r="AA447" s="578">
        <f t="shared" si="362"/>
        <v>0</v>
      </c>
      <c r="AB447" s="380"/>
      <c r="AC447" s="380"/>
      <c r="AD447" s="380"/>
      <c r="AE447" s="380"/>
      <c r="AF447" s="380"/>
      <c r="AG447" s="380"/>
      <c r="AH447" s="380"/>
      <c r="AI447" s="380"/>
      <c r="AJ447" s="569">
        <f t="shared" si="361"/>
        <v>0</v>
      </c>
      <c r="AK447" s="691"/>
      <c r="AL447" s="555"/>
      <c r="AM447" s="32" t="e">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0"&amp;CHAR(10),""),IF(#REF!&gt;0," * F01-14 for Age "&amp;D433&amp;" "&amp;D434&amp;" has a value greater than 0"&amp;CHAR(10),""),IF(#REF!&gt;0,"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#REF!</v>
      </c>
      <c r="AN447" s="556"/>
      <c r="AO447" s="14">
        <v>33</v>
      </c>
      <c r="AP447" s="83"/>
      <c r="AQ447" s="84"/>
    </row>
    <row r="448" spans="1:43" s="85" customFormat="1" ht="25.9" thickBot="1" x14ac:dyDescent="0.8">
      <c r="A448" s="853"/>
      <c r="B448" s="560" t="s">
        <v>1139</v>
      </c>
      <c r="C448" s="921" t="s">
        <v>1205</v>
      </c>
      <c r="D448" s="559"/>
      <c r="E448" s="573"/>
      <c r="F448" s="578">
        <f t="shared" si="363"/>
        <v>0</v>
      </c>
      <c r="G448" s="578">
        <f t="shared" si="362"/>
        <v>0</v>
      </c>
      <c r="H448" s="578">
        <f t="shared" si="362"/>
        <v>0</v>
      </c>
      <c r="I448" s="578">
        <f t="shared" si="362"/>
        <v>0</v>
      </c>
      <c r="J448" s="578">
        <f t="shared" si="362"/>
        <v>0</v>
      </c>
      <c r="K448" s="578">
        <f t="shared" si="362"/>
        <v>0</v>
      </c>
      <c r="L448" s="578">
        <f t="shared" si="362"/>
        <v>0</v>
      </c>
      <c r="M448" s="578">
        <f t="shared" si="362"/>
        <v>0</v>
      </c>
      <c r="N448" s="578">
        <f t="shared" si="362"/>
        <v>0</v>
      </c>
      <c r="O448" s="578">
        <f t="shared" si="362"/>
        <v>0</v>
      </c>
      <c r="P448" s="578">
        <f t="shared" si="362"/>
        <v>0</v>
      </c>
      <c r="Q448" s="578">
        <f t="shared" si="362"/>
        <v>0</v>
      </c>
      <c r="R448" s="578">
        <f t="shared" si="362"/>
        <v>0</v>
      </c>
      <c r="S448" s="578">
        <f t="shared" si="362"/>
        <v>0</v>
      </c>
      <c r="T448" s="578">
        <f t="shared" si="362"/>
        <v>0</v>
      </c>
      <c r="U448" s="578">
        <f t="shared" si="362"/>
        <v>0</v>
      </c>
      <c r="V448" s="578">
        <f t="shared" si="362"/>
        <v>0</v>
      </c>
      <c r="W448" s="578">
        <f t="shared" si="362"/>
        <v>0</v>
      </c>
      <c r="X448" s="578">
        <f t="shared" si="362"/>
        <v>0</v>
      </c>
      <c r="Y448" s="578">
        <f t="shared" si="362"/>
        <v>0</v>
      </c>
      <c r="Z448" s="578">
        <f t="shared" si="362"/>
        <v>0</v>
      </c>
      <c r="AA448" s="578">
        <f t="shared" si="362"/>
        <v>0</v>
      </c>
      <c r="AB448" s="380"/>
      <c r="AC448" s="380"/>
      <c r="AD448" s="380"/>
      <c r="AE448" s="380"/>
      <c r="AF448" s="380"/>
      <c r="AG448" s="380"/>
      <c r="AH448" s="380"/>
      <c r="AI448" s="380"/>
      <c r="AJ448" s="569">
        <f t="shared" si="361"/>
        <v>0</v>
      </c>
      <c r="AK448" s="557"/>
      <c r="AL448" s="555"/>
      <c r="AM448" s="32" t="str">
        <f>CONCATENATE(IF(D447&gt;0," * F01-12 for Age "&amp;D434&amp;" "&amp;D435&amp;" has a value greater than 0"&amp;CHAR(10),""),IF(E447&gt;0," * F01-12 for Age "&amp;D434&amp;" "&amp;E435&amp;" has a value greater than 0"&amp;CHAR(10),""),IF(D448&gt;0," * F01-13 for Age "&amp;D434&amp;" "&amp;D435&amp;" has a value greater than 0"&amp;CHAR(10),""),IF(E448&gt;0," * F01-13 for Age "&amp;D434&amp;" "&amp;E435&amp;" has a value greater than 0"&amp;CHAR(10),""),IF(D510&gt;0," * F01-14 for Age "&amp;D434&amp;" "&amp;D435&amp;" has a value greater than 0"&amp;CHAR(10),""),IF(E510&gt;0," * F01-14 for Age "&amp;D434&amp;" "&amp;E435&amp;" has a value greater than 0"&amp;CHAR(10),""),IF(D511&gt;0," * F01-15 for Age "&amp;D434&amp;" "&amp;D435&amp;" has a value greater than 0"&amp;CHAR(10),""),IF(E511&gt;0," * F01-15 for Age "&amp;D434&amp;" "&amp;E435&amp;" has a value greater than 0"&amp;CHAR(10),""),IF(D516&gt;0," * F01-20 for Age "&amp;D434&amp;" "&amp;D435&amp;" has a value greater than 0"&amp;CHAR(10),""),IF(E516&gt;0," * F01-20 for Age "&amp;D434&amp;" "&amp;E435&amp;" has a value greater than 0"&amp;CHAR(10),""),IF(D517&gt;0," * F01-21 for Age "&amp;D434&amp;" "&amp;D435&amp;" has a value greater than 0"&amp;CHAR(10),""),IF(E517&gt;0," * F01-21 for Age "&amp;D434&amp;" "&amp;E435&amp;" has a value greater than 0"&amp;CHAR(10),""),IF(D518&gt;0," * F01-22 for Age "&amp;D434&amp;" "&amp;D435&amp;" has a value greater than 0"&amp;CHAR(10),""),IF(E518&gt;0," * F01-22 for Age "&amp;D434&amp;" "&amp;E435&amp;" has a value greater than 0"&amp;CHAR(10),""),IF(D519&gt;0," * F01-23 for Age "&amp;D434&amp;" "&amp;D435&amp;" has a value greater than 0"&amp;CHAR(10),""),IF(E519&gt;0," * F01-23 for Age "&amp;D434&amp;" "&amp;E435&amp;" has a value greater than 0"&amp;CHAR(10),""),"")</f>
        <v/>
      </c>
      <c r="AN448" s="556"/>
      <c r="AO448" s="14">
        <v>33</v>
      </c>
      <c r="AP448" s="83"/>
      <c r="AQ448" s="84"/>
    </row>
    <row r="449" spans="1:43" s="85" customFormat="1" ht="25.9" thickBot="1" x14ac:dyDescent="0.8">
      <c r="A449" s="854"/>
      <c r="B449" s="565" t="s">
        <v>1141</v>
      </c>
      <c r="C449" s="922" t="s">
        <v>1206</v>
      </c>
      <c r="D449" s="566"/>
      <c r="E449" s="574"/>
      <c r="F449" s="579">
        <f>F445-SUM(F446:F448)</f>
        <v>0</v>
      </c>
      <c r="G449" s="579">
        <f t="shared" ref="G449" si="364">G445-SUM(G446:G448)</f>
        <v>0</v>
      </c>
      <c r="H449" s="579">
        <f t="shared" ref="H449" si="365">H445-SUM(H446:H448)</f>
        <v>0</v>
      </c>
      <c r="I449" s="579">
        <f t="shared" ref="I449" si="366">I445-SUM(I446:I448)</f>
        <v>0</v>
      </c>
      <c r="J449" s="579">
        <f t="shared" ref="J449" si="367">J445-SUM(J446:J448)</f>
        <v>0</v>
      </c>
      <c r="K449" s="579">
        <f t="shared" ref="K449" si="368">K445-SUM(K446:K448)</f>
        <v>0</v>
      </c>
      <c r="L449" s="579">
        <f t="shared" ref="L449" si="369">L445-SUM(L446:L448)</f>
        <v>0</v>
      </c>
      <c r="M449" s="579">
        <f t="shared" ref="M449" si="370">M445-SUM(M446:M448)</f>
        <v>0</v>
      </c>
      <c r="N449" s="579">
        <f t="shared" ref="N449" si="371">N445-SUM(N446:N448)</f>
        <v>0</v>
      </c>
      <c r="O449" s="579">
        <f t="shared" ref="O449" si="372">O445-SUM(O446:O448)</f>
        <v>0</v>
      </c>
      <c r="P449" s="579">
        <f t="shared" ref="P449" si="373">P445-SUM(P446:P448)</f>
        <v>0</v>
      </c>
      <c r="Q449" s="579">
        <f t="shared" ref="Q449" si="374">Q445-SUM(Q446:Q448)</f>
        <v>0</v>
      </c>
      <c r="R449" s="579">
        <f t="shared" ref="R449" si="375">R445-SUM(R446:R448)</f>
        <v>0</v>
      </c>
      <c r="S449" s="579">
        <f t="shared" ref="S449" si="376">S445-SUM(S446:S448)</f>
        <v>0</v>
      </c>
      <c r="T449" s="579">
        <f t="shared" ref="T449" si="377">T445-SUM(T446:T448)</f>
        <v>0</v>
      </c>
      <c r="U449" s="579">
        <f t="shared" ref="U449" si="378">U445-SUM(U446:U448)</f>
        <v>0</v>
      </c>
      <c r="V449" s="579">
        <f t="shared" ref="V449" si="379">V445-SUM(V446:V448)</f>
        <v>0</v>
      </c>
      <c r="W449" s="579">
        <f t="shared" ref="W449" si="380">W445-SUM(W446:W448)</f>
        <v>0</v>
      </c>
      <c r="X449" s="579">
        <f t="shared" ref="X449" si="381">X445-SUM(X446:X448)</f>
        <v>0</v>
      </c>
      <c r="Y449" s="579">
        <f t="shared" ref="Y449" si="382">Y445-SUM(Y446:Y448)</f>
        <v>0</v>
      </c>
      <c r="Z449" s="579">
        <f t="shared" ref="Z449" si="383">Z445-SUM(Z446:Z448)</f>
        <v>0</v>
      </c>
      <c r="AA449" s="579">
        <f t="shared" ref="AA449" si="384">AA445-SUM(AA446:AA448)</f>
        <v>0</v>
      </c>
      <c r="AB449" s="415"/>
      <c r="AC449" s="415"/>
      <c r="AD449" s="415"/>
      <c r="AE449" s="415"/>
      <c r="AF449" s="415"/>
      <c r="AG449" s="415"/>
      <c r="AH449" s="415"/>
      <c r="AI449" s="415"/>
      <c r="AJ449" s="570">
        <f t="shared" ref="AJ449" si="385">SUM(D449:AA449)</f>
        <v>0</v>
      </c>
      <c r="AK449" s="557"/>
      <c r="AL449" s="555"/>
      <c r="AM449" s="32" t="str">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0"&amp;CHAR(10),""),IF(D511&gt;0," * F01-14 for Age "&amp;D435&amp;" "&amp;D436&amp;" has a value greater than 0"&amp;CHAR(10),""),IF(E511&gt;0,"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
      </c>
      <c r="AN449" s="556"/>
      <c r="AO449" s="14">
        <v>33</v>
      </c>
      <c r="AP449" s="83"/>
      <c r="AQ449" s="84"/>
    </row>
    <row r="450" spans="1:43" ht="63" customHeight="1" thickBot="1" x14ac:dyDescent="0.8">
      <c r="A450" s="297" t="s">
        <v>469</v>
      </c>
      <c r="B450" s="562"/>
      <c r="C450" s="77"/>
      <c r="D450" s="298"/>
      <c r="E450" s="298"/>
      <c r="F450" s="8"/>
      <c r="G450" s="8"/>
      <c r="H450" s="298"/>
      <c r="I450" s="8"/>
      <c r="J450" s="8"/>
      <c r="K450" s="298"/>
      <c r="L450" s="298"/>
      <c r="M450" s="8"/>
      <c r="N450" s="8"/>
      <c r="O450" s="8"/>
      <c r="P450" s="298"/>
      <c r="Q450" s="8"/>
      <c r="R450" s="298"/>
      <c r="S450" s="298"/>
      <c r="T450" s="298"/>
      <c r="U450" s="298"/>
      <c r="V450" s="298"/>
      <c r="W450" s="298"/>
      <c r="X450" s="8"/>
      <c r="Y450" s="298"/>
      <c r="Z450" s="298"/>
      <c r="AA450" s="298"/>
      <c r="AB450" s="298"/>
      <c r="AC450" s="298"/>
      <c r="AD450" s="298"/>
      <c r="AE450" s="298"/>
      <c r="AF450" s="298"/>
      <c r="AG450" s="298"/>
      <c r="AH450" s="298"/>
      <c r="AI450" s="298"/>
      <c r="AJ450" s="298"/>
      <c r="AK450" s="10"/>
      <c r="AM450" s="298"/>
      <c r="AN450" s="298"/>
      <c r="AO450" s="299"/>
      <c r="AP450" s="76"/>
      <c r="AQ450" s="77"/>
    </row>
    <row r="452" spans="1:43" ht="28.9" thickBot="1" x14ac:dyDescent="0.75">
      <c r="A452" s="300"/>
      <c r="B452" s="301"/>
      <c r="E452" s="9"/>
      <c r="F452" s="9"/>
      <c r="G452" s="9"/>
      <c r="H452" s="9"/>
      <c r="I452" s="9"/>
      <c r="J452" s="9"/>
      <c r="K452" s="9"/>
      <c r="L452" s="9"/>
      <c r="M452" s="9"/>
    </row>
    <row r="453" spans="1:43" s="308" customFormat="1" ht="41.25" customHeight="1" thickBot="1" x14ac:dyDescent="0.5">
      <c r="A453" s="819" t="s">
        <v>958</v>
      </c>
      <c r="B453" s="820"/>
      <c r="C453" s="820"/>
      <c r="D453" s="820"/>
      <c r="E453" s="820"/>
      <c r="F453" s="820"/>
      <c r="G453" s="820"/>
      <c r="H453" s="820"/>
      <c r="I453" s="820"/>
      <c r="J453" s="820"/>
      <c r="K453" s="820"/>
      <c r="L453" s="820"/>
      <c r="M453" s="821" t="s">
        <v>955</v>
      </c>
      <c r="N453" s="820"/>
      <c r="O453" s="820"/>
      <c r="P453" s="820"/>
      <c r="Q453" s="820"/>
      <c r="R453" s="820"/>
      <c r="S453" s="820"/>
      <c r="T453" s="820"/>
      <c r="U453" s="820"/>
      <c r="V453" s="820"/>
      <c r="W453" s="820"/>
      <c r="X453" s="820"/>
      <c r="Y453" s="820"/>
      <c r="Z453" s="820"/>
      <c r="AA453" s="820"/>
      <c r="AB453" s="820"/>
      <c r="AC453" s="820"/>
      <c r="AD453" s="820"/>
      <c r="AE453" s="820"/>
      <c r="AF453" s="820"/>
      <c r="AG453" s="820"/>
      <c r="AH453" s="820"/>
      <c r="AI453" s="820"/>
      <c r="AJ453" s="820"/>
      <c r="AK453" s="820"/>
      <c r="AL453" s="820"/>
      <c r="AM453" s="820"/>
      <c r="AN453" s="822"/>
      <c r="AO453" s="305"/>
      <c r="AP453" s="306"/>
      <c r="AQ453" s="307"/>
    </row>
    <row r="454" spans="1:43" ht="30.75" customHeight="1" x14ac:dyDescent="0.7">
      <c r="A454" s="810" t="str">
        <f>CONCATENATE(AL369,AL349,AL338,AL324,AL299,AL282,AL270,AL248,AL230,AL221,AL212,AL203,AL194,AL167,AL152,AL112,AL102,AL22,AL8)</f>
        <v/>
      </c>
      <c r="B454" s="811"/>
      <c r="C454" s="811"/>
      <c r="D454" s="811"/>
      <c r="E454" s="811"/>
      <c r="F454" s="811"/>
      <c r="G454" s="811"/>
      <c r="H454" s="811"/>
      <c r="I454" s="811"/>
      <c r="J454" s="811"/>
      <c r="K454" s="811"/>
      <c r="L454" s="812"/>
      <c r="M454" s="823" t="str">
        <f>IF(LEN(A454)&lt;=0,"","Please ensure you solve the errors appearing on the left . However, In the cases where the errors are valid and can be explained ( We expect this to be very rare cases), Please delete this message and type the  justification for the error here)")</f>
        <v/>
      </c>
      <c r="N454" s="824"/>
      <c r="O454" s="824"/>
      <c r="P454" s="824"/>
      <c r="Q454" s="824"/>
      <c r="R454" s="824"/>
      <c r="S454" s="824"/>
      <c r="T454" s="824"/>
      <c r="U454" s="824"/>
      <c r="V454" s="824"/>
      <c r="W454" s="824"/>
      <c r="X454" s="824"/>
      <c r="Y454" s="824"/>
      <c r="Z454" s="824"/>
      <c r="AA454" s="824"/>
      <c r="AB454" s="824"/>
      <c r="AC454" s="824"/>
      <c r="AD454" s="824"/>
      <c r="AE454" s="824"/>
      <c r="AF454" s="824"/>
      <c r="AG454" s="824"/>
      <c r="AH454" s="824"/>
      <c r="AI454" s="824"/>
      <c r="AJ454" s="824"/>
      <c r="AK454" s="824"/>
      <c r="AL454" s="824"/>
      <c r="AM454" s="824"/>
      <c r="AN454" s="825"/>
    </row>
    <row r="455" spans="1:43" ht="25.5" customHeight="1" x14ac:dyDescent="0.7">
      <c r="A455" s="813"/>
      <c r="B455" s="814"/>
      <c r="C455" s="814"/>
      <c r="D455" s="814"/>
      <c r="E455" s="814"/>
      <c r="F455" s="814"/>
      <c r="G455" s="814"/>
      <c r="H455" s="814"/>
      <c r="I455" s="814"/>
      <c r="J455" s="814"/>
      <c r="K455" s="814"/>
      <c r="L455" s="815"/>
      <c r="M455" s="826"/>
      <c r="N455" s="827"/>
      <c r="O455" s="827"/>
      <c r="P455" s="827"/>
      <c r="Q455" s="827"/>
      <c r="R455" s="827"/>
      <c r="S455" s="827"/>
      <c r="T455" s="827"/>
      <c r="U455" s="827"/>
      <c r="V455" s="827"/>
      <c r="W455" s="827"/>
      <c r="X455" s="827"/>
      <c r="Y455" s="827"/>
      <c r="Z455" s="827"/>
      <c r="AA455" s="827"/>
      <c r="AB455" s="827"/>
      <c r="AC455" s="827"/>
      <c r="AD455" s="827"/>
      <c r="AE455" s="827"/>
      <c r="AF455" s="827"/>
      <c r="AG455" s="827"/>
      <c r="AH455" s="827"/>
      <c r="AI455" s="827"/>
      <c r="AJ455" s="827"/>
      <c r="AK455" s="827"/>
      <c r="AL455" s="827"/>
      <c r="AM455" s="827"/>
      <c r="AN455" s="828"/>
    </row>
    <row r="456" spans="1:43" ht="30.75" customHeight="1" x14ac:dyDescent="0.7">
      <c r="A456" s="813"/>
      <c r="B456" s="814"/>
      <c r="C456" s="814"/>
      <c r="D456" s="814"/>
      <c r="E456" s="814"/>
      <c r="F456" s="814"/>
      <c r="G456" s="814"/>
      <c r="H456" s="814"/>
      <c r="I456" s="814"/>
      <c r="J456" s="814"/>
      <c r="K456" s="814"/>
      <c r="L456" s="815"/>
      <c r="M456" s="826"/>
      <c r="N456" s="827"/>
      <c r="O456" s="827"/>
      <c r="P456" s="827"/>
      <c r="Q456" s="827"/>
      <c r="R456" s="827"/>
      <c r="S456" s="827"/>
      <c r="T456" s="827"/>
      <c r="U456" s="827"/>
      <c r="V456" s="827"/>
      <c r="W456" s="827"/>
      <c r="X456" s="827"/>
      <c r="Y456" s="827"/>
      <c r="Z456" s="827"/>
      <c r="AA456" s="827"/>
      <c r="AB456" s="827"/>
      <c r="AC456" s="827"/>
      <c r="AD456" s="827"/>
      <c r="AE456" s="827"/>
      <c r="AF456" s="827"/>
      <c r="AG456" s="827"/>
      <c r="AH456" s="827"/>
      <c r="AI456" s="827"/>
      <c r="AJ456" s="827"/>
      <c r="AK456" s="827"/>
      <c r="AL456" s="827"/>
      <c r="AM456" s="827"/>
      <c r="AN456" s="828"/>
    </row>
    <row r="457" spans="1:43" ht="25.5" customHeight="1" x14ac:dyDescent="0.7">
      <c r="A457" s="813"/>
      <c r="B457" s="814"/>
      <c r="C457" s="814"/>
      <c r="D457" s="814"/>
      <c r="E457" s="814"/>
      <c r="F457" s="814"/>
      <c r="G457" s="814"/>
      <c r="H457" s="814"/>
      <c r="I457" s="814"/>
      <c r="J457" s="814"/>
      <c r="K457" s="814"/>
      <c r="L457" s="815"/>
      <c r="M457" s="826"/>
      <c r="N457" s="827"/>
      <c r="O457" s="827"/>
      <c r="P457" s="827"/>
      <c r="Q457" s="827"/>
      <c r="R457" s="827"/>
      <c r="S457" s="827"/>
      <c r="T457" s="827"/>
      <c r="U457" s="827"/>
      <c r="V457" s="827"/>
      <c r="W457" s="827"/>
      <c r="X457" s="827"/>
      <c r="Y457" s="827"/>
      <c r="Z457" s="827"/>
      <c r="AA457" s="827"/>
      <c r="AB457" s="827"/>
      <c r="AC457" s="827"/>
      <c r="AD457" s="827"/>
      <c r="AE457" s="827"/>
      <c r="AF457" s="827"/>
      <c r="AG457" s="827"/>
      <c r="AH457" s="827"/>
      <c r="AI457" s="827"/>
      <c r="AJ457" s="827"/>
      <c r="AK457" s="827"/>
      <c r="AL457" s="827"/>
      <c r="AM457" s="827"/>
      <c r="AN457" s="828"/>
    </row>
    <row r="458" spans="1:43" ht="25.5" customHeight="1" x14ac:dyDescent="0.7">
      <c r="A458" s="813"/>
      <c r="B458" s="814"/>
      <c r="C458" s="814"/>
      <c r="D458" s="814"/>
      <c r="E458" s="814"/>
      <c r="F458" s="814"/>
      <c r="G458" s="814"/>
      <c r="H458" s="814"/>
      <c r="I458" s="814"/>
      <c r="J458" s="814"/>
      <c r="K458" s="814"/>
      <c r="L458" s="815"/>
      <c r="M458" s="826"/>
      <c r="N458" s="827"/>
      <c r="O458" s="827"/>
      <c r="P458" s="827"/>
      <c r="Q458" s="827"/>
      <c r="R458" s="827"/>
      <c r="S458" s="827"/>
      <c r="T458" s="827"/>
      <c r="U458" s="827"/>
      <c r="V458" s="827"/>
      <c r="W458" s="827"/>
      <c r="X458" s="827"/>
      <c r="Y458" s="827"/>
      <c r="Z458" s="827"/>
      <c r="AA458" s="827"/>
      <c r="AB458" s="827"/>
      <c r="AC458" s="827"/>
      <c r="AD458" s="827"/>
      <c r="AE458" s="827"/>
      <c r="AF458" s="827"/>
      <c r="AG458" s="827"/>
      <c r="AH458" s="827"/>
      <c r="AI458" s="827"/>
      <c r="AJ458" s="827"/>
      <c r="AK458" s="827"/>
      <c r="AL458" s="827"/>
      <c r="AM458" s="827"/>
      <c r="AN458" s="828"/>
    </row>
    <row r="459" spans="1:43" ht="25.5" customHeight="1" x14ac:dyDescent="0.7">
      <c r="A459" s="813"/>
      <c r="B459" s="814"/>
      <c r="C459" s="814"/>
      <c r="D459" s="814"/>
      <c r="E459" s="814"/>
      <c r="F459" s="814"/>
      <c r="G459" s="814"/>
      <c r="H459" s="814"/>
      <c r="I459" s="814"/>
      <c r="J459" s="814"/>
      <c r="K459" s="814"/>
      <c r="L459" s="815"/>
      <c r="M459" s="826"/>
      <c r="N459" s="827"/>
      <c r="O459" s="827"/>
      <c r="P459" s="827"/>
      <c r="Q459" s="827"/>
      <c r="R459" s="827"/>
      <c r="S459" s="827"/>
      <c r="T459" s="827"/>
      <c r="U459" s="827"/>
      <c r="V459" s="827"/>
      <c r="W459" s="827"/>
      <c r="X459" s="827"/>
      <c r="Y459" s="827"/>
      <c r="Z459" s="827"/>
      <c r="AA459" s="827"/>
      <c r="AB459" s="827"/>
      <c r="AC459" s="827"/>
      <c r="AD459" s="827"/>
      <c r="AE459" s="827"/>
      <c r="AF459" s="827"/>
      <c r="AG459" s="827"/>
      <c r="AH459" s="827"/>
      <c r="AI459" s="827"/>
      <c r="AJ459" s="827"/>
      <c r="AK459" s="827"/>
      <c r="AL459" s="827"/>
      <c r="AM459" s="827"/>
      <c r="AN459" s="828"/>
    </row>
    <row r="460" spans="1:43" ht="25.5" customHeight="1" x14ac:dyDescent="0.7">
      <c r="A460" s="813"/>
      <c r="B460" s="814"/>
      <c r="C460" s="814"/>
      <c r="D460" s="814"/>
      <c r="E460" s="814"/>
      <c r="F460" s="814"/>
      <c r="G460" s="814"/>
      <c r="H460" s="814"/>
      <c r="I460" s="814"/>
      <c r="J460" s="814"/>
      <c r="K460" s="814"/>
      <c r="L460" s="815"/>
      <c r="M460" s="826"/>
      <c r="N460" s="827"/>
      <c r="O460" s="827"/>
      <c r="P460" s="827"/>
      <c r="Q460" s="827"/>
      <c r="R460" s="827"/>
      <c r="S460" s="827"/>
      <c r="T460" s="827"/>
      <c r="U460" s="827"/>
      <c r="V460" s="827"/>
      <c r="W460" s="827"/>
      <c r="X460" s="827"/>
      <c r="Y460" s="827"/>
      <c r="Z460" s="827"/>
      <c r="AA460" s="827"/>
      <c r="AB460" s="827"/>
      <c r="AC460" s="827"/>
      <c r="AD460" s="827"/>
      <c r="AE460" s="827"/>
      <c r="AF460" s="827"/>
      <c r="AG460" s="827"/>
      <c r="AH460" s="827"/>
      <c r="AI460" s="827"/>
      <c r="AJ460" s="827"/>
      <c r="AK460" s="827"/>
      <c r="AL460" s="827"/>
      <c r="AM460" s="827"/>
      <c r="AN460" s="828"/>
    </row>
    <row r="461" spans="1:43" ht="25.5" customHeight="1" x14ac:dyDescent="0.7">
      <c r="A461" s="813"/>
      <c r="B461" s="814"/>
      <c r="C461" s="814"/>
      <c r="D461" s="814"/>
      <c r="E461" s="814"/>
      <c r="F461" s="814"/>
      <c r="G461" s="814"/>
      <c r="H461" s="814"/>
      <c r="I461" s="814"/>
      <c r="J461" s="814"/>
      <c r="K461" s="814"/>
      <c r="L461" s="815"/>
      <c r="M461" s="826"/>
      <c r="N461" s="827"/>
      <c r="O461" s="827"/>
      <c r="P461" s="827"/>
      <c r="Q461" s="827"/>
      <c r="R461" s="827"/>
      <c r="S461" s="827"/>
      <c r="T461" s="827"/>
      <c r="U461" s="827"/>
      <c r="V461" s="827"/>
      <c r="W461" s="827"/>
      <c r="X461" s="827"/>
      <c r="Y461" s="827"/>
      <c r="Z461" s="827"/>
      <c r="AA461" s="827"/>
      <c r="AB461" s="827"/>
      <c r="AC461" s="827"/>
      <c r="AD461" s="827"/>
      <c r="AE461" s="827"/>
      <c r="AF461" s="827"/>
      <c r="AG461" s="827"/>
      <c r="AH461" s="827"/>
      <c r="AI461" s="827"/>
      <c r="AJ461" s="827"/>
      <c r="AK461" s="827"/>
      <c r="AL461" s="827"/>
      <c r="AM461" s="827"/>
      <c r="AN461" s="828"/>
    </row>
    <row r="462" spans="1:43" ht="25.5" customHeight="1" x14ac:dyDescent="0.7">
      <c r="A462" s="813"/>
      <c r="B462" s="814"/>
      <c r="C462" s="814"/>
      <c r="D462" s="814"/>
      <c r="E462" s="814"/>
      <c r="F462" s="814"/>
      <c r="G462" s="814"/>
      <c r="H462" s="814"/>
      <c r="I462" s="814"/>
      <c r="J462" s="814"/>
      <c r="K462" s="814"/>
      <c r="L462" s="815"/>
      <c r="M462" s="826"/>
      <c r="N462" s="827"/>
      <c r="O462" s="827"/>
      <c r="P462" s="827"/>
      <c r="Q462" s="827"/>
      <c r="R462" s="827"/>
      <c r="S462" s="827"/>
      <c r="T462" s="827"/>
      <c r="U462" s="827"/>
      <c r="V462" s="827"/>
      <c r="W462" s="827"/>
      <c r="X462" s="827"/>
      <c r="Y462" s="827"/>
      <c r="Z462" s="827"/>
      <c r="AA462" s="827"/>
      <c r="AB462" s="827"/>
      <c r="AC462" s="827"/>
      <c r="AD462" s="827"/>
      <c r="AE462" s="827"/>
      <c r="AF462" s="827"/>
      <c r="AG462" s="827"/>
      <c r="AH462" s="827"/>
      <c r="AI462" s="827"/>
      <c r="AJ462" s="827"/>
      <c r="AK462" s="827"/>
      <c r="AL462" s="827"/>
      <c r="AM462" s="827"/>
      <c r="AN462" s="828"/>
    </row>
    <row r="463" spans="1:43" ht="25.5" customHeight="1" x14ac:dyDescent="0.7">
      <c r="A463" s="813"/>
      <c r="B463" s="814"/>
      <c r="C463" s="814"/>
      <c r="D463" s="814"/>
      <c r="E463" s="814"/>
      <c r="F463" s="814"/>
      <c r="G463" s="814"/>
      <c r="H463" s="814"/>
      <c r="I463" s="814"/>
      <c r="J463" s="814"/>
      <c r="K463" s="814"/>
      <c r="L463" s="815"/>
      <c r="M463" s="826"/>
      <c r="N463" s="827"/>
      <c r="O463" s="827"/>
      <c r="P463" s="827"/>
      <c r="Q463" s="827"/>
      <c r="R463" s="827"/>
      <c r="S463" s="827"/>
      <c r="T463" s="827"/>
      <c r="U463" s="827"/>
      <c r="V463" s="827"/>
      <c r="W463" s="827"/>
      <c r="X463" s="827"/>
      <c r="Y463" s="827"/>
      <c r="Z463" s="827"/>
      <c r="AA463" s="827"/>
      <c r="AB463" s="827"/>
      <c r="AC463" s="827"/>
      <c r="AD463" s="827"/>
      <c r="AE463" s="827"/>
      <c r="AF463" s="827"/>
      <c r="AG463" s="827"/>
      <c r="AH463" s="827"/>
      <c r="AI463" s="827"/>
      <c r="AJ463" s="827"/>
      <c r="AK463" s="827"/>
      <c r="AL463" s="827"/>
      <c r="AM463" s="827"/>
      <c r="AN463" s="828"/>
    </row>
    <row r="464" spans="1:43" ht="25.5" customHeight="1" x14ac:dyDescent="0.7">
      <c r="A464" s="813"/>
      <c r="B464" s="814"/>
      <c r="C464" s="814"/>
      <c r="D464" s="814"/>
      <c r="E464" s="814"/>
      <c r="F464" s="814"/>
      <c r="G464" s="814"/>
      <c r="H464" s="814"/>
      <c r="I464" s="814"/>
      <c r="J464" s="814"/>
      <c r="K464" s="814"/>
      <c r="L464" s="815"/>
      <c r="M464" s="826"/>
      <c r="N464" s="827"/>
      <c r="O464" s="827"/>
      <c r="P464" s="827"/>
      <c r="Q464" s="827"/>
      <c r="R464" s="827"/>
      <c r="S464" s="827"/>
      <c r="T464" s="827"/>
      <c r="U464" s="827"/>
      <c r="V464" s="827"/>
      <c r="W464" s="827"/>
      <c r="X464" s="827"/>
      <c r="Y464" s="827"/>
      <c r="Z464" s="827"/>
      <c r="AA464" s="827"/>
      <c r="AB464" s="827"/>
      <c r="AC464" s="827"/>
      <c r="AD464" s="827"/>
      <c r="AE464" s="827"/>
      <c r="AF464" s="827"/>
      <c r="AG464" s="827"/>
      <c r="AH464" s="827"/>
      <c r="AI464" s="827"/>
      <c r="AJ464" s="827"/>
      <c r="AK464" s="827"/>
      <c r="AL464" s="827"/>
      <c r="AM464" s="827"/>
      <c r="AN464" s="828"/>
    </row>
    <row r="465" spans="1:43" ht="25.5" customHeight="1" x14ac:dyDescent="0.7">
      <c r="A465" s="813"/>
      <c r="B465" s="814"/>
      <c r="C465" s="814"/>
      <c r="D465" s="814"/>
      <c r="E465" s="814"/>
      <c r="F465" s="814"/>
      <c r="G465" s="814"/>
      <c r="H465" s="814"/>
      <c r="I465" s="814"/>
      <c r="J465" s="814"/>
      <c r="K465" s="814"/>
      <c r="L465" s="815"/>
      <c r="M465" s="826"/>
      <c r="N465" s="827"/>
      <c r="O465" s="827"/>
      <c r="P465" s="827"/>
      <c r="Q465" s="827"/>
      <c r="R465" s="827"/>
      <c r="S465" s="827"/>
      <c r="T465" s="827"/>
      <c r="U465" s="827"/>
      <c r="V465" s="827"/>
      <c r="W465" s="827"/>
      <c r="X465" s="827"/>
      <c r="Y465" s="827"/>
      <c r="Z465" s="827"/>
      <c r="AA465" s="827"/>
      <c r="AB465" s="827"/>
      <c r="AC465" s="827"/>
      <c r="AD465" s="827"/>
      <c r="AE465" s="827"/>
      <c r="AF465" s="827"/>
      <c r="AG465" s="827"/>
      <c r="AH465" s="827"/>
      <c r="AI465" s="827"/>
      <c r="AJ465" s="827"/>
      <c r="AK465" s="827"/>
      <c r="AL465" s="827"/>
      <c r="AM465" s="827"/>
      <c r="AN465" s="828"/>
    </row>
    <row r="466" spans="1:43" ht="25.5" customHeight="1" x14ac:dyDescent="0.7">
      <c r="A466" s="813"/>
      <c r="B466" s="814"/>
      <c r="C466" s="814"/>
      <c r="D466" s="814"/>
      <c r="E466" s="814"/>
      <c r="F466" s="814"/>
      <c r="G466" s="814"/>
      <c r="H466" s="814"/>
      <c r="I466" s="814"/>
      <c r="J466" s="814"/>
      <c r="K466" s="814"/>
      <c r="L466" s="815"/>
      <c r="M466" s="826"/>
      <c r="N466" s="827"/>
      <c r="O466" s="827"/>
      <c r="P466" s="827"/>
      <c r="Q466" s="827"/>
      <c r="R466" s="827"/>
      <c r="S466" s="827"/>
      <c r="T466" s="827"/>
      <c r="U466" s="827"/>
      <c r="V466" s="827"/>
      <c r="W466" s="827"/>
      <c r="X466" s="827"/>
      <c r="Y466" s="827"/>
      <c r="Z466" s="827"/>
      <c r="AA466" s="827"/>
      <c r="AB466" s="827"/>
      <c r="AC466" s="827"/>
      <c r="AD466" s="827"/>
      <c r="AE466" s="827"/>
      <c r="AF466" s="827"/>
      <c r="AG466" s="827"/>
      <c r="AH466" s="827"/>
      <c r="AI466" s="827"/>
      <c r="AJ466" s="827"/>
      <c r="AK466" s="827"/>
      <c r="AL466" s="827"/>
      <c r="AM466" s="827"/>
      <c r="AN466" s="828"/>
    </row>
    <row r="467" spans="1:43" ht="25.5" customHeight="1" x14ac:dyDescent="0.7">
      <c r="A467" s="813"/>
      <c r="B467" s="814"/>
      <c r="C467" s="814"/>
      <c r="D467" s="814"/>
      <c r="E467" s="814"/>
      <c r="F467" s="814"/>
      <c r="G467" s="814"/>
      <c r="H467" s="814"/>
      <c r="I467" s="814"/>
      <c r="J467" s="814"/>
      <c r="K467" s="814"/>
      <c r="L467" s="815"/>
      <c r="M467" s="826"/>
      <c r="N467" s="827"/>
      <c r="O467" s="827"/>
      <c r="P467" s="827"/>
      <c r="Q467" s="827"/>
      <c r="R467" s="827"/>
      <c r="S467" s="827"/>
      <c r="T467" s="827"/>
      <c r="U467" s="827"/>
      <c r="V467" s="827"/>
      <c r="W467" s="827"/>
      <c r="X467" s="827"/>
      <c r="Y467" s="827"/>
      <c r="Z467" s="827"/>
      <c r="AA467" s="827"/>
      <c r="AB467" s="827"/>
      <c r="AC467" s="827"/>
      <c r="AD467" s="827"/>
      <c r="AE467" s="827"/>
      <c r="AF467" s="827"/>
      <c r="AG467" s="827"/>
      <c r="AH467" s="827"/>
      <c r="AI467" s="827"/>
      <c r="AJ467" s="827"/>
      <c r="AK467" s="827"/>
      <c r="AL467" s="827"/>
      <c r="AM467" s="827"/>
      <c r="AN467" s="828"/>
    </row>
    <row r="468" spans="1:43" ht="25.5" customHeight="1" x14ac:dyDescent="0.7">
      <c r="A468" s="813"/>
      <c r="B468" s="814"/>
      <c r="C468" s="814"/>
      <c r="D468" s="814"/>
      <c r="E468" s="814"/>
      <c r="F468" s="814"/>
      <c r="G468" s="814"/>
      <c r="H468" s="814"/>
      <c r="I468" s="814"/>
      <c r="J468" s="814"/>
      <c r="K468" s="814"/>
      <c r="L468" s="815"/>
      <c r="M468" s="826"/>
      <c r="N468" s="827"/>
      <c r="O468" s="827"/>
      <c r="P468" s="827"/>
      <c r="Q468" s="827"/>
      <c r="R468" s="827"/>
      <c r="S468" s="827"/>
      <c r="T468" s="827"/>
      <c r="U468" s="827"/>
      <c r="V468" s="827"/>
      <c r="W468" s="827"/>
      <c r="X468" s="827"/>
      <c r="Y468" s="827"/>
      <c r="Z468" s="827"/>
      <c r="AA468" s="827"/>
      <c r="AB468" s="827"/>
      <c r="AC468" s="827"/>
      <c r="AD468" s="827"/>
      <c r="AE468" s="827"/>
      <c r="AF468" s="827"/>
      <c r="AG468" s="827"/>
      <c r="AH468" s="827"/>
      <c r="AI468" s="827"/>
      <c r="AJ468" s="827"/>
      <c r="AK468" s="827"/>
      <c r="AL468" s="827"/>
      <c r="AM468" s="827"/>
      <c r="AN468" s="828"/>
    </row>
    <row r="469" spans="1:43" ht="25.5" customHeight="1" x14ac:dyDescent="0.7">
      <c r="A469" s="813"/>
      <c r="B469" s="814"/>
      <c r="C469" s="814"/>
      <c r="D469" s="814"/>
      <c r="E469" s="814"/>
      <c r="F469" s="814"/>
      <c r="G469" s="814"/>
      <c r="H469" s="814"/>
      <c r="I469" s="814"/>
      <c r="J469" s="814"/>
      <c r="K469" s="814"/>
      <c r="L469" s="815"/>
      <c r="M469" s="826"/>
      <c r="N469" s="827"/>
      <c r="O469" s="827"/>
      <c r="P469" s="827"/>
      <c r="Q469" s="827"/>
      <c r="R469" s="827"/>
      <c r="S469" s="827"/>
      <c r="T469" s="827"/>
      <c r="U469" s="827"/>
      <c r="V469" s="827"/>
      <c r="W469" s="827"/>
      <c r="X469" s="827"/>
      <c r="Y469" s="827"/>
      <c r="Z469" s="827"/>
      <c r="AA469" s="827"/>
      <c r="AB469" s="827"/>
      <c r="AC469" s="827"/>
      <c r="AD469" s="827"/>
      <c r="AE469" s="827"/>
      <c r="AF469" s="827"/>
      <c r="AG469" s="827"/>
      <c r="AH469" s="827"/>
      <c r="AI469" s="827"/>
      <c r="AJ469" s="827"/>
      <c r="AK469" s="827"/>
      <c r="AL469" s="827"/>
      <c r="AM469" s="827"/>
      <c r="AN469" s="828"/>
    </row>
    <row r="470" spans="1:43" ht="25.5" customHeight="1" x14ac:dyDescent="0.7">
      <c r="A470" s="813"/>
      <c r="B470" s="814"/>
      <c r="C470" s="814"/>
      <c r="D470" s="814"/>
      <c r="E470" s="814"/>
      <c r="F470" s="814"/>
      <c r="G470" s="814"/>
      <c r="H470" s="814"/>
      <c r="I470" s="814"/>
      <c r="J470" s="814"/>
      <c r="K470" s="814"/>
      <c r="L470" s="815"/>
      <c r="M470" s="826"/>
      <c r="N470" s="827"/>
      <c r="O470" s="827"/>
      <c r="P470" s="827"/>
      <c r="Q470" s="827"/>
      <c r="R470" s="827"/>
      <c r="S470" s="827"/>
      <c r="T470" s="827"/>
      <c r="U470" s="827"/>
      <c r="V470" s="827"/>
      <c r="W470" s="827"/>
      <c r="X470" s="827"/>
      <c r="Y470" s="827"/>
      <c r="Z470" s="827"/>
      <c r="AA470" s="827"/>
      <c r="AB470" s="827"/>
      <c r="AC470" s="827"/>
      <c r="AD470" s="827"/>
      <c r="AE470" s="827"/>
      <c r="AF470" s="827"/>
      <c r="AG470" s="827"/>
      <c r="AH470" s="827"/>
      <c r="AI470" s="827"/>
      <c r="AJ470" s="827"/>
      <c r="AK470" s="827"/>
      <c r="AL470" s="827"/>
      <c r="AM470" s="827"/>
      <c r="AN470" s="828"/>
    </row>
    <row r="471" spans="1:43" ht="25.5" customHeight="1" x14ac:dyDescent="0.7">
      <c r="A471" s="813"/>
      <c r="B471" s="814"/>
      <c r="C471" s="814"/>
      <c r="D471" s="814"/>
      <c r="E471" s="814"/>
      <c r="F471" s="814"/>
      <c r="G471" s="814"/>
      <c r="H471" s="814"/>
      <c r="I471" s="814"/>
      <c r="J471" s="814"/>
      <c r="K471" s="814"/>
      <c r="L471" s="815"/>
      <c r="M471" s="826"/>
      <c r="N471" s="827"/>
      <c r="O471" s="827"/>
      <c r="P471" s="827"/>
      <c r="Q471" s="827"/>
      <c r="R471" s="827"/>
      <c r="S471" s="827"/>
      <c r="T471" s="827"/>
      <c r="U471" s="827"/>
      <c r="V471" s="827"/>
      <c r="W471" s="827"/>
      <c r="X471" s="827"/>
      <c r="Y471" s="827"/>
      <c r="Z471" s="827"/>
      <c r="AA471" s="827"/>
      <c r="AB471" s="827"/>
      <c r="AC471" s="827"/>
      <c r="AD471" s="827"/>
      <c r="AE471" s="827"/>
      <c r="AF471" s="827"/>
      <c r="AG471" s="827"/>
      <c r="AH471" s="827"/>
      <c r="AI471" s="827"/>
      <c r="AJ471" s="827"/>
      <c r="AK471" s="827"/>
      <c r="AL471" s="827"/>
      <c r="AM471" s="827"/>
      <c r="AN471" s="828"/>
    </row>
    <row r="472" spans="1:43" ht="25.5" customHeight="1" x14ac:dyDescent="0.7">
      <c r="A472" s="813"/>
      <c r="B472" s="814"/>
      <c r="C472" s="814"/>
      <c r="D472" s="814"/>
      <c r="E472" s="814"/>
      <c r="F472" s="814"/>
      <c r="G472" s="814"/>
      <c r="H472" s="814"/>
      <c r="I472" s="814"/>
      <c r="J472" s="814"/>
      <c r="K472" s="814"/>
      <c r="L472" s="815"/>
      <c r="M472" s="826"/>
      <c r="N472" s="827"/>
      <c r="O472" s="827"/>
      <c r="P472" s="827"/>
      <c r="Q472" s="827"/>
      <c r="R472" s="827"/>
      <c r="S472" s="827"/>
      <c r="T472" s="827"/>
      <c r="U472" s="827"/>
      <c r="V472" s="827"/>
      <c r="W472" s="827"/>
      <c r="X472" s="827"/>
      <c r="Y472" s="827"/>
      <c r="Z472" s="827"/>
      <c r="AA472" s="827"/>
      <c r="AB472" s="827"/>
      <c r="AC472" s="827"/>
      <c r="AD472" s="827"/>
      <c r="AE472" s="827"/>
      <c r="AF472" s="827"/>
      <c r="AG472" s="827"/>
      <c r="AH472" s="827"/>
      <c r="AI472" s="827"/>
      <c r="AJ472" s="827"/>
      <c r="AK472" s="827"/>
      <c r="AL472" s="827"/>
      <c r="AM472" s="827"/>
      <c r="AN472" s="828"/>
    </row>
    <row r="473" spans="1:43" ht="25.5" customHeight="1" x14ac:dyDescent="0.7">
      <c r="A473" s="813"/>
      <c r="B473" s="814"/>
      <c r="C473" s="814"/>
      <c r="D473" s="814"/>
      <c r="E473" s="814"/>
      <c r="F473" s="814"/>
      <c r="G473" s="814"/>
      <c r="H473" s="814"/>
      <c r="I473" s="814"/>
      <c r="J473" s="814"/>
      <c r="K473" s="814"/>
      <c r="L473" s="815"/>
      <c r="M473" s="826"/>
      <c r="N473" s="827"/>
      <c r="O473" s="827"/>
      <c r="P473" s="827"/>
      <c r="Q473" s="827"/>
      <c r="R473" s="827"/>
      <c r="S473" s="827"/>
      <c r="T473" s="827"/>
      <c r="U473" s="827"/>
      <c r="V473" s="827"/>
      <c r="W473" s="827"/>
      <c r="X473" s="827"/>
      <c r="Y473" s="827"/>
      <c r="Z473" s="827"/>
      <c r="AA473" s="827"/>
      <c r="AB473" s="827"/>
      <c r="AC473" s="827"/>
      <c r="AD473" s="827"/>
      <c r="AE473" s="827"/>
      <c r="AF473" s="827"/>
      <c r="AG473" s="827"/>
      <c r="AH473" s="827"/>
      <c r="AI473" s="827"/>
      <c r="AJ473" s="827"/>
      <c r="AK473" s="827"/>
      <c r="AL473" s="827"/>
      <c r="AM473" s="827"/>
      <c r="AN473" s="828"/>
    </row>
    <row r="474" spans="1:43" ht="26.25" customHeight="1" thickBot="1" x14ac:dyDescent="0.75">
      <c r="A474" s="816"/>
      <c r="B474" s="817"/>
      <c r="C474" s="817"/>
      <c r="D474" s="817"/>
      <c r="E474" s="817"/>
      <c r="F474" s="817"/>
      <c r="G474" s="817"/>
      <c r="H474" s="817"/>
      <c r="I474" s="817"/>
      <c r="J474" s="817"/>
      <c r="K474" s="817"/>
      <c r="L474" s="818"/>
      <c r="M474" s="829"/>
      <c r="N474" s="830"/>
      <c r="O474" s="830"/>
      <c r="P474" s="830"/>
      <c r="Q474" s="830"/>
      <c r="R474" s="830"/>
      <c r="S474" s="830"/>
      <c r="T474" s="830"/>
      <c r="U474" s="830"/>
      <c r="V474" s="830"/>
      <c r="W474" s="830"/>
      <c r="X474" s="830"/>
      <c r="Y474" s="830"/>
      <c r="Z474" s="830"/>
      <c r="AA474" s="830"/>
      <c r="AB474" s="830"/>
      <c r="AC474" s="830"/>
      <c r="AD474" s="830"/>
      <c r="AE474" s="830"/>
      <c r="AF474" s="830"/>
      <c r="AG474" s="830"/>
      <c r="AH474" s="830"/>
      <c r="AI474" s="830"/>
      <c r="AJ474" s="830"/>
      <c r="AK474" s="830"/>
      <c r="AL474" s="830"/>
      <c r="AM474" s="830"/>
      <c r="AN474" s="831"/>
    </row>
    <row r="475" spans="1:43" s="312" customFormat="1" ht="41.25" customHeight="1" thickBot="1" x14ac:dyDescent="1.1000000000000001">
      <c r="A475" s="805" t="s">
        <v>954</v>
      </c>
      <c r="B475" s="806"/>
      <c r="C475" s="806"/>
      <c r="D475" s="806"/>
      <c r="E475" s="806"/>
      <c r="F475" s="806"/>
      <c r="G475" s="806"/>
      <c r="H475" s="806"/>
      <c r="I475" s="806"/>
      <c r="J475" s="806"/>
      <c r="K475" s="806"/>
      <c r="L475" s="807"/>
      <c r="M475" s="808" t="s">
        <v>956</v>
      </c>
      <c r="N475" s="808"/>
      <c r="O475" s="808"/>
      <c r="P475" s="808"/>
      <c r="Q475" s="808"/>
      <c r="R475" s="808"/>
      <c r="S475" s="808"/>
      <c r="T475" s="808"/>
      <c r="U475" s="808"/>
      <c r="V475" s="808"/>
      <c r="W475" s="808"/>
      <c r="X475" s="808"/>
      <c r="Y475" s="808"/>
      <c r="Z475" s="808"/>
      <c r="AA475" s="808"/>
      <c r="AB475" s="808"/>
      <c r="AC475" s="808"/>
      <c r="AD475" s="808"/>
      <c r="AE475" s="808"/>
      <c r="AF475" s="808"/>
      <c r="AG475" s="808"/>
      <c r="AH475" s="808"/>
      <c r="AI475" s="808"/>
      <c r="AJ475" s="808"/>
      <c r="AK475" s="808"/>
      <c r="AL475" s="808"/>
      <c r="AM475" s="808"/>
      <c r="AN475" s="809"/>
      <c r="AO475" s="309"/>
      <c r="AP475" s="310"/>
      <c r="AQ475" s="311"/>
    </row>
    <row r="476" spans="1:43" ht="30.75" customHeight="1" x14ac:dyDescent="0.7">
      <c r="A476" s="787" t="str">
        <f>CONCATENATE(AN369,AN349,AN338,AN324,AN299,AN282,AN270,AN248,AN194,AN167,AN152,AN112,AN102,AN22,AN8)</f>
        <v/>
      </c>
      <c r="B476" s="788"/>
      <c r="C476" s="788"/>
      <c r="D476" s="788"/>
      <c r="E476" s="788"/>
      <c r="F476" s="788"/>
      <c r="G476" s="788"/>
      <c r="H476" s="788"/>
      <c r="I476" s="788"/>
      <c r="J476" s="788"/>
      <c r="K476" s="788"/>
      <c r="L476" s="789"/>
      <c r="M476" s="796"/>
      <c r="N476" s="797"/>
      <c r="O476" s="797"/>
      <c r="P476" s="797"/>
      <c r="Q476" s="797"/>
      <c r="R476" s="797"/>
      <c r="S476" s="797"/>
      <c r="T476" s="797"/>
      <c r="U476" s="797"/>
      <c r="V476" s="797"/>
      <c r="W476" s="797"/>
      <c r="X476" s="797"/>
      <c r="Y476" s="797"/>
      <c r="Z476" s="797"/>
      <c r="AA476" s="797"/>
      <c r="AB476" s="797"/>
      <c r="AC476" s="797"/>
      <c r="AD476" s="797"/>
      <c r="AE476" s="797"/>
      <c r="AF476" s="797"/>
      <c r="AG476" s="797"/>
      <c r="AH476" s="797"/>
      <c r="AI476" s="797"/>
      <c r="AJ476" s="797"/>
      <c r="AK476" s="797"/>
      <c r="AL476" s="797"/>
      <c r="AM476" s="797"/>
      <c r="AN476" s="798"/>
    </row>
    <row r="477" spans="1:43" ht="30.75" customHeight="1" x14ac:dyDescent="0.7">
      <c r="A477" s="790"/>
      <c r="B477" s="791"/>
      <c r="C477" s="791"/>
      <c r="D477" s="791"/>
      <c r="E477" s="791"/>
      <c r="F477" s="791"/>
      <c r="G477" s="791"/>
      <c r="H477" s="791"/>
      <c r="I477" s="791"/>
      <c r="J477" s="791"/>
      <c r="K477" s="791"/>
      <c r="L477" s="792"/>
      <c r="M477" s="799"/>
      <c r="N477" s="800"/>
      <c r="O477" s="800"/>
      <c r="P477" s="800"/>
      <c r="Q477" s="800"/>
      <c r="R477" s="800"/>
      <c r="S477" s="800"/>
      <c r="T477" s="800"/>
      <c r="U477" s="800"/>
      <c r="V477" s="800"/>
      <c r="W477" s="800"/>
      <c r="X477" s="800"/>
      <c r="Y477" s="800"/>
      <c r="Z477" s="800"/>
      <c r="AA477" s="800"/>
      <c r="AB477" s="800"/>
      <c r="AC477" s="800"/>
      <c r="AD477" s="800"/>
      <c r="AE477" s="800"/>
      <c r="AF477" s="800"/>
      <c r="AG477" s="800"/>
      <c r="AH477" s="800"/>
      <c r="AI477" s="800"/>
      <c r="AJ477" s="800"/>
      <c r="AK477" s="800"/>
      <c r="AL477" s="800"/>
      <c r="AM477" s="800"/>
      <c r="AN477" s="801"/>
    </row>
    <row r="478" spans="1:43" ht="30.75" customHeight="1" x14ac:dyDescent="0.7">
      <c r="A478" s="790"/>
      <c r="B478" s="791"/>
      <c r="C478" s="791"/>
      <c r="D478" s="791"/>
      <c r="E478" s="791"/>
      <c r="F478" s="791"/>
      <c r="G478" s="791"/>
      <c r="H478" s="791"/>
      <c r="I478" s="791"/>
      <c r="J478" s="791"/>
      <c r="K478" s="791"/>
      <c r="L478" s="792"/>
      <c r="M478" s="799"/>
      <c r="N478" s="800"/>
      <c r="O478" s="800"/>
      <c r="P478" s="800"/>
      <c r="Q478" s="800"/>
      <c r="R478" s="800"/>
      <c r="S478" s="800"/>
      <c r="T478" s="800"/>
      <c r="U478" s="800"/>
      <c r="V478" s="800"/>
      <c r="W478" s="800"/>
      <c r="X478" s="800"/>
      <c r="Y478" s="800"/>
      <c r="Z478" s="800"/>
      <c r="AA478" s="800"/>
      <c r="AB478" s="800"/>
      <c r="AC478" s="800"/>
      <c r="AD478" s="800"/>
      <c r="AE478" s="800"/>
      <c r="AF478" s="800"/>
      <c r="AG478" s="800"/>
      <c r="AH478" s="800"/>
      <c r="AI478" s="800"/>
      <c r="AJ478" s="800"/>
      <c r="AK478" s="800"/>
      <c r="AL478" s="800"/>
      <c r="AM478" s="800"/>
      <c r="AN478" s="801"/>
    </row>
    <row r="479" spans="1:43" ht="30.75" customHeight="1" x14ac:dyDescent="0.7">
      <c r="A479" s="790"/>
      <c r="B479" s="791"/>
      <c r="C479" s="791"/>
      <c r="D479" s="791"/>
      <c r="E479" s="791"/>
      <c r="F479" s="791"/>
      <c r="G479" s="791"/>
      <c r="H479" s="791"/>
      <c r="I479" s="791"/>
      <c r="J479" s="791"/>
      <c r="K479" s="791"/>
      <c r="L479" s="792"/>
      <c r="M479" s="799"/>
      <c r="N479" s="800"/>
      <c r="O479" s="800"/>
      <c r="P479" s="800"/>
      <c r="Q479" s="800"/>
      <c r="R479" s="800"/>
      <c r="S479" s="800"/>
      <c r="T479" s="800"/>
      <c r="U479" s="800"/>
      <c r="V479" s="800"/>
      <c r="W479" s="800"/>
      <c r="X479" s="800"/>
      <c r="Y479" s="800"/>
      <c r="Z479" s="800"/>
      <c r="AA479" s="800"/>
      <c r="AB479" s="800"/>
      <c r="AC479" s="800"/>
      <c r="AD479" s="800"/>
      <c r="AE479" s="800"/>
      <c r="AF479" s="800"/>
      <c r="AG479" s="800"/>
      <c r="AH479" s="800"/>
      <c r="AI479" s="800"/>
      <c r="AJ479" s="800"/>
      <c r="AK479" s="800"/>
      <c r="AL479" s="800"/>
      <c r="AM479" s="800"/>
      <c r="AN479" s="801"/>
    </row>
    <row r="480" spans="1:43" ht="30.75" customHeight="1" x14ac:dyDescent="0.7">
      <c r="A480" s="790"/>
      <c r="B480" s="791"/>
      <c r="C480" s="791"/>
      <c r="D480" s="791"/>
      <c r="E480" s="791"/>
      <c r="F480" s="791"/>
      <c r="G480" s="791"/>
      <c r="H480" s="791"/>
      <c r="I480" s="791"/>
      <c r="J480" s="791"/>
      <c r="K480" s="791"/>
      <c r="L480" s="792"/>
      <c r="M480" s="799"/>
      <c r="N480" s="800"/>
      <c r="O480" s="800"/>
      <c r="P480" s="800"/>
      <c r="Q480" s="800"/>
      <c r="R480" s="800"/>
      <c r="S480" s="800"/>
      <c r="T480" s="800"/>
      <c r="U480" s="800"/>
      <c r="V480" s="800"/>
      <c r="W480" s="800"/>
      <c r="X480" s="800"/>
      <c r="Y480" s="800"/>
      <c r="Z480" s="800"/>
      <c r="AA480" s="800"/>
      <c r="AB480" s="800"/>
      <c r="AC480" s="800"/>
      <c r="AD480" s="800"/>
      <c r="AE480" s="800"/>
      <c r="AF480" s="800"/>
      <c r="AG480" s="800"/>
      <c r="AH480" s="800"/>
      <c r="AI480" s="800"/>
      <c r="AJ480" s="800"/>
      <c r="AK480" s="800"/>
      <c r="AL480" s="800"/>
      <c r="AM480" s="800"/>
      <c r="AN480" s="801"/>
    </row>
    <row r="481" spans="1:40" ht="30.75" customHeight="1" x14ac:dyDescent="0.7">
      <c r="A481" s="790"/>
      <c r="B481" s="791"/>
      <c r="C481" s="791"/>
      <c r="D481" s="791"/>
      <c r="E481" s="791"/>
      <c r="F481" s="791"/>
      <c r="G481" s="791"/>
      <c r="H481" s="791"/>
      <c r="I481" s="791"/>
      <c r="J481" s="791"/>
      <c r="K481" s="791"/>
      <c r="L481" s="792"/>
      <c r="M481" s="799"/>
      <c r="N481" s="800"/>
      <c r="O481" s="800"/>
      <c r="P481" s="800"/>
      <c r="Q481" s="800"/>
      <c r="R481" s="800"/>
      <c r="S481" s="800"/>
      <c r="T481" s="800"/>
      <c r="U481" s="800"/>
      <c r="V481" s="800"/>
      <c r="W481" s="800"/>
      <c r="X481" s="800"/>
      <c r="Y481" s="800"/>
      <c r="Z481" s="800"/>
      <c r="AA481" s="800"/>
      <c r="AB481" s="800"/>
      <c r="AC481" s="800"/>
      <c r="AD481" s="800"/>
      <c r="AE481" s="800"/>
      <c r="AF481" s="800"/>
      <c r="AG481" s="800"/>
      <c r="AH481" s="800"/>
      <c r="AI481" s="800"/>
      <c r="AJ481" s="800"/>
      <c r="AK481" s="800"/>
      <c r="AL481" s="800"/>
      <c r="AM481" s="800"/>
      <c r="AN481" s="801"/>
    </row>
    <row r="482" spans="1:40" ht="30.75" customHeight="1" x14ac:dyDescent="0.7">
      <c r="A482" s="790"/>
      <c r="B482" s="791"/>
      <c r="C482" s="791"/>
      <c r="D482" s="791"/>
      <c r="E482" s="791"/>
      <c r="F482" s="791"/>
      <c r="G482" s="791"/>
      <c r="H482" s="791"/>
      <c r="I482" s="791"/>
      <c r="J482" s="791"/>
      <c r="K482" s="791"/>
      <c r="L482" s="792"/>
      <c r="M482" s="799"/>
      <c r="N482" s="800"/>
      <c r="O482" s="800"/>
      <c r="P482" s="800"/>
      <c r="Q482" s="800"/>
      <c r="R482" s="800"/>
      <c r="S482" s="800"/>
      <c r="T482" s="800"/>
      <c r="U482" s="800"/>
      <c r="V482" s="800"/>
      <c r="W482" s="800"/>
      <c r="X482" s="800"/>
      <c r="Y482" s="800"/>
      <c r="Z482" s="800"/>
      <c r="AA482" s="800"/>
      <c r="AB482" s="800"/>
      <c r="AC482" s="800"/>
      <c r="AD482" s="800"/>
      <c r="AE482" s="800"/>
      <c r="AF482" s="800"/>
      <c r="AG482" s="800"/>
      <c r="AH482" s="800"/>
      <c r="AI482" s="800"/>
      <c r="AJ482" s="800"/>
      <c r="AK482" s="800"/>
      <c r="AL482" s="800"/>
      <c r="AM482" s="800"/>
      <c r="AN482" s="801"/>
    </row>
    <row r="483" spans="1:40" ht="30.75" customHeight="1" x14ac:dyDescent="0.7">
      <c r="A483" s="790"/>
      <c r="B483" s="791"/>
      <c r="C483" s="791"/>
      <c r="D483" s="791"/>
      <c r="E483" s="791"/>
      <c r="F483" s="791"/>
      <c r="G483" s="791"/>
      <c r="H483" s="791"/>
      <c r="I483" s="791"/>
      <c r="J483" s="791"/>
      <c r="K483" s="791"/>
      <c r="L483" s="792"/>
      <c r="M483" s="799"/>
      <c r="N483" s="800"/>
      <c r="O483" s="800"/>
      <c r="P483" s="800"/>
      <c r="Q483" s="800"/>
      <c r="R483" s="800"/>
      <c r="S483" s="800"/>
      <c r="T483" s="800"/>
      <c r="U483" s="800"/>
      <c r="V483" s="800"/>
      <c r="W483" s="800"/>
      <c r="X483" s="800"/>
      <c r="Y483" s="800"/>
      <c r="Z483" s="800"/>
      <c r="AA483" s="800"/>
      <c r="AB483" s="800"/>
      <c r="AC483" s="800"/>
      <c r="AD483" s="800"/>
      <c r="AE483" s="800"/>
      <c r="AF483" s="800"/>
      <c r="AG483" s="800"/>
      <c r="AH483" s="800"/>
      <c r="AI483" s="800"/>
      <c r="AJ483" s="800"/>
      <c r="AK483" s="800"/>
      <c r="AL483" s="800"/>
      <c r="AM483" s="800"/>
      <c r="AN483" s="801"/>
    </row>
    <row r="484" spans="1:40" ht="30.75" customHeight="1" x14ac:dyDescent="0.7">
      <c r="A484" s="790"/>
      <c r="B484" s="791"/>
      <c r="C484" s="791"/>
      <c r="D484" s="791"/>
      <c r="E484" s="791"/>
      <c r="F484" s="791"/>
      <c r="G484" s="791"/>
      <c r="H484" s="791"/>
      <c r="I484" s="791"/>
      <c r="J484" s="791"/>
      <c r="K484" s="791"/>
      <c r="L484" s="792"/>
      <c r="M484" s="799"/>
      <c r="N484" s="800"/>
      <c r="O484" s="800"/>
      <c r="P484" s="800"/>
      <c r="Q484" s="800"/>
      <c r="R484" s="800"/>
      <c r="S484" s="800"/>
      <c r="T484" s="800"/>
      <c r="U484" s="800"/>
      <c r="V484" s="800"/>
      <c r="W484" s="800"/>
      <c r="X484" s="800"/>
      <c r="Y484" s="800"/>
      <c r="Z484" s="800"/>
      <c r="AA484" s="800"/>
      <c r="AB484" s="800"/>
      <c r="AC484" s="800"/>
      <c r="AD484" s="800"/>
      <c r="AE484" s="800"/>
      <c r="AF484" s="800"/>
      <c r="AG484" s="800"/>
      <c r="AH484" s="800"/>
      <c r="AI484" s="800"/>
      <c r="AJ484" s="800"/>
      <c r="AK484" s="800"/>
      <c r="AL484" s="800"/>
      <c r="AM484" s="800"/>
      <c r="AN484" s="801"/>
    </row>
    <row r="485" spans="1:40" ht="30.75" customHeight="1" x14ac:dyDescent="0.7">
      <c r="A485" s="790"/>
      <c r="B485" s="791"/>
      <c r="C485" s="791"/>
      <c r="D485" s="791"/>
      <c r="E485" s="791"/>
      <c r="F485" s="791"/>
      <c r="G485" s="791"/>
      <c r="H485" s="791"/>
      <c r="I485" s="791"/>
      <c r="J485" s="791"/>
      <c r="K485" s="791"/>
      <c r="L485" s="792"/>
      <c r="M485" s="799"/>
      <c r="N485" s="800"/>
      <c r="O485" s="800"/>
      <c r="P485" s="800"/>
      <c r="Q485" s="800"/>
      <c r="R485" s="800"/>
      <c r="S485" s="800"/>
      <c r="T485" s="800"/>
      <c r="U485" s="800"/>
      <c r="V485" s="800"/>
      <c r="W485" s="800"/>
      <c r="X485" s="800"/>
      <c r="Y485" s="800"/>
      <c r="Z485" s="800"/>
      <c r="AA485" s="800"/>
      <c r="AB485" s="800"/>
      <c r="AC485" s="800"/>
      <c r="AD485" s="800"/>
      <c r="AE485" s="800"/>
      <c r="AF485" s="800"/>
      <c r="AG485" s="800"/>
      <c r="AH485" s="800"/>
      <c r="AI485" s="800"/>
      <c r="AJ485" s="800"/>
      <c r="AK485" s="800"/>
      <c r="AL485" s="800"/>
      <c r="AM485" s="800"/>
      <c r="AN485" s="801"/>
    </row>
    <row r="486" spans="1:40" ht="30.75" customHeight="1" x14ac:dyDescent="0.7">
      <c r="A486" s="790"/>
      <c r="B486" s="791"/>
      <c r="C486" s="791"/>
      <c r="D486" s="791"/>
      <c r="E486" s="791"/>
      <c r="F486" s="791"/>
      <c r="G486" s="791"/>
      <c r="H486" s="791"/>
      <c r="I486" s="791"/>
      <c r="J486" s="791"/>
      <c r="K486" s="791"/>
      <c r="L486" s="792"/>
      <c r="M486" s="799"/>
      <c r="N486" s="800"/>
      <c r="O486" s="800"/>
      <c r="P486" s="800"/>
      <c r="Q486" s="800"/>
      <c r="R486" s="800"/>
      <c r="S486" s="800"/>
      <c r="T486" s="800"/>
      <c r="U486" s="800"/>
      <c r="V486" s="800"/>
      <c r="W486" s="800"/>
      <c r="X486" s="800"/>
      <c r="Y486" s="800"/>
      <c r="Z486" s="800"/>
      <c r="AA486" s="800"/>
      <c r="AB486" s="800"/>
      <c r="AC486" s="800"/>
      <c r="AD486" s="800"/>
      <c r="AE486" s="800"/>
      <c r="AF486" s="800"/>
      <c r="AG486" s="800"/>
      <c r="AH486" s="800"/>
      <c r="AI486" s="800"/>
      <c r="AJ486" s="800"/>
      <c r="AK486" s="800"/>
      <c r="AL486" s="800"/>
      <c r="AM486" s="800"/>
      <c r="AN486" s="801"/>
    </row>
    <row r="487" spans="1:40" ht="30.75" customHeight="1" x14ac:dyDescent="0.7">
      <c r="A487" s="790"/>
      <c r="B487" s="791"/>
      <c r="C487" s="791"/>
      <c r="D487" s="791"/>
      <c r="E487" s="791"/>
      <c r="F487" s="791"/>
      <c r="G487" s="791"/>
      <c r="H487" s="791"/>
      <c r="I487" s="791"/>
      <c r="J487" s="791"/>
      <c r="K487" s="791"/>
      <c r="L487" s="792"/>
      <c r="M487" s="799"/>
      <c r="N487" s="800"/>
      <c r="O487" s="800"/>
      <c r="P487" s="800"/>
      <c r="Q487" s="800"/>
      <c r="R487" s="800"/>
      <c r="S487" s="800"/>
      <c r="T487" s="800"/>
      <c r="U487" s="800"/>
      <c r="V487" s="800"/>
      <c r="W487" s="800"/>
      <c r="X487" s="800"/>
      <c r="Y487" s="800"/>
      <c r="Z487" s="800"/>
      <c r="AA487" s="800"/>
      <c r="AB487" s="800"/>
      <c r="AC487" s="800"/>
      <c r="AD487" s="800"/>
      <c r="AE487" s="800"/>
      <c r="AF487" s="800"/>
      <c r="AG487" s="800"/>
      <c r="AH487" s="800"/>
      <c r="AI487" s="800"/>
      <c r="AJ487" s="800"/>
      <c r="AK487" s="800"/>
      <c r="AL487" s="800"/>
      <c r="AM487" s="800"/>
      <c r="AN487" s="801"/>
    </row>
    <row r="488" spans="1:40" ht="30.75" customHeight="1" x14ac:dyDescent="0.7">
      <c r="A488" s="790"/>
      <c r="B488" s="791"/>
      <c r="C488" s="791"/>
      <c r="D488" s="791"/>
      <c r="E488" s="791"/>
      <c r="F488" s="791"/>
      <c r="G488" s="791"/>
      <c r="H488" s="791"/>
      <c r="I488" s="791"/>
      <c r="J488" s="791"/>
      <c r="K488" s="791"/>
      <c r="L488" s="792"/>
      <c r="M488" s="799"/>
      <c r="N488" s="800"/>
      <c r="O488" s="800"/>
      <c r="P488" s="800"/>
      <c r="Q488" s="800"/>
      <c r="R488" s="800"/>
      <c r="S488" s="800"/>
      <c r="T488" s="800"/>
      <c r="U488" s="800"/>
      <c r="V488" s="800"/>
      <c r="W488" s="800"/>
      <c r="X488" s="800"/>
      <c r="Y488" s="800"/>
      <c r="Z488" s="800"/>
      <c r="AA488" s="800"/>
      <c r="AB488" s="800"/>
      <c r="AC488" s="800"/>
      <c r="AD488" s="800"/>
      <c r="AE488" s="800"/>
      <c r="AF488" s="800"/>
      <c r="AG488" s="800"/>
      <c r="AH488" s="800"/>
      <c r="AI488" s="800"/>
      <c r="AJ488" s="800"/>
      <c r="AK488" s="800"/>
      <c r="AL488" s="800"/>
      <c r="AM488" s="800"/>
      <c r="AN488" s="801"/>
    </row>
    <row r="489" spans="1:40" ht="30.75" customHeight="1" x14ac:dyDescent="0.7">
      <c r="A489" s="790"/>
      <c r="B489" s="791"/>
      <c r="C489" s="791"/>
      <c r="D489" s="791"/>
      <c r="E489" s="791"/>
      <c r="F489" s="791"/>
      <c r="G489" s="791"/>
      <c r="H489" s="791"/>
      <c r="I489" s="791"/>
      <c r="J489" s="791"/>
      <c r="K489" s="791"/>
      <c r="L489" s="792"/>
      <c r="M489" s="799"/>
      <c r="N489" s="800"/>
      <c r="O489" s="800"/>
      <c r="P489" s="800"/>
      <c r="Q489" s="800"/>
      <c r="R489" s="800"/>
      <c r="S489" s="800"/>
      <c r="T489" s="800"/>
      <c r="U489" s="800"/>
      <c r="V489" s="800"/>
      <c r="W489" s="800"/>
      <c r="X489" s="800"/>
      <c r="Y489" s="800"/>
      <c r="Z489" s="800"/>
      <c r="AA489" s="800"/>
      <c r="AB489" s="800"/>
      <c r="AC489" s="800"/>
      <c r="AD489" s="800"/>
      <c r="AE489" s="800"/>
      <c r="AF489" s="800"/>
      <c r="AG489" s="800"/>
      <c r="AH489" s="800"/>
      <c r="AI489" s="800"/>
      <c r="AJ489" s="800"/>
      <c r="AK489" s="800"/>
      <c r="AL489" s="800"/>
      <c r="AM489" s="800"/>
      <c r="AN489" s="801"/>
    </row>
    <row r="490" spans="1:40" ht="30.75" customHeight="1" x14ac:dyDescent="0.7">
      <c r="A490" s="790"/>
      <c r="B490" s="791"/>
      <c r="C490" s="791"/>
      <c r="D490" s="791"/>
      <c r="E490" s="791"/>
      <c r="F490" s="791"/>
      <c r="G490" s="791"/>
      <c r="H490" s="791"/>
      <c r="I490" s="791"/>
      <c r="J490" s="791"/>
      <c r="K490" s="791"/>
      <c r="L490" s="792"/>
      <c r="M490" s="799"/>
      <c r="N490" s="800"/>
      <c r="O490" s="800"/>
      <c r="P490" s="800"/>
      <c r="Q490" s="800"/>
      <c r="R490" s="800"/>
      <c r="S490" s="800"/>
      <c r="T490" s="800"/>
      <c r="U490" s="800"/>
      <c r="V490" s="800"/>
      <c r="W490" s="800"/>
      <c r="X490" s="800"/>
      <c r="Y490" s="800"/>
      <c r="Z490" s="800"/>
      <c r="AA490" s="800"/>
      <c r="AB490" s="800"/>
      <c r="AC490" s="800"/>
      <c r="AD490" s="800"/>
      <c r="AE490" s="800"/>
      <c r="AF490" s="800"/>
      <c r="AG490" s="800"/>
      <c r="AH490" s="800"/>
      <c r="AI490" s="800"/>
      <c r="AJ490" s="800"/>
      <c r="AK490" s="800"/>
      <c r="AL490" s="800"/>
      <c r="AM490" s="800"/>
      <c r="AN490" s="801"/>
    </row>
    <row r="491" spans="1:40" ht="30.75" customHeight="1" x14ac:dyDescent="0.7">
      <c r="A491" s="790"/>
      <c r="B491" s="791"/>
      <c r="C491" s="791"/>
      <c r="D491" s="791"/>
      <c r="E491" s="791"/>
      <c r="F491" s="791"/>
      <c r="G491" s="791"/>
      <c r="H491" s="791"/>
      <c r="I491" s="791"/>
      <c r="J491" s="791"/>
      <c r="K491" s="791"/>
      <c r="L491" s="792"/>
      <c r="M491" s="799"/>
      <c r="N491" s="800"/>
      <c r="O491" s="800"/>
      <c r="P491" s="800"/>
      <c r="Q491" s="800"/>
      <c r="R491" s="800"/>
      <c r="S491" s="800"/>
      <c r="T491" s="800"/>
      <c r="U491" s="800"/>
      <c r="V491" s="800"/>
      <c r="W491" s="800"/>
      <c r="X491" s="800"/>
      <c r="Y491" s="800"/>
      <c r="Z491" s="800"/>
      <c r="AA491" s="800"/>
      <c r="AB491" s="800"/>
      <c r="AC491" s="800"/>
      <c r="AD491" s="800"/>
      <c r="AE491" s="800"/>
      <c r="AF491" s="800"/>
      <c r="AG491" s="800"/>
      <c r="AH491" s="800"/>
      <c r="AI491" s="800"/>
      <c r="AJ491" s="800"/>
      <c r="AK491" s="800"/>
      <c r="AL491" s="800"/>
      <c r="AM491" s="800"/>
      <c r="AN491" s="801"/>
    </row>
    <row r="492" spans="1:40" ht="30.75" customHeight="1" x14ac:dyDescent="0.7">
      <c r="A492" s="790"/>
      <c r="B492" s="791"/>
      <c r="C492" s="791"/>
      <c r="D492" s="791"/>
      <c r="E492" s="791"/>
      <c r="F492" s="791"/>
      <c r="G492" s="791"/>
      <c r="H492" s="791"/>
      <c r="I492" s="791"/>
      <c r="J492" s="791"/>
      <c r="K492" s="791"/>
      <c r="L492" s="792"/>
      <c r="M492" s="799"/>
      <c r="N492" s="800"/>
      <c r="O492" s="800"/>
      <c r="P492" s="800"/>
      <c r="Q492" s="800"/>
      <c r="R492" s="800"/>
      <c r="S492" s="800"/>
      <c r="T492" s="800"/>
      <c r="U492" s="800"/>
      <c r="V492" s="800"/>
      <c r="W492" s="800"/>
      <c r="X492" s="800"/>
      <c r="Y492" s="800"/>
      <c r="Z492" s="800"/>
      <c r="AA492" s="800"/>
      <c r="AB492" s="800"/>
      <c r="AC492" s="800"/>
      <c r="AD492" s="800"/>
      <c r="AE492" s="800"/>
      <c r="AF492" s="800"/>
      <c r="AG492" s="800"/>
      <c r="AH492" s="800"/>
      <c r="AI492" s="800"/>
      <c r="AJ492" s="800"/>
      <c r="AK492" s="800"/>
      <c r="AL492" s="800"/>
      <c r="AM492" s="800"/>
      <c r="AN492" s="801"/>
    </row>
    <row r="493" spans="1:40" ht="30.75" customHeight="1" x14ac:dyDescent="0.7">
      <c r="A493" s="790"/>
      <c r="B493" s="791"/>
      <c r="C493" s="791"/>
      <c r="D493" s="791"/>
      <c r="E493" s="791"/>
      <c r="F493" s="791"/>
      <c r="G493" s="791"/>
      <c r="H493" s="791"/>
      <c r="I493" s="791"/>
      <c r="J493" s="791"/>
      <c r="K493" s="791"/>
      <c r="L493" s="792"/>
      <c r="M493" s="799"/>
      <c r="N493" s="800"/>
      <c r="O493" s="800"/>
      <c r="P493" s="800"/>
      <c r="Q493" s="800"/>
      <c r="R493" s="800"/>
      <c r="S493" s="800"/>
      <c r="T493" s="800"/>
      <c r="U493" s="800"/>
      <c r="V493" s="800"/>
      <c r="W493" s="800"/>
      <c r="X493" s="800"/>
      <c r="Y493" s="800"/>
      <c r="Z493" s="800"/>
      <c r="AA493" s="800"/>
      <c r="AB493" s="800"/>
      <c r="AC493" s="800"/>
      <c r="AD493" s="800"/>
      <c r="AE493" s="800"/>
      <c r="AF493" s="800"/>
      <c r="AG493" s="800"/>
      <c r="AH493" s="800"/>
      <c r="AI493" s="800"/>
      <c r="AJ493" s="800"/>
      <c r="AK493" s="800"/>
      <c r="AL493" s="800"/>
      <c r="AM493" s="800"/>
      <c r="AN493" s="801"/>
    </row>
    <row r="494" spans="1:40" ht="30.75" customHeight="1" x14ac:dyDescent="0.7">
      <c r="A494" s="790"/>
      <c r="B494" s="791"/>
      <c r="C494" s="791"/>
      <c r="D494" s="791"/>
      <c r="E494" s="791"/>
      <c r="F494" s="791"/>
      <c r="G494" s="791"/>
      <c r="H494" s="791"/>
      <c r="I494" s="791"/>
      <c r="J494" s="791"/>
      <c r="K494" s="791"/>
      <c r="L494" s="792"/>
      <c r="M494" s="799"/>
      <c r="N494" s="800"/>
      <c r="O494" s="800"/>
      <c r="P494" s="800"/>
      <c r="Q494" s="800"/>
      <c r="R494" s="800"/>
      <c r="S494" s="800"/>
      <c r="T494" s="800"/>
      <c r="U494" s="800"/>
      <c r="V494" s="800"/>
      <c r="W494" s="800"/>
      <c r="X494" s="800"/>
      <c r="Y494" s="800"/>
      <c r="Z494" s="800"/>
      <c r="AA494" s="800"/>
      <c r="AB494" s="800"/>
      <c r="AC494" s="800"/>
      <c r="AD494" s="800"/>
      <c r="AE494" s="800"/>
      <c r="AF494" s="800"/>
      <c r="AG494" s="800"/>
      <c r="AH494" s="800"/>
      <c r="AI494" s="800"/>
      <c r="AJ494" s="800"/>
      <c r="AK494" s="800"/>
      <c r="AL494" s="800"/>
      <c r="AM494" s="800"/>
      <c r="AN494" s="801"/>
    </row>
    <row r="495" spans="1:40" ht="30.75" customHeight="1" x14ac:dyDescent="0.7">
      <c r="A495" s="790"/>
      <c r="B495" s="791"/>
      <c r="C495" s="791"/>
      <c r="D495" s="791"/>
      <c r="E495" s="791"/>
      <c r="F495" s="791"/>
      <c r="G495" s="791"/>
      <c r="H495" s="791"/>
      <c r="I495" s="791"/>
      <c r="J495" s="791"/>
      <c r="K495" s="791"/>
      <c r="L495" s="792"/>
      <c r="M495" s="799"/>
      <c r="N495" s="800"/>
      <c r="O495" s="800"/>
      <c r="P495" s="800"/>
      <c r="Q495" s="800"/>
      <c r="R495" s="800"/>
      <c r="S495" s="800"/>
      <c r="T495" s="800"/>
      <c r="U495" s="800"/>
      <c r="V495" s="800"/>
      <c r="W495" s="800"/>
      <c r="X495" s="800"/>
      <c r="Y495" s="800"/>
      <c r="Z495" s="800"/>
      <c r="AA495" s="800"/>
      <c r="AB495" s="800"/>
      <c r="AC495" s="800"/>
      <c r="AD495" s="800"/>
      <c r="AE495" s="800"/>
      <c r="AF495" s="800"/>
      <c r="AG495" s="800"/>
      <c r="AH495" s="800"/>
      <c r="AI495" s="800"/>
      <c r="AJ495" s="800"/>
      <c r="AK495" s="800"/>
      <c r="AL495" s="800"/>
      <c r="AM495" s="800"/>
      <c r="AN495" s="801"/>
    </row>
    <row r="496" spans="1:40" ht="30.75" customHeight="1" x14ac:dyDescent="0.7">
      <c r="A496" s="790"/>
      <c r="B496" s="791"/>
      <c r="C496" s="791"/>
      <c r="D496" s="791"/>
      <c r="E496" s="791"/>
      <c r="F496" s="791"/>
      <c r="G496" s="791"/>
      <c r="H496" s="791"/>
      <c r="I496" s="791"/>
      <c r="J496" s="791"/>
      <c r="K496" s="791"/>
      <c r="L496" s="792"/>
      <c r="M496" s="799"/>
      <c r="N496" s="800"/>
      <c r="O496" s="800"/>
      <c r="P496" s="800"/>
      <c r="Q496" s="800"/>
      <c r="R496" s="800"/>
      <c r="S496" s="800"/>
      <c r="T496" s="800"/>
      <c r="U496" s="800"/>
      <c r="V496" s="800"/>
      <c r="W496" s="800"/>
      <c r="X496" s="800"/>
      <c r="Y496" s="800"/>
      <c r="Z496" s="800"/>
      <c r="AA496" s="800"/>
      <c r="AB496" s="800"/>
      <c r="AC496" s="800"/>
      <c r="AD496" s="800"/>
      <c r="AE496" s="800"/>
      <c r="AF496" s="800"/>
      <c r="AG496" s="800"/>
      <c r="AH496" s="800"/>
      <c r="AI496" s="800"/>
      <c r="AJ496" s="800"/>
      <c r="AK496" s="800"/>
      <c r="AL496" s="800"/>
      <c r="AM496" s="800"/>
      <c r="AN496" s="801"/>
    </row>
    <row r="497" spans="1:40" ht="30.75" customHeight="1" x14ac:dyDescent="0.7">
      <c r="A497" s="790"/>
      <c r="B497" s="791"/>
      <c r="C497" s="791"/>
      <c r="D497" s="791"/>
      <c r="E497" s="791"/>
      <c r="F497" s="791"/>
      <c r="G497" s="791"/>
      <c r="H497" s="791"/>
      <c r="I497" s="791"/>
      <c r="J497" s="791"/>
      <c r="K497" s="791"/>
      <c r="L497" s="792"/>
      <c r="M497" s="799"/>
      <c r="N497" s="800"/>
      <c r="O497" s="800"/>
      <c r="P497" s="800"/>
      <c r="Q497" s="800"/>
      <c r="R497" s="800"/>
      <c r="S497" s="800"/>
      <c r="T497" s="800"/>
      <c r="U497" s="800"/>
      <c r="V497" s="800"/>
      <c r="W497" s="800"/>
      <c r="X497" s="800"/>
      <c r="Y497" s="800"/>
      <c r="Z497" s="800"/>
      <c r="AA497" s="800"/>
      <c r="AB497" s="800"/>
      <c r="AC497" s="800"/>
      <c r="AD497" s="800"/>
      <c r="AE497" s="800"/>
      <c r="AF497" s="800"/>
      <c r="AG497" s="800"/>
      <c r="AH497" s="800"/>
      <c r="AI497" s="800"/>
      <c r="AJ497" s="800"/>
      <c r="AK497" s="800"/>
      <c r="AL497" s="800"/>
      <c r="AM497" s="800"/>
      <c r="AN497" s="801"/>
    </row>
    <row r="498" spans="1:40" ht="30.75" customHeight="1" x14ac:dyDescent="0.7">
      <c r="A498" s="790"/>
      <c r="B498" s="791"/>
      <c r="C498" s="791"/>
      <c r="D498" s="791"/>
      <c r="E498" s="791"/>
      <c r="F498" s="791"/>
      <c r="G498" s="791"/>
      <c r="H498" s="791"/>
      <c r="I498" s="791"/>
      <c r="J498" s="791"/>
      <c r="K498" s="791"/>
      <c r="L498" s="792"/>
      <c r="M498" s="799"/>
      <c r="N498" s="800"/>
      <c r="O498" s="800"/>
      <c r="P498" s="800"/>
      <c r="Q498" s="800"/>
      <c r="R498" s="800"/>
      <c r="S498" s="800"/>
      <c r="T498" s="800"/>
      <c r="U498" s="800"/>
      <c r="V498" s="800"/>
      <c r="W498" s="800"/>
      <c r="X498" s="800"/>
      <c r="Y498" s="800"/>
      <c r="Z498" s="800"/>
      <c r="AA498" s="800"/>
      <c r="AB498" s="800"/>
      <c r="AC498" s="800"/>
      <c r="AD498" s="800"/>
      <c r="AE498" s="800"/>
      <c r="AF498" s="800"/>
      <c r="AG498" s="800"/>
      <c r="AH498" s="800"/>
      <c r="AI498" s="800"/>
      <c r="AJ498" s="800"/>
      <c r="AK498" s="800"/>
      <c r="AL498" s="800"/>
      <c r="AM498" s="800"/>
      <c r="AN498" s="801"/>
    </row>
    <row r="499" spans="1:40" ht="30.75" customHeight="1" x14ac:dyDescent="0.7">
      <c r="A499" s="790"/>
      <c r="B499" s="791"/>
      <c r="C499" s="791"/>
      <c r="D499" s="791"/>
      <c r="E499" s="791"/>
      <c r="F499" s="791"/>
      <c r="G499" s="791"/>
      <c r="H499" s="791"/>
      <c r="I499" s="791"/>
      <c r="J499" s="791"/>
      <c r="K499" s="791"/>
      <c r="L499" s="792"/>
      <c r="M499" s="799"/>
      <c r="N499" s="800"/>
      <c r="O499" s="800"/>
      <c r="P499" s="800"/>
      <c r="Q499" s="800"/>
      <c r="R499" s="800"/>
      <c r="S499" s="800"/>
      <c r="T499" s="800"/>
      <c r="U499" s="800"/>
      <c r="V499" s="800"/>
      <c r="W499" s="800"/>
      <c r="X499" s="800"/>
      <c r="Y499" s="800"/>
      <c r="Z499" s="800"/>
      <c r="AA499" s="800"/>
      <c r="AB499" s="800"/>
      <c r="AC499" s="800"/>
      <c r="AD499" s="800"/>
      <c r="AE499" s="800"/>
      <c r="AF499" s="800"/>
      <c r="AG499" s="800"/>
      <c r="AH499" s="800"/>
      <c r="AI499" s="800"/>
      <c r="AJ499" s="800"/>
      <c r="AK499" s="800"/>
      <c r="AL499" s="800"/>
      <c r="AM499" s="800"/>
      <c r="AN499" s="801"/>
    </row>
    <row r="500" spans="1:40" ht="30.75" customHeight="1" x14ac:dyDescent="0.7">
      <c r="A500" s="790"/>
      <c r="B500" s="791"/>
      <c r="C500" s="791"/>
      <c r="D500" s="791"/>
      <c r="E500" s="791"/>
      <c r="F500" s="791"/>
      <c r="G500" s="791"/>
      <c r="H500" s="791"/>
      <c r="I500" s="791"/>
      <c r="J500" s="791"/>
      <c r="K500" s="791"/>
      <c r="L500" s="792"/>
      <c r="M500" s="799"/>
      <c r="N500" s="800"/>
      <c r="O500" s="800"/>
      <c r="P500" s="800"/>
      <c r="Q500" s="800"/>
      <c r="R500" s="800"/>
      <c r="S500" s="800"/>
      <c r="T500" s="800"/>
      <c r="U500" s="800"/>
      <c r="V500" s="800"/>
      <c r="W500" s="800"/>
      <c r="X500" s="800"/>
      <c r="Y500" s="800"/>
      <c r="Z500" s="800"/>
      <c r="AA500" s="800"/>
      <c r="AB500" s="800"/>
      <c r="AC500" s="800"/>
      <c r="AD500" s="800"/>
      <c r="AE500" s="800"/>
      <c r="AF500" s="800"/>
      <c r="AG500" s="800"/>
      <c r="AH500" s="800"/>
      <c r="AI500" s="800"/>
      <c r="AJ500" s="800"/>
      <c r="AK500" s="800"/>
      <c r="AL500" s="800"/>
      <c r="AM500" s="800"/>
      <c r="AN500" s="801"/>
    </row>
    <row r="501" spans="1:40" ht="30.75" customHeight="1" x14ac:dyDescent="0.7">
      <c r="A501" s="790"/>
      <c r="B501" s="791"/>
      <c r="C501" s="791"/>
      <c r="D501" s="791"/>
      <c r="E501" s="791"/>
      <c r="F501" s="791"/>
      <c r="G501" s="791"/>
      <c r="H501" s="791"/>
      <c r="I501" s="791"/>
      <c r="J501" s="791"/>
      <c r="K501" s="791"/>
      <c r="L501" s="792"/>
      <c r="M501" s="799"/>
      <c r="N501" s="800"/>
      <c r="O501" s="800"/>
      <c r="P501" s="800"/>
      <c r="Q501" s="800"/>
      <c r="R501" s="800"/>
      <c r="S501" s="800"/>
      <c r="T501" s="800"/>
      <c r="U501" s="800"/>
      <c r="V501" s="800"/>
      <c r="W501" s="800"/>
      <c r="X501" s="800"/>
      <c r="Y501" s="800"/>
      <c r="Z501" s="800"/>
      <c r="AA501" s="800"/>
      <c r="AB501" s="800"/>
      <c r="AC501" s="800"/>
      <c r="AD501" s="800"/>
      <c r="AE501" s="800"/>
      <c r="AF501" s="800"/>
      <c r="AG501" s="800"/>
      <c r="AH501" s="800"/>
      <c r="AI501" s="800"/>
      <c r="AJ501" s="800"/>
      <c r="AK501" s="800"/>
      <c r="AL501" s="800"/>
      <c r="AM501" s="800"/>
      <c r="AN501" s="801"/>
    </row>
    <row r="502" spans="1:40" ht="30.75" customHeight="1" x14ac:dyDescent="0.7">
      <c r="A502" s="790"/>
      <c r="B502" s="791"/>
      <c r="C502" s="791"/>
      <c r="D502" s="791"/>
      <c r="E502" s="791"/>
      <c r="F502" s="791"/>
      <c r="G502" s="791"/>
      <c r="H502" s="791"/>
      <c r="I502" s="791"/>
      <c r="J502" s="791"/>
      <c r="K502" s="791"/>
      <c r="L502" s="792"/>
      <c r="M502" s="799"/>
      <c r="N502" s="800"/>
      <c r="O502" s="800"/>
      <c r="P502" s="800"/>
      <c r="Q502" s="800"/>
      <c r="R502" s="800"/>
      <c r="S502" s="800"/>
      <c r="T502" s="800"/>
      <c r="U502" s="800"/>
      <c r="V502" s="800"/>
      <c r="W502" s="800"/>
      <c r="X502" s="800"/>
      <c r="Y502" s="800"/>
      <c r="Z502" s="800"/>
      <c r="AA502" s="800"/>
      <c r="AB502" s="800"/>
      <c r="AC502" s="800"/>
      <c r="AD502" s="800"/>
      <c r="AE502" s="800"/>
      <c r="AF502" s="800"/>
      <c r="AG502" s="800"/>
      <c r="AH502" s="800"/>
      <c r="AI502" s="800"/>
      <c r="AJ502" s="800"/>
      <c r="AK502" s="800"/>
      <c r="AL502" s="800"/>
      <c r="AM502" s="800"/>
      <c r="AN502" s="801"/>
    </row>
    <row r="503" spans="1:40" ht="30.75" customHeight="1" x14ac:dyDescent="0.7">
      <c r="A503" s="790"/>
      <c r="B503" s="791"/>
      <c r="C503" s="791"/>
      <c r="D503" s="791"/>
      <c r="E503" s="791"/>
      <c r="F503" s="791"/>
      <c r="G503" s="791"/>
      <c r="H503" s="791"/>
      <c r="I503" s="791"/>
      <c r="J503" s="791"/>
      <c r="K503" s="791"/>
      <c r="L503" s="792"/>
      <c r="M503" s="799"/>
      <c r="N503" s="800"/>
      <c r="O503" s="800"/>
      <c r="P503" s="800"/>
      <c r="Q503" s="800"/>
      <c r="R503" s="800"/>
      <c r="S503" s="800"/>
      <c r="T503" s="800"/>
      <c r="U503" s="800"/>
      <c r="V503" s="800"/>
      <c r="W503" s="800"/>
      <c r="X503" s="800"/>
      <c r="Y503" s="800"/>
      <c r="Z503" s="800"/>
      <c r="AA503" s="800"/>
      <c r="AB503" s="800"/>
      <c r="AC503" s="800"/>
      <c r="AD503" s="800"/>
      <c r="AE503" s="800"/>
      <c r="AF503" s="800"/>
      <c r="AG503" s="800"/>
      <c r="AH503" s="800"/>
      <c r="AI503" s="800"/>
      <c r="AJ503" s="800"/>
      <c r="AK503" s="800"/>
      <c r="AL503" s="800"/>
      <c r="AM503" s="800"/>
      <c r="AN503" s="801"/>
    </row>
    <row r="504" spans="1:40" ht="30.75" customHeight="1" x14ac:dyDescent="0.7">
      <c r="A504" s="790"/>
      <c r="B504" s="791"/>
      <c r="C504" s="791"/>
      <c r="D504" s="791"/>
      <c r="E504" s="791"/>
      <c r="F504" s="791"/>
      <c r="G504" s="791"/>
      <c r="H504" s="791"/>
      <c r="I504" s="791"/>
      <c r="J504" s="791"/>
      <c r="K504" s="791"/>
      <c r="L504" s="792"/>
      <c r="M504" s="799"/>
      <c r="N504" s="800"/>
      <c r="O504" s="800"/>
      <c r="P504" s="800"/>
      <c r="Q504" s="800"/>
      <c r="R504" s="800"/>
      <c r="S504" s="800"/>
      <c r="T504" s="800"/>
      <c r="U504" s="800"/>
      <c r="V504" s="800"/>
      <c r="W504" s="800"/>
      <c r="X504" s="800"/>
      <c r="Y504" s="800"/>
      <c r="Z504" s="800"/>
      <c r="AA504" s="800"/>
      <c r="AB504" s="800"/>
      <c r="AC504" s="800"/>
      <c r="AD504" s="800"/>
      <c r="AE504" s="800"/>
      <c r="AF504" s="800"/>
      <c r="AG504" s="800"/>
      <c r="AH504" s="800"/>
      <c r="AI504" s="800"/>
      <c r="AJ504" s="800"/>
      <c r="AK504" s="800"/>
      <c r="AL504" s="800"/>
      <c r="AM504" s="800"/>
      <c r="AN504" s="801"/>
    </row>
    <row r="505" spans="1:40" ht="30.75" customHeight="1" thickBot="1" x14ac:dyDescent="0.75">
      <c r="A505" s="793"/>
      <c r="B505" s="794"/>
      <c r="C505" s="794"/>
      <c r="D505" s="794"/>
      <c r="E505" s="794"/>
      <c r="F505" s="794"/>
      <c r="G505" s="794"/>
      <c r="H505" s="794"/>
      <c r="I505" s="794"/>
      <c r="J505" s="794"/>
      <c r="K505" s="794"/>
      <c r="L505" s="795"/>
      <c r="M505" s="802"/>
      <c r="N505" s="803"/>
      <c r="O505" s="803"/>
      <c r="P505" s="803"/>
      <c r="Q505" s="803"/>
      <c r="R505" s="803"/>
      <c r="S505" s="803"/>
      <c r="T505" s="803"/>
      <c r="U505" s="803"/>
      <c r="V505" s="803"/>
      <c r="W505" s="803"/>
      <c r="X505" s="803"/>
      <c r="Y505" s="803"/>
      <c r="Z505" s="803"/>
      <c r="AA505" s="803"/>
      <c r="AB505" s="803"/>
      <c r="AC505" s="803"/>
      <c r="AD505" s="803"/>
      <c r="AE505" s="803"/>
      <c r="AF505" s="803"/>
      <c r="AG505" s="803"/>
      <c r="AH505" s="803"/>
      <c r="AI505" s="803"/>
      <c r="AJ505" s="803"/>
      <c r="AK505" s="803"/>
      <c r="AL505" s="803"/>
      <c r="AM505" s="803"/>
      <c r="AN505" s="804"/>
    </row>
  </sheetData>
  <sheetProtection selectLockedCells="1"/>
  <mergeCells count="494">
    <mergeCell ref="A430:A434"/>
    <mergeCell ref="AK431:AK432"/>
    <mergeCell ref="A435:A439"/>
    <mergeCell ref="AK436:AK437"/>
    <mergeCell ref="A440:A444"/>
    <mergeCell ref="AK441:AK442"/>
    <mergeCell ref="A445:A449"/>
    <mergeCell ref="AK446:AK447"/>
    <mergeCell ref="AH20:AI20"/>
    <mergeCell ref="AH55:AI55"/>
    <mergeCell ref="AH100:AI100"/>
    <mergeCell ref="AH110:AI110"/>
    <mergeCell ref="AH150:AI150"/>
    <mergeCell ref="AH165:AI165"/>
    <mergeCell ref="AH192:AI192"/>
    <mergeCell ref="AH246:AI246"/>
    <mergeCell ref="AH280:AI280"/>
    <mergeCell ref="AH297:AI297"/>
    <mergeCell ref="AH383:AI383"/>
    <mergeCell ref="AB97:AC97"/>
    <mergeCell ref="AD97:AE97"/>
    <mergeCell ref="AF97:AG97"/>
    <mergeCell ref="AH97:AI97"/>
    <mergeCell ref="A405:A409"/>
    <mergeCell ref="AK406:AK407"/>
    <mergeCell ref="A410:A414"/>
    <mergeCell ref="AK411:AK412"/>
    <mergeCell ref="A415:A419"/>
    <mergeCell ref="AK416:AK417"/>
    <mergeCell ref="A420:A424"/>
    <mergeCell ref="AK421:AK422"/>
    <mergeCell ref="A425:A429"/>
    <mergeCell ref="AK426:AK427"/>
    <mergeCell ref="AK396:AK397"/>
    <mergeCell ref="Z383:AA383"/>
    <mergeCell ref="AB383:AC383"/>
    <mergeCell ref="AD383:AE383"/>
    <mergeCell ref="AF383:AG383"/>
    <mergeCell ref="AJ383:AJ384"/>
    <mergeCell ref="AK383:AK384"/>
    <mergeCell ref="A400:A404"/>
    <mergeCell ref="AK401:AK402"/>
    <mergeCell ref="A268:A269"/>
    <mergeCell ref="A246:A247"/>
    <mergeCell ref="B246:B247"/>
    <mergeCell ref="C246:C247"/>
    <mergeCell ref="A262:A267"/>
    <mergeCell ref="A285:A286"/>
    <mergeCell ref="AK386:AK387"/>
    <mergeCell ref="A385:A389"/>
    <mergeCell ref="A390:A394"/>
    <mergeCell ref="AK391:AK392"/>
    <mergeCell ref="A4:C4"/>
    <mergeCell ref="C20:C21"/>
    <mergeCell ref="B20:B21"/>
    <mergeCell ref="A20:A21"/>
    <mergeCell ref="A150:A151"/>
    <mergeCell ref="B150:B151"/>
    <mergeCell ref="AL383:AL384"/>
    <mergeCell ref="AM383:AM384"/>
    <mergeCell ref="AN383:AN384"/>
    <mergeCell ref="AL270:AL278"/>
    <mergeCell ref="AN248:AN269"/>
    <mergeCell ref="AN270:AN278"/>
    <mergeCell ref="A241:A244"/>
    <mergeCell ref="A289:A291"/>
    <mergeCell ref="F246:G246"/>
    <mergeCell ref="A254:A257"/>
    <mergeCell ref="A273:A275"/>
    <mergeCell ref="A380:AN380"/>
    <mergeCell ref="AL299:AL323"/>
    <mergeCell ref="AL324:AL337"/>
    <mergeCell ref="AN299:AN323"/>
    <mergeCell ref="AN324:AN337"/>
    <mergeCell ref="AL248:AL269"/>
    <mergeCell ref="H280:I280"/>
    <mergeCell ref="AL221:AL229"/>
    <mergeCell ref="AL230:AL244"/>
    <mergeCell ref="X5:Y5"/>
    <mergeCell ref="Z5:AA5"/>
    <mergeCell ref="AK44:AK45"/>
    <mergeCell ref="AJ5:AJ6"/>
    <mergeCell ref="AK5:AK6"/>
    <mergeCell ref="A32:A33"/>
    <mergeCell ref="AK42:AK43"/>
    <mergeCell ref="A191:AN191"/>
    <mergeCell ref="A164:AN164"/>
    <mergeCell ref="N192:O192"/>
    <mergeCell ref="A232:A233"/>
    <mergeCell ref="A234:A240"/>
    <mergeCell ref="A57:A60"/>
    <mergeCell ref="A61:A64"/>
    <mergeCell ref="A65:A68"/>
    <mergeCell ref="A69:A72"/>
    <mergeCell ref="A73:A76"/>
    <mergeCell ref="A77:A80"/>
    <mergeCell ref="A81:A84"/>
    <mergeCell ref="A476:L505"/>
    <mergeCell ref="M476:AN505"/>
    <mergeCell ref="A475:L475"/>
    <mergeCell ref="M475:AN475"/>
    <mergeCell ref="A454:L474"/>
    <mergeCell ref="A453:L453"/>
    <mergeCell ref="M453:AN453"/>
    <mergeCell ref="M454:AN474"/>
    <mergeCell ref="A382:AN382"/>
    <mergeCell ref="A383:A384"/>
    <mergeCell ref="B383:B384"/>
    <mergeCell ref="C383:C384"/>
    <mergeCell ref="D383:E383"/>
    <mergeCell ref="F383:G383"/>
    <mergeCell ref="H383:I383"/>
    <mergeCell ref="J383:K383"/>
    <mergeCell ref="L383:M383"/>
    <mergeCell ref="N383:O383"/>
    <mergeCell ref="P383:Q383"/>
    <mergeCell ref="R383:S383"/>
    <mergeCell ref="T383:U383"/>
    <mergeCell ref="V383:W383"/>
    <mergeCell ref="X383:Y383"/>
    <mergeCell ref="A395:A399"/>
    <mergeCell ref="AL369:AL379"/>
    <mergeCell ref="AN369:AN379"/>
    <mergeCell ref="AL112:AL148"/>
    <mergeCell ref="A287:A288"/>
    <mergeCell ref="A258:A261"/>
    <mergeCell ref="AN349:AN367"/>
    <mergeCell ref="A355:A360"/>
    <mergeCell ref="C150:C151"/>
    <mergeCell ref="B192:B193"/>
    <mergeCell ref="A123:A126"/>
    <mergeCell ref="A230:A231"/>
    <mergeCell ref="AL347:AL348"/>
    <mergeCell ref="D165:K166"/>
    <mergeCell ref="AL349:AL367"/>
    <mergeCell ref="AM347:AM348"/>
    <mergeCell ref="X297:Y297"/>
    <mergeCell ref="J280:K280"/>
    <mergeCell ref="Z246:AA246"/>
    <mergeCell ref="AK192:AK193"/>
    <mergeCell ref="AK262:AK263"/>
    <mergeCell ref="AK268:AK269"/>
    <mergeCell ref="AK258:AK259"/>
    <mergeCell ref="AK254:AK255"/>
    <mergeCell ref="X192:Y192"/>
    <mergeCell ref="H1:J1"/>
    <mergeCell ref="A7:AN7"/>
    <mergeCell ref="A5:A6"/>
    <mergeCell ref="B5:B6"/>
    <mergeCell ref="C5:C6"/>
    <mergeCell ref="D5:E5"/>
    <mergeCell ref="AL152:AL163"/>
    <mergeCell ref="AL150:AL151"/>
    <mergeCell ref="D4:V4"/>
    <mergeCell ref="V110:W110"/>
    <mergeCell ref="K1:Q1"/>
    <mergeCell ref="R1:S1"/>
    <mergeCell ref="T1:V1"/>
    <mergeCell ref="W1:X1"/>
    <mergeCell ref="AA1:AJ1"/>
    <mergeCell ref="L110:M110"/>
    <mergeCell ref="N110:O110"/>
    <mergeCell ref="P110:Q110"/>
    <mergeCell ref="R110:S110"/>
    <mergeCell ref="T110:U110"/>
    <mergeCell ref="AJ110:AJ111"/>
    <mergeCell ref="W4:AN4"/>
    <mergeCell ref="A2:AN2"/>
    <mergeCell ref="A3:AN3"/>
    <mergeCell ref="A270:A272"/>
    <mergeCell ref="A276:A278"/>
    <mergeCell ref="B280:B281"/>
    <mergeCell ref="A335:A337"/>
    <mergeCell ref="A324:A334"/>
    <mergeCell ref="D280:E280"/>
    <mergeCell ref="F280:G280"/>
    <mergeCell ref="D1:E1"/>
    <mergeCell ref="F1:G1"/>
    <mergeCell ref="A282:A284"/>
    <mergeCell ref="A245:AN245"/>
    <mergeCell ref="AK241:AK242"/>
    <mergeCell ref="AK239:AK240"/>
    <mergeCell ref="A297:A298"/>
    <mergeCell ref="J246:K246"/>
    <mergeCell ref="Z280:AA280"/>
    <mergeCell ref="L280:M280"/>
    <mergeCell ref="N280:O280"/>
    <mergeCell ref="P280:Q280"/>
    <mergeCell ref="AJ297:AJ298"/>
    <mergeCell ref="AF297:AG297"/>
    <mergeCell ref="AL282:AL295"/>
    <mergeCell ref="AM280:AM281"/>
    <mergeCell ref="AL203:AL211"/>
    <mergeCell ref="A280:A281"/>
    <mergeCell ref="A293:A295"/>
    <mergeCell ref="R280:S280"/>
    <mergeCell ref="T280:U280"/>
    <mergeCell ref="A152:A153"/>
    <mergeCell ref="A154:A155"/>
    <mergeCell ref="A156:A157"/>
    <mergeCell ref="A110:A111"/>
    <mergeCell ref="A11:A13"/>
    <mergeCell ref="A15:A17"/>
    <mergeCell ref="A50:A51"/>
    <mergeCell ref="A97:A98"/>
    <mergeCell ref="A55:A56"/>
    <mergeCell ref="A44:A45"/>
    <mergeCell ref="A34:A35"/>
    <mergeCell ref="A112:A115"/>
    <mergeCell ref="T246:U246"/>
    <mergeCell ref="R246:S246"/>
    <mergeCell ref="N246:O246"/>
    <mergeCell ref="A361:A367"/>
    <mergeCell ref="V347:W347"/>
    <mergeCell ref="X347:Y347"/>
    <mergeCell ref="D297:E297"/>
    <mergeCell ref="F297:G297"/>
    <mergeCell ref="Z297:AA297"/>
    <mergeCell ref="B297:B298"/>
    <mergeCell ref="A347:A348"/>
    <mergeCell ref="B347:B348"/>
    <mergeCell ref="A349:A354"/>
    <mergeCell ref="C347:C348"/>
    <mergeCell ref="Z347:AA347"/>
    <mergeCell ref="L347:M347"/>
    <mergeCell ref="H347:I347"/>
    <mergeCell ref="J347:K347"/>
    <mergeCell ref="V297:W297"/>
    <mergeCell ref="N297:O297"/>
    <mergeCell ref="N347:O347"/>
    <mergeCell ref="P347:Q347"/>
    <mergeCell ref="R347:S347"/>
    <mergeCell ref="T347:U347"/>
    <mergeCell ref="D347:E347"/>
    <mergeCell ref="F347:G347"/>
    <mergeCell ref="C297:C298"/>
    <mergeCell ref="B1:C1"/>
    <mergeCell ref="AK22:AK23"/>
    <mergeCell ref="A19:AN19"/>
    <mergeCell ref="AL22:AL53"/>
    <mergeCell ref="AK27:AK28"/>
    <mergeCell ref="AK32:AK33"/>
    <mergeCell ref="AK34:AK35"/>
    <mergeCell ref="F5:G5"/>
    <mergeCell ref="H5:I5"/>
    <mergeCell ref="J5:K5"/>
    <mergeCell ref="L5:M5"/>
    <mergeCell ref="N5:O5"/>
    <mergeCell ref="P5:Q5"/>
    <mergeCell ref="A52:A53"/>
    <mergeCell ref="A42:A43"/>
    <mergeCell ref="P20:Q20"/>
    <mergeCell ref="R20:S20"/>
    <mergeCell ref="AK36:AK37"/>
    <mergeCell ref="AM5:AM6"/>
    <mergeCell ref="A46:A47"/>
    <mergeCell ref="A8:A10"/>
    <mergeCell ref="AN22:AN53"/>
    <mergeCell ref="AN20:AN21"/>
    <mergeCell ref="AL20:AL21"/>
    <mergeCell ref="R5:S5"/>
    <mergeCell ref="T5:U5"/>
    <mergeCell ref="V5:W5"/>
    <mergeCell ref="T20:U20"/>
    <mergeCell ref="J20:K20"/>
    <mergeCell ref="L20:M20"/>
    <mergeCell ref="Z100:AA100"/>
    <mergeCell ref="J100:K100"/>
    <mergeCell ref="L100:M100"/>
    <mergeCell ref="N100:O100"/>
    <mergeCell ref="P100:Q100"/>
    <mergeCell ref="A99:AN99"/>
    <mergeCell ref="AB20:AC20"/>
    <mergeCell ref="AD20:AE20"/>
    <mergeCell ref="AF20:AG20"/>
    <mergeCell ref="AB100:AC100"/>
    <mergeCell ref="AD100:AE100"/>
    <mergeCell ref="AF100:AG100"/>
    <mergeCell ref="P55:Q55"/>
    <mergeCell ref="R55:S55"/>
    <mergeCell ref="T55:U55"/>
    <mergeCell ref="V55:W55"/>
    <mergeCell ref="D20:E20"/>
    <mergeCell ref="B100:B101"/>
    <mergeCell ref="AM150:AM151"/>
    <mergeCell ref="F150:G150"/>
    <mergeCell ref="H150:I150"/>
    <mergeCell ref="AL167:AL190"/>
    <mergeCell ref="AL165:AL166"/>
    <mergeCell ref="Z192:AA192"/>
    <mergeCell ref="L192:M192"/>
    <mergeCell ref="AL194:AL202"/>
    <mergeCell ref="AB192:AC192"/>
    <mergeCell ref="AD192:AE192"/>
    <mergeCell ref="AF192:AG192"/>
    <mergeCell ref="P150:Q150"/>
    <mergeCell ref="AK150:AK151"/>
    <mergeCell ref="L150:M150"/>
    <mergeCell ref="N150:O150"/>
    <mergeCell ref="AK165:AK166"/>
    <mergeCell ref="R165:S165"/>
    <mergeCell ref="T165:U165"/>
    <mergeCell ref="V165:W165"/>
    <mergeCell ref="X165:Y165"/>
    <mergeCell ref="Z165:AA165"/>
    <mergeCell ref="AJ165:AJ166"/>
    <mergeCell ref="F192:G192"/>
    <mergeCell ref="H192:I192"/>
    <mergeCell ref="A203:A211"/>
    <mergeCell ref="A212:A220"/>
    <mergeCell ref="A221:A229"/>
    <mergeCell ref="A194:A202"/>
    <mergeCell ref="AM165:AM166"/>
    <mergeCell ref="AL192:AL193"/>
    <mergeCell ref="L246:M246"/>
    <mergeCell ref="D246:E246"/>
    <mergeCell ref="H246:I246"/>
    <mergeCell ref="A167:A174"/>
    <mergeCell ref="C165:C166"/>
    <mergeCell ref="A183:A190"/>
    <mergeCell ref="A175:A182"/>
    <mergeCell ref="D192:E192"/>
    <mergeCell ref="J192:K192"/>
    <mergeCell ref="C192:C193"/>
    <mergeCell ref="V192:W192"/>
    <mergeCell ref="AJ246:AJ247"/>
    <mergeCell ref="P246:Q246"/>
    <mergeCell ref="AJ192:AJ193"/>
    <mergeCell ref="P192:Q192"/>
    <mergeCell ref="R192:S192"/>
    <mergeCell ref="T192:U192"/>
    <mergeCell ref="AL212:AL220"/>
    <mergeCell ref="AP2:AQ2"/>
    <mergeCell ref="R100:S100"/>
    <mergeCell ref="T100:U100"/>
    <mergeCell ref="AO1:AO21"/>
    <mergeCell ref="Z110:AA110"/>
    <mergeCell ref="X110:Y110"/>
    <mergeCell ref="AL246:AL247"/>
    <mergeCell ref="AK40:AK41"/>
    <mergeCell ref="AK48:AK49"/>
    <mergeCell ref="AJ100:AJ101"/>
    <mergeCell ref="AK46:AK47"/>
    <mergeCell ref="AK246:AK247"/>
    <mergeCell ref="X100:Y100"/>
    <mergeCell ref="AK100:AK101"/>
    <mergeCell ref="AM192:AM193"/>
    <mergeCell ref="AK110:AK111"/>
    <mergeCell ref="V150:W150"/>
    <mergeCell ref="X150:Y150"/>
    <mergeCell ref="AK1:AN1"/>
    <mergeCell ref="V100:W100"/>
    <mergeCell ref="X20:Y20"/>
    <mergeCell ref="Z20:AA20"/>
    <mergeCell ref="AM20:AM21"/>
    <mergeCell ref="A54:AN54"/>
    <mergeCell ref="A368:AN368"/>
    <mergeCell ref="A369:A379"/>
    <mergeCell ref="A300:A305"/>
    <mergeCell ref="A308:A309"/>
    <mergeCell ref="A316:A323"/>
    <mergeCell ref="A129:A134"/>
    <mergeCell ref="AN347:AN348"/>
    <mergeCell ref="A346:AN346"/>
    <mergeCell ref="A296:AN296"/>
    <mergeCell ref="A310:A315"/>
    <mergeCell ref="AN297:AN298"/>
    <mergeCell ref="AM297:AM298"/>
    <mergeCell ref="AL280:AL281"/>
    <mergeCell ref="AL297:AL298"/>
    <mergeCell ref="A160:A161"/>
    <mergeCell ref="A165:A166"/>
    <mergeCell ref="B165:B166"/>
    <mergeCell ref="A192:A193"/>
    <mergeCell ref="AN150:AN151"/>
    <mergeCell ref="R150:S150"/>
    <mergeCell ref="T150:U150"/>
    <mergeCell ref="AJ150:AJ151"/>
    <mergeCell ref="AK135:AK136"/>
    <mergeCell ref="X246:Y246"/>
    <mergeCell ref="AJ347:AJ348"/>
    <mergeCell ref="AN338:AN345"/>
    <mergeCell ref="V246:W246"/>
    <mergeCell ref="AN165:AN166"/>
    <mergeCell ref="AB246:AC246"/>
    <mergeCell ref="AD246:AE246"/>
    <mergeCell ref="AF246:AG246"/>
    <mergeCell ref="AB280:AC280"/>
    <mergeCell ref="AD280:AE280"/>
    <mergeCell ref="AF280:AG280"/>
    <mergeCell ref="V280:W280"/>
    <mergeCell ref="X280:Y280"/>
    <mergeCell ref="AN192:AN193"/>
    <mergeCell ref="AN246:AN247"/>
    <mergeCell ref="AN194:AN244"/>
    <mergeCell ref="AM246:AM247"/>
    <mergeCell ref="AN167:AN190"/>
    <mergeCell ref="AK347:AK348"/>
    <mergeCell ref="AJ280:AJ281"/>
    <mergeCell ref="A279:AN279"/>
    <mergeCell ref="AN280:AN281"/>
    <mergeCell ref="C280:C281"/>
    <mergeCell ref="AN282:AN295"/>
    <mergeCell ref="A338:A345"/>
    <mergeCell ref="AL338:AL345"/>
    <mergeCell ref="H297:I297"/>
    <mergeCell ref="AK297:AK298"/>
    <mergeCell ref="AK280:AK281"/>
    <mergeCell ref="AF110:AG110"/>
    <mergeCell ref="AB150:AC150"/>
    <mergeCell ref="AD150:AE150"/>
    <mergeCell ref="AF150:AG150"/>
    <mergeCell ref="AB165:AC165"/>
    <mergeCell ref="AD165:AE165"/>
    <mergeCell ref="AF165:AG165"/>
    <mergeCell ref="AB297:AC297"/>
    <mergeCell ref="AD297:AE297"/>
    <mergeCell ref="J297:K297"/>
    <mergeCell ref="L297:M297"/>
    <mergeCell ref="AB110:AC110"/>
    <mergeCell ref="AD110:AE110"/>
    <mergeCell ref="L165:M165"/>
    <mergeCell ref="N165:O165"/>
    <mergeCell ref="P165:Q165"/>
    <mergeCell ref="D110:I111"/>
    <mergeCell ref="P297:Q297"/>
    <mergeCell ref="R297:S297"/>
    <mergeCell ref="T297:U297"/>
    <mergeCell ref="AM100:AM101"/>
    <mergeCell ref="AJ20:AJ21"/>
    <mergeCell ref="AN112:AN148"/>
    <mergeCell ref="V20:W20"/>
    <mergeCell ref="C100:C101"/>
    <mergeCell ref="A48:A49"/>
    <mergeCell ref="B55:B56"/>
    <mergeCell ref="C55:C56"/>
    <mergeCell ref="D55:E55"/>
    <mergeCell ref="H55:I55"/>
    <mergeCell ref="J55:K55"/>
    <mergeCell ref="L55:M55"/>
    <mergeCell ref="N55:O55"/>
    <mergeCell ref="AN102:AN106"/>
    <mergeCell ref="AK38:AK39"/>
    <mergeCell ref="AN110:AN111"/>
    <mergeCell ref="AM110:AM111"/>
    <mergeCell ref="AM55:AM56"/>
    <mergeCell ref="F55:G55"/>
    <mergeCell ref="A85:A88"/>
    <mergeCell ref="A89:A92"/>
    <mergeCell ref="A93:A96"/>
    <mergeCell ref="A138:A139"/>
    <mergeCell ref="AL55:AL56"/>
    <mergeCell ref="H20:I20"/>
    <mergeCell ref="A36:A37"/>
    <mergeCell ref="A38:A39"/>
    <mergeCell ref="A40:A41"/>
    <mergeCell ref="A22:A31"/>
    <mergeCell ref="AL8:AL18"/>
    <mergeCell ref="AL100:AL101"/>
    <mergeCell ref="A149:AN149"/>
    <mergeCell ref="B110:B111"/>
    <mergeCell ref="A135:A137"/>
    <mergeCell ref="A140:A146"/>
    <mergeCell ref="A147:A148"/>
    <mergeCell ref="A102:A106"/>
    <mergeCell ref="J110:K110"/>
    <mergeCell ref="C110:C111"/>
    <mergeCell ref="N20:O20"/>
    <mergeCell ref="A117:A122"/>
    <mergeCell ref="AL110:AL111"/>
    <mergeCell ref="AL102:AL106"/>
    <mergeCell ref="A109:AN109"/>
    <mergeCell ref="AN100:AN101"/>
    <mergeCell ref="AN8:AN18"/>
    <mergeCell ref="AK20:AK21"/>
    <mergeCell ref="A162:A163"/>
    <mergeCell ref="J150:K150"/>
    <mergeCell ref="Z150:AA150"/>
    <mergeCell ref="A248:A253"/>
    <mergeCell ref="A158:A159"/>
    <mergeCell ref="D150:E150"/>
    <mergeCell ref="AN152:AN163"/>
    <mergeCell ref="F20:G20"/>
    <mergeCell ref="D100:I101"/>
    <mergeCell ref="A100:A101"/>
    <mergeCell ref="AN55:AN56"/>
    <mergeCell ref="AL57:AL98"/>
    <mergeCell ref="X55:Y55"/>
    <mergeCell ref="Z55:AA55"/>
    <mergeCell ref="AB55:AC55"/>
    <mergeCell ref="AD55:AE55"/>
    <mergeCell ref="AF55:AG55"/>
    <mergeCell ref="AJ55:AJ56"/>
    <mergeCell ref="AK55:AK56"/>
  </mergeCells>
  <phoneticPr fontId="3" type="noConversion"/>
  <conditionalFormatting sqref="AK22">
    <cfRule type="notContainsBlanks" dxfId="1584" priority="2635">
      <formula>LEN(TRIM(AK22))&gt;0</formula>
    </cfRule>
  </conditionalFormatting>
  <conditionalFormatting sqref="AK27:AK28">
    <cfRule type="notContainsBlanks" dxfId="1583" priority="2636">
      <formula>LEN(TRIM(AK27))&gt;0</formula>
    </cfRule>
  </conditionalFormatting>
  <conditionalFormatting sqref="AK32:AK33 AK385">
    <cfRule type="notContainsBlanks" dxfId="1582" priority="2639">
      <formula>LEN(TRIM(AK32))&gt;0</formula>
    </cfRule>
  </conditionalFormatting>
  <conditionalFormatting sqref="AK34:AK35">
    <cfRule type="notContainsBlanks" dxfId="1581" priority="2637">
      <formula>LEN(TRIM(AK34))&gt;0</formula>
    </cfRule>
  </conditionalFormatting>
  <conditionalFormatting sqref="AK36:AK37">
    <cfRule type="notContainsBlanks" dxfId="1580" priority="2630">
      <formula>LEN(TRIM(AK36))&gt;0</formula>
    </cfRule>
  </conditionalFormatting>
  <conditionalFormatting sqref="AK38:AK39">
    <cfRule type="notContainsBlanks" dxfId="1579" priority="2629">
      <formula>LEN(TRIM(AK38))&gt;0</formula>
    </cfRule>
  </conditionalFormatting>
  <conditionalFormatting sqref="AK40:AK41">
    <cfRule type="notContainsBlanks" dxfId="1578" priority="2628">
      <formula>LEN(TRIM(AK40))&gt;0</formula>
    </cfRule>
  </conditionalFormatting>
  <conditionalFormatting sqref="AK42:AK43">
    <cfRule type="notContainsBlanks" dxfId="1577" priority="2627">
      <formula>LEN(TRIM(AK42))&gt;0</formula>
    </cfRule>
  </conditionalFormatting>
  <conditionalFormatting sqref="AK44:AK45">
    <cfRule type="notContainsBlanks" dxfId="1576" priority="2626">
      <formula>LEN(TRIM(AK44))&gt;0</formula>
    </cfRule>
  </conditionalFormatting>
  <conditionalFormatting sqref="AK46:AK47">
    <cfRule type="notContainsBlanks" dxfId="1575" priority="2625">
      <formula>LEN(TRIM(AK46))&gt;0</formula>
    </cfRule>
  </conditionalFormatting>
  <conditionalFormatting sqref="AK48:AK51">
    <cfRule type="notContainsBlanks" dxfId="1574" priority="2624">
      <formula>LEN(TRIM(AK48))&gt;0</formula>
    </cfRule>
  </conditionalFormatting>
  <conditionalFormatting sqref="AK52:AK53">
    <cfRule type="notContainsBlanks" dxfId="1573" priority="2623">
      <formula>LEN(TRIM(AK52))&gt;0</formula>
    </cfRule>
  </conditionalFormatting>
  <conditionalFormatting sqref="AK112 AK114:AK115">
    <cfRule type="notContainsBlanks" dxfId="1572" priority="2640">
      <formula>LEN(TRIM(AK112))&gt;0</formula>
    </cfRule>
  </conditionalFormatting>
  <conditionalFormatting sqref="AK116:AK122">
    <cfRule type="notContainsBlanks" dxfId="1571" priority="2641">
      <formula>LEN(TRIM(AK116))&gt;0</formula>
    </cfRule>
  </conditionalFormatting>
  <conditionalFormatting sqref="AK135:AK136">
    <cfRule type="notContainsBlanks" dxfId="1570" priority="2620">
      <formula>LEN(TRIM(AK135))&gt;0</formula>
    </cfRule>
  </conditionalFormatting>
  <conditionalFormatting sqref="AK152">
    <cfRule type="notContainsBlanks" dxfId="1569" priority="2619">
      <formula>LEN(TRIM(AK152))&gt;0</formula>
    </cfRule>
  </conditionalFormatting>
  <conditionalFormatting sqref="AK24">
    <cfRule type="notContainsBlanks" dxfId="1568" priority="2618">
      <formula>LEN(TRIM(AK24))&gt;0</formula>
    </cfRule>
  </conditionalFormatting>
  <conditionalFormatting sqref="AK153">
    <cfRule type="notContainsBlanks" dxfId="1567" priority="2617">
      <formula>LEN(TRIM(AK153))&gt;0</formula>
    </cfRule>
  </conditionalFormatting>
  <conditionalFormatting sqref="AK154">
    <cfRule type="notContainsBlanks" dxfId="1566" priority="2616">
      <formula>LEN(TRIM(AK154))&gt;0</formula>
    </cfRule>
  </conditionalFormatting>
  <conditionalFormatting sqref="AK155">
    <cfRule type="notContainsBlanks" dxfId="1565" priority="2615">
      <formula>LEN(TRIM(AK155))&gt;0</formula>
    </cfRule>
  </conditionalFormatting>
  <conditionalFormatting sqref="AK168">
    <cfRule type="notContainsBlanks" dxfId="1564" priority="2614">
      <formula>LEN(TRIM(AK168))&gt;0</formula>
    </cfRule>
  </conditionalFormatting>
  <conditionalFormatting sqref="AK231">
    <cfRule type="notContainsBlanks" dxfId="1563" priority="2611">
      <formula>LEN(TRIM(AK231))&gt;0</formula>
    </cfRule>
  </conditionalFormatting>
  <conditionalFormatting sqref="AK234">
    <cfRule type="notContainsBlanks" dxfId="1562" priority="2610">
      <formula>LEN(TRIM(AK234))&gt;0</formula>
    </cfRule>
  </conditionalFormatting>
  <conditionalFormatting sqref="AK235:AK236">
    <cfRule type="notContainsBlanks" dxfId="1561" priority="2609">
      <formula>LEN(TRIM(AK235))&gt;0</formula>
    </cfRule>
  </conditionalFormatting>
  <conditionalFormatting sqref="AK237:AK238 AK250 AK252 AK341:AK343 AK310:AK323 AK329">
    <cfRule type="notContainsBlanks" dxfId="1560" priority="2608">
      <formula>LEN(TRIM(AK237))&gt;0</formula>
    </cfRule>
  </conditionalFormatting>
  <conditionalFormatting sqref="AK239:AK240">
    <cfRule type="notContainsBlanks" dxfId="1559" priority="2607">
      <formula>LEN(TRIM(AK239))&gt;0</formula>
    </cfRule>
  </conditionalFormatting>
  <conditionalFormatting sqref="AK241:AK242">
    <cfRule type="notContainsBlanks" dxfId="1558" priority="2606">
      <formula>LEN(TRIM(AK241))&gt;0</formula>
    </cfRule>
  </conditionalFormatting>
  <conditionalFormatting sqref="AK243">
    <cfRule type="notContainsBlanks" dxfId="1557" priority="2605">
      <formula>LEN(TRIM(AK243))&gt;0</formula>
    </cfRule>
  </conditionalFormatting>
  <conditionalFormatting sqref="AK244">
    <cfRule type="notContainsBlanks" dxfId="1556" priority="2604">
      <formula>LEN(TRIM(AK244))&gt;0</formula>
    </cfRule>
  </conditionalFormatting>
  <conditionalFormatting sqref="AK248">
    <cfRule type="notContainsBlanks" dxfId="1555" priority="2603">
      <formula>LEN(TRIM(AK248))&gt;0</formula>
    </cfRule>
  </conditionalFormatting>
  <conditionalFormatting sqref="AK249">
    <cfRule type="notContainsBlanks" dxfId="1554" priority="2602">
      <formula>LEN(TRIM(AK249))&gt;0</formula>
    </cfRule>
  </conditionalFormatting>
  <conditionalFormatting sqref="AK251:AK253">
    <cfRule type="notContainsBlanks" dxfId="1553" priority="2600">
      <formula>LEN(TRIM(AK251))&gt;0</formula>
    </cfRule>
  </conditionalFormatting>
  <conditionalFormatting sqref="AK254:AK255 AK257">
    <cfRule type="notContainsBlanks" dxfId="1552" priority="2599">
      <formula>LEN(TRIM(AK254))&gt;0</formula>
    </cfRule>
  </conditionalFormatting>
  <conditionalFormatting sqref="AK258:AK259 AK261">
    <cfRule type="notContainsBlanks" dxfId="1551" priority="2598">
      <formula>LEN(TRIM(AK258))&gt;0</formula>
    </cfRule>
  </conditionalFormatting>
  <conditionalFormatting sqref="AK262:AK263 AK265 AK267">
    <cfRule type="notContainsBlanks" dxfId="1550" priority="2597">
      <formula>LEN(TRIM(AK262))&gt;0</formula>
    </cfRule>
  </conditionalFormatting>
  <conditionalFormatting sqref="AK268:AK277">
    <cfRule type="notContainsBlanks" dxfId="1549" priority="2596">
      <formula>LEN(TRIM(AK268))&gt;0</formula>
    </cfRule>
  </conditionalFormatting>
  <conditionalFormatting sqref="AK283:AK286">
    <cfRule type="notContainsBlanks" dxfId="1548" priority="2595">
      <formula>LEN(TRIM(AK283))&gt;0</formula>
    </cfRule>
  </conditionalFormatting>
  <conditionalFormatting sqref="AK287:AK288">
    <cfRule type="notContainsBlanks" dxfId="1547" priority="2594">
      <formula>LEN(TRIM(AK287))&gt;0</formula>
    </cfRule>
  </conditionalFormatting>
  <conditionalFormatting sqref="AK289:AK291">
    <cfRule type="notContainsBlanks" dxfId="1546" priority="2593">
      <formula>LEN(TRIM(AK289))&gt;0</formula>
    </cfRule>
  </conditionalFormatting>
  <conditionalFormatting sqref="AK293">
    <cfRule type="notContainsBlanks" dxfId="1545" priority="2592">
      <formula>LEN(TRIM(AK293))&gt;0</formula>
    </cfRule>
  </conditionalFormatting>
  <conditionalFormatting sqref="AK294">
    <cfRule type="notContainsBlanks" dxfId="1544" priority="2591">
      <formula>LEN(TRIM(AK294))&gt;0</formula>
    </cfRule>
  </conditionalFormatting>
  <conditionalFormatting sqref="AK295">
    <cfRule type="notContainsBlanks" dxfId="1543" priority="2590">
      <formula>LEN(TRIM(AK295))&gt;0</formula>
    </cfRule>
  </conditionalFormatting>
  <conditionalFormatting sqref="AK299:AK305">
    <cfRule type="notContainsBlanks" dxfId="1542" priority="2589">
      <formula>LEN(TRIM(AK299))&gt;0</formula>
    </cfRule>
  </conditionalFormatting>
  <conditionalFormatting sqref="AK306:AK308">
    <cfRule type="notContainsBlanks" priority="2588">
      <formula>LEN(TRIM(AK306))&gt;0</formula>
    </cfRule>
  </conditionalFormatting>
  <conditionalFormatting sqref="AK355:AK357">
    <cfRule type="notContainsBlanks" dxfId="1541" priority="2586">
      <formula>LEN(TRIM(AK355))&gt;0</formula>
    </cfRule>
  </conditionalFormatting>
  <conditionalFormatting sqref="AM34">
    <cfRule type="notContainsBlanks" dxfId="1540" priority="2579">
      <formula>LEN(TRIM(AM34))&gt;0</formula>
    </cfRule>
  </conditionalFormatting>
  <conditionalFormatting sqref="AM248:AN248">
    <cfRule type="notContainsBlanks" dxfId="1539" priority="2578">
      <formula>LEN(TRIM(AM248))&gt;0</formula>
    </cfRule>
  </conditionalFormatting>
  <conditionalFormatting sqref="AM249">
    <cfRule type="notContainsBlanks" dxfId="1538" priority="2577">
      <formula>LEN(TRIM(AM249))&gt;0</formula>
    </cfRule>
  </conditionalFormatting>
  <conditionalFormatting sqref="AM102:AN102 AM152:AN152 AM167:AN167 AM194:AN194 AM282:AN282 AM299:AN299 AM112:AN114 AM22:AN22 AM103:AM108 AM115:AM148 AM153:AM163 AM168:AM190 AM231:AM244 AM23:AM53 AN349 AM355:AM367 AM250:AM272 AM276:AM277 AM341:AM343 AM283:AM295 AM300:AM323 AM329 AM385:AM387">
    <cfRule type="notContainsBlanks" dxfId="1537" priority="2576">
      <formula>LEN(TRIM(AM22))&gt;0</formula>
    </cfRule>
  </conditionalFormatting>
  <conditionalFormatting sqref="AM36">
    <cfRule type="notContainsBlanks" dxfId="1536" priority="2575">
      <formula>LEN(TRIM(AM36))&gt;0</formula>
    </cfRule>
  </conditionalFormatting>
  <conditionalFormatting sqref="AM48">
    <cfRule type="notContainsBlanks" dxfId="1535" priority="2569">
      <formula>LEN(TRIM(AM48))&gt;0</formula>
    </cfRule>
  </conditionalFormatting>
  <conditionalFormatting sqref="AM38">
    <cfRule type="notContainsBlanks" dxfId="1534" priority="2574">
      <formula>LEN(TRIM(AM38))&gt;0</formula>
    </cfRule>
  </conditionalFormatting>
  <conditionalFormatting sqref="AM40">
    <cfRule type="notContainsBlanks" dxfId="1533" priority="2573">
      <formula>LEN(TRIM(AM40))&gt;0</formula>
    </cfRule>
  </conditionalFormatting>
  <conditionalFormatting sqref="AM42">
    <cfRule type="notContainsBlanks" dxfId="1532" priority="2572">
      <formula>LEN(TRIM(AM42))&gt;0</formula>
    </cfRule>
  </conditionalFormatting>
  <conditionalFormatting sqref="AM44">
    <cfRule type="notContainsBlanks" dxfId="1531" priority="2571">
      <formula>LEN(TRIM(AM44))&gt;0</formula>
    </cfRule>
  </conditionalFormatting>
  <conditionalFormatting sqref="AM46">
    <cfRule type="notContainsBlanks" dxfId="1530" priority="2570">
      <formula>LEN(TRIM(AM46))&gt;0</formula>
    </cfRule>
  </conditionalFormatting>
  <conditionalFormatting sqref="AL22:AL53 AL102:AL108 AL112 AL152:AL163 AL167:AL190 AL194 AL282:AL295 AL299 AL349 AL248 AL385:AL387">
    <cfRule type="notContainsBlanks" dxfId="1529" priority="2805">
      <formula>LEN(TRIM(AL22))&gt;0</formula>
    </cfRule>
  </conditionalFormatting>
  <conditionalFormatting sqref="D309:Y309 AB309:AG309 AJ309">
    <cfRule type="cellIs" dxfId="1528" priority="2566" operator="equal">
      <formula>0</formula>
    </cfRule>
  </conditionalFormatting>
  <conditionalFormatting sqref="D322:Y322 AB322:AG322">
    <cfRule type="cellIs" dxfId="1527" priority="2565" operator="equal">
      <formula>0</formula>
    </cfRule>
  </conditionalFormatting>
  <conditionalFormatting sqref="D322:Y322 AB322:AG322">
    <cfRule type="cellIs" dxfId="1526" priority="2564" operator="equal">
      <formula>0</formula>
    </cfRule>
  </conditionalFormatting>
  <conditionalFormatting sqref="D52:AA53">
    <cfRule type="cellIs" dxfId="1525" priority="2563" operator="equal">
      <formula>0</formula>
    </cfRule>
  </conditionalFormatting>
  <conditionalFormatting sqref="AJ102:AJ108 AJ152:AJ163 AJ361:AJ367 AJ349:AJ359 AJ44 AJ46 AJ34 AJ29:AJ32 AJ48:AJ49 AJ36:AJ42 AJ231 AJ310:AJ334 AJ167:AJ190 AJ233:AJ244 AJ248:AJ277 AJ282:AJ295 AJ299:AJ308 AJ112:AJ146 AJ22:AJ27 AJ52">
    <cfRule type="cellIs" dxfId="1524" priority="2560" operator="equal">
      <formula>0</formula>
    </cfRule>
  </conditionalFormatting>
  <conditionalFormatting sqref="D322:Y322 D309:Y309 AB309:AG309 D52:AA53 AB322:AG322 AJ309">
    <cfRule type="cellIs" dxfId="1523" priority="2559" operator="equal">
      <formula>0</formula>
    </cfRule>
  </conditionalFormatting>
  <conditionalFormatting sqref="A1">
    <cfRule type="cellIs" dxfId="1522" priority="2558" operator="equal">
      <formula>0</formula>
    </cfRule>
  </conditionalFormatting>
  <conditionalFormatting sqref="D360:AG360 AJ360">
    <cfRule type="cellIs" dxfId="1521" priority="2555" operator="equal">
      <formula>0</formula>
    </cfRule>
  </conditionalFormatting>
  <conditionalFormatting sqref="AJ43">
    <cfRule type="cellIs" dxfId="1520" priority="2554" operator="equal">
      <formula>0</formula>
    </cfRule>
  </conditionalFormatting>
  <conditionalFormatting sqref="AJ45">
    <cfRule type="cellIs" dxfId="1519" priority="2553" operator="equal">
      <formula>0</formula>
    </cfRule>
  </conditionalFormatting>
  <conditionalFormatting sqref="AJ35">
    <cfRule type="cellIs" dxfId="1518" priority="2552" operator="equal">
      <formula>0</formula>
    </cfRule>
  </conditionalFormatting>
  <conditionalFormatting sqref="AJ33">
    <cfRule type="cellIs" dxfId="1517" priority="2551" operator="equal">
      <formula>0</formula>
    </cfRule>
  </conditionalFormatting>
  <conditionalFormatting sqref="AJ28">
    <cfRule type="cellIs" dxfId="1516" priority="2550" operator="equal">
      <formula>0</formula>
    </cfRule>
  </conditionalFormatting>
  <conditionalFormatting sqref="AJ47">
    <cfRule type="cellIs" dxfId="1515" priority="2549" operator="equal">
      <formula>0</formula>
    </cfRule>
  </conditionalFormatting>
  <conditionalFormatting sqref="AJ53">
    <cfRule type="cellIs" dxfId="1514" priority="2531" operator="equal">
      <formula>0</formula>
    </cfRule>
  </conditionalFormatting>
  <conditionalFormatting sqref="AJ53">
    <cfRule type="cellIs" dxfId="1513" priority="2530" operator="equal">
      <formula>0</formula>
    </cfRule>
  </conditionalFormatting>
  <conditionalFormatting sqref="D154:AA154 D152:AA152">
    <cfRule type="expression" dxfId="1512" priority="2519">
      <formula>D154&gt;D152</formula>
    </cfRule>
  </conditionalFormatting>
  <conditionalFormatting sqref="D155:AA155 D153:AA153">
    <cfRule type="expression" dxfId="1511" priority="2518">
      <formula>D155&gt;D153</formula>
    </cfRule>
  </conditionalFormatting>
  <conditionalFormatting sqref="D234:AA234">
    <cfRule type="expression" dxfId="1510" priority="2515">
      <formula>D235&gt;D234</formula>
    </cfRule>
  </conditionalFormatting>
  <conditionalFormatting sqref="D235:AA235">
    <cfRule type="expression" dxfId="1509" priority="2514">
      <formula>D236&gt;D235</formula>
    </cfRule>
  </conditionalFormatting>
  <conditionalFormatting sqref="K237 M237 O237 Q237 S237 U237 W237 Y237 AA237">
    <cfRule type="expression" dxfId="1508" priority="2513">
      <formula>K238&gt;K237</formula>
    </cfRule>
  </conditionalFormatting>
  <conditionalFormatting sqref="D239:AA239">
    <cfRule type="expression" dxfId="1507" priority="2512">
      <formula>D240&gt;D239</formula>
    </cfRule>
  </conditionalFormatting>
  <conditionalFormatting sqref="D241:AA241">
    <cfRule type="expression" dxfId="1506" priority="2509">
      <formula>D244&gt;D241</formula>
    </cfRule>
    <cfRule type="expression" dxfId="1505" priority="2511">
      <formula>D242&gt;D241</formula>
    </cfRule>
  </conditionalFormatting>
  <conditionalFormatting sqref="D242:AA242">
    <cfRule type="expression" dxfId="1504" priority="2510">
      <formula>D243&gt;D242</formula>
    </cfRule>
  </conditionalFormatting>
  <conditionalFormatting sqref="K248">
    <cfRule type="expression" dxfId="1503" priority="2508">
      <formula>(K249+K250)&gt;K248</formula>
    </cfRule>
  </conditionalFormatting>
  <conditionalFormatting sqref="K250">
    <cfRule type="expression" dxfId="1502" priority="2022">
      <formula>K250&gt;K248</formula>
    </cfRule>
    <cfRule type="expression" dxfId="1501" priority="2507">
      <formula>K251&gt;K250</formula>
    </cfRule>
  </conditionalFormatting>
  <conditionalFormatting sqref="K254">
    <cfRule type="expression" dxfId="1500" priority="2506">
      <formula>K255&gt;K254</formula>
    </cfRule>
  </conditionalFormatting>
  <conditionalFormatting sqref="K258">
    <cfRule type="expression" dxfId="1499" priority="2505">
      <formula>K259&gt;K258</formula>
    </cfRule>
  </conditionalFormatting>
  <conditionalFormatting sqref="K262">
    <cfRule type="expression" dxfId="1498" priority="2504">
      <formula>K263&gt;K262</formula>
    </cfRule>
  </conditionalFormatting>
  <conditionalFormatting sqref="M248">
    <cfRule type="expression" dxfId="1497" priority="2503">
      <formula>(M249+M250)&gt;M248</formula>
    </cfRule>
  </conditionalFormatting>
  <conditionalFormatting sqref="M250">
    <cfRule type="expression" dxfId="1496" priority="2502">
      <formula>M251&gt;M250</formula>
    </cfRule>
  </conditionalFormatting>
  <conditionalFormatting sqref="M254">
    <cfRule type="expression" dxfId="1495" priority="2501">
      <formula>M255&gt;M254</formula>
    </cfRule>
  </conditionalFormatting>
  <conditionalFormatting sqref="M258">
    <cfRule type="expression" dxfId="1494" priority="2500">
      <formula>M259&gt;M258</formula>
    </cfRule>
  </conditionalFormatting>
  <conditionalFormatting sqref="M262">
    <cfRule type="expression" dxfId="1493" priority="2499">
      <formula>M263&gt;M262</formula>
    </cfRule>
  </conditionalFormatting>
  <conditionalFormatting sqref="O248">
    <cfRule type="expression" dxfId="1492" priority="2498">
      <formula>(O249+O250)&gt;O248</formula>
    </cfRule>
  </conditionalFormatting>
  <conditionalFormatting sqref="O250">
    <cfRule type="expression" dxfId="1491" priority="2497">
      <formula>O251&gt;O250</formula>
    </cfRule>
  </conditionalFormatting>
  <conditionalFormatting sqref="O254">
    <cfRule type="expression" dxfId="1490" priority="2496">
      <formula>O255&gt;O254</formula>
    </cfRule>
  </conditionalFormatting>
  <conditionalFormatting sqref="O258">
    <cfRule type="expression" dxfId="1489" priority="2495">
      <formula>O259&gt;O258</formula>
    </cfRule>
  </conditionalFormatting>
  <conditionalFormatting sqref="O262">
    <cfRule type="expression" dxfId="1488" priority="2494">
      <formula>O263&gt;O262</formula>
    </cfRule>
  </conditionalFormatting>
  <conditionalFormatting sqref="Q248">
    <cfRule type="expression" dxfId="1487" priority="2493">
      <formula>(Q249+Q250)&gt;Q248</formula>
    </cfRule>
  </conditionalFormatting>
  <conditionalFormatting sqref="Q250">
    <cfRule type="expression" dxfId="1486" priority="2492">
      <formula>Q251&gt;Q250</formula>
    </cfRule>
  </conditionalFormatting>
  <conditionalFormatting sqref="Q254">
    <cfRule type="expression" dxfId="1485" priority="2491">
      <formula>Q255&gt;Q254</formula>
    </cfRule>
  </conditionalFormatting>
  <conditionalFormatting sqref="Q258">
    <cfRule type="expression" dxfId="1484" priority="2490">
      <formula>Q259&gt;Q258</formula>
    </cfRule>
  </conditionalFormatting>
  <conditionalFormatting sqref="Q262">
    <cfRule type="expression" dxfId="1483" priority="2489">
      <formula>Q263&gt;Q262</formula>
    </cfRule>
  </conditionalFormatting>
  <conditionalFormatting sqref="S248">
    <cfRule type="expression" dxfId="1482" priority="2488">
      <formula>(S249+S250)&gt;S248</formula>
    </cfRule>
  </conditionalFormatting>
  <conditionalFormatting sqref="S250">
    <cfRule type="expression" dxfId="1481" priority="2487">
      <formula>S251&gt;S250</formula>
    </cfRule>
  </conditionalFormatting>
  <conditionalFormatting sqref="S254">
    <cfRule type="expression" dxfId="1480" priority="2486">
      <formula>S255&gt;S254</formula>
    </cfRule>
  </conditionalFormatting>
  <conditionalFormatting sqref="S258">
    <cfRule type="expression" dxfId="1479" priority="2485">
      <formula>S259&gt;S258</formula>
    </cfRule>
  </conditionalFormatting>
  <conditionalFormatting sqref="S262">
    <cfRule type="expression" dxfId="1478" priority="2484">
      <formula>S263&gt;S262</formula>
    </cfRule>
  </conditionalFormatting>
  <conditionalFormatting sqref="U248">
    <cfRule type="expression" dxfId="1477" priority="2483">
      <formula>(U249+U250)&gt;U248</formula>
    </cfRule>
  </conditionalFormatting>
  <conditionalFormatting sqref="U250">
    <cfRule type="expression" dxfId="1476" priority="2482">
      <formula>U251&gt;U250</formula>
    </cfRule>
  </conditionalFormatting>
  <conditionalFormatting sqref="U254">
    <cfRule type="expression" dxfId="1475" priority="2481">
      <formula>U255&gt;U254</formula>
    </cfRule>
  </conditionalFormatting>
  <conditionalFormatting sqref="U258">
    <cfRule type="expression" dxfId="1474" priority="2480">
      <formula>U259&gt;U258</formula>
    </cfRule>
  </conditionalFormatting>
  <conditionalFormatting sqref="U262">
    <cfRule type="expression" dxfId="1473" priority="2479">
      <formula>U263&gt;U262</formula>
    </cfRule>
  </conditionalFormatting>
  <conditionalFormatting sqref="W248">
    <cfRule type="expression" dxfId="1472" priority="2478">
      <formula>(W249+W250)&gt;W248</formula>
    </cfRule>
  </conditionalFormatting>
  <conditionalFormatting sqref="W250">
    <cfRule type="expression" dxfId="1471" priority="2477">
      <formula>W251&gt;W250</formula>
    </cfRule>
  </conditionalFormatting>
  <conditionalFormatting sqref="W254">
    <cfRule type="expression" dxfId="1470" priority="2476">
      <formula>W255&gt;W254</formula>
    </cfRule>
  </conditionalFormatting>
  <conditionalFormatting sqref="W258">
    <cfRule type="expression" dxfId="1469" priority="2475">
      <formula>W259&gt;W258</formula>
    </cfRule>
  </conditionalFormatting>
  <conditionalFormatting sqref="W262">
    <cfRule type="expression" dxfId="1468" priority="2474">
      <formula>W263&gt;W262</formula>
    </cfRule>
  </conditionalFormatting>
  <conditionalFormatting sqref="Y248">
    <cfRule type="expression" dxfId="1467" priority="2473">
      <formula>(Y249+Y250)&gt;Y248</formula>
    </cfRule>
  </conditionalFormatting>
  <conditionalFormatting sqref="Y250">
    <cfRule type="expression" dxfId="1466" priority="2472">
      <formula>Y251&gt;Y250</formula>
    </cfRule>
  </conditionalFormatting>
  <conditionalFormatting sqref="Y254">
    <cfRule type="expression" dxfId="1465" priority="2471">
      <formula>Y255&gt;Y254</formula>
    </cfRule>
  </conditionalFormatting>
  <conditionalFormatting sqref="Y258">
    <cfRule type="expression" dxfId="1464" priority="2470">
      <formula>Y259&gt;Y258</formula>
    </cfRule>
  </conditionalFormatting>
  <conditionalFormatting sqref="Y262">
    <cfRule type="expression" dxfId="1463" priority="2469">
      <formula>Y263&gt;Y262</formula>
    </cfRule>
  </conditionalFormatting>
  <conditionalFormatting sqref="J268">
    <cfRule type="expression" dxfId="1462" priority="2468">
      <formula>J269&gt;J268</formula>
    </cfRule>
  </conditionalFormatting>
  <conditionalFormatting sqref="L268">
    <cfRule type="expression" dxfId="1461" priority="2467">
      <formula>L269&gt;L268</formula>
    </cfRule>
  </conditionalFormatting>
  <conditionalFormatting sqref="N268">
    <cfRule type="expression" dxfId="1460" priority="2466">
      <formula>N269&gt;N268</formula>
    </cfRule>
  </conditionalFormatting>
  <conditionalFormatting sqref="P268">
    <cfRule type="expression" dxfId="1459" priority="2465">
      <formula>P269&gt;P268</formula>
    </cfRule>
  </conditionalFormatting>
  <conditionalFormatting sqref="R268">
    <cfRule type="expression" dxfId="1458" priority="2464">
      <formula>R269&gt;R268</formula>
    </cfRule>
  </conditionalFormatting>
  <conditionalFormatting sqref="T268">
    <cfRule type="expression" dxfId="1457" priority="2463">
      <formula>T269&gt;T268</formula>
    </cfRule>
  </conditionalFormatting>
  <conditionalFormatting sqref="V268">
    <cfRule type="expression" dxfId="1456" priority="2462">
      <formula>V269&gt;V268</formula>
    </cfRule>
  </conditionalFormatting>
  <conditionalFormatting sqref="X268">
    <cfRule type="expression" dxfId="1455" priority="2461">
      <formula>X269&gt;X268</formula>
    </cfRule>
  </conditionalFormatting>
  <conditionalFormatting sqref="Z268">
    <cfRule type="expression" dxfId="1454" priority="2460">
      <formula>Z269&gt;Z268</formula>
    </cfRule>
  </conditionalFormatting>
  <conditionalFormatting sqref="K249">
    <cfRule type="expression" dxfId="1453" priority="2015">
      <formula>K249&gt;K248</formula>
    </cfRule>
    <cfRule type="expression" dxfId="1452" priority="2459">
      <formula>K282&gt;K249</formula>
    </cfRule>
  </conditionalFormatting>
  <conditionalFormatting sqref="M249">
    <cfRule type="expression" dxfId="1451" priority="2458">
      <formula>M282&gt;M249</formula>
    </cfRule>
  </conditionalFormatting>
  <conditionalFormatting sqref="O249">
    <cfRule type="expression" dxfId="1450" priority="2457">
      <formula>O282&gt;O249</formula>
    </cfRule>
  </conditionalFormatting>
  <conditionalFormatting sqref="Q249">
    <cfRule type="expression" dxfId="1449" priority="2456">
      <formula>Q282&gt;Q249</formula>
    </cfRule>
  </conditionalFormatting>
  <conditionalFormatting sqref="S249">
    <cfRule type="expression" dxfId="1448" priority="2455">
      <formula>S282&gt;S249</formula>
    </cfRule>
  </conditionalFormatting>
  <conditionalFormatting sqref="U249">
    <cfRule type="expression" dxfId="1447" priority="2454">
      <formula>U282&gt;U249</formula>
    </cfRule>
  </conditionalFormatting>
  <conditionalFormatting sqref="W249">
    <cfRule type="expression" dxfId="1446" priority="2453">
      <formula>W282&gt;W249</formula>
    </cfRule>
  </conditionalFormatting>
  <conditionalFormatting sqref="Y249">
    <cfRule type="expression" dxfId="1445" priority="2452">
      <formula>Y282&gt;Y249</formula>
    </cfRule>
  </conditionalFormatting>
  <conditionalFormatting sqref="K251 M251 O251 Q251 S251 U251 W251 Y251">
    <cfRule type="expression" dxfId="1444" priority="2451">
      <formula>K283&gt;K251</formula>
    </cfRule>
  </conditionalFormatting>
  <conditionalFormatting sqref="M248">
    <cfRule type="expression" dxfId="1443" priority="2447">
      <formula>(M249+M250)&gt;M248</formula>
    </cfRule>
  </conditionalFormatting>
  <conditionalFormatting sqref="M250">
    <cfRule type="expression" dxfId="1442" priority="2446">
      <formula>M251&gt;M250</formula>
    </cfRule>
  </conditionalFormatting>
  <conditionalFormatting sqref="M254">
    <cfRule type="expression" dxfId="1441" priority="2445">
      <formula>M255&gt;M254</formula>
    </cfRule>
  </conditionalFormatting>
  <conditionalFormatting sqref="M258">
    <cfRule type="expression" dxfId="1440" priority="2444">
      <formula>M259&gt;M258</formula>
    </cfRule>
  </conditionalFormatting>
  <conditionalFormatting sqref="M262">
    <cfRule type="expression" dxfId="1439" priority="2443">
      <formula>M263&gt;M262</formula>
    </cfRule>
  </conditionalFormatting>
  <conditionalFormatting sqref="M249">
    <cfRule type="expression" dxfId="1438" priority="2442">
      <formula>M282&gt;M249</formula>
    </cfRule>
  </conditionalFormatting>
  <conditionalFormatting sqref="K261 M261 O261 Q261 S261 U261 W261 Y261">
    <cfRule type="expression" dxfId="1437" priority="2440">
      <formula>K288&gt;K261</formula>
    </cfRule>
  </conditionalFormatting>
  <conditionalFormatting sqref="O248">
    <cfRule type="expression" dxfId="1436" priority="2438">
      <formula>(O249+O250)&gt;O248</formula>
    </cfRule>
  </conditionalFormatting>
  <conditionalFormatting sqref="O250">
    <cfRule type="expression" dxfId="1435" priority="2437">
      <formula>O251&gt;O250</formula>
    </cfRule>
  </conditionalFormatting>
  <conditionalFormatting sqref="O254">
    <cfRule type="expression" dxfId="1434" priority="2436">
      <formula>O255&gt;O254</formula>
    </cfRule>
  </conditionalFormatting>
  <conditionalFormatting sqref="O258">
    <cfRule type="expression" dxfId="1433" priority="2435">
      <formula>O259&gt;O258</formula>
    </cfRule>
  </conditionalFormatting>
  <conditionalFormatting sqref="O262">
    <cfRule type="expression" dxfId="1432" priority="2434">
      <formula>O263&gt;O262</formula>
    </cfRule>
  </conditionalFormatting>
  <conditionalFormatting sqref="O249">
    <cfRule type="expression" dxfId="1431" priority="2433">
      <formula>O282&gt;O249</formula>
    </cfRule>
  </conditionalFormatting>
  <conditionalFormatting sqref="Q248">
    <cfRule type="expression" dxfId="1430" priority="2429">
      <formula>(Q249+Q250)&gt;Q248</formula>
    </cfRule>
  </conditionalFormatting>
  <conditionalFormatting sqref="Q250">
    <cfRule type="expression" dxfId="1429" priority="2428">
      <formula>Q251&gt;Q250</formula>
    </cfRule>
  </conditionalFormatting>
  <conditionalFormatting sqref="Q254">
    <cfRule type="expression" dxfId="1428" priority="2427">
      <formula>Q255&gt;Q254</formula>
    </cfRule>
  </conditionalFormatting>
  <conditionalFormatting sqref="Q258">
    <cfRule type="expression" dxfId="1427" priority="2426">
      <formula>Q259&gt;Q258</formula>
    </cfRule>
  </conditionalFormatting>
  <conditionalFormatting sqref="Q262">
    <cfRule type="expression" dxfId="1426" priority="2425">
      <formula>Q263&gt;Q262</formula>
    </cfRule>
  </conditionalFormatting>
  <conditionalFormatting sqref="Q249">
    <cfRule type="expression" dxfId="1425" priority="2424">
      <formula>Q282&gt;Q249</formula>
    </cfRule>
  </conditionalFormatting>
  <conditionalFormatting sqref="S248">
    <cfRule type="expression" dxfId="1424" priority="2420">
      <formula>(S249+S250)&gt;S248</formula>
    </cfRule>
  </conditionalFormatting>
  <conditionalFormatting sqref="S250">
    <cfRule type="expression" dxfId="1423" priority="2419">
      <formula>S251&gt;S250</formula>
    </cfRule>
  </conditionalFormatting>
  <conditionalFormatting sqref="S254">
    <cfRule type="expression" dxfId="1422" priority="2418">
      <formula>S255&gt;S254</formula>
    </cfRule>
  </conditionalFormatting>
  <conditionalFormatting sqref="S258">
    <cfRule type="expression" dxfId="1421" priority="2417">
      <formula>S259&gt;S258</formula>
    </cfRule>
  </conditionalFormatting>
  <conditionalFormatting sqref="S262">
    <cfRule type="expression" dxfId="1420" priority="2416">
      <formula>S263&gt;S262</formula>
    </cfRule>
  </conditionalFormatting>
  <conditionalFormatting sqref="S249">
    <cfRule type="expression" dxfId="1419" priority="2415">
      <formula>S282&gt;S249</formula>
    </cfRule>
  </conditionalFormatting>
  <conditionalFormatting sqref="U248">
    <cfRule type="expression" dxfId="1418" priority="2411">
      <formula>(U249+U250)&gt;U248</formula>
    </cfRule>
  </conditionalFormatting>
  <conditionalFormatting sqref="U250">
    <cfRule type="expression" dxfId="1417" priority="2410">
      <formula>U251&gt;U250</formula>
    </cfRule>
  </conditionalFormatting>
  <conditionalFormatting sqref="U254">
    <cfRule type="expression" dxfId="1416" priority="2409">
      <formula>U255&gt;U254</formula>
    </cfRule>
  </conditionalFormatting>
  <conditionalFormatting sqref="U258">
    <cfRule type="expression" dxfId="1415" priority="2408">
      <formula>U259&gt;U258</formula>
    </cfRule>
  </conditionalFormatting>
  <conditionalFormatting sqref="U262">
    <cfRule type="expression" dxfId="1414" priority="2407">
      <formula>U263&gt;U262</formula>
    </cfRule>
  </conditionalFormatting>
  <conditionalFormatting sqref="U249">
    <cfRule type="expression" dxfId="1413" priority="2406">
      <formula>U282&gt;U249</formula>
    </cfRule>
  </conditionalFormatting>
  <conditionalFormatting sqref="W248">
    <cfRule type="expression" dxfId="1412" priority="2402">
      <formula>(W249+W250)&gt;W248</formula>
    </cfRule>
  </conditionalFormatting>
  <conditionalFormatting sqref="W250">
    <cfRule type="expression" dxfId="1411" priority="2401">
      <formula>W251&gt;W250</formula>
    </cfRule>
  </conditionalFormatting>
  <conditionalFormatting sqref="W254">
    <cfRule type="expression" dxfId="1410" priority="2400">
      <formula>W255&gt;W254</formula>
    </cfRule>
  </conditionalFormatting>
  <conditionalFormatting sqref="W258">
    <cfRule type="expression" dxfId="1409" priority="2399">
      <formula>W259&gt;W258</formula>
    </cfRule>
  </conditionalFormatting>
  <conditionalFormatting sqref="W262">
    <cfRule type="expression" dxfId="1408" priority="2398">
      <formula>W263&gt;W262</formula>
    </cfRule>
  </conditionalFormatting>
  <conditionalFormatting sqref="W249">
    <cfRule type="expression" dxfId="1407" priority="2397">
      <formula>W282&gt;W249</formula>
    </cfRule>
  </conditionalFormatting>
  <conditionalFormatting sqref="Y248">
    <cfRule type="expression" dxfId="1406" priority="2393">
      <formula>(Y249+Y250)&gt;Y248</formula>
    </cfRule>
  </conditionalFormatting>
  <conditionalFormatting sqref="Y250">
    <cfRule type="expression" dxfId="1405" priority="2392">
      <formula>Y251&gt;Y250</formula>
    </cfRule>
  </conditionalFormatting>
  <conditionalFormatting sqref="Y254">
    <cfRule type="expression" dxfId="1404" priority="2391">
      <formula>Y255&gt;Y254</formula>
    </cfRule>
  </conditionalFormatting>
  <conditionalFormatting sqref="Y258">
    <cfRule type="expression" dxfId="1403" priority="2390">
      <formula>Y259&gt;Y258</formula>
    </cfRule>
  </conditionalFormatting>
  <conditionalFormatting sqref="Y262">
    <cfRule type="expression" dxfId="1402" priority="2389">
      <formula>Y263&gt;Y262</formula>
    </cfRule>
  </conditionalFormatting>
  <conditionalFormatting sqref="Y249">
    <cfRule type="expression" dxfId="1401" priority="2388">
      <formula>Y282&gt;Y249</formula>
    </cfRule>
  </conditionalFormatting>
  <conditionalFormatting sqref="K292 M292 O292 Q292 S292 U292 W292 Y292">
    <cfRule type="expression" dxfId="1400" priority="2384">
      <formula>K292&gt;K309</formula>
    </cfRule>
  </conditionalFormatting>
  <conditionalFormatting sqref="D322:Y322 AB322:AG322">
    <cfRule type="expression" dxfId="1399" priority="2374">
      <formula>D322&lt;&gt;D309</formula>
    </cfRule>
  </conditionalFormatting>
  <conditionalFormatting sqref="F27:AA27">
    <cfRule type="expression" dxfId="1398" priority="2357">
      <formula>F28&gt;F27</formula>
    </cfRule>
  </conditionalFormatting>
  <conditionalFormatting sqref="F32:AA32">
    <cfRule type="expression" dxfId="1397" priority="2356">
      <formula>F33&gt;F32</formula>
    </cfRule>
  </conditionalFormatting>
  <conditionalFormatting sqref="F34:AA34">
    <cfRule type="expression" dxfId="1396" priority="2355">
      <formula>F35&gt;F34</formula>
    </cfRule>
  </conditionalFormatting>
  <conditionalFormatting sqref="F36">
    <cfRule type="expression" dxfId="1395" priority="2354">
      <formula>F37&gt;F36</formula>
    </cfRule>
  </conditionalFormatting>
  <conditionalFormatting sqref="G36">
    <cfRule type="expression" dxfId="1394" priority="2353">
      <formula>G37&gt;G36</formula>
    </cfRule>
  </conditionalFormatting>
  <conditionalFormatting sqref="F38:G38">
    <cfRule type="expression" dxfId="1393" priority="2352">
      <formula>F39&gt;F38</formula>
    </cfRule>
  </conditionalFormatting>
  <conditionalFormatting sqref="F40:AA40">
    <cfRule type="expression" dxfId="1392" priority="2351">
      <formula>F41&gt;F40</formula>
    </cfRule>
  </conditionalFormatting>
  <conditionalFormatting sqref="F42:AA42">
    <cfRule type="cellIs" dxfId="1391" priority="864" operator="equal">
      <formula>0</formula>
    </cfRule>
    <cfRule type="expression" dxfId="1390" priority="2350">
      <formula>F43&gt;F42</formula>
    </cfRule>
  </conditionalFormatting>
  <conditionalFormatting sqref="F44:AA44">
    <cfRule type="expression" dxfId="1389" priority="2349">
      <formula>F45&gt;F44</formula>
    </cfRule>
  </conditionalFormatting>
  <conditionalFormatting sqref="L46:AA46">
    <cfRule type="expression" dxfId="1388" priority="2348">
      <formula>L47&gt;L46</formula>
    </cfRule>
  </conditionalFormatting>
  <conditionalFormatting sqref="L48">
    <cfRule type="expression" dxfId="1387" priority="2347">
      <formula>L49&gt;L48</formula>
    </cfRule>
  </conditionalFormatting>
  <conditionalFormatting sqref="N48">
    <cfRule type="expression" dxfId="1386" priority="2346">
      <formula>N49&gt;N48</formula>
    </cfRule>
  </conditionalFormatting>
  <conditionalFormatting sqref="P48">
    <cfRule type="expression" dxfId="1385" priority="2345">
      <formula>P49&gt;P48</formula>
    </cfRule>
  </conditionalFormatting>
  <conditionalFormatting sqref="R48">
    <cfRule type="expression" dxfId="1384" priority="2344">
      <formula>R49&gt;R48</formula>
    </cfRule>
  </conditionalFormatting>
  <conditionalFormatting sqref="T48">
    <cfRule type="expression" dxfId="1383" priority="2343">
      <formula>T49&gt;T48</formula>
    </cfRule>
  </conditionalFormatting>
  <conditionalFormatting sqref="V48">
    <cfRule type="expression" dxfId="1382" priority="2342">
      <formula>V49&gt;V48</formula>
    </cfRule>
  </conditionalFormatting>
  <conditionalFormatting sqref="X48">
    <cfRule type="expression" dxfId="1381" priority="2341">
      <formula>X49&gt;X48</formula>
    </cfRule>
  </conditionalFormatting>
  <conditionalFormatting sqref="Z48">
    <cfRule type="expression" dxfId="1380" priority="2340">
      <formula>Z49&gt;Z48</formula>
    </cfRule>
  </conditionalFormatting>
  <conditionalFormatting sqref="AK10 AK13 AK17:AK18">
    <cfRule type="notContainsBlanks" dxfId="1379" priority="2338">
      <formula>LEN(TRIM(AK10))&gt;0</formula>
    </cfRule>
  </conditionalFormatting>
  <conditionalFormatting sqref="AM8:AN8 AM9:AM18">
    <cfRule type="notContainsBlanks" dxfId="1378" priority="2337">
      <formula>LEN(TRIM(AM8))&gt;0</formula>
    </cfRule>
  </conditionalFormatting>
  <conditionalFormatting sqref="AL8">
    <cfRule type="notContainsBlanks" dxfId="1377" priority="2806">
      <formula>LEN(TRIM(AL8))&gt;0</formula>
    </cfRule>
  </conditionalFormatting>
  <conditionalFormatting sqref="Y252">
    <cfRule type="cellIs" dxfId="1376" priority="2325" operator="equal">
      <formula>0</formula>
    </cfRule>
  </conditionalFormatting>
  <conditionalFormatting sqref="W252">
    <cfRule type="cellIs" dxfId="1375" priority="2324" operator="equal">
      <formula>0</formula>
    </cfRule>
  </conditionalFormatting>
  <conditionalFormatting sqref="U252">
    <cfRule type="cellIs" dxfId="1374" priority="2323" operator="equal">
      <formula>0</formula>
    </cfRule>
  </conditionalFormatting>
  <conditionalFormatting sqref="S252">
    <cfRule type="cellIs" dxfId="1373" priority="2322" operator="equal">
      <formula>0</formula>
    </cfRule>
  </conditionalFormatting>
  <conditionalFormatting sqref="Q252">
    <cfRule type="cellIs" dxfId="1372" priority="2321" operator="equal">
      <formula>0</formula>
    </cfRule>
  </conditionalFormatting>
  <conditionalFormatting sqref="O252">
    <cfRule type="cellIs" dxfId="1371" priority="2320" operator="equal">
      <formula>0</formula>
    </cfRule>
  </conditionalFormatting>
  <conditionalFormatting sqref="M252">
    <cfRule type="cellIs" dxfId="1370" priority="2319" operator="equal">
      <formula>0</formula>
    </cfRule>
  </conditionalFormatting>
  <conditionalFormatting sqref="K252">
    <cfRule type="cellIs" dxfId="1369" priority="2318" operator="equal">
      <formula>0</formula>
    </cfRule>
  </conditionalFormatting>
  <conditionalFormatting sqref="B252">
    <cfRule type="cellIs" dxfId="1368" priority="2317" operator="equal">
      <formula>0</formula>
    </cfRule>
  </conditionalFormatting>
  <conditionalFormatting sqref="B253">
    <cfRule type="cellIs" dxfId="1367" priority="2316" operator="equal">
      <formula>0</formula>
    </cfRule>
  </conditionalFormatting>
  <conditionalFormatting sqref="K253">
    <cfRule type="cellIs" dxfId="1366" priority="2308" operator="equal">
      <formula>0</formula>
    </cfRule>
  </conditionalFormatting>
  <conditionalFormatting sqref="M253">
    <cfRule type="cellIs" dxfId="1365" priority="2307" operator="equal">
      <formula>0</formula>
    </cfRule>
  </conditionalFormatting>
  <conditionalFormatting sqref="O253">
    <cfRule type="cellIs" dxfId="1364" priority="2306" operator="equal">
      <formula>0</formula>
    </cfRule>
  </conditionalFormatting>
  <conditionalFormatting sqref="Q253">
    <cfRule type="cellIs" dxfId="1363" priority="2305" operator="equal">
      <formula>0</formula>
    </cfRule>
  </conditionalFormatting>
  <conditionalFormatting sqref="S253">
    <cfRule type="cellIs" dxfId="1362" priority="2304" operator="equal">
      <formula>0</formula>
    </cfRule>
  </conditionalFormatting>
  <conditionalFormatting sqref="U253">
    <cfRule type="cellIs" dxfId="1361" priority="2303" operator="equal">
      <formula>0</formula>
    </cfRule>
  </conditionalFormatting>
  <conditionalFormatting sqref="W253">
    <cfRule type="cellIs" dxfId="1360" priority="2302" operator="equal">
      <formula>0</formula>
    </cfRule>
  </conditionalFormatting>
  <conditionalFormatting sqref="Y253">
    <cfRule type="cellIs" dxfId="1359" priority="2301" operator="equal">
      <formula>0</formula>
    </cfRule>
  </conditionalFormatting>
  <conditionalFormatting sqref="K266">
    <cfRule type="expression" dxfId="1358" priority="2642">
      <formula>K292&gt;K266</formula>
    </cfRule>
  </conditionalFormatting>
  <conditionalFormatting sqref="K263">
    <cfRule type="expression" dxfId="1357" priority="1200">
      <formula>K295&gt;K265+K263</formula>
    </cfRule>
    <cfRule type="expression" dxfId="1356" priority="2643">
      <formula>K289&gt;K263</formula>
    </cfRule>
  </conditionalFormatting>
  <conditionalFormatting sqref="M252 O252 Q252 S252 U252 W252 Y252 K252">
    <cfRule type="expression" dxfId="1355" priority="2644">
      <formula>K287&gt;K252</formula>
    </cfRule>
  </conditionalFormatting>
  <conditionalFormatting sqref="K284">
    <cfRule type="cellIs" dxfId="1354" priority="2300" operator="equal">
      <formula>0</formula>
    </cfRule>
  </conditionalFormatting>
  <conditionalFormatting sqref="O284">
    <cfRule type="cellIs" dxfId="1353" priority="2291" operator="equal">
      <formula>0</formula>
    </cfRule>
  </conditionalFormatting>
  <conditionalFormatting sqref="M284">
    <cfRule type="cellIs" dxfId="1352" priority="2292" operator="equal">
      <formula>0</formula>
    </cfRule>
  </conditionalFormatting>
  <conditionalFormatting sqref="Q284">
    <cfRule type="cellIs" dxfId="1351" priority="2290" operator="equal">
      <formula>0</formula>
    </cfRule>
  </conditionalFormatting>
  <conditionalFormatting sqref="S284">
    <cfRule type="cellIs" dxfId="1350" priority="2289" operator="equal">
      <formula>0</formula>
    </cfRule>
  </conditionalFormatting>
  <conditionalFormatting sqref="U284">
    <cfRule type="cellIs" dxfId="1349" priority="2288" operator="equal">
      <formula>0</formula>
    </cfRule>
  </conditionalFormatting>
  <conditionalFormatting sqref="W284">
    <cfRule type="cellIs" dxfId="1348" priority="2287" operator="equal">
      <formula>0</formula>
    </cfRule>
  </conditionalFormatting>
  <conditionalFormatting sqref="Y284">
    <cfRule type="cellIs" dxfId="1347" priority="2286" operator="equal">
      <formula>0</formula>
    </cfRule>
  </conditionalFormatting>
  <conditionalFormatting sqref="B284">
    <cfRule type="cellIs" dxfId="1346" priority="2285" operator="equal">
      <formula>0</formula>
    </cfRule>
  </conditionalFormatting>
  <conditionalFormatting sqref="B272">
    <cfRule type="cellIs" dxfId="1345" priority="2284" operator="equal">
      <formula>0</formula>
    </cfRule>
  </conditionalFormatting>
  <conditionalFormatting sqref="B275">
    <cfRule type="cellIs" dxfId="1344" priority="2271" operator="equal">
      <formula>0</formula>
    </cfRule>
  </conditionalFormatting>
  <conditionalFormatting sqref="AK278">
    <cfRule type="notContainsBlanks" dxfId="1343" priority="2261">
      <formula>LEN(TRIM(AK278))&gt;0</formula>
    </cfRule>
  </conditionalFormatting>
  <conditionalFormatting sqref="AM278">
    <cfRule type="notContainsBlanks" dxfId="1342" priority="2260">
      <formula>LEN(TRIM(AM278))&gt;0</formula>
    </cfRule>
  </conditionalFormatting>
  <conditionalFormatting sqref="AJ278">
    <cfRule type="cellIs" dxfId="1341" priority="2259" operator="equal">
      <formula>0</formula>
    </cfRule>
  </conditionalFormatting>
  <conditionalFormatting sqref="B278">
    <cfRule type="cellIs" dxfId="1340" priority="2248" operator="equal">
      <formula>0</formula>
    </cfRule>
  </conditionalFormatting>
  <conditionalFormatting sqref="AK230">
    <cfRule type="notContainsBlanks" dxfId="1339" priority="2247">
      <formula>LEN(TRIM(AK230))&gt;0</formula>
    </cfRule>
  </conditionalFormatting>
  <conditionalFormatting sqref="AM230:AN230">
    <cfRule type="notContainsBlanks" dxfId="1338" priority="2246">
      <formula>LEN(TRIM(AM230))&gt;0</formula>
    </cfRule>
  </conditionalFormatting>
  <conditionalFormatting sqref="AL230">
    <cfRule type="notContainsBlanks" dxfId="1337" priority="2807">
      <formula>LEN(TRIM(AL230))&gt;0</formula>
    </cfRule>
  </conditionalFormatting>
  <conditionalFormatting sqref="AJ230">
    <cfRule type="cellIs" dxfId="1336" priority="2243" operator="equal">
      <formula>0</formula>
    </cfRule>
  </conditionalFormatting>
  <conditionalFormatting sqref="AK195:AK196 AK198 AK200:AK202">
    <cfRule type="notContainsBlanks" dxfId="1335" priority="2241">
      <formula>LEN(TRIM(AK195))&gt;0</formula>
    </cfRule>
  </conditionalFormatting>
  <conditionalFormatting sqref="AM195:AN202">
    <cfRule type="notContainsBlanks" dxfId="1334" priority="2240">
      <formula>LEN(TRIM(AM195))&gt;0</formula>
    </cfRule>
  </conditionalFormatting>
  <conditionalFormatting sqref="AJ195:AJ202">
    <cfRule type="cellIs" dxfId="1333" priority="2237" operator="equal">
      <formula>0</formula>
    </cfRule>
  </conditionalFormatting>
  <conditionalFormatting sqref="D194:AG194 AJ194">
    <cfRule type="cellIs" dxfId="1332" priority="2235" operator="equal">
      <formula>0</formula>
    </cfRule>
  </conditionalFormatting>
  <conditionalFormatting sqref="AM369 AM375:AM376">
    <cfRule type="notContainsBlanks" dxfId="1331" priority="2231">
      <formula>LEN(TRIM(AM369))&gt;0</formula>
    </cfRule>
  </conditionalFormatting>
  <conditionalFormatting sqref="AJ369">
    <cfRule type="cellIs" dxfId="1330" priority="2230" operator="equal">
      <formula>0</formula>
    </cfRule>
  </conditionalFormatting>
  <conditionalFormatting sqref="AK376">
    <cfRule type="notContainsBlanks" dxfId="1329" priority="2232">
      <formula>LEN(TRIM(AK376))&gt;0</formula>
    </cfRule>
  </conditionalFormatting>
  <conditionalFormatting sqref="AK370:AK372">
    <cfRule type="notContainsBlanks" dxfId="1328" priority="2229">
      <formula>LEN(TRIM(AK370))&gt;0</formula>
    </cfRule>
  </conditionalFormatting>
  <conditionalFormatting sqref="AM370:AM374">
    <cfRule type="notContainsBlanks" dxfId="1327" priority="2226">
      <formula>LEN(TRIM(AM370))&gt;0</formula>
    </cfRule>
  </conditionalFormatting>
  <conditionalFormatting sqref="F373:AA373 D370:AA370">
    <cfRule type="cellIs" dxfId="1326" priority="2224" operator="equal">
      <formula>0</formula>
    </cfRule>
  </conditionalFormatting>
  <conditionalFormatting sqref="AJ370:AJ379">
    <cfRule type="cellIs" dxfId="1325" priority="2223" operator="equal">
      <formula>0</formula>
    </cfRule>
  </conditionalFormatting>
  <conditionalFormatting sqref="B372">
    <cfRule type="cellIs" dxfId="1324" priority="2219" operator="equal">
      <formula>0</formula>
    </cfRule>
  </conditionalFormatting>
  <conditionalFormatting sqref="B374">
    <cfRule type="cellIs" dxfId="1323" priority="2218" operator="equal">
      <formula>0</formula>
    </cfRule>
  </conditionalFormatting>
  <conditionalFormatting sqref="F372:AA372">
    <cfRule type="cellIs" dxfId="1322" priority="2217" operator="equal">
      <formula>0</formula>
    </cfRule>
  </conditionalFormatting>
  <conditionalFormatting sqref="F374:AA374">
    <cfRule type="cellIs" dxfId="1321" priority="2215" operator="equal">
      <formula>0</formula>
    </cfRule>
  </conditionalFormatting>
  <conditionalFormatting sqref="AM378">
    <cfRule type="notContainsBlanks" dxfId="1320" priority="2213">
      <formula>LEN(TRIM(AM378))&gt;0</formula>
    </cfRule>
  </conditionalFormatting>
  <conditionalFormatting sqref="AM379">
    <cfRule type="notContainsBlanks" dxfId="1319" priority="2209">
      <formula>LEN(TRIM(AM379))&gt;0</formula>
    </cfRule>
  </conditionalFormatting>
  <conditionalFormatting sqref="F376:AA376">
    <cfRule type="cellIs" dxfId="1318" priority="2206" operator="equal">
      <formula>0</formula>
    </cfRule>
  </conditionalFormatting>
  <conditionalFormatting sqref="B376">
    <cfRule type="cellIs" dxfId="1317" priority="2205" operator="equal">
      <formula>0</formula>
    </cfRule>
  </conditionalFormatting>
  <conditionalFormatting sqref="B379">
    <cfRule type="cellIs" dxfId="1316" priority="2204" operator="equal">
      <formula>0</formula>
    </cfRule>
  </conditionalFormatting>
  <conditionalFormatting sqref="F379:AA379">
    <cfRule type="cellIs" dxfId="1315" priority="2203" operator="equal">
      <formula>0</formula>
    </cfRule>
  </conditionalFormatting>
  <conditionalFormatting sqref="J115:AA115">
    <cfRule type="expression" dxfId="1314" priority="2662">
      <formula>J115&gt;J112</formula>
    </cfRule>
  </conditionalFormatting>
  <conditionalFormatting sqref="D329:AA329">
    <cfRule type="expression" dxfId="1313" priority="2665">
      <formula>D329&gt;D309</formula>
    </cfRule>
  </conditionalFormatting>
  <conditionalFormatting sqref="D329:AA329">
    <cfRule type="expression" dxfId="1312" priority="2667">
      <formula>(D309*0.7)&gt;D329</formula>
    </cfRule>
  </conditionalFormatting>
  <conditionalFormatting sqref="D308:Y308 AB308:AG308">
    <cfRule type="cellIs" dxfId="1311" priority="2200" operator="equal">
      <formula>0</formula>
    </cfRule>
  </conditionalFormatting>
  <conditionalFormatting sqref="AJ308">
    <cfRule type="cellIs" dxfId="1310" priority="2199" operator="equal">
      <formula>0</formula>
    </cfRule>
  </conditionalFormatting>
  <conditionalFormatting sqref="D299:AA299">
    <cfRule type="cellIs" dxfId="1309" priority="2196" operator="equal">
      <formula>0</formula>
    </cfRule>
  </conditionalFormatting>
  <conditionalFormatting sqref="D299:AA299">
    <cfRule type="cellIs" dxfId="1308" priority="2195" operator="equal">
      <formula>0</formula>
    </cfRule>
  </conditionalFormatting>
  <conditionalFormatting sqref="J128:AA128">
    <cfRule type="cellIs" dxfId="1307" priority="2191" operator="equal">
      <formula>0</formula>
    </cfRule>
  </conditionalFormatting>
  <conditionalFormatting sqref="B128">
    <cfRule type="cellIs" dxfId="1306" priority="2194" operator="equal">
      <formula>0</formula>
    </cfRule>
  </conditionalFormatting>
  <conditionalFormatting sqref="J128:AA128">
    <cfRule type="cellIs" dxfId="1305" priority="2192" operator="equal">
      <formula>0</formula>
    </cfRule>
  </conditionalFormatting>
  <conditionalFormatting sqref="J128:AA128">
    <cfRule type="expression" dxfId="1304" priority="2193">
      <formula>J163&gt;J128</formula>
    </cfRule>
  </conditionalFormatting>
  <conditionalFormatting sqref="B116">
    <cfRule type="cellIs" dxfId="1303" priority="2190" operator="equal">
      <formula>0</formula>
    </cfRule>
  </conditionalFormatting>
  <conditionalFormatting sqref="J116:AA116">
    <cfRule type="cellIs" dxfId="1302" priority="2187" operator="equal">
      <formula>0</formula>
    </cfRule>
  </conditionalFormatting>
  <conditionalFormatting sqref="J116:AA116">
    <cfRule type="cellIs" dxfId="1301" priority="2188" operator="equal">
      <formula>0</formula>
    </cfRule>
  </conditionalFormatting>
  <conditionalFormatting sqref="J116:AA116">
    <cfRule type="expression" dxfId="1300" priority="2189">
      <formula>J152&gt;J116</formula>
    </cfRule>
  </conditionalFormatting>
  <conditionalFormatting sqref="AK326">
    <cfRule type="notContainsBlanks" dxfId="1299" priority="2155">
      <formula>LEN(TRIM(AK326))&gt;0</formula>
    </cfRule>
  </conditionalFormatting>
  <conditionalFormatting sqref="AM326">
    <cfRule type="notContainsBlanks" dxfId="1298" priority="2154">
      <formula>LEN(TRIM(AM326))&gt;0</formula>
    </cfRule>
  </conditionalFormatting>
  <conditionalFormatting sqref="AK325:AK326">
    <cfRule type="notContainsBlanks" dxfId="1297" priority="2151">
      <formula>LEN(TRIM(AK325))&gt;0</formula>
    </cfRule>
  </conditionalFormatting>
  <conditionalFormatting sqref="AM324:AM326">
    <cfRule type="notContainsBlanks" dxfId="1296" priority="2150">
      <formula>LEN(TRIM(AM324))&gt;0</formula>
    </cfRule>
  </conditionalFormatting>
  <conditionalFormatting sqref="AM337">
    <cfRule type="notContainsBlanks" dxfId="1295" priority="2138">
      <formula>LEN(TRIM(AM337))&gt;0</formula>
    </cfRule>
  </conditionalFormatting>
  <conditionalFormatting sqref="AJ337">
    <cfRule type="cellIs" dxfId="1294" priority="2137" operator="equal">
      <formula>0</formula>
    </cfRule>
  </conditionalFormatting>
  <conditionalFormatting sqref="AM334">
    <cfRule type="notContainsBlanks" dxfId="1293" priority="2142">
      <formula>LEN(TRIM(AM334))&gt;0</formula>
    </cfRule>
  </conditionalFormatting>
  <conditionalFormatting sqref="AK336 AK338">
    <cfRule type="notContainsBlanks" dxfId="1292" priority="2135">
      <formula>LEN(TRIM(AK336))&gt;0</formula>
    </cfRule>
  </conditionalFormatting>
  <conditionalFormatting sqref="AM336:AM338">
    <cfRule type="notContainsBlanks" dxfId="1291" priority="2134">
      <formula>LEN(TRIM(AM336))&gt;0</formula>
    </cfRule>
  </conditionalFormatting>
  <conditionalFormatting sqref="AJ336:AJ337">
    <cfRule type="cellIs" dxfId="1290" priority="2133" operator="equal">
      <formula>0</formula>
    </cfRule>
  </conditionalFormatting>
  <conditionalFormatting sqref="D326:AA326">
    <cfRule type="cellIs" dxfId="1289" priority="2129" operator="equal">
      <formula>0</formula>
    </cfRule>
  </conditionalFormatting>
  <conditionalFormatting sqref="D326:AA326">
    <cfRule type="cellIs" dxfId="1288" priority="2128" operator="equal">
      <formula>0</formula>
    </cfRule>
  </conditionalFormatting>
  <conditionalFormatting sqref="D326:AA326">
    <cfRule type="cellIs" dxfId="1287" priority="2127" operator="equal">
      <formula>0</formula>
    </cfRule>
  </conditionalFormatting>
  <conditionalFormatting sqref="AK327:AK332">
    <cfRule type="notContainsBlanks" dxfId="1286" priority="2123">
      <formula>LEN(TRIM(AK327))&gt;0</formula>
    </cfRule>
  </conditionalFormatting>
  <conditionalFormatting sqref="AM327:AM333">
    <cfRule type="notContainsBlanks" dxfId="1285" priority="2122">
      <formula>LEN(TRIM(AM327))&gt;0</formula>
    </cfRule>
  </conditionalFormatting>
  <conditionalFormatting sqref="AK335">
    <cfRule type="notContainsBlanks" dxfId="1284" priority="2114">
      <formula>LEN(TRIM(AK335))&gt;0</formula>
    </cfRule>
  </conditionalFormatting>
  <conditionalFormatting sqref="AM335">
    <cfRule type="notContainsBlanks" dxfId="1283" priority="2113">
      <formula>LEN(TRIM(AM335))&gt;0</formula>
    </cfRule>
  </conditionalFormatting>
  <conditionalFormatting sqref="AJ335">
    <cfRule type="cellIs" dxfId="1282" priority="2112" operator="equal">
      <formula>0</formula>
    </cfRule>
  </conditionalFormatting>
  <conditionalFormatting sqref="D337:AA337">
    <cfRule type="cellIs" dxfId="1281" priority="2110" operator="equal">
      <formula>0</formula>
    </cfRule>
  </conditionalFormatting>
  <conditionalFormatting sqref="D337:AA337">
    <cfRule type="cellIs" dxfId="1280" priority="2109" operator="equal">
      <formula>0</formula>
    </cfRule>
  </conditionalFormatting>
  <conditionalFormatting sqref="D337:AA337">
    <cfRule type="cellIs" dxfId="1279" priority="2108" operator="equal">
      <formula>0</formula>
    </cfRule>
  </conditionalFormatting>
  <conditionalFormatting sqref="AK339">
    <cfRule type="notContainsBlanks" dxfId="1278" priority="2103">
      <formula>LEN(TRIM(AK339))&gt;0</formula>
    </cfRule>
  </conditionalFormatting>
  <conditionalFormatting sqref="AM339">
    <cfRule type="notContainsBlanks" dxfId="1277" priority="2102">
      <formula>LEN(TRIM(AM339))&gt;0</formula>
    </cfRule>
  </conditionalFormatting>
  <conditionalFormatting sqref="D339:AG339">
    <cfRule type="cellIs" dxfId="1276" priority="2101" operator="equal">
      <formula>0</formula>
    </cfRule>
  </conditionalFormatting>
  <conditionalFormatting sqref="AJ339">
    <cfRule type="cellIs" dxfId="1275" priority="2100" operator="equal">
      <formula>0</formula>
    </cfRule>
  </conditionalFormatting>
  <conditionalFormatting sqref="D339:AG339">
    <cfRule type="cellIs" dxfId="1274" priority="2099" operator="equal">
      <formula>0</formula>
    </cfRule>
  </conditionalFormatting>
  <conditionalFormatting sqref="AK340">
    <cfRule type="notContainsBlanks" dxfId="1273" priority="2097">
      <formula>LEN(TRIM(AK340))&gt;0</formula>
    </cfRule>
  </conditionalFormatting>
  <conditionalFormatting sqref="AM340">
    <cfRule type="notContainsBlanks" dxfId="1272" priority="2096">
      <formula>LEN(TRIM(AM340))&gt;0</formula>
    </cfRule>
  </conditionalFormatting>
  <conditionalFormatting sqref="AJ340:AJ345">
    <cfRule type="cellIs" dxfId="1271" priority="2095" operator="equal">
      <formula>0</formula>
    </cfRule>
  </conditionalFormatting>
  <conditionalFormatting sqref="AK345">
    <cfRule type="notContainsBlanks" dxfId="1270" priority="2087">
      <formula>LEN(TRIM(AK345))&gt;0</formula>
    </cfRule>
  </conditionalFormatting>
  <conditionalFormatting sqref="AM345">
    <cfRule type="notContainsBlanks" dxfId="1269" priority="2086">
      <formula>LEN(TRIM(AM345))&gt;0</formula>
    </cfRule>
  </conditionalFormatting>
  <conditionalFormatting sqref="AK344">
    <cfRule type="notContainsBlanks" dxfId="1268" priority="2090">
      <formula>LEN(TRIM(AK344))&gt;0</formula>
    </cfRule>
  </conditionalFormatting>
  <conditionalFormatting sqref="AM344">
    <cfRule type="notContainsBlanks" dxfId="1267" priority="2089">
      <formula>LEN(TRIM(AM344))&gt;0</formula>
    </cfRule>
  </conditionalFormatting>
  <conditionalFormatting sqref="D338:AG338 AJ338">
    <cfRule type="cellIs" dxfId="1266" priority="2059" operator="equal">
      <formula>0</formula>
    </cfRule>
  </conditionalFormatting>
  <conditionalFormatting sqref="D338:AG338 AJ338">
    <cfRule type="cellIs" dxfId="1265" priority="2058" operator="equal">
      <formula>0</formula>
    </cfRule>
  </conditionalFormatting>
  <conditionalFormatting sqref="D338:AG338 AJ338">
    <cfRule type="cellIs" dxfId="1264" priority="2057" operator="equal">
      <formula>0</formula>
    </cfRule>
  </conditionalFormatting>
  <conditionalFormatting sqref="AK8">
    <cfRule type="notContainsBlanks" dxfId="1263" priority="2050">
      <formula>LEN(TRIM(AK8))&gt;0</formula>
    </cfRule>
  </conditionalFormatting>
  <conditionalFormatting sqref="AK9">
    <cfRule type="notContainsBlanks" dxfId="1262" priority="2049">
      <formula>LEN(TRIM(AK9))&gt;0</formula>
    </cfRule>
  </conditionalFormatting>
  <conditionalFormatting sqref="J112:AA112">
    <cfRule type="expression" dxfId="1261" priority="2048">
      <formula>J115&gt;J112</formula>
    </cfRule>
  </conditionalFormatting>
  <conditionalFormatting sqref="J114:AA114">
    <cfRule type="expression" dxfId="1260" priority="2047">
      <formula>J114&gt;J113</formula>
    </cfRule>
  </conditionalFormatting>
  <conditionalFormatting sqref="J113:AA113">
    <cfRule type="expression" dxfId="1259" priority="2046">
      <formula>J114&gt;J113</formula>
    </cfRule>
  </conditionalFormatting>
  <conditionalFormatting sqref="AK113">
    <cfRule type="notContainsBlanks" dxfId="1258" priority="2045">
      <formula>LEN(TRIM(AK113))&gt;0</formula>
    </cfRule>
  </conditionalFormatting>
  <conditionalFormatting sqref="AK128">
    <cfRule type="notContainsBlanks" dxfId="1257" priority="2042">
      <formula>LEN(TRIM(AK128))&gt;0</formula>
    </cfRule>
  </conditionalFormatting>
  <conditionalFormatting sqref="J115:AA115">
    <cfRule type="expression" dxfId="1256" priority="2041">
      <formula>J116&gt;J115</formula>
    </cfRule>
  </conditionalFormatting>
  <conditionalFormatting sqref="D309:Y309 AB309:AG309 AJ309">
    <cfRule type="expression" dxfId="1255" priority="2040">
      <formula>D308&gt;D309</formula>
    </cfRule>
  </conditionalFormatting>
  <conditionalFormatting sqref="AK126:AK127">
    <cfRule type="notContainsBlanks" dxfId="1254" priority="2038">
      <formula>LEN(TRIM(AK126))&gt;0</formula>
    </cfRule>
  </conditionalFormatting>
  <conditionalFormatting sqref="J128:AA128">
    <cfRule type="expression" dxfId="1253" priority="2034">
      <formula>J123&gt;J128</formula>
    </cfRule>
  </conditionalFormatting>
  <conditionalFormatting sqref="AK123">
    <cfRule type="notContainsBlanks" dxfId="1252" priority="2033">
      <formula>LEN(TRIM(AK123))&gt;0</formula>
    </cfRule>
  </conditionalFormatting>
  <conditionalFormatting sqref="J136:AA136">
    <cfRule type="expression" dxfId="1251" priority="2032">
      <formula>J136&gt;J135</formula>
    </cfRule>
  </conditionalFormatting>
  <conditionalFormatting sqref="J135:AA135">
    <cfRule type="expression" dxfId="1250" priority="2031">
      <formula>J136&gt;J135</formula>
    </cfRule>
  </conditionalFormatting>
  <conditionalFormatting sqref="J135:AA135">
    <cfRule type="expression" dxfId="1249" priority="2030">
      <formula>(J135+J136+J137)&gt;J128</formula>
    </cfRule>
  </conditionalFormatting>
  <conditionalFormatting sqref="J128:AA128">
    <cfRule type="expression" dxfId="1248" priority="2029">
      <formula>(J135+J136+J137)&gt;J128</formula>
    </cfRule>
  </conditionalFormatting>
  <conditionalFormatting sqref="J137:AA138">
    <cfRule type="expression" dxfId="1247" priority="2028">
      <formula>(J135+J136+J137)&gt;J128</formula>
    </cfRule>
  </conditionalFormatting>
  <conditionalFormatting sqref="D154:AA154 J381:AG381">
    <cfRule type="expression" dxfId="1246" priority="2027">
      <formula>D154&gt;D152</formula>
    </cfRule>
  </conditionalFormatting>
  <conditionalFormatting sqref="D155:AA155">
    <cfRule type="expression" dxfId="1245" priority="2026">
      <formula>D155&gt;D153</formula>
    </cfRule>
  </conditionalFormatting>
  <conditionalFormatting sqref="M248">
    <cfRule type="expression" dxfId="1244" priority="2021">
      <formula>(M249+M250)&gt;M248</formula>
    </cfRule>
  </conditionalFormatting>
  <conditionalFormatting sqref="O248">
    <cfRule type="expression" dxfId="1243" priority="2020">
      <formula>(O249+O250)&gt;O248</formula>
    </cfRule>
  </conditionalFormatting>
  <conditionalFormatting sqref="Q248">
    <cfRule type="expression" dxfId="1242" priority="2019">
      <formula>(Q249+Q250)&gt;Q248</formula>
    </cfRule>
  </conditionalFormatting>
  <conditionalFormatting sqref="U248">
    <cfRule type="expression" dxfId="1241" priority="2018">
      <formula>(U249+U250)&gt;U248</formula>
    </cfRule>
  </conditionalFormatting>
  <conditionalFormatting sqref="W248">
    <cfRule type="expression" dxfId="1240" priority="2017">
      <formula>(W249+W250)&gt;W248</formula>
    </cfRule>
  </conditionalFormatting>
  <conditionalFormatting sqref="Y248">
    <cfRule type="expression" dxfId="1239" priority="2016">
      <formula>(Y249+Y250)&gt;Y248</formula>
    </cfRule>
  </conditionalFormatting>
  <conditionalFormatting sqref="M249">
    <cfRule type="expression" dxfId="1238" priority="2013">
      <formula>M249&gt;M248</formula>
    </cfRule>
    <cfRule type="expression" dxfId="1237" priority="2014">
      <formula>M282&gt;M249</formula>
    </cfRule>
  </conditionalFormatting>
  <conditionalFormatting sqref="O249">
    <cfRule type="expression" dxfId="1236" priority="2011">
      <formula>O249&gt;O248</formula>
    </cfRule>
    <cfRule type="expression" dxfId="1235" priority="2012">
      <formula>O282&gt;O249</formula>
    </cfRule>
  </conditionalFormatting>
  <conditionalFormatting sqref="Q249">
    <cfRule type="expression" dxfId="1234" priority="2009">
      <formula>Q249&gt;Q248</formula>
    </cfRule>
    <cfRule type="expression" dxfId="1233" priority="2010">
      <formula>Q282&gt;Q249</formula>
    </cfRule>
  </conditionalFormatting>
  <conditionalFormatting sqref="S249">
    <cfRule type="expression" dxfId="1232" priority="2007">
      <formula>S249&gt;S248</formula>
    </cfRule>
    <cfRule type="expression" dxfId="1231" priority="2008">
      <formula>S282&gt;S249</formula>
    </cfRule>
  </conditionalFormatting>
  <conditionalFormatting sqref="U249">
    <cfRule type="expression" dxfId="1230" priority="2005">
      <formula>U249&gt;U248</formula>
    </cfRule>
    <cfRule type="expression" dxfId="1229" priority="2006">
      <formula>U282&gt;U249</formula>
    </cfRule>
  </conditionalFormatting>
  <conditionalFormatting sqref="W249">
    <cfRule type="expression" dxfId="1228" priority="2003">
      <formula>W249&gt;W248</formula>
    </cfRule>
    <cfRule type="expression" dxfId="1227" priority="2004">
      <formula>W282&gt;W249</formula>
    </cfRule>
  </conditionalFormatting>
  <conditionalFormatting sqref="Y249">
    <cfRule type="expression" dxfId="1226" priority="2001">
      <formula>Y249&gt;Y248</formula>
    </cfRule>
    <cfRule type="expression" dxfId="1225" priority="2002">
      <formula>Y282&gt;Y249</formula>
    </cfRule>
  </conditionalFormatting>
  <conditionalFormatting sqref="K251">
    <cfRule type="expression" dxfId="1224" priority="2000">
      <formula>K251&gt;K250</formula>
    </cfRule>
  </conditionalFormatting>
  <conditionalFormatting sqref="M251">
    <cfRule type="expression" dxfId="1223" priority="1999">
      <formula>M251&gt;M250</formula>
    </cfRule>
  </conditionalFormatting>
  <conditionalFormatting sqref="O251">
    <cfRule type="expression" dxfId="1222" priority="1998">
      <formula>O251&gt;O250</formula>
    </cfRule>
  </conditionalFormatting>
  <conditionalFormatting sqref="Q251">
    <cfRule type="expression" dxfId="1221" priority="1997">
      <formula>Q251&gt;Q250</formula>
    </cfRule>
  </conditionalFormatting>
  <conditionalFormatting sqref="S251">
    <cfRule type="expression" dxfId="1220" priority="1996">
      <formula>S251&gt;S250</formula>
    </cfRule>
  </conditionalFormatting>
  <conditionalFormatting sqref="U251">
    <cfRule type="expression" dxfId="1219" priority="1995">
      <formula>U251&gt;U250</formula>
    </cfRule>
  </conditionalFormatting>
  <conditionalFormatting sqref="W251">
    <cfRule type="expression" dxfId="1218" priority="1994">
      <formula>W251&gt;W250</formula>
    </cfRule>
  </conditionalFormatting>
  <conditionalFormatting sqref="Y251">
    <cfRule type="expression" dxfId="1217" priority="1993">
      <formula>Y251&gt;Y250</formula>
    </cfRule>
  </conditionalFormatting>
  <conditionalFormatting sqref="K255">
    <cfRule type="expression" dxfId="1216" priority="1821">
      <formula>K285&lt;&gt;K255</formula>
    </cfRule>
    <cfRule type="expression" dxfId="1215" priority="1992">
      <formula>K255&gt;K254</formula>
    </cfRule>
  </conditionalFormatting>
  <conditionalFormatting sqref="M255">
    <cfRule type="expression" dxfId="1214" priority="1991">
      <formula>M255&gt;M254</formula>
    </cfRule>
  </conditionalFormatting>
  <conditionalFormatting sqref="O255">
    <cfRule type="expression" dxfId="1213" priority="1990">
      <formula>O255&gt;O254</formula>
    </cfRule>
  </conditionalFormatting>
  <conditionalFormatting sqref="Q255">
    <cfRule type="expression" dxfId="1212" priority="1989">
      <formula>Q255&gt;Q254</formula>
    </cfRule>
  </conditionalFormatting>
  <conditionalFormatting sqref="S255">
    <cfRule type="expression" dxfId="1211" priority="1988">
      <formula>S255&gt;S254</formula>
    </cfRule>
  </conditionalFormatting>
  <conditionalFormatting sqref="U255">
    <cfRule type="expression" dxfId="1210" priority="1987">
      <formula>U255&gt;U254</formula>
    </cfRule>
  </conditionalFormatting>
  <conditionalFormatting sqref="W255">
    <cfRule type="expression" dxfId="1209" priority="1986">
      <formula>W255&gt;W254</formula>
    </cfRule>
  </conditionalFormatting>
  <conditionalFormatting sqref="Y255">
    <cfRule type="expression" dxfId="1208" priority="1985">
      <formula>Y255&gt;Y254</formula>
    </cfRule>
  </conditionalFormatting>
  <conditionalFormatting sqref="AK256">
    <cfRule type="notContainsBlanks" dxfId="1207" priority="1984">
      <formula>LEN(TRIM(AK256))&gt;0</formula>
    </cfRule>
  </conditionalFormatting>
  <conditionalFormatting sqref="K256">
    <cfRule type="expression" dxfId="1206" priority="1983">
      <formula>K257&gt;K256</formula>
    </cfRule>
  </conditionalFormatting>
  <conditionalFormatting sqref="K257">
    <cfRule type="expression" dxfId="1205" priority="1762">
      <formula>K286&lt;&gt;K257</formula>
    </cfRule>
    <cfRule type="expression" dxfId="1204" priority="1982">
      <formula>K257&gt;K256</formula>
    </cfRule>
  </conditionalFormatting>
  <conditionalFormatting sqref="M256">
    <cfRule type="expression" dxfId="1203" priority="1981">
      <formula>M257&gt;M256</formula>
    </cfRule>
  </conditionalFormatting>
  <conditionalFormatting sqref="M257">
    <cfRule type="expression" dxfId="1202" priority="1980">
      <formula>M257&gt;M256</formula>
    </cfRule>
  </conditionalFormatting>
  <conditionalFormatting sqref="O256">
    <cfRule type="expression" dxfId="1201" priority="1979">
      <formula>O257&gt;O256</formula>
    </cfRule>
  </conditionalFormatting>
  <conditionalFormatting sqref="O257">
    <cfRule type="expression" dxfId="1200" priority="1978">
      <formula>O257&gt;O256</formula>
    </cfRule>
  </conditionalFormatting>
  <conditionalFormatting sqref="Q256">
    <cfRule type="expression" dxfId="1199" priority="1977">
      <formula>Q257&gt;Q256</formula>
    </cfRule>
  </conditionalFormatting>
  <conditionalFormatting sqref="Q257">
    <cfRule type="expression" dxfId="1198" priority="1976">
      <formula>Q257&gt;Q256</formula>
    </cfRule>
  </conditionalFormatting>
  <conditionalFormatting sqref="S256">
    <cfRule type="expression" dxfId="1197" priority="1975">
      <formula>S257&gt;S256</formula>
    </cfRule>
  </conditionalFormatting>
  <conditionalFormatting sqref="S257">
    <cfRule type="expression" dxfId="1196" priority="1974">
      <formula>S257&gt;S256</formula>
    </cfRule>
  </conditionalFormatting>
  <conditionalFormatting sqref="U256">
    <cfRule type="expression" dxfId="1195" priority="1973">
      <formula>U257&gt;U256</formula>
    </cfRule>
  </conditionalFormatting>
  <conditionalFormatting sqref="U257">
    <cfRule type="expression" dxfId="1194" priority="1972">
      <formula>U257&gt;U256</formula>
    </cfRule>
  </conditionalFormatting>
  <conditionalFormatting sqref="W256">
    <cfRule type="expression" dxfId="1193" priority="1971">
      <formula>W257&gt;W256</formula>
    </cfRule>
  </conditionalFormatting>
  <conditionalFormatting sqref="W257">
    <cfRule type="expression" dxfId="1192" priority="1970">
      <formula>W257&gt;W256</formula>
    </cfRule>
  </conditionalFormatting>
  <conditionalFormatting sqref="Y256">
    <cfRule type="expression" dxfId="1191" priority="1969">
      <formula>Y257&gt;Y256</formula>
    </cfRule>
  </conditionalFormatting>
  <conditionalFormatting sqref="Y257">
    <cfRule type="expression" dxfId="1190" priority="1968">
      <formula>Y257&gt;Y256</formula>
    </cfRule>
  </conditionalFormatting>
  <conditionalFormatting sqref="AK260">
    <cfRule type="notContainsBlanks" dxfId="1189" priority="1967">
      <formula>LEN(TRIM(AK260))&gt;0</formula>
    </cfRule>
  </conditionalFormatting>
  <conditionalFormatting sqref="K261">
    <cfRule type="expression" dxfId="1188" priority="1966">
      <formula>K261&gt;K260</formula>
    </cfRule>
  </conditionalFormatting>
  <conditionalFormatting sqref="M261">
    <cfRule type="expression" dxfId="1187" priority="1964">
      <formula>M261&gt;M260</formula>
    </cfRule>
  </conditionalFormatting>
  <conditionalFormatting sqref="M260">
    <cfRule type="expression" dxfId="1186" priority="1963">
      <formula>M261&gt;M260</formula>
    </cfRule>
  </conditionalFormatting>
  <conditionalFormatting sqref="O261">
    <cfRule type="expression" dxfId="1185" priority="1962">
      <formula>O261&gt;O260</formula>
    </cfRule>
  </conditionalFormatting>
  <conditionalFormatting sqref="O260">
    <cfRule type="expression" dxfId="1184" priority="1961">
      <formula>O261&gt;O260</formula>
    </cfRule>
  </conditionalFormatting>
  <conditionalFormatting sqref="Q261">
    <cfRule type="expression" dxfId="1183" priority="1960">
      <formula>Q261&gt;Q260</formula>
    </cfRule>
  </conditionalFormatting>
  <conditionalFormatting sqref="Q260">
    <cfRule type="expression" dxfId="1182" priority="1959">
      <formula>Q261&gt;Q260</formula>
    </cfRule>
  </conditionalFormatting>
  <conditionalFormatting sqref="S261">
    <cfRule type="expression" dxfId="1181" priority="1958">
      <formula>S261&gt;S260</formula>
    </cfRule>
  </conditionalFormatting>
  <conditionalFormatting sqref="S260">
    <cfRule type="expression" dxfId="1180" priority="1957">
      <formula>S261&gt;S260</formula>
    </cfRule>
  </conditionalFormatting>
  <conditionalFormatting sqref="U261">
    <cfRule type="expression" dxfId="1179" priority="1956">
      <formula>U261&gt;U260</formula>
    </cfRule>
  </conditionalFormatting>
  <conditionalFormatting sqref="U260">
    <cfRule type="expression" dxfId="1178" priority="1955">
      <formula>U261&gt;U260</formula>
    </cfRule>
  </conditionalFormatting>
  <conditionalFormatting sqref="W261">
    <cfRule type="expression" dxfId="1177" priority="1954">
      <formula>W261&gt;W260</formula>
    </cfRule>
  </conditionalFormatting>
  <conditionalFormatting sqref="W260">
    <cfRule type="expression" dxfId="1176" priority="1953">
      <formula>W261&gt;W260</formula>
    </cfRule>
  </conditionalFormatting>
  <conditionalFormatting sqref="Y261">
    <cfRule type="expression" dxfId="1175" priority="1952">
      <formula>Y261&gt;Y260</formula>
    </cfRule>
  </conditionalFormatting>
  <conditionalFormatting sqref="Y260">
    <cfRule type="expression" dxfId="1174" priority="1951">
      <formula>Y261&gt;Y260</formula>
    </cfRule>
  </conditionalFormatting>
  <conditionalFormatting sqref="Q262">
    <cfRule type="expression" dxfId="1173" priority="1949">
      <formula>Q263&gt;Q262</formula>
    </cfRule>
  </conditionalFormatting>
  <conditionalFormatting sqref="Q262">
    <cfRule type="expression" dxfId="1172" priority="1948">
      <formula>Q263&gt;Q262</formula>
    </cfRule>
  </conditionalFormatting>
  <conditionalFormatting sqref="S262">
    <cfRule type="expression" dxfId="1171" priority="1947">
      <formula>S263&gt;S262</formula>
    </cfRule>
  </conditionalFormatting>
  <conditionalFormatting sqref="S262">
    <cfRule type="expression" dxfId="1170" priority="1946">
      <formula>S263&gt;S262</formula>
    </cfRule>
  </conditionalFormatting>
  <conditionalFormatting sqref="U262">
    <cfRule type="expression" dxfId="1169" priority="1945">
      <formula>U263&gt;U262</formula>
    </cfRule>
  </conditionalFormatting>
  <conditionalFormatting sqref="U262">
    <cfRule type="expression" dxfId="1168" priority="1944">
      <formula>U263&gt;U262</formula>
    </cfRule>
  </conditionalFormatting>
  <conditionalFormatting sqref="W262">
    <cfRule type="expression" dxfId="1167" priority="1943">
      <formula>W263&gt;W262</formula>
    </cfRule>
  </conditionalFormatting>
  <conditionalFormatting sqref="W262">
    <cfRule type="expression" dxfId="1166" priority="1942">
      <formula>W263&gt;W262</formula>
    </cfRule>
  </conditionalFormatting>
  <conditionalFormatting sqref="Y262">
    <cfRule type="expression" dxfId="1165" priority="1941">
      <formula>Y263&gt;Y262</formula>
    </cfRule>
  </conditionalFormatting>
  <conditionalFormatting sqref="Y262">
    <cfRule type="expression" dxfId="1164" priority="1940">
      <formula>Y263&gt;Y262</formula>
    </cfRule>
  </conditionalFormatting>
  <conditionalFormatting sqref="K263">
    <cfRule type="expression" dxfId="1163" priority="1939">
      <formula>K289&gt;K263</formula>
    </cfRule>
  </conditionalFormatting>
  <conditionalFormatting sqref="K263">
    <cfRule type="expression" dxfId="1162" priority="1938">
      <formula>K263&gt;K262</formula>
    </cfRule>
  </conditionalFormatting>
  <conditionalFormatting sqref="K264">
    <cfRule type="expression" dxfId="1161" priority="1930">
      <formula>K265&gt;K264</formula>
    </cfRule>
  </conditionalFormatting>
  <conditionalFormatting sqref="M264">
    <cfRule type="expression" dxfId="1160" priority="1926">
      <formula>M265&gt;M264</formula>
    </cfRule>
  </conditionalFormatting>
  <conditionalFormatting sqref="O264">
    <cfRule type="expression" dxfId="1159" priority="1922">
      <formula>O265&gt;O264</formula>
    </cfRule>
  </conditionalFormatting>
  <conditionalFormatting sqref="Q264">
    <cfRule type="expression" dxfId="1158" priority="1918">
      <formula>Q265&gt;Q264</formula>
    </cfRule>
  </conditionalFormatting>
  <conditionalFormatting sqref="S264">
    <cfRule type="expression" dxfId="1157" priority="1914">
      <formula>S265&gt;S264</formula>
    </cfRule>
  </conditionalFormatting>
  <conditionalFormatting sqref="U264">
    <cfRule type="expression" dxfId="1156" priority="1910">
      <formula>U265&gt;U264</formula>
    </cfRule>
  </conditionalFormatting>
  <conditionalFormatting sqref="W264">
    <cfRule type="expression" dxfId="1155" priority="1906">
      <formula>W265&gt;W264</formula>
    </cfRule>
  </conditionalFormatting>
  <conditionalFormatting sqref="Y264">
    <cfRule type="expression" dxfId="1154" priority="1902">
      <formula>Y265&gt;Y264</formula>
    </cfRule>
  </conditionalFormatting>
  <conditionalFormatting sqref="K266">
    <cfRule type="expression" dxfId="1153" priority="1898">
      <formula>K267&gt;K266</formula>
    </cfRule>
  </conditionalFormatting>
  <conditionalFormatting sqref="M266">
    <cfRule type="expression" dxfId="1152" priority="1894">
      <formula>M267&gt;M266</formula>
    </cfRule>
  </conditionalFormatting>
  <conditionalFormatting sqref="O266">
    <cfRule type="expression" dxfId="1151" priority="1890">
      <formula>O267&gt;O266</formula>
    </cfRule>
  </conditionalFormatting>
  <conditionalFormatting sqref="Q266">
    <cfRule type="expression" dxfId="1150" priority="1886">
      <formula>Q267&gt;Q266</formula>
    </cfRule>
  </conditionalFormatting>
  <conditionalFormatting sqref="Q267">
    <cfRule type="expression" dxfId="1149" priority="1884">
      <formula>Q267&gt;Q266</formula>
    </cfRule>
  </conditionalFormatting>
  <conditionalFormatting sqref="AK264">
    <cfRule type="notContainsBlanks" dxfId="1148" priority="1867">
      <formula>LEN(TRIM(AK264))&gt;0</formula>
    </cfRule>
  </conditionalFormatting>
  <conditionalFormatting sqref="AK266">
    <cfRule type="notContainsBlanks" dxfId="1147" priority="1866">
      <formula>LEN(TRIM(AK266))&gt;0</formula>
    </cfRule>
  </conditionalFormatting>
  <conditionalFormatting sqref="D270:E271">
    <cfRule type="cellIs" dxfId="1146" priority="1865" operator="equal">
      <formula>0</formula>
    </cfRule>
  </conditionalFormatting>
  <conditionalFormatting sqref="D272:E272">
    <cfRule type="expression" dxfId="1145" priority="1847">
      <formula>D275&gt;D272</formula>
    </cfRule>
    <cfRule type="cellIs" dxfId="1144" priority="1862" operator="equal">
      <formula>0</formula>
    </cfRule>
  </conditionalFormatting>
  <conditionalFormatting sqref="D273:E274">
    <cfRule type="cellIs" dxfId="1143" priority="1861" operator="equal">
      <formula>0</formula>
    </cfRule>
  </conditionalFormatting>
  <conditionalFormatting sqref="D275:E275">
    <cfRule type="expression" dxfId="1142" priority="1848">
      <formula>D275&gt;D272</formula>
    </cfRule>
    <cfRule type="cellIs" dxfId="1141" priority="1858" operator="equal">
      <formula>0</formula>
    </cfRule>
  </conditionalFormatting>
  <conditionalFormatting sqref="D278:E278">
    <cfRule type="expression" dxfId="1140" priority="1264">
      <formula>D276&lt;&gt;D299</formula>
    </cfRule>
    <cfRule type="cellIs" dxfId="1139" priority="1855" operator="equal">
      <formula>0</formula>
    </cfRule>
  </conditionalFormatting>
  <conditionalFormatting sqref="D270:E271">
    <cfRule type="expression" dxfId="1138" priority="1853">
      <formula>D273&gt;D270</formula>
    </cfRule>
  </conditionalFormatting>
  <conditionalFormatting sqref="D273:E274">
    <cfRule type="expression" dxfId="1137" priority="1852">
      <formula>D273&gt;D270</formula>
    </cfRule>
  </conditionalFormatting>
  <conditionalFormatting sqref="D276:E277">
    <cfRule type="cellIs" dxfId="1136" priority="1851" operator="equal">
      <formula>0</formula>
    </cfRule>
  </conditionalFormatting>
  <conditionalFormatting sqref="D276:E277">
    <cfRule type="expression" dxfId="1135" priority="1850">
      <formula>D276&gt;D273</formula>
    </cfRule>
  </conditionalFormatting>
  <conditionalFormatting sqref="AM273:AM275">
    <cfRule type="notContainsBlanks" dxfId="1134" priority="2700">
      <formula>LEN(TRIM(AM273))&gt;0</formula>
    </cfRule>
  </conditionalFormatting>
  <conditionalFormatting sqref="D276:E277">
    <cfRule type="expression" dxfId="1133" priority="1846">
      <formula>D273&gt;D276</formula>
    </cfRule>
  </conditionalFormatting>
  <conditionalFormatting sqref="D273:E274">
    <cfRule type="expression" dxfId="1132" priority="1845">
      <formula>D273&gt;D276</formula>
    </cfRule>
  </conditionalFormatting>
  <conditionalFormatting sqref="K282">
    <cfRule type="expression" dxfId="1131" priority="1844">
      <formula>K282&gt;K249</formula>
    </cfRule>
  </conditionalFormatting>
  <conditionalFormatting sqref="M282">
    <cfRule type="expression" dxfId="1130" priority="1843">
      <formula>M282&gt;M249</formula>
    </cfRule>
  </conditionalFormatting>
  <conditionalFormatting sqref="O282">
    <cfRule type="expression" dxfId="1129" priority="1842">
      <formula>O282&gt;O249</formula>
    </cfRule>
  </conditionalFormatting>
  <conditionalFormatting sqref="Q282">
    <cfRule type="expression" dxfId="1128" priority="1841">
      <formula>Q282&gt;Q249</formula>
    </cfRule>
  </conditionalFormatting>
  <conditionalFormatting sqref="S282">
    <cfRule type="expression" dxfId="1127" priority="1840">
      <formula>S282&gt;S249</formula>
    </cfRule>
  </conditionalFormatting>
  <conditionalFormatting sqref="U282">
    <cfRule type="expression" dxfId="1126" priority="1839">
      <formula>U282&gt;U249</formula>
    </cfRule>
  </conditionalFormatting>
  <conditionalFormatting sqref="W282">
    <cfRule type="expression" dxfId="1125" priority="1838">
      <formula>W282&gt;W249</formula>
    </cfRule>
  </conditionalFormatting>
  <conditionalFormatting sqref="Y282">
    <cfRule type="expression" dxfId="1124" priority="1837">
      <formula>Y282&gt;Y249</formula>
    </cfRule>
  </conditionalFormatting>
  <conditionalFormatting sqref="K285">
    <cfRule type="expression" dxfId="1123" priority="1822">
      <formula>K285&lt;&gt;K255</formula>
    </cfRule>
  </conditionalFormatting>
  <conditionalFormatting sqref="M255">
    <cfRule type="expression" dxfId="1122" priority="1819">
      <formula>M285&lt;&gt;M255</formula>
    </cfRule>
    <cfRule type="expression" dxfId="1121" priority="1820">
      <formula>M255&gt;M254</formula>
    </cfRule>
  </conditionalFormatting>
  <conditionalFormatting sqref="O255">
    <cfRule type="expression" dxfId="1120" priority="1817">
      <formula>O285&lt;&gt;O255</formula>
    </cfRule>
    <cfRule type="expression" dxfId="1119" priority="1818">
      <formula>O255&gt;O254</formula>
    </cfRule>
  </conditionalFormatting>
  <conditionalFormatting sqref="Q255">
    <cfRule type="expression" dxfId="1118" priority="1815">
      <formula>Q285&lt;&gt;Q255</formula>
    </cfRule>
    <cfRule type="expression" dxfId="1117" priority="1816">
      <formula>Q255&gt;Q254</formula>
    </cfRule>
  </conditionalFormatting>
  <conditionalFormatting sqref="S255">
    <cfRule type="expression" dxfId="1116" priority="1813">
      <formula>S285&lt;&gt;S255</formula>
    </cfRule>
    <cfRule type="expression" dxfId="1115" priority="1814">
      <formula>S255&gt;S254</formula>
    </cfRule>
  </conditionalFormatting>
  <conditionalFormatting sqref="U255">
    <cfRule type="expression" dxfId="1114" priority="1811">
      <formula>U285&lt;&gt;U255</formula>
    </cfRule>
    <cfRule type="expression" dxfId="1113" priority="1812">
      <formula>U255&gt;U254</formula>
    </cfRule>
  </conditionalFormatting>
  <conditionalFormatting sqref="W255">
    <cfRule type="expression" dxfId="1112" priority="1809">
      <formula>W285&lt;&gt;W255</formula>
    </cfRule>
    <cfRule type="expression" dxfId="1111" priority="1810">
      <formula>W255&gt;W254</formula>
    </cfRule>
  </conditionalFormatting>
  <conditionalFormatting sqref="Y255">
    <cfRule type="expression" dxfId="1110" priority="1807">
      <formula>Y285&lt;&gt;Y255</formula>
    </cfRule>
    <cfRule type="expression" dxfId="1109" priority="1808">
      <formula>Y255&gt;Y254</formula>
    </cfRule>
  </conditionalFormatting>
  <conditionalFormatting sqref="M285">
    <cfRule type="cellIs" dxfId="1108" priority="1806" operator="equal">
      <formula>0</formula>
    </cfRule>
  </conditionalFormatting>
  <conditionalFormatting sqref="M285">
    <cfRule type="expression" dxfId="1107" priority="1805">
      <formula>M285&lt;&gt;M255</formula>
    </cfRule>
  </conditionalFormatting>
  <conditionalFormatting sqref="O285">
    <cfRule type="cellIs" dxfId="1106" priority="1804" operator="equal">
      <formula>0</formula>
    </cfRule>
  </conditionalFormatting>
  <conditionalFormatting sqref="O285">
    <cfRule type="expression" dxfId="1105" priority="1803">
      <formula>O285&lt;&gt;O255</formula>
    </cfRule>
  </conditionalFormatting>
  <conditionalFormatting sqref="Q285">
    <cfRule type="cellIs" dxfId="1104" priority="1802" operator="equal">
      <formula>0</formula>
    </cfRule>
  </conditionalFormatting>
  <conditionalFormatting sqref="Q285">
    <cfRule type="expression" dxfId="1103" priority="1801">
      <formula>Q285&lt;&gt;Q255</formula>
    </cfRule>
  </conditionalFormatting>
  <conditionalFormatting sqref="S285">
    <cfRule type="cellIs" dxfId="1102" priority="1800" operator="equal">
      <formula>0</formula>
    </cfRule>
  </conditionalFormatting>
  <conditionalFormatting sqref="S285">
    <cfRule type="expression" dxfId="1101" priority="1799">
      <formula>S285&lt;&gt;S255</formula>
    </cfRule>
  </conditionalFormatting>
  <conditionalFormatting sqref="U285">
    <cfRule type="cellIs" dxfId="1100" priority="1798" operator="equal">
      <formula>0</formula>
    </cfRule>
  </conditionalFormatting>
  <conditionalFormatting sqref="U285">
    <cfRule type="expression" dxfId="1099" priority="1797">
      <formula>U285&lt;&gt;U255</formula>
    </cfRule>
  </conditionalFormatting>
  <conditionalFormatting sqref="W285">
    <cfRule type="cellIs" dxfId="1098" priority="1796" operator="equal">
      <formula>0</formula>
    </cfRule>
  </conditionalFormatting>
  <conditionalFormatting sqref="W285">
    <cfRule type="expression" dxfId="1097" priority="1795">
      <formula>W285&lt;&gt;W255</formula>
    </cfRule>
  </conditionalFormatting>
  <conditionalFormatting sqref="Y285">
    <cfRule type="cellIs" dxfId="1096" priority="1794" operator="equal">
      <formula>0</formula>
    </cfRule>
  </conditionalFormatting>
  <conditionalFormatting sqref="Y285">
    <cfRule type="expression" dxfId="1095" priority="1793">
      <formula>Y285&lt;&gt;Y255</formula>
    </cfRule>
  </conditionalFormatting>
  <conditionalFormatting sqref="K286">
    <cfRule type="expression" dxfId="1094" priority="1792">
      <formula>K286&lt;&gt;K257</formula>
    </cfRule>
  </conditionalFormatting>
  <conditionalFormatting sqref="M256">
    <cfRule type="expression" dxfId="1093" priority="1790">
      <formula>M257&gt;M256</formula>
    </cfRule>
  </conditionalFormatting>
  <conditionalFormatting sqref="O256">
    <cfRule type="expression" dxfId="1092" priority="1788">
      <formula>O257&gt;O256</formula>
    </cfRule>
  </conditionalFormatting>
  <conditionalFormatting sqref="Q256">
    <cfRule type="expression" dxfId="1091" priority="1786">
      <formula>Q257&gt;Q256</formula>
    </cfRule>
  </conditionalFormatting>
  <conditionalFormatting sqref="S256">
    <cfRule type="expression" dxfId="1090" priority="1784">
      <formula>S257&gt;S256</formula>
    </cfRule>
  </conditionalFormatting>
  <conditionalFormatting sqref="U256">
    <cfRule type="expression" dxfId="1089" priority="1782">
      <formula>U257&gt;U256</formula>
    </cfRule>
  </conditionalFormatting>
  <conditionalFormatting sqref="W256">
    <cfRule type="expression" dxfId="1088" priority="1780">
      <formula>W257&gt;W256</formula>
    </cfRule>
  </conditionalFormatting>
  <conditionalFormatting sqref="Y256">
    <cfRule type="expression" dxfId="1087" priority="1778">
      <formula>Y257&gt;Y256</formula>
    </cfRule>
  </conditionalFormatting>
  <conditionalFormatting sqref="M286">
    <cfRule type="cellIs" dxfId="1086" priority="1776" operator="equal">
      <formula>0</formula>
    </cfRule>
  </conditionalFormatting>
  <conditionalFormatting sqref="M286">
    <cfRule type="expression" dxfId="1085" priority="1775">
      <formula>M286&lt;&gt;M257</formula>
    </cfRule>
  </conditionalFormatting>
  <conditionalFormatting sqref="O286">
    <cfRule type="cellIs" dxfId="1084" priority="1774" operator="equal">
      <formula>0</formula>
    </cfRule>
  </conditionalFormatting>
  <conditionalFormatting sqref="O286">
    <cfRule type="expression" dxfId="1083" priority="1773">
      <formula>O286&lt;&gt;O257</formula>
    </cfRule>
  </conditionalFormatting>
  <conditionalFormatting sqref="Q286">
    <cfRule type="cellIs" dxfId="1082" priority="1772" operator="equal">
      <formula>0</formula>
    </cfRule>
  </conditionalFormatting>
  <conditionalFormatting sqref="Q286">
    <cfRule type="expression" dxfId="1081" priority="1771">
      <formula>Q286&lt;&gt;Q257</formula>
    </cfRule>
  </conditionalFormatting>
  <conditionalFormatting sqref="S286">
    <cfRule type="cellIs" dxfId="1080" priority="1770" operator="equal">
      <formula>0</formula>
    </cfRule>
  </conditionalFormatting>
  <conditionalFormatting sqref="S286">
    <cfRule type="expression" dxfId="1079" priority="1769">
      <formula>S286&lt;&gt;S257</formula>
    </cfRule>
  </conditionalFormatting>
  <conditionalFormatting sqref="U286">
    <cfRule type="cellIs" dxfId="1078" priority="1768" operator="equal">
      <formula>0</formula>
    </cfRule>
  </conditionalFormatting>
  <conditionalFormatting sqref="U286">
    <cfRule type="expression" dxfId="1077" priority="1767">
      <formula>U286&lt;&gt;U257</formula>
    </cfRule>
  </conditionalFormatting>
  <conditionalFormatting sqref="W286">
    <cfRule type="cellIs" dxfId="1076" priority="1766" operator="equal">
      <formula>0</formula>
    </cfRule>
  </conditionalFormatting>
  <conditionalFormatting sqref="W286">
    <cfRule type="expression" dxfId="1075" priority="1765">
      <formula>W286&lt;&gt;W257</formula>
    </cfRule>
  </conditionalFormatting>
  <conditionalFormatting sqref="Y286">
    <cfRule type="cellIs" dxfId="1074" priority="1764" operator="equal">
      <formula>0</formula>
    </cfRule>
  </conditionalFormatting>
  <conditionalFormatting sqref="Y286">
    <cfRule type="expression" dxfId="1073" priority="1763">
      <formula>Y286&lt;&gt;Y257</formula>
    </cfRule>
  </conditionalFormatting>
  <conditionalFormatting sqref="M257">
    <cfRule type="expression" dxfId="1072" priority="1760">
      <formula>M286&lt;&gt;M257</formula>
    </cfRule>
    <cfRule type="expression" dxfId="1071" priority="1761">
      <formula>M257&gt;M256</formula>
    </cfRule>
  </conditionalFormatting>
  <conditionalFormatting sqref="O257">
    <cfRule type="expression" dxfId="1070" priority="1758">
      <formula>O286&lt;&gt;O257</formula>
    </cfRule>
    <cfRule type="expression" dxfId="1069" priority="1759">
      <formula>O257&gt;O256</formula>
    </cfRule>
  </conditionalFormatting>
  <conditionalFormatting sqref="Q257">
    <cfRule type="expression" dxfId="1068" priority="1756">
      <formula>Q286&lt;&gt;Q257</formula>
    </cfRule>
    <cfRule type="expression" dxfId="1067" priority="1757">
      <formula>Q257&gt;Q256</formula>
    </cfRule>
  </conditionalFormatting>
  <conditionalFormatting sqref="S257">
    <cfRule type="expression" dxfId="1066" priority="1754">
      <formula>S286&lt;&gt;S257</formula>
    </cfRule>
    <cfRule type="expression" dxfId="1065" priority="1755">
      <formula>S257&gt;S256</formula>
    </cfRule>
  </conditionalFormatting>
  <conditionalFormatting sqref="U257">
    <cfRule type="expression" dxfId="1064" priority="1752">
      <formula>U286&lt;&gt;U257</formula>
    </cfRule>
    <cfRule type="expression" dxfId="1063" priority="1753">
      <formula>U257&gt;U256</formula>
    </cfRule>
  </conditionalFormatting>
  <conditionalFormatting sqref="W257">
    <cfRule type="expression" dxfId="1062" priority="1750">
      <formula>W286&lt;&gt;W257</formula>
    </cfRule>
    <cfRule type="expression" dxfId="1061" priority="1751">
      <formula>W257&gt;W256</formula>
    </cfRule>
  </conditionalFormatting>
  <conditionalFormatting sqref="Y257">
    <cfRule type="expression" dxfId="1060" priority="1748">
      <formula>Y286&lt;&gt;Y257</formula>
    </cfRule>
    <cfRule type="expression" dxfId="1059" priority="1749">
      <formula>Y257&gt;Y256</formula>
    </cfRule>
  </conditionalFormatting>
  <conditionalFormatting sqref="O290">
    <cfRule type="expression" dxfId="1058" priority="1747">
      <formula>O290&gt;O265</formula>
    </cfRule>
  </conditionalFormatting>
  <conditionalFormatting sqref="Q290">
    <cfRule type="expression" dxfId="1057" priority="1746">
      <formula>Q290&gt;Q265</formula>
    </cfRule>
  </conditionalFormatting>
  <conditionalFormatting sqref="S290">
    <cfRule type="expression" dxfId="1056" priority="1745">
      <formula>S290&gt;S265</formula>
    </cfRule>
  </conditionalFormatting>
  <conditionalFormatting sqref="U290">
    <cfRule type="expression" dxfId="1055" priority="1744">
      <formula>U290&gt;U265</formula>
    </cfRule>
  </conditionalFormatting>
  <conditionalFormatting sqref="W290">
    <cfRule type="expression" dxfId="1054" priority="1743">
      <formula>W290&gt;W265</formula>
    </cfRule>
  </conditionalFormatting>
  <conditionalFormatting sqref="Y290">
    <cfRule type="expression" dxfId="1053" priority="1742">
      <formula>Y290&gt;Y265</formula>
    </cfRule>
  </conditionalFormatting>
  <conditionalFormatting sqref="M290">
    <cfRule type="expression" dxfId="1052" priority="1741">
      <formula>M290&gt;M265</formula>
    </cfRule>
  </conditionalFormatting>
  <conditionalFormatting sqref="K290">
    <cfRule type="expression" dxfId="1051" priority="1740">
      <formula>K290&gt;K265</formula>
    </cfRule>
  </conditionalFormatting>
  <conditionalFormatting sqref="K265 M265 O265 Q265 S265 U265 W265 Y265">
    <cfRule type="expression" dxfId="1050" priority="1735">
      <formula>K290&gt;K265</formula>
    </cfRule>
  </conditionalFormatting>
  <conditionalFormatting sqref="K265 M265 O265 Q265 S265 U265 W265 Y265">
    <cfRule type="expression" dxfId="1049" priority="1736">
      <formula>K265&gt;K264</formula>
    </cfRule>
  </conditionalFormatting>
  <conditionalFormatting sqref="K291">
    <cfRule type="expression" dxfId="1048" priority="1702">
      <formula>K291&gt;K267</formula>
    </cfRule>
  </conditionalFormatting>
  <conditionalFormatting sqref="Q267">
    <cfRule type="expression" dxfId="1047" priority="1689">
      <formula>Q291&gt;Q267</formula>
    </cfRule>
  </conditionalFormatting>
  <conditionalFormatting sqref="Q267">
    <cfRule type="expression" dxfId="1046" priority="1690">
      <formula>Q267&gt;Q266</formula>
    </cfRule>
  </conditionalFormatting>
  <conditionalFormatting sqref="M291">
    <cfRule type="expression" dxfId="1045" priority="1672">
      <formula>M291&gt;M267</formula>
    </cfRule>
  </conditionalFormatting>
  <conditionalFormatting sqref="O291">
    <cfRule type="expression" dxfId="1044" priority="1671">
      <formula>O291&gt;O267</formula>
    </cfRule>
  </conditionalFormatting>
  <conditionalFormatting sqref="Q291">
    <cfRule type="expression" dxfId="1043" priority="1670">
      <formula>Q291&gt;Q267</formula>
    </cfRule>
  </conditionalFormatting>
  <conditionalFormatting sqref="S291">
    <cfRule type="expression" dxfId="1042" priority="1669">
      <formula>S291&gt;S267</formula>
    </cfRule>
  </conditionalFormatting>
  <conditionalFormatting sqref="U291">
    <cfRule type="expression" dxfId="1041" priority="1668">
      <formula>U291&gt;U267</formula>
    </cfRule>
  </conditionalFormatting>
  <conditionalFormatting sqref="W291">
    <cfRule type="expression" dxfId="1040" priority="1667">
      <formula>W291&gt;W267</formula>
    </cfRule>
  </conditionalFormatting>
  <conditionalFormatting sqref="Y291">
    <cfRule type="expression" dxfId="1039" priority="1666">
      <formula>Y291&gt;Y267</formula>
    </cfRule>
  </conditionalFormatting>
  <conditionalFormatting sqref="D299:AA299">
    <cfRule type="expression" dxfId="1038" priority="1665">
      <formula>D299&gt;D309</formula>
    </cfRule>
  </conditionalFormatting>
  <conditionalFormatting sqref="D309:Y309 AB309:AG309 AJ309">
    <cfRule type="expression" dxfId="1037" priority="1664">
      <formula>D299&gt;D309</formula>
    </cfRule>
  </conditionalFormatting>
  <conditionalFormatting sqref="D300:AA305">
    <cfRule type="expression" dxfId="1036" priority="1663">
      <formula>D300&gt;D310</formula>
    </cfRule>
  </conditionalFormatting>
  <conditionalFormatting sqref="D310:Y315 AB310:AG315">
    <cfRule type="expression" dxfId="1035" priority="1662">
      <formula>D300&gt;D310</formula>
    </cfRule>
  </conditionalFormatting>
  <conditionalFormatting sqref="D308:Y308 AB308:AG308">
    <cfRule type="expression" dxfId="1034" priority="1661">
      <formula>D308&gt;D309</formula>
    </cfRule>
  </conditionalFormatting>
  <conditionalFormatting sqref="AK308">
    <cfRule type="notContainsBlanks" dxfId="1033" priority="1659">
      <formula>LEN(TRIM(AK308))&gt;0</formula>
    </cfRule>
  </conditionalFormatting>
  <conditionalFormatting sqref="J322:Y322 AB322:AG322">
    <cfRule type="expression" dxfId="1032" priority="1658">
      <formula>J322&lt;&gt;J309</formula>
    </cfRule>
  </conditionalFormatting>
  <conditionalFormatting sqref="D309:Y309 AB309:AG309 AJ309">
    <cfRule type="expression" dxfId="1031" priority="1657">
      <formula>D322&lt;&gt;D309</formula>
    </cfRule>
  </conditionalFormatting>
  <conditionalFormatting sqref="K309:Y309 AB309:AG309">
    <cfRule type="expression" dxfId="1030" priority="1656">
      <formula>K292&gt;K309</formula>
    </cfRule>
  </conditionalFormatting>
  <conditionalFormatting sqref="D329:AA329">
    <cfRule type="expression" dxfId="1029" priority="1654">
      <formula>D324&gt;D329</formula>
    </cfRule>
  </conditionalFormatting>
  <conditionalFormatting sqref="D329:AA329">
    <cfRule type="expression" dxfId="1028" priority="1652">
      <formula>D325&gt;D329</formula>
    </cfRule>
  </conditionalFormatting>
  <conditionalFormatting sqref="D329:AA329">
    <cfRule type="cellIs" dxfId="1027" priority="1651" operator="equal">
      <formula>0</formula>
    </cfRule>
  </conditionalFormatting>
  <conditionalFormatting sqref="D334:AA334">
    <cfRule type="expression" dxfId="1026" priority="1650">
      <formula>D334&gt;SUM(D330:D332)</formula>
    </cfRule>
  </conditionalFormatting>
  <conditionalFormatting sqref="D333:AA333">
    <cfRule type="cellIs" dxfId="1025" priority="1649" operator="equal">
      <formula>0</formula>
    </cfRule>
  </conditionalFormatting>
  <conditionalFormatting sqref="D333:Z333">
    <cfRule type="expression" dxfId="1024" priority="1648">
      <formula>E334&gt;(E330+E331+E332)</formula>
    </cfRule>
  </conditionalFormatting>
  <conditionalFormatting sqref="AK333">
    <cfRule type="notContainsBlanks" dxfId="1023" priority="1647">
      <formula>LEN(TRIM(AK333))&gt;0</formula>
    </cfRule>
  </conditionalFormatting>
  <conditionalFormatting sqref="D329:AA329">
    <cfRule type="expression" dxfId="1022" priority="1645">
      <formula>D333&gt;D329</formula>
    </cfRule>
  </conditionalFormatting>
  <conditionalFormatting sqref="AK334">
    <cfRule type="notContainsBlanks" dxfId="1021" priority="1644">
      <formula>LEN(TRIM(AK334))&gt;0</formula>
    </cfRule>
  </conditionalFormatting>
  <conditionalFormatting sqref="D337:AA337">
    <cfRule type="expression" dxfId="1020" priority="1643">
      <formula>D337&gt;D329</formula>
    </cfRule>
  </conditionalFormatting>
  <conditionalFormatting sqref="D329:AA329">
    <cfRule type="expression" dxfId="1019" priority="1642">
      <formula>D337&gt;D329</formula>
    </cfRule>
  </conditionalFormatting>
  <conditionalFormatting sqref="AK337">
    <cfRule type="notContainsBlanks" dxfId="1018" priority="1641">
      <formula>LEN(TRIM(AK337))&gt;0</formula>
    </cfRule>
  </conditionalFormatting>
  <conditionalFormatting sqref="AK337">
    <cfRule type="notContainsBlanks" dxfId="1017" priority="1640">
      <formula>LEN(TRIM(AK337))&gt;0</formula>
    </cfRule>
  </conditionalFormatting>
  <conditionalFormatting sqref="D309:Y309 AB309:AG309">
    <cfRule type="expression" dxfId="1016" priority="1637">
      <formula>D329&gt;D309</formula>
    </cfRule>
  </conditionalFormatting>
  <conditionalFormatting sqref="AK324">
    <cfRule type="notContainsBlanks" dxfId="1015" priority="1636">
      <formula>LEN(TRIM(AK324))&gt;0</formula>
    </cfRule>
  </conditionalFormatting>
  <conditionalFormatting sqref="D309:Y309 AB309:AG309">
    <cfRule type="expression" dxfId="1014" priority="1635">
      <formula>SUM(D152:D153)&gt;D309</formula>
    </cfRule>
  </conditionalFormatting>
  <conditionalFormatting sqref="K283">
    <cfRule type="expression" dxfId="1013" priority="726">
      <formula>K283&gt;K299</formula>
    </cfRule>
    <cfRule type="expression" dxfId="1012" priority="1632">
      <formula>K283&gt;K299 &amp; EXACT($I$3,"1") &amp; EXACT($E$3,"1")</formula>
    </cfRule>
  </conditionalFormatting>
  <conditionalFormatting sqref="D339:AG339">
    <cfRule type="expression" dxfId="1011" priority="1630">
      <formula>D340&gt;D339</formula>
    </cfRule>
  </conditionalFormatting>
  <conditionalFormatting sqref="D361:AG367">
    <cfRule type="expression" dxfId="1010" priority="1629">
      <formula>D361&gt;D$355</formula>
    </cfRule>
  </conditionalFormatting>
  <conditionalFormatting sqref="D355:AG355">
    <cfRule type="expression" dxfId="1009" priority="1628">
      <formula>D361&gt;D$355</formula>
    </cfRule>
  </conditionalFormatting>
  <conditionalFormatting sqref="F373:AA373">
    <cfRule type="expression" dxfId="1008" priority="1627">
      <formula>F373&gt;F369</formula>
    </cfRule>
  </conditionalFormatting>
  <conditionalFormatting sqref="D369:AA369">
    <cfRule type="expression" dxfId="1007" priority="1626">
      <formula>D373&gt;D369</formula>
    </cfRule>
  </conditionalFormatting>
  <conditionalFormatting sqref="AL369">
    <cfRule type="notContainsBlanks" dxfId="1006" priority="1625">
      <formula>LEN(TRIM(AL369))&gt;0</formula>
    </cfRule>
  </conditionalFormatting>
  <conditionalFormatting sqref="F375:AA375">
    <cfRule type="expression" dxfId="1005" priority="1624">
      <formula>F375&gt;F373</formula>
    </cfRule>
  </conditionalFormatting>
  <conditionalFormatting sqref="F373:AA373">
    <cfRule type="expression" dxfId="1004" priority="1623">
      <formula>F375&gt;F373</formula>
    </cfRule>
  </conditionalFormatting>
  <conditionalFormatting sqref="F378:AA378">
    <cfRule type="expression" dxfId="1003" priority="1622">
      <formula>F378&lt;&gt;F370</formula>
    </cfRule>
  </conditionalFormatting>
  <conditionalFormatting sqref="D370:AA370">
    <cfRule type="expression" dxfId="1002" priority="1621">
      <formula>D378&lt;&gt;D370</formula>
    </cfRule>
  </conditionalFormatting>
  <conditionalFormatting sqref="F377:AA377">
    <cfRule type="expression" dxfId="1001" priority="1620">
      <formula>F377&gt;F375</formula>
    </cfRule>
  </conditionalFormatting>
  <conditionalFormatting sqref="F375:AA375">
    <cfRule type="expression" dxfId="1000" priority="1619">
      <formula>F377&gt;F375</formula>
    </cfRule>
  </conditionalFormatting>
  <conditionalFormatting sqref="AK369">
    <cfRule type="notContainsBlanks" dxfId="999" priority="1617">
      <formula>LEN(TRIM(AK369))&gt;0</formula>
    </cfRule>
  </conditionalFormatting>
  <conditionalFormatting sqref="AK373">
    <cfRule type="notContainsBlanks" dxfId="998" priority="1616">
      <formula>LEN(TRIM(AK373))&gt;0</formula>
    </cfRule>
  </conditionalFormatting>
  <conditionalFormatting sqref="AK374">
    <cfRule type="notContainsBlanks" dxfId="997" priority="1615">
      <formula>LEN(TRIM(AK374))&gt;0</formula>
    </cfRule>
  </conditionalFormatting>
  <conditionalFormatting sqref="F374:AA374">
    <cfRule type="expression" dxfId="996" priority="1614">
      <formula>F374&gt;F369</formula>
    </cfRule>
  </conditionalFormatting>
  <conditionalFormatting sqref="F372:AA372 AJ372">
    <cfRule type="cellIs" dxfId="995" priority="1613" operator="lessThan">
      <formula>0</formula>
    </cfRule>
  </conditionalFormatting>
  <conditionalFormatting sqref="D369:AA369">
    <cfRule type="expression" dxfId="994" priority="1612">
      <formula>D374&gt;D369</formula>
    </cfRule>
  </conditionalFormatting>
  <conditionalFormatting sqref="AK375">
    <cfRule type="notContainsBlanks" dxfId="993" priority="1611">
      <formula>LEN(TRIM(AK375))&gt;0</formula>
    </cfRule>
  </conditionalFormatting>
  <conditionalFormatting sqref="AM377">
    <cfRule type="notContainsBlanks" dxfId="992" priority="2721">
      <formula>LEN(TRIM(AM377))&gt;0</formula>
    </cfRule>
  </conditionalFormatting>
  <conditionalFormatting sqref="AN369">
    <cfRule type="notContainsBlanks" dxfId="991" priority="1609">
      <formula>LEN(TRIM(AN369))&gt;0</formula>
    </cfRule>
  </conditionalFormatting>
  <conditionalFormatting sqref="AK377">
    <cfRule type="notContainsBlanks" dxfId="990" priority="1608">
      <formula>LEN(TRIM(AK377))&gt;0</formula>
    </cfRule>
  </conditionalFormatting>
  <conditionalFormatting sqref="AK379">
    <cfRule type="notContainsBlanks" dxfId="989" priority="1607">
      <formula>LEN(TRIM(AK379))&gt;0</formula>
    </cfRule>
  </conditionalFormatting>
  <conditionalFormatting sqref="AK378">
    <cfRule type="notContainsBlanks" dxfId="988" priority="1606">
      <formula>LEN(TRIM(AK378))&gt;0</formula>
    </cfRule>
  </conditionalFormatting>
  <conditionalFormatting sqref="F373:AA373">
    <cfRule type="expression" dxfId="987" priority="1583">
      <formula>F373&lt;F372</formula>
    </cfRule>
  </conditionalFormatting>
  <conditionalFormatting sqref="F372:AA372">
    <cfRule type="expression" dxfId="986" priority="1582">
      <formula>F373&lt;F372</formula>
    </cfRule>
  </conditionalFormatting>
  <conditionalFormatting sqref="F377:AA377 J381:AG381">
    <cfRule type="expression" dxfId="985" priority="1581">
      <formula>F375&gt;F377</formula>
    </cfRule>
  </conditionalFormatting>
  <conditionalFormatting sqref="F375:AA375">
    <cfRule type="expression" dxfId="984" priority="1580">
      <formula>F375&gt;F377</formula>
    </cfRule>
  </conditionalFormatting>
  <conditionalFormatting sqref="D345:AA345">
    <cfRule type="expression" dxfId="983" priority="1579">
      <formula>D345&gt;D340</formula>
    </cfRule>
  </conditionalFormatting>
  <conditionalFormatting sqref="D340:AA340">
    <cfRule type="expression" dxfId="982" priority="1578">
      <formula>D345&gt;D340</formula>
    </cfRule>
  </conditionalFormatting>
  <conditionalFormatting sqref="D344:AA344">
    <cfRule type="expression" dxfId="981" priority="1576">
      <formula>D344&gt;SUM(D343,D342,D341)</formula>
    </cfRule>
  </conditionalFormatting>
  <conditionalFormatting sqref="D343:AA343">
    <cfRule type="expression" dxfId="980" priority="1575">
      <formula>D344&gt;SUM(D343,D342,D341)</formula>
    </cfRule>
  </conditionalFormatting>
  <conditionalFormatting sqref="D342:AA342">
    <cfRule type="expression" dxfId="979" priority="1574">
      <formula>D344&gt;SUM(D343,D342,D341)</formula>
    </cfRule>
  </conditionalFormatting>
  <conditionalFormatting sqref="D341:AA341">
    <cfRule type="expression" dxfId="978" priority="1573">
      <formula>D344&gt;SUM(D343,D342,D341)</formula>
    </cfRule>
  </conditionalFormatting>
  <conditionalFormatting sqref="D325:AA325">
    <cfRule type="expression" dxfId="977" priority="1572">
      <formula>D336&gt;D325</formula>
    </cfRule>
  </conditionalFormatting>
  <conditionalFormatting sqref="D336:AA336">
    <cfRule type="expression" dxfId="976" priority="1571">
      <formula>D336&gt;D325</formula>
    </cfRule>
  </conditionalFormatting>
  <conditionalFormatting sqref="K260">
    <cfRule type="expression" dxfId="975" priority="1570">
      <formula>K261&gt;K260</formula>
    </cfRule>
  </conditionalFormatting>
  <conditionalFormatting sqref="K288">
    <cfRule type="expression" dxfId="974" priority="1569">
      <formula>K288&gt;K261</formula>
    </cfRule>
  </conditionalFormatting>
  <conditionalFormatting sqref="M288">
    <cfRule type="expression" dxfId="973" priority="1568">
      <formula>M288&gt;M261</formula>
    </cfRule>
  </conditionalFormatting>
  <conditionalFormatting sqref="O288">
    <cfRule type="expression" dxfId="972" priority="1567">
      <formula>O288&gt;O261</formula>
    </cfRule>
  </conditionalFormatting>
  <conditionalFormatting sqref="Q288">
    <cfRule type="expression" dxfId="971" priority="1566">
      <formula>Q288&gt;Q261</formula>
    </cfRule>
  </conditionalFormatting>
  <conditionalFormatting sqref="S288">
    <cfRule type="expression" dxfId="970" priority="1565">
      <formula>S288&gt;S261</formula>
    </cfRule>
  </conditionalFormatting>
  <conditionalFormatting sqref="U288">
    <cfRule type="expression" dxfId="969" priority="1564">
      <formula>U288&gt;U261</formula>
    </cfRule>
  </conditionalFormatting>
  <conditionalFormatting sqref="W288">
    <cfRule type="expression" dxfId="968" priority="1563">
      <formula>W288&gt;W261</formula>
    </cfRule>
  </conditionalFormatting>
  <conditionalFormatting sqref="Y288">
    <cfRule type="expression" dxfId="967" priority="1562">
      <formula>Y288&gt;Y261</formula>
    </cfRule>
  </conditionalFormatting>
  <conditionalFormatting sqref="D18:AG18 AJ18">
    <cfRule type="cellIs" dxfId="966" priority="1561" operator="equal">
      <formula>0</formula>
    </cfRule>
  </conditionalFormatting>
  <conditionalFormatting sqref="AK11">
    <cfRule type="notContainsBlanks" dxfId="965" priority="1560">
      <formula>LEN(TRIM(AK11))&gt;0</formula>
    </cfRule>
  </conditionalFormatting>
  <conditionalFormatting sqref="AK12">
    <cfRule type="notContainsBlanks" dxfId="964" priority="1559">
      <formula>LEN(TRIM(AK12))&gt;0</formula>
    </cfRule>
  </conditionalFormatting>
  <conditionalFormatting sqref="AK16">
    <cfRule type="notContainsBlanks" dxfId="963" priority="1557">
      <formula>LEN(TRIM(AK16))&gt;0</formula>
    </cfRule>
  </conditionalFormatting>
  <conditionalFormatting sqref="AK15">
    <cfRule type="notContainsBlanks" dxfId="962" priority="1556">
      <formula>LEN(TRIM(AK15))&gt;0</formula>
    </cfRule>
  </conditionalFormatting>
  <conditionalFormatting sqref="D14:AG14">
    <cfRule type="cellIs" dxfId="961" priority="1540" operator="equal">
      <formula>0</formula>
    </cfRule>
  </conditionalFormatting>
  <conditionalFormatting sqref="AK14">
    <cfRule type="notContainsBlanks" dxfId="960" priority="1539">
      <formula>LEN(TRIM(AK14))&gt;0</formula>
    </cfRule>
  </conditionalFormatting>
  <conditionalFormatting sqref="D14:AG14">
    <cfRule type="expression" dxfId="959" priority="1538">
      <formula>D52&gt;D14</formula>
    </cfRule>
  </conditionalFormatting>
  <conditionalFormatting sqref="D52:AA52">
    <cfRule type="expression" dxfId="958" priority="1537">
      <formula>D52&gt;D14</formula>
    </cfRule>
  </conditionalFormatting>
  <conditionalFormatting sqref="M178">
    <cfRule type="cellIs" dxfId="957" priority="1519" operator="equal">
      <formula>0</formula>
    </cfRule>
  </conditionalFormatting>
  <conditionalFormatting sqref="M172">
    <cfRule type="expression" dxfId="956" priority="1074">
      <formula>M171&lt;(M172+M173+M174)</formula>
    </cfRule>
    <cfRule type="expression" dxfId="955" priority="1460">
      <formula>(M174+M173+M172)&gt;M170</formula>
    </cfRule>
  </conditionalFormatting>
  <conditionalFormatting sqref="M173">
    <cfRule type="expression" dxfId="954" priority="1073">
      <formula>M171&lt;(M172+M173+M174)</formula>
    </cfRule>
    <cfRule type="expression" dxfId="953" priority="1459">
      <formula>(M174+M173+M172)&gt;M170</formula>
    </cfRule>
  </conditionalFormatting>
  <conditionalFormatting sqref="M174">
    <cfRule type="expression" dxfId="952" priority="1072">
      <formula>M171&lt;(M172+M173+M174)</formula>
    </cfRule>
    <cfRule type="expression" dxfId="951" priority="1458">
      <formula>(M174+M173+M172)&gt;M170</formula>
    </cfRule>
  </conditionalFormatting>
  <conditionalFormatting sqref="AM203:AN203">
    <cfRule type="notContainsBlanks" dxfId="950" priority="1379">
      <formula>LEN(TRIM(AM203))&gt;0</formula>
    </cfRule>
  </conditionalFormatting>
  <conditionalFormatting sqref="AJ204:AJ229">
    <cfRule type="cellIs" dxfId="949" priority="1377" operator="equal">
      <formula>0</formula>
    </cfRule>
  </conditionalFormatting>
  <conditionalFormatting sqref="AM204:AN211">
    <cfRule type="notContainsBlanks" dxfId="948" priority="1375">
      <formula>LEN(TRIM(AM204))&gt;0</formula>
    </cfRule>
  </conditionalFormatting>
  <conditionalFormatting sqref="AM212:AN212">
    <cfRule type="notContainsBlanks" dxfId="947" priority="1366">
      <formula>LEN(TRIM(AM212))&gt;0</formula>
    </cfRule>
  </conditionalFormatting>
  <conditionalFormatting sqref="AM213:AN220">
    <cfRule type="notContainsBlanks" dxfId="946" priority="1362">
      <formula>LEN(TRIM(AM213))&gt;0</formula>
    </cfRule>
  </conditionalFormatting>
  <conditionalFormatting sqref="AM221:AN221">
    <cfRule type="notContainsBlanks" dxfId="945" priority="1353">
      <formula>LEN(TRIM(AM221))&gt;0</formula>
    </cfRule>
  </conditionalFormatting>
  <conditionalFormatting sqref="AM222:AN229">
    <cfRule type="notContainsBlanks" dxfId="944" priority="1349">
      <formula>LEN(TRIM(AM222))&gt;0</formula>
    </cfRule>
  </conditionalFormatting>
  <conditionalFormatting sqref="D152:AA152">
    <cfRule type="expression" dxfId="943" priority="2803">
      <formula>SUM(D152:D153)&gt;D309</formula>
    </cfRule>
  </conditionalFormatting>
  <conditionalFormatting sqref="D153:E153">
    <cfRule type="expression" dxfId="942" priority="2804">
      <formula>SUM(D152:D153)&gt;D309</formula>
    </cfRule>
  </conditionalFormatting>
  <conditionalFormatting sqref="D196:AG196">
    <cfRule type="cellIs" dxfId="941" priority="1342" operator="equal">
      <formula>0</formula>
    </cfRule>
  </conditionalFormatting>
  <conditionalFormatting sqref="D230:AA231 AJ232 AJ230">
    <cfRule type="cellIs" dxfId="940" priority="1341" operator="equal">
      <formula>0</formula>
    </cfRule>
  </conditionalFormatting>
  <conditionalFormatting sqref="D234:AA234">
    <cfRule type="expression" dxfId="939" priority="1340">
      <formula>D234&gt;D230</formula>
    </cfRule>
  </conditionalFormatting>
  <conditionalFormatting sqref="D230:AA230">
    <cfRule type="expression" dxfId="938" priority="1339">
      <formula>D234&gt;D230</formula>
    </cfRule>
  </conditionalFormatting>
  <conditionalFormatting sqref="AJ203">
    <cfRule type="cellIs" dxfId="937" priority="1338" operator="equal">
      <formula>0</formula>
    </cfRule>
  </conditionalFormatting>
  <conditionalFormatting sqref="AJ12:AJ13">
    <cfRule type="cellIs" dxfId="936" priority="1336" operator="equal">
      <formula>0</formula>
    </cfRule>
  </conditionalFormatting>
  <conditionalFormatting sqref="AJ14">
    <cfRule type="cellIs" dxfId="935" priority="1335" operator="equal">
      <formula>0</formula>
    </cfRule>
  </conditionalFormatting>
  <conditionalFormatting sqref="AJ15:AJ17">
    <cfRule type="cellIs" dxfId="934" priority="1334" operator="equal">
      <formula>0</formula>
    </cfRule>
  </conditionalFormatting>
  <conditionalFormatting sqref="D195:AG195">
    <cfRule type="expression" dxfId="933" priority="1332">
      <formula>D195&gt;D194</formula>
    </cfRule>
  </conditionalFormatting>
  <conditionalFormatting sqref="D194:AG194">
    <cfRule type="expression" dxfId="932" priority="1331">
      <formula>D195&gt;D194</formula>
    </cfRule>
  </conditionalFormatting>
  <conditionalFormatting sqref="D196:AG196">
    <cfRule type="expression" dxfId="931" priority="1330">
      <formula>D196&gt;D195</formula>
    </cfRule>
  </conditionalFormatting>
  <conditionalFormatting sqref="D195:AG195">
    <cfRule type="expression" dxfId="930" priority="1329">
      <formula>D196&gt;D195</formula>
    </cfRule>
  </conditionalFormatting>
  <conditionalFormatting sqref="D231:AA231">
    <cfRule type="expression" dxfId="929" priority="1328">
      <formula>D231&gt;D230</formula>
    </cfRule>
  </conditionalFormatting>
  <conditionalFormatting sqref="D230:AA230">
    <cfRule type="expression" dxfId="928" priority="1327">
      <formula>D231&gt;D230</formula>
    </cfRule>
  </conditionalFormatting>
  <conditionalFormatting sqref="AK197">
    <cfRule type="notContainsBlanks" dxfId="927" priority="1326">
      <formula>LEN(TRIM(AK197))&gt;0</formula>
    </cfRule>
  </conditionalFormatting>
  <conditionalFormatting sqref="AL203">
    <cfRule type="notContainsBlanks" dxfId="926" priority="1325">
      <formula>LEN(TRIM(AL203))&gt;0</formula>
    </cfRule>
  </conditionalFormatting>
  <conditionalFormatting sqref="AL212">
    <cfRule type="notContainsBlanks" dxfId="925" priority="1324">
      <formula>LEN(TRIM(AL212))&gt;0</formula>
    </cfRule>
  </conditionalFormatting>
  <conditionalFormatting sqref="AL221">
    <cfRule type="notContainsBlanks" dxfId="924" priority="1323">
      <formula>LEN(TRIM(AL221))&gt;0</formula>
    </cfRule>
  </conditionalFormatting>
  <conditionalFormatting sqref="D198:AG198">
    <cfRule type="expression" dxfId="923" priority="1322">
      <formula>D198&gt;D197</formula>
    </cfRule>
  </conditionalFormatting>
  <conditionalFormatting sqref="D197:AG197">
    <cfRule type="expression" dxfId="922" priority="1321">
      <formula>D198&gt;D197</formula>
    </cfRule>
  </conditionalFormatting>
  <conditionalFormatting sqref="AK194">
    <cfRule type="notContainsBlanks" dxfId="921" priority="1320">
      <formula>LEN(TRIM(AK194))&gt;0</formula>
    </cfRule>
  </conditionalFormatting>
  <conditionalFormatting sqref="AK199">
    <cfRule type="notContainsBlanks" dxfId="920" priority="1319">
      <formula>LEN(TRIM(AK199))&gt;0</formula>
    </cfRule>
  </conditionalFormatting>
  <conditionalFormatting sqref="D200:AG200">
    <cfRule type="expression" dxfId="919" priority="1318">
      <formula>D200&gt;D199</formula>
    </cfRule>
  </conditionalFormatting>
  <conditionalFormatting sqref="D199:AG199">
    <cfRule type="expression" dxfId="918" priority="1317">
      <formula>D200&gt;D199</formula>
    </cfRule>
  </conditionalFormatting>
  <conditionalFormatting sqref="AK204:AK205 AK207 AK209:AK211">
    <cfRule type="notContainsBlanks" dxfId="917" priority="1316">
      <formula>LEN(TRIM(AK204))&gt;0</formula>
    </cfRule>
  </conditionalFormatting>
  <conditionalFormatting sqref="AK206">
    <cfRule type="notContainsBlanks" dxfId="916" priority="1315">
      <formula>LEN(TRIM(AK206))&gt;0</formula>
    </cfRule>
  </conditionalFormatting>
  <conditionalFormatting sqref="AK203">
    <cfRule type="notContainsBlanks" dxfId="915" priority="1314">
      <formula>LEN(TRIM(AK203))&gt;0</formula>
    </cfRule>
  </conditionalFormatting>
  <conditionalFormatting sqref="AK208">
    <cfRule type="notContainsBlanks" dxfId="914" priority="1313">
      <formula>LEN(TRIM(AK208))&gt;0</formula>
    </cfRule>
  </conditionalFormatting>
  <conditionalFormatting sqref="AK213:AK214 AK216 AK218:AK220">
    <cfRule type="notContainsBlanks" dxfId="913" priority="1312">
      <formula>LEN(TRIM(AK213))&gt;0</formula>
    </cfRule>
  </conditionalFormatting>
  <conditionalFormatting sqref="AK215">
    <cfRule type="notContainsBlanks" dxfId="912" priority="1311">
      <formula>LEN(TRIM(AK215))&gt;0</formula>
    </cfRule>
  </conditionalFormatting>
  <conditionalFormatting sqref="AK212">
    <cfRule type="notContainsBlanks" dxfId="911" priority="1310">
      <formula>LEN(TRIM(AK212))&gt;0</formula>
    </cfRule>
  </conditionalFormatting>
  <conditionalFormatting sqref="AK217">
    <cfRule type="notContainsBlanks" dxfId="910" priority="1309">
      <formula>LEN(TRIM(AK217))&gt;0</formula>
    </cfRule>
  </conditionalFormatting>
  <conditionalFormatting sqref="AK222:AK223 AK225 AK227:AK229">
    <cfRule type="notContainsBlanks" dxfId="909" priority="1308">
      <formula>LEN(TRIM(AK222))&gt;0</formula>
    </cfRule>
  </conditionalFormatting>
  <conditionalFormatting sqref="AK224">
    <cfRule type="notContainsBlanks" dxfId="908" priority="1307">
      <formula>LEN(TRIM(AK224))&gt;0</formula>
    </cfRule>
  </conditionalFormatting>
  <conditionalFormatting sqref="AK221">
    <cfRule type="notContainsBlanks" dxfId="907" priority="1306">
      <formula>LEN(TRIM(AK221))&gt;0</formula>
    </cfRule>
  </conditionalFormatting>
  <conditionalFormatting sqref="AK226">
    <cfRule type="notContainsBlanks" dxfId="906" priority="1305">
      <formula>LEN(TRIM(AK226))&gt;0</formula>
    </cfRule>
  </conditionalFormatting>
  <conditionalFormatting sqref="D203:AG203">
    <cfRule type="cellIs" dxfId="905" priority="1304" operator="equal">
      <formula>0</formula>
    </cfRule>
  </conditionalFormatting>
  <conditionalFormatting sqref="D205:AG205">
    <cfRule type="cellIs" dxfId="904" priority="1303" operator="equal">
      <formula>0</formula>
    </cfRule>
  </conditionalFormatting>
  <conditionalFormatting sqref="D204:AG204">
    <cfRule type="expression" dxfId="903" priority="1302">
      <formula>D204&gt;D203</formula>
    </cfRule>
  </conditionalFormatting>
  <conditionalFormatting sqref="D203:AG203">
    <cfRule type="expression" dxfId="902" priority="1301">
      <formula>D204&gt;D203</formula>
    </cfRule>
  </conditionalFormatting>
  <conditionalFormatting sqref="D205:AG205">
    <cfRule type="expression" dxfId="901" priority="1300">
      <formula>D205&gt;D204</formula>
    </cfRule>
  </conditionalFormatting>
  <conditionalFormatting sqref="D204:AG204">
    <cfRule type="expression" dxfId="900" priority="1299">
      <formula>D205&gt;D204</formula>
    </cfRule>
  </conditionalFormatting>
  <conditionalFormatting sqref="D207:AG207">
    <cfRule type="expression" dxfId="899" priority="1298">
      <formula>D207&gt;D206</formula>
    </cfRule>
  </conditionalFormatting>
  <conditionalFormatting sqref="D206:AG206">
    <cfRule type="expression" dxfId="898" priority="1297">
      <formula>D207&gt;D206</formula>
    </cfRule>
  </conditionalFormatting>
  <conditionalFormatting sqref="D209:AG209">
    <cfRule type="expression" dxfId="897" priority="1296">
      <formula>D209&gt;D208</formula>
    </cfRule>
  </conditionalFormatting>
  <conditionalFormatting sqref="D208:AG208">
    <cfRule type="expression" dxfId="896" priority="1295">
      <formula>D209&gt;D208</formula>
    </cfRule>
  </conditionalFormatting>
  <conditionalFormatting sqref="D214:AG214">
    <cfRule type="cellIs" dxfId="895" priority="1293" operator="equal">
      <formula>0</formula>
    </cfRule>
  </conditionalFormatting>
  <conditionalFormatting sqref="D213:AG213">
    <cfRule type="expression" dxfId="894" priority="1292">
      <formula>D213&gt;D212</formula>
    </cfRule>
  </conditionalFormatting>
  <conditionalFormatting sqref="D212:AG212">
    <cfRule type="expression" dxfId="893" priority="1291">
      <formula>D213&gt;D212</formula>
    </cfRule>
  </conditionalFormatting>
  <conditionalFormatting sqref="D214:AG214">
    <cfRule type="expression" dxfId="892" priority="1290">
      <formula>D214&gt;D213</formula>
    </cfRule>
  </conditionalFormatting>
  <conditionalFormatting sqref="D213:AG213">
    <cfRule type="expression" dxfId="891" priority="1289">
      <formula>D214&gt;D213</formula>
    </cfRule>
  </conditionalFormatting>
  <conditionalFormatting sqref="D216:AG216">
    <cfRule type="expression" dxfId="890" priority="1288">
      <formula>D216&gt;D215</formula>
    </cfRule>
  </conditionalFormatting>
  <conditionalFormatting sqref="D215:AG215">
    <cfRule type="expression" dxfId="889" priority="1287">
      <formula>D216&gt;D215</formula>
    </cfRule>
  </conditionalFormatting>
  <conditionalFormatting sqref="D218:AG218">
    <cfRule type="expression" dxfId="888" priority="1286">
      <formula>D218&gt;D217</formula>
    </cfRule>
  </conditionalFormatting>
  <conditionalFormatting sqref="D217:AG217">
    <cfRule type="expression" dxfId="887" priority="1285">
      <formula>D218&gt;D217</formula>
    </cfRule>
  </conditionalFormatting>
  <conditionalFormatting sqref="D221:AG221">
    <cfRule type="cellIs" dxfId="886" priority="1284" operator="equal">
      <formula>0</formula>
    </cfRule>
  </conditionalFormatting>
  <conditionalFormatting sqref="D223:AG223">
    <cfRule type="cellIs" dxfId="885" priority="1283" operator="equal">
      <formula>0</formula>
    </cfRule>
  </conditionalFormatting>
  <conditionalFormatting sqref="D222:AG222">
    <cfRule type="expression" dxfId="884" priority="1282">
      <formula>D222&gt;D221</formula>
    </cfRule>
  </conditionalFormatting>
  <conditionalFormatting sqref="D221:AG221">
    <cfRule type="expression" dxfId="883" priority="1281">
      <formula>D222&gt;D221</formula>
    </cfRule>
  </conditionalFormatting>
  <conditionalFormatting sqref="D223:AG223">
    <cfRule type="expression" dxfId="882" priority="1280">
      <formula>D223&gt;D222</formula>
    </cfRule>
  </conditionalFormatting>
  <conditionalFormatting sqref="D222:AG222">
    <cfRule type="expression" dxfId="881" priority="1279">
      <formula>D223&gt;D222</formula>
    </cfRule>
  </conditionalFormatting>
  <conditionalFormatting sqref="D225:AG225">
    <cfRule type="expression" dxfId="880" priority="1278">
      <formula>D225&gt;D224</formula>
    </cfRule>
  </conditionalFormatting>
  <conditionalFormatting sqref="D224:AG224">
    <cfRule type="expression" dxfId="879" priority="1277">
      <formula>D225&gt;D224</formula>
    </cfRule>
  </conditionalFormatting>
  <conditionalFormatting sqref="D227:AG227">
    <cfRule type="expression" dxfId="878" priority="1276">
      <formula>D227&gt;D226</formula>
    </cfRule>
  </conditionalFormatting>
  <conditionalFormatting sqref="D226:AG226">
    <cfRule type="expression" dxfId="877" priority="1275">
      <formula>D227&gt;D226</formula>
    </cfRule>
  </conditionalFormatting>
  <conditionalFormatting sqref="K238 M238 O238 Q238 S238 U238 W238 Y238 AA238">
    <cfRule type="expression" dxfId="876" priority="1274">
      <formula>K238&gt;K237</formula>
    </cfRule>
  </conditionalFormatting>
  <conditionalFormatting sqref="D240:AA240">
    <cfRule type="expression" dxfId="875" priority="1273">
      <formula>D240&gt;D239</formula>
    </cfRule>
  </conditionalFormatting>
  <conditionalFormatting sqref="K237 M237 O237 Q237 S237 U237 W237 Y237 AA237">
    <cfRule type="expression" dxfId="874" priority="1272">
      <formula>K237&gt;K230</formula>
    </cfRule>
  </conditionalFormatting>
  <conditionalFormatting sqref="D230:AA230">
    <cfRule type="expression" dxfId="873" priority="1271">
      <formula>D237&gt;D230</formula>
    </cfRule>
  </conditionalFormatting>
  <conditionalFormatting sqref="D333:AA333">
    <cfRule type="expression" dxfId="872" priority="1270">
      <formula>D333&gt;D329</formula>
    </cfRule>
  </conditionalFormatting>
  <conditionalFormatting sqref="AL324:AL337">
    <cfRule type="notContainsBlanks" dxfId="871" priority="1269">
      <formula>LEN(TRIM(AL324))&gt;0</formula>
    </cfRule>
  </conditionalFormatting>
  <conditionalFormatting sqref="D337:AA337">
    <cfRule type="expression" dxfId="870" priority="1268">
      <formula>D337&gt;D334</formula>
    </cfRule>
  </conditionalFormatting>
  <conditionalFormatting sqref="D334:AA334">
    <cfRule type="expression" dxfId="869" priority="1267">
      <formula>D337&gt;D334</formula>
    </cfRule>
  </conditionalFormatting>
  <conditionalFormatting sqref="AL270:AL278">
    <cfRule type="notContainsBlanks" dxfId="868" priority="1266">
      <formula>LEN(TRIM(AL270))&gt;0</formula>
    </cfRule>
  </conditionalFormatting>
  <conditionalFormatting sqref="AN270:AN278">
    <cfRule type="notContainsBlanks" dxfId="867" priority="1262">
      <formula>LEN(TRIM(AN270))&gt;0</formula>
    </cfRule>
  </conditionalFormatting>
  <conditionalFormatting sqref="AJ11">
    <cfRule type="cellIs" dxfId="866" priority="1257" operator="equal">
      <formula>0</formula>
    </cfRule>
  </conditionalFormatting>
  <conditionalFormatting sqref="AJ11">
    <cfRule type="cellIs" dxfId="865" priority="1255" operator="equal">
      <formula>0</formula>
    </cfRule>
  </conditionalFormatting>
  <conditionalFormatting sqref="D232:AA233">
    <cfRule type="cellIs" dxfId="864" priority="1253" operator="equal">
      <formula>0</formula>
    </cfRule>
  </conditionalFormatting>
  <conditionalFormatting sqref="D232:AA232">
    <cfRule type="expression" dxfId="863" priority="1252">
      <formula>D236&gt;D232</formula>
    </cfRule>
  </conditionalFormatting>
  <conditionalFormatting sqref="D233:AA233">
    <cfRule type="expression" dxfId="862" priority="1251">
      <formula>D233&gt;D232</formula>
    </cfRule>
  </conditionalFormatting>
  <conditionalFormatting sqref="D232:AA232">
    <cfRule type="expression" dxfId="861" priority="1250">
      <formula>D233&gt;D232</formula>
    </cfRule>
  </conditionalFormatting>
  <conditionalFormatting sqref="D232:AA232">
    <cfRule type="expression" dxfId="860" priority="1249">
      <formula>D239&gt;D232</formula>
    </cfRule>
  </conditionalFormatting>
  <conditionalFormatting sqref="S266">
    <cfRule type="expression" dxfId="859" priority="1248">
      <formula>S267&gt;S266</formula>
    </cfRule>
  </conditionalFormatting>
  <conditionalFormatting sqref="U266">
    <cfRule type="expression" dxfId="858" priority="1247">
      <formula>U267&gt;U266</formula>
    </cfRule>
  </conditionalFormatting>
  <conditionalFormatting sqref="W266">
    <cfRule type="expression" dxfId="857" priority="1246">
      <formula>W267&gt;W266</formula>
    </cfRule>
  </conditionalFormatting>
  <conditionalFormatting sqref="Y266">
    <cfRule type="expression" dxfId="856" priority="1245">
      <formula>Y267&gt;Y266</formula>
    </cfRule>
  </conditionalFormatting>
  <conditionalFormatting sqref="O267">
    <cfRule type="expression" dxfId="855" priority="1244">
      <formula>O267&gt;O266</formula>
    </cfRule>
  </conditionalFormatting>
  <conditionalFormatting sqref="O267">
    <cfRule type="expression" dxfId="854" priority="1242">
      <formula>O291&gt;O267</formula>
    </cfRule>
  </conditionalFormatting>
  <conditionalFormatting sqref="O267">
    <cfRule type="expression" dxfId="853" priority="1243">
      <formula>O267&gt;O266</formula>
    </cfRule>
  </conditionalFormatting>
  <conditionalFormatting sqref="M267">
    <cfRule type="expression" dxfId="852" priority="1241">
      <formula>M267&gt;M266</formula>
    </cfRule>
  </conditionalFormatting>
  <conditionalFormatting sqref="M267">
    <cfRule type="expression" dxfId="851" priority="1239">
      <formula>M291&gt;M267</formula>
    </cfRule>
  </conditionalFormatting>
  <conditionalFormatting sqref="M267">
    <cfRule type="expression" dxfId="850" priority="1240">
      <formula>M267&gt;M266</formula>
    </cfRule>
  </conditionalFormatting>
  <conditionalFormatting sqref="K267">
    <cfRule type="expression" dxfId="849" priority="1238">
      <formula>K267&gt;K266</formula>
    </cfRule>
  </conditionalFormatting>
  <conditionalFormatting sqref="K267">
    <cfRule type="expression" dxfId="848" priority="1236">
      <formula>K291&gt;K267</formula>
    </cfRule>
  </conditionalFormatting>
  <conditionalFormatting sqref="K267">
    <cfRule type="expression" dxfId="847" priority="1237">
      <formula>K267&gt;K266</formula>
    </cfRule>
  </conditionalFormatting>
  <conditionalFormatting sqref="S267">
    <cfRule type="expression" dxfId="846" priority="1235">
      <formula>S267&gt;S266</formula>
    </cfRule>
  </conditionalFormatting>
  <conditionalFormatting sqref="S267">
    <cfRule type="expression" dxfId="845" priority="1233">
      <formula>S291&gt;S267</formula>
    </cfRule>
  </conditionalFormatting>
  <conditionalFormatting sqref="S267">
    <cfRule type="expression" dxfId="844" priority="1234">
      <formula>S267&gt;S266</formula>
    </cfRule>
  </conditionalFormatting>
  <conditionalFormatting sqref="U267">
    <cfRule type="expression" dxfId="843" priority="1232">
      <formula>U267&gt;U266</formula>
    </cfRule>
  </conditionalFormatting>
  <conditionalFormatting sqref="U267">
    <cfRule type="expression" dxfId="842" priority="1230">
      <formula>U291&gt;U267</formula>
    </cfRule>
  </conditionalFormatting>
  <conditionalFormatting sqref="U267">
    <cfRule type="expression" dxfId="841" priority="1231">
      <formula>U267&gt;U266</formula>
    </cfRule>
  </conditionalFormatting>
  <conditionalFormatting sqref="W267">
    <cfRule type="expression" dxfId="840" priority="1229">
      <formula>W267&gt;W266</formula>
    </cfRule>
  </conditionalFormatting>
  <conditionalFormatting sqref="W267">
    <cfRule type="expression" dxfId="839" priority="1227">
      <formula>W291&gt;W267</formula>
    </cfRule>
  </conditionalFormatting>
  <conditionalFormatting sqref="W267">
    <cfRule type="expression" dxfId="838" priority="1228">
      <formula>W267&gt;W266</formula>
    </cfRule>
  </conditionalFormatting>
  <conditionalFormatting sqref="Y267">
    <cfRule type="expression" dxfId="837" priority="1226">
      <formula>Y267&gt;Y266</formula>
    </cfRule>
  </conditionalFormatting>
  <conditionalFormatting sqref="Y267">
    <cfRule type="expression" dxfId="836" priority="1224">
      <formula>Y291&gt;Y267</formula>
    </cfRule>
  </conditionalFormatting>
  <conditionalFormatting sqref="Y267">
    <cfRule type="expression" dxfId="835" priority="1225">
      <formula>Y267&gt;Y266</formula>
    </cfRule>
  </conditionalFormatting>
  <conditionalFormatting sqref="D333:AA333">
    <cfRule type="expression" dxfId="834" priority="1223">
      <formula>D333&gt;D326</formula>
    </cfRule>
  </conditionalFormatting>
  <conditionalFormatting sqref="D326:AA326">
    <cfRule type="expression" dxfId="833" priority="1222">
      <formula>D333&gt;D326</formula>
    </cfRule>
  </conditionalFormatting>
  <conditionalFormatting sqref="AN324:AN337">
    <cfRule type="notContainsBlanks" dxfId="832" priority="1221">
      <formula>LEN(TRIM(AN324))&gt;0</formula>
    </cfRule>
  </conditionalFormatting>
  <conditionalFormatting sqref="D324:AA324">
    <cfRule type="expression" dxfId="831" priority="1220">
      <formula>D324&gt;D335</formula>
    </cfRule>
  </conditionalFormatting>
  <conditionalFormatting sqref="D335:AA335">
    <cfRule type="expression" dxfId="830" priority="1219">
      <formula>D324&gt;D335</formula>
    </cfRule>
  </conditionalFormatting>
  <conditionalFormatting sqref="D325:AA325">
    <cfRule type="expression" dxfId="829" priority="1218">
      <formula>D325&gt;D336</formula>
    </cfRule>
  </conditionalFormatting>
  <conditionalFormatting sqref="D336:AA336">
    <cfRule type="expression" dxfId="828" priority="1217">
      <formula>D325&gt;D336</formula>
    </cfRule>
  </conditionalFormatting>
  <conditionalFormatting sqref="K295">
    <cfRule type="expression" dxfId="827" priority="1216">
      <formula>K295&gt;K265+K263</formula>
    </cfRule>
  </conditionalFormatting>
  <conditionalFormatting sqref="M295">
    <cfRule type="expression" dxfId="826" priority="1215">
      <formula>M295&gt;M265+M263</formula>
    </cfRule>
  </conditionalFormatting>
  <conditionalFormatting sqref="O295">
    <cfRule type="expression" dxfId="825" priority="1214">
      <formula>O295&gt;O265+O263</formula>
    </cfRule>
  </conditionalFormatting>
  <conditionalFormatting sqref="Q295">
    <cfRule type="expression" dxfId="824" priority="1213">
      <formula>Q295&gt;Q265+Q263</formula>
    </cfRule>
  </conditionalFormatting>
  <conditionalFormatting sqref="S295">
    <cfRule type="expression" dxfId="823" priority="1212">
      <formula>S295&gt;S265+S263</formula>
    </cfRule>
  </conditionalFormatting>
  <conditionalFormatting sqref="U295">
    <cfRule type="expression" dxfId="822" priority="1211">
      <formula>U295&gt;U265+U263</formula>
    </cfRule>
  </conditionalFormatting>
  <conditionalFormatting sqref="W295">
    <cfRule type="expression" dxfId="821" priority="1210">
      <formula>W295&gt;W265+W263</formula>
    </cfRule>
  </conditionalFormatting>
  <conditionalFormatting sqref="Y295">
    <cfRule type="expression" dxfId="820" priority="1209">
      <formula>Y295&gt;Y265+Y263</formula>
    </cfRule>
  </conditionalFormatting>
  <conditionalFormatting sqref="K265">
    <cfRule type="expression" dxfId="819" priority="1208">
      <formula>K295&gt;K265+K263</formula>
    </cfRule>
  </conditionalFormatting>
  <conditionalFormatting sqref="M265">
    <cfRule type="expression" dxfId="818" priority="1207">
      <formula>M295&gt;M265+M263</formula>
    </cfRule>
  </conditionalFormatting>
  <conditionalFormatting sqref="O265">
    <cfRule type="expression" dxfId="817" priority="1206">
      <formula>O295&gt;O265+O263</formula>
    </cfRule>
  </conditionalFormatting>
  <conditionalFormatting sqref="Q265">
    <cfRule type="expression" dxfId="816" priority="1205">
      <formula>Q295&gt;Q265+Q263</formula>
    </cfRule>
  </conditionalFormatting>
  <conditionalFormatting sqref="S265">
    <cfRule type="expression" dxfId="815" priority="1204">
      <formula>S295&gt;S265+S263</formula>
    </cfRule>
  </conditionalFormatting>
  <conditionalFormatting sqref="U265">
    <cfRule type="expression" dxfId="814" priority="1203">
      <formula>U295&gt;U265+U263</formula>
    </cfRule>
  </conditionalFormatting>
  <conditionalFormatting sqref="W265">
    <cfRule type="expression" dxfId="813" priority="1202">
      <formula>W295&gt;W265+W263</formula>
    </cfRule>
  </conditionalFormatting>
  <conditionalFormatting sqref="Y265">
    <cfRule type="expression" dxfId="812" priority="1201">
      <formula>Y295&gt;Y265+Y263</formula>
    </cfRule>
  </conditionalFormatting>
  <conditionalFormatting sqref="M263">
    <cfRule type="expression" dxfId="811" priority="1196">
      <formula>M295&gt;M265+M263</formula>
    </cfRule>
    <cfRule type="expression" dxfId="810" priority="1199">
      <formula>M289&gt;M263</formula>
    </cfRule>
  </conditionalFormatting>
  <conditionalFormatting sqref="M263">
    <cfRule type="expression" dxfId="809" priority="1198">
      <formula>M289&gt;M263</formula>
    </cfRule>
  </conditionalFormatting>
  <conditionalFormatting sqref="M263">
    <cfRule type="expression" dxfId="808" priority="1197">
      <formula>M263&gt;M262</formula>
    </cfRule>
  </conditionalFormatting>
  <conditionalFormatting sqref="O263">
    <cfRule type="expression" dxfId="807" priority="1192">
      <formula>O295&gt;O265+O263</formula>
    </cfRule>
    <cfRule type="expression" dxfId="806" priority="1195">
      <formula>O289&gt;O263</formula>
    </cfRule>
  </conditionalFormatting>
  <conditionalFormatting sqref="O263">
    <cfRule type="expression" dxfId="805" priority="1194">
      <formula>O289&gt;O263</formula>
    </cfRule>
  </conditionalFormatting>
  <conditionalFormatting sqref="O263">
    <cfRule type="expression" dxfId="804" priority="1193">
      <formula>O263&gt;O262</formula>
    </cfRule>
  </conditionalFormatting>
  <conditionalFormatting sqref="Q263">
    <cfRule type="expression" dxfId="803" priority="1188">
      <formula>Q295&gt;Q265+Q263</formula>
    </cfRule>
    <cfRule type="expression" dxfId="802" priority="1191">
      <formula>Q289&gt;Q263</formula>
    </cfRule>
  </conditionalFormatting>
  <conditionalFormatting sqref="Q263">
    <cfRule type="expression" dxfId="801" priority="1190">
      <formula>Q289&gt;Q263</formula>
    </cfRule>
  </conditionalFormatting>
  <conditionalFormatting sqref="Q263">
    <cfRule type="expression" dxfId="800" priority="1189">
      <formula>Q263&gt;Q262</formula>
    </cfRule>
  </conditionalFormatting>
  <conditionalFormatting sqref="S263">
    <cfRule type="expression" dxfId="799" priority="1184">
      <formula>S295&gt;S265+S263</formula>
    </cfRule>
    <cfRule type="expression" dxfId="798" priority="1187">
      <formula>S289&gt;S263</formula>
    </cfRule>
  </conditionalFormatting>
  <conditionalFormatting sqref="S263">
    <cfRule type="expression" dxfId="797" priority="1186">
      <formula>S289&gt;S263</formula>
    </cfRule>
  </conditionalFormatting>
  <conditionalFormatting sqref="S263">
    <cfRule type="expression" dxfId="796" priority="1185">
      <formula>S263&gt;S262</formula>
    </cfRule>
  </conditionalFormatting>
  <conditionalFormatting sqref="U263">
    <cfRule type="expression" dxfId="795" priority="1180">
      <formula>U295&gt;U265+U263</formula>
    </cfRule>
    <cfRule type="expression" dxfId="794" priority="1183">
      <formula>U289&gt;U263</formula>
    </cfRule>
  </conditionalFormatting>
  <conditionalFormatting sqref="U263">
    <cfRule type="expression" dxfId="793" priority="1182">
      <formula>U289&gt;U263</formula>
    </cfRule>
  </conditionalFormatting>
  <conditionalFormatting sqref="U263">
    <cfRule type="expression" dxfId="792" priority="1181">
      <formula>U263&gt;U262</formula>
    </cfRule>
  </conditionalFormatting>
  <conditionalFormatting sqref="W263">
    <cfRule type="expression" dxfId="791" priority="1176">
      <formula>W295&gt;W265+W263</formula>
    </cfRule>
    <cfRule type="expression" dxfId="790" priority="1179">
      <formula>W289&gt;W263</formula>
    </cfRule>
  </conditionalFormatting>
  <conditionalFormatting sqref="W263">
    <cfRule type="expression" dxfId="789" priority="1178">
      <formula>W289&gt;W263</formula>
    </cfRule>
  </conditionalFormatting>
  <conditionalFormatting sqref="W263">
    <cfRule type="expression" dxfId="788" priority="1177">
      <formula>W263&gt;W262</formula>
    </cfRule>
  </conditionalFormatting>
  <conditionalFormatting sqref="Y263">
    <cfRule type="expression" dxfId="787" priority="1172">
      <formula>Y295&gt;Y265+Y263</formula>
    </cfRule>
    <cfRule type="expression" dxfId="786" priority="1175">
      <formula>Y289&gt;Y263</formula>
    </cfRule>
  </conditionalFormatting>
  <conditionalFormatting sqref="Y263">
    <cfRule type="expression" dxfId="785" priority="1174">
      <formula>Y289&gt;Y263</formula>
    </cfRule>
  </conditionalFormatting>
  <conditionalFormatting sqref="Y263">
    <cfRule type="expression" dxfId="784" priority="1173">
      <formula>Y263&gt;Y262</formula>
    </cfRule>
  </conditionalFormatting>
  <conditionalFormatting sqref="J103:AA103">
    <cfRule type="cellIs" dxfId="783" priority="1171" operator="equal">
      <formula>0</formula>
    </cfRule>
  </conditionalFormatting>
  <conditionalFormatting sqref="AJ10">
    <cfRule type="cellIs" dxfId="782" priority="1170" operator="equal">
      <formula>0</formula>
    </cfRule>
  </conditionalFormatting>
  <conditionalFormatting sqref="AJ8:AJ9">
    <cfRule type="cellIs" dxfId="781" priority="1169" operator="equal">
      <formula>0</formula>
    </cfRule>
  </conditionalFormatting>
  <conditionalFormatting sqref="AJ381">
    <cfRule type="cellIs" dxfId="780" priority="1167" operator="equal">
      <formula>0</formula>
    </cfRule>
  </conditionalFormatting>
  <conditionalFormatting sqref="AM381">
    <cfRule type="notContainsBlanks" dxfId="779" priority="1168">
      <formula>LEN(TRIM(AM381))&gt;0</formula>
    </cfRule>
  </conditionalFormatting>
  <conditionalFormatting sqref="AK381">
    <cfRule type="notContainsBlanks" dxfId="778" priority="1165">
      <formula>LEN(TRIM(AK381))&gt;0</formula>
    </cfRule>
  </conditionalFormatting>
  <conditionalFormatting sqref="J107:AA107">
    <cfRule type="expression" dxfId="777" priority="1162">
      <formula>J108&gt;J107</formula>
    </cfRule>
  </conditionalFormatting>
  <conditionalFormatting sqref="D307:AA307">
    <cfRule type="expression" dxfId="776" priority="1161">
      <formula>D307&gt;D299</formula>
    </cfRule>
  </conditionalFormatting>
  <conditionalFormatting sqref="D299:AA299">
    <cfRule type="expression" dxfId="775" priority="1160">
      <formula>D307&gt;D299</formula>
    </cfRule>
  </conditionalFormatting>
  <conditionalFormatting sqref="D278:E278">
    <cfRule type="expression" dxfId="774" priority="1159">
      <formula>D278&lt;&gt;D299</formula>
    </cfRule>
  </conditionalFormatting>
  <conditionalFormatting sqref="D299:E299">
    <cfRule type="expression" dxfId="773" priority="1158">
      <formula>D278&lt;&gt;D299</formula>
    </cfRule>
  </conditionalFormatting>
  <conditionalFormatting sqref="J113:AA113">
    <cfRule type="expression" dxfId="772" priority="1150">
      <formula>J113&gt;J112</formula>
    </cfRule>
  </conditionalFormatting>
  <conditionalFormatting sqref="J112:AA112">
    <cfRule type="expression" dxfId="771" priority="1149">
      <formula>J113&gt;J112</formula>
    </cfRule>
  </conditionalFormatting>
  <conditionalFormatting sqref="J115:AA115">
    <cfRule type="expression" dxfId="770" priority="1148">
      <formula>J115&gt;(J113-J114)</formula>
    </cfRule>
  </conditionalFormatting>
  <conditionalFormatting sqref="J113:AA113">
    <cfRule type="expression" dxfId="769" priority="1147">
      <formula>J115&gt;(J113-J114)</formula>
    </cfRule>
  </conditionalFormatting>
  <conditionalFormatting sqref="M178">
    <cfRule type="expression" dxfId="768" priority="1145">
      <formula>M179&gt;M178</formula>
    </cfRule>
  </conditionalFormatting>
  <conditionalFormatting sqref="O178">
    <cfRule type="cellIs" dxfId="767" priority="1144" operator="equal">
      <formula>0</formula>
    </cfRule>
  </conditionalFormatting>
  <conditionalFormatting sqref="O178">
    <cfRule type="expression" dxfId="766" priority="1142">
      <formula>O179&gt;O178</formula>
    </cfRule>
  </conditionalFormatting>
  <conditionalFormatting sqref="Q178">
    <cfRule type="cellIs" dxfId="765" priority="1141" operator="equal">
      <formula>0</formula>
    </cfRule>
  </conditionalFormatting>
  <conditionalFormatting sqref="Q178">
    <cfRule type="expression" dxfId="764" priority="1139">
      <formula>Q179&gt;Q178</formula>
    </cfRule>
  </conditionalFormatting>
  <conditionalFormatting sqref="S178">
    <cfRule type="cellIs" dxfId="763" priority="1138" operator="equal">
      <formula>0</formula>
    </cfRule>
  </conditionalFormatting>
  <conditionalFormatting sqref="S178">
    <cfRule type="expression" dxfId="762" priority="1136">
      <formula>S179&gt;S178</formula>
    </cfRule>
  </conditionalFormatting>
  <conditionalFormatting sqref="U178">
    <cfRule type="cellIs" dxfId="761" priority="1135" operator="equal">
      <formula>0</formula>
    </cfRule>
  </conditionalFormatting>
  <conditionalFormatting sqref="U178">
    <cfRule type="expression" dxfId="760" priority="1133">
      <formula>U179&gt;U178</formula>
    </cfRule>
  </conditionalFormatting>
  <conditionalFormatting sqref="W178">
    <cfRule type="cellIs" dxfId="759" priority="1132" operator="equal">
      <formula>0</formula>
    </cfRule>
  </conditionalFormatting>
  <conditionalFormatting sqref="W178">
    <cfRule type="expression" dxfId="758" priority="1130">
      <formula>W179&gt;W178</formula>
    </cfRule>
  </conditionalFormatting>
  <conditionalFormatting sqref="Y178">
    <cfRule type="cellIs" dxfId="757" priority="1129" operator="equal">
      <formula>0</formula>
    </cfRule>
  </conditionalFormatting>
  <conditionalFormatting sqref="Y178">
    <cfRule type="expression" dxfId="756" priority="1127">
      <formula>Y179&gt;Y178</formula>
    </cfRule>
  </conditionalFormatting>
  <conditionalFormatting sqref="AA178">
    <cfRule type="cellIs" dxfId="755" priority="1126" operator="equal">
      <formula>0</formula>
    </cfRule>
  </conditionalFormatting>
  <conditionalFormatting sqref="AA178">
    <cfRule type="expression" dxfId="754" priority="1124">
      <formula>AA179&gt;AA178</formula>
    </cfRule>
  </conditionalFormatting>
  <conditionalFormatting sqref="M186">
    <cfRule type="cellIs" dxfId="753" priority="1123" operator="equal">
      <formula>0</formula>
    </cfRule>
  </conditionalFormatting>
  <conditionalFormatting sqref="M186">
    <cfRule type="expression" dxfId="752" priority="1121">
      <formula>M187&gt;M186</formula>
    </cfRule>
  </conditionalFormatting>
  <conditionalFormatting sqref="O186">
    <cfRule type="cellIs" dxfId="751" priority="1120" operator="equal">
      <formula>0</formula>
    </cfRule>
  </conditionalFormatting>
  <conditionalFormatting sqref="O186">
    <cfRule type="expression" dxfId="750" priority="1118">
      <formula>O187&gt;O186</formula>
    </cfRule>
  </conditionalFormatting>
  <conditionalFormatting sqref="Q186">
    <cfRule type="cellIs" dxfId="749" priority="1117" operator="equal">
      <formula>0</formula>
    </cfRule>
  </conditionalFormatting>
  <conditionalFormatting sqref="Q186">
    <cfRule type="expression" dxfId="748" priority="1115">
      <formula>Q187&gt;Q186</formula>
    </cfRule>
  </conditionalFormatting>
  <conditionalFormatting sqref="S186">
    <cfRule type="cellIs" dxfId="747" priority="1114" operator="equal">
      <formula>0</formula>
    </cfRule>
  </conditionalFormatting>
  <conditionalFormatting sqref="S186">
    <cfRule type="expression" dxfId="746" priority="1112">
      <formula>S187&gt;S186</formula>
    </cfRule>
  </conditionalFormatting>
  <conditionalFormatting sqref="U186">
    <cfRule type="cellIs" dxfId="745" priority="1111" operator="equal">
      <formula>0</formula>
    </cfRule>
  </conditionalFormatting>
  <conditionalFormatting sqref="U186">
    <cfRule type="expression" dxfId="744" priority="1109">
      <formula>U187&gt;U186</formula>
    </cfRule>
  </conditionalFormatting>
  <conditionalFormatting sqref="W186">
    <cfRule type="cellIs" dxfId="743" priority="1108" operator="equal">
      <formula>0</formula>
    </cfRule>
  </conditionalFormatting>
  <conditionalFormatting sqref="W186">
    <cfRule type="expression" dxfId="742" priority="1106">
      <formula>W187&gt;W186</formula>
    </cfRule>
  </conditionalFormatting>
  <conditionalFormatting sqref="Y186">
    <cfRule type="cellIs" dxfId="741" priority="1105" operator="equal">
      <formula>0</formula>
    </cfRule>
  </conditionalFormatting>
  <conditionalFormatting sqref="Y186">
    <cfRule type="expression" dxfId="740" priority="1103">
      <formula>Y187&gt;Y186</formula>
    </cfRule>
  </conditionalFormatting>
  <conditionalFormatting sqref="AA186">
    <cfRule type="cellIs" dxfId="739" priority="1102" operator="equal">
      <formula>0</formula>
    </cfRule>
  </conditionalFormatting>
  <conditionalFormatting sqref="AA186">
    <cfRule type="expression" dxfId="738" priority="1100">
      <formula>AA187&gt;AA186</formula>
    </cfRule>
  </conditionalFormatting>
  <conditionalFormatting sqref="M170:M171">
    <cfRule type="cellIs" dxfId="737" priority="1099" operator="equal">
      <formula>0</formula>
    </cfRule>
  </conditionalFormatting>
  <conditionalFormatting sqref="M171">
    <cfRule type="expression" dxfId="736" priority="1075">
      <formula>M171&lt;(M172+M173+M174)</formula>
    </cfRule>
    <cfRule type="expression" dxfId="735" priority="1098">
      <formula>M171&gt;M170</formula>
    </cfRule>
  </conditionalFormatting>
  <conditionalFormatting sqref="M170">
    <cfRule type="expression" dxfId="734" priority="1097">
      <formula>M171&gt;M170</formula>
    </cfRule>
  </conditionalFormatting>
  <conditionalFormatting sqref="O170">
    <cfRule type="cellIs" dxfId="733" priority="1096" operator="equal">
      <formula>0</formula>
    </cfRule>
  </conditionalFormatting>
  <conditionalFormatting sqref="O170">
    <cfRule type="expression" dxfId="732" priority="1094">
      <formula>O171&gt;O170</formula>
    </cfRule>
  </conditionalFormatting>
  <conditionalFormatting sqref="Q170">
    <cfRule type="cellIs" dxfId="731" priority="1093" operator="equal">
      <formula>0</formula>
    </cfRule>
  </conditionalFormatting>
  <conditionalFormatting sqref="Q170">
    <cfRule type="expression" dxfId="730" priority="1091">
      <formula>Q171&gt;Q170</formula>
    </cfRule>
  </conditionalFormatting>
  <conditionalFormatting sqref="S170">
    <cfRule type="cellIs" dxfId="729" priority="1090" operator="equal">
      <formula>0</formula>
    </cfRule>
  </conditionalFormatting>
  <conditionalFormatting sqref="S170">
    <cfRule type="expression" dxfId="728" priority="1088">
      <formula>S171&gt;S170</formula>
    </cfRule>
  </conditionalFormatting>
  <conditionalFormatting sqref="U170">
    <cfRule type="cellIs" dxfId="727" priority="1087" operator="equal">
      <formula>0</formula>
    </cfRule>
  </conditionalFormatting>
  <conditionalFormatting sqref="U170">
    <cfRule type="expression" dxfId="726" priority="1085">
      <formula>U171&gt;U170</formula>
    </cfRule>
  </conditionalFormatting>
  <conditionalFormatting sqref="W170">
    <cfRule type="cellIs" dxfId="725" priority="1084" operator="equal">
      <formula>0</formula>
    </cfRule>
  </conditionalFormatting>
  <conditionalFormatting sqref="W170">
    <cfRule type="expression" dxfId="724" priority="1082">
      <formula>W171&gt;W170</formula>
    </cfRule>
  </conditionalFormatting>
  <conditionalFormatting sqref="Y170">
    <cfRule type="cellIs" dxfId="723" priority="1081" operator="equal">
      <formula>0</formula>
    </cfRule>
  </conditionalFormatting>
  <conditionalFormatting sqref="Y170">
    <cfRule type="expression" dxfId="722" priority="1079">
      <formula>Y171&gt;Y170</formula>
    </cfRule>
  </conditionalFormatting>
  <conditionalFormatting sqref="AA170">
    <cfRule type="cellIs" dxfId="721" priority="1078" operator="equal">
      <formula>0</formula>
    </cfRule>
  </conditionalFormatting>
  <conditionalFormatting sqref="AA170">
    <cfRule type="expression" dxfId="720" priority="1076">
      <formula>AA171&gt;AA170</formula>
    </cfRule>
  </conditionalFormatting>
  <conditionalFormatting sqref="O172">
    <cfRule type="expression" dxfId="719" priority="1065">
      <formula>O171&lt;(O172+O173+O174)</formula>
    </cfRule>
    <cfRule type="expression" dxfId="718" priority="1071">
      <formula>(O174+O173+O172)&gt;O170</formula>
    </cfRule>
  </conditionalFormatting>
  <conditionalFormatting sqref="O173">
    <cfRule type="expression" dxfId="717" priority="1064">
      <formula>O171&lt;(O172+O173+O174)</formula>
    </cfRule>
    <cfRule type="expression" dxfId="716" priority="1070">
      <formula>(O174+O173+O172)&gt;O170</formula>
    </cfRule>
  </conditionalFormatting>
  <conditionalFormatting sqref="O174">
    <cfRule type="expression" dxfId="715" priority="1063">
      <formula>O171&lt;(O172+O173+O174)</formula>
    </cfRule>
    <cfRule type="expression" dxfId="714" priority="1069">
      <formula>(O174+O173+O172)&gt;O170</formula>
    </cfRule>
  </conditionalFormatting>
  <conditionalFormatting sqref="O171">
    <cfRule type="cellIs" dxfId="713" priority="1068" operator="equal">
      <formula>0</formula>
    </cfRule>
  </conditionalFormatting>
  <conditionalFormatting sqref="O171">
    <cfRule type="expression" dxfId="712" priority="1066">
      <formula>O171&lt;(O172+O173+O174)</formula>
    </cfRule>
    <cfRule type="expression" dxfId="711" priority="1067">
      <formula>O171&gt;O170</formula>
    </cfRule>
  </conditionalFormatting>
  <conditionalFormatting sqref="Q172">
    <cfRule type="expression" dxfId="710" priority="1056">
      <formula>Q171&lt;(Q172+Q173+Q174)</formula>
    </cfRule>
    <cfRule type="expression" dxfId="709" priority="1062">
      <formula>(Q174+Q173+Q172)&gt;Q170</formula>
    </cfRule>
  </conditionalFormatting>
  <conditionalFormatting sqref="Q173">
    <cfRule type="expression" dxfId="708" priority="1055">
      <formula>Q171&lt;(Q172+Q173+Q174)</formula>
    </cfRule>
    <cfRule type="expression" dxfId="707" priority="1061">
      <formula>(Q174+Q173+Q172)&gt;Q170</formula>
    </cfRule>
  </conditionalFormatting>
  <conditionalFormatting sqref="Q174">
    <cfRule type="expression" dxfId="706" priority="1054">
      <formula>Q171&lt;(Q172+Q173+Q174)</formula>
    </cfRule>
    <cfRule type="expression" dxfId="705" priority="1060">
      <formula>(Q174+Q173+Q172)&gt;Q170</formula>
    </cfRule>
  </conditionalFormatting>
  <conditionalFormatting sqref="Q171">
    <cfRule type="cellIs" dxfId="704" priority="1059" operator="equal">
      <formula>0</formula>
    </cfRule>
  </conditionalFormatting>
  <conditionalFormatting sqref="Q171">
    <cfRule type="expression" dxfId="703" priority="1057">
      <formula>Q171&lt;(Q172+Q173+Q174)</formula>
    </cfRule>
    <cfRule type="expression" dxfId="702" priority="1058">
      <formula>Q171&gt;Q170</formula>
    </cfRule>
  </conditionalFormatting>
  <conditionalFormatting sqref="S172">
    <cfRule type="expression" dxfId="701" priority="1047">
      <formula>S171&lt;(S172+S173+S174)</formula>
    </cfRule>
    <cfRule type="expression" dxfId="700" priority="1053">
      <formula>(S174+S173+S172)&gt;S170</formula>
    </cfRule>
  </conditionalFormatting>
  <conditionalFormatting sqref="S173">
    <cfRule type="expression" dxfId="699" priority="1046">
      <formula>S171&lt;(S172+S173+S174)</formula>
    </cfRule>
    <cfRule type="expression" dxfId="698" priority="1052">
      <formula>(S174+S173+S172)&gt;S170</formula>
    </cfRule>
  </conditionalFormatting>
  <conditionalFormatting sqref="S174">
    <cfRule type="expression" dxfId="697" priority="1045">
      <formula>S171&lt;(S172+S173+S174)</formula>
    </cfRule>
    <cfRule type="expression" dxfId="696" priority="1051">
      <formula>(S174+S173+S172)&gt;S170</formula>
    </cfRule>
  </conditionalFormatting>
  <conditionalFormatting sqref="S171">
    <cfRule type="cellIs" dxfId="695" priority="1050" operator="equal">
      <formula>0</formula>
    </cfRule>
  </conditionalFormatting>
  <conditionalFormatting sqref="S171">
    <cfRule type="expression" dxfId="694" priority="1048">
      <formula>S171&lt;(S172+S173+S174)</formula>
    </cfRule>
    <cfRule type="expression" dxfId="693" priority="1049">
      <formula>S171&gt;S170</formula>
    </cfRule>
  </conditionalFormatting>
  <conditionalFormatting sqref="U172">
    <cfRule type="expression" dxfId="692" priority="1038">
      <formula>U171&lt;(U172+U173+U174)</formula>
    </cfRule>
    <cfRule type="expression" dxfId="691" priority="1044">
      <formula>(U174+U173+U172)&gt;U170</formula>
    </cfRule>
  </conditionalFormatting>
  <conditionalFormatting sqref="U173">
    <cfRule type="expression" dxfId="690" priority="1037">
      <formula>U171&lt;(U172+U173+U174)</formula>
    </cfRule>
    <cfRule type="expression" dxfId="689" priority="1043">
      <formula>(U174+U173+U172)&gt;U170</formula>
    </cfRule>
  </conditionalFormatting>
  <conditionalFormatting sqref="U174">
    <cfRule type="expression" dxfId="688" priority="1036">
      <formula>U171&lt;(U172+U173+U174)</formula>
    </cfRule>
    <cfRule type="expression" dxfId="687" priority="1042">
      <formula>(U174+U173+U172)&gt;U170</formula>
    </cfRule>
  </conditionalFormatting>
  <conditionalFormatting sqref="U171">
    <cfRule type="cellIs" dxfId="686" priority="1041" operator="equal">
      <formula>0</formula>
    </cfRule>
  </conditionalFormatting>
  <conditionalFormatting sqref="U171">
    <cfRule type="expression" dxfId="685" priority="1039">
      <formula>U171&lt;(U172+U173+U174)</formula>
    </cfRule>
    <cfRule type="expression" dxfId="684" priority="1040">
      <formula>U171&gt;U170</formula>
    </cfRule>
  </conditionalFormatting>
  <conditionalFormatting sqref="W172">
    <cfRule type="expression" dxfId="683" priority="1029">
      <formula>W171&lt;(W172+W173+W174)</formula>
    </cfRule>
    <cfRule type="expression" dxfId="682" priority="1035">
      <formula>(W174+W173+W172)&gt;W170</formula>
    </cfRule>
  </conditionalFormatting>
  <conditionalFormatting sqref="W173">
    <cfRule type="expression" dxfId="681" priority="1028">
      <formula>W171&lt;(W172+W173+W174)</formula>
    </cfRule>
    <cfRule type="expression" dxfId="680" priority="1034">
      <formula>(W174+W173+W172)&gt;W170</formula>
    </cfRule>
  </conditionalFormatting>
  <conditionalFormatting sqref="W174">
    <cfRule type="expression" dxfId="679" priority="1027">
      <formula>W171&lt;(W172+W173+W174)</formula>
    </cfRule>
    <cfRule type="expression" dxfId="678" priority="1033">
      <formula>(W174+W173+W172)&gt;W170</formula>
    </cfRule>
  </conditionalFormatting>
  <conditionalFormatting sqref="W171">
    <cfRule type="cellIs" dxfId="677" priority="1032" operator="equal">
      <formula>0</formula>
    </cfRule>
  </conditionalFormatting>
  <conditionalFormatting sqref="W171">
    <cfRule type="expression" dxfId="676" priority="1030">
      <formula>W171&lt;(W172+W173+W174)</formula>
    </cfRule>
    <cfRule type="expression" dxfId="675" priority="1031">
      <formula>W171&gt;W170</formula>
    </cfRule>
  </conditionalFormatting>
  <conditionalFormatting sqref="Y172">
    <cfRule type="expression" dxfId="674" priority="1020">
      <formula>Y171&lt;(Y172+Y173+Y174)</formula>
    </cfRule>
    <cfRule type="expression" dxfId="673" priority="1026">
      <formula>(Y174+Y173+Y172)&gt;Y170</formula>
    </cfRule>
  </conditionalFormatting>
  <conditionalFormatting sqref="Y173">
    <cfRule type="expression" dxfId="672" priority="1019">
      <formula>Y171&lt;(Y172+Y173+Y174)</formula>
    </cfRule>
    <cfRule type="expression" dxfId="671" priority="1025">
      <formula>(Y174+Y173+Y172)&gt;Y170</formula>
    </cfRule>
  </conditionalFormatting>
  <conditionalFormatting sqref="Y174">
    <cfRule type="expression" dxfId="670" priority="1018">
      <formula>Y171&lt;(Y172+Y173+Y174)</formula>
    </cfRule>
    <cfRule type="expression" dxfId="669" priority="1024">
      <formula>(Y174+Y173+Y172)&gt;Y170</formula>
    </cfRule>
  </conditionalFormatting>
  <conditionalFormatting sqref="Y171">
    <cfRule type="cellIs" dxfId="668" priority="1023" operator="equal">
      <formula>0</formula>
    </cfRule>
  </conditionalFormatting>
  <conditionalFormatting sqref="Y171">
    <cfRule type="expression" dxfId="667" priority="1021">
      <formula>Y171&lt;(Y172+Y173+Y174)</formula>
    </cfRule>
    <cfRule type="expression" dxfId="666" priority="1022">
      <formula>Y171&gt;Y170</formula>
    </cfRule>
  </conditionalFormatting>
  <conditionalFormatting sqref="AA172">
    <cfRule type="expression" dxfId="665" priority="1011">
      <formula>AA171&lt;(AA172+AA173+AA174)</formula>
    </cfRule>
    <cfRule type="expression" dxfId="664" priority="1017">
      <formula>(AA174+AA173+AA172)&gt;AA170</formula>
    </cfRule>
  </conditionalFormatting>
  <conditionalFormatting sqref="AA173">
    <cfRule type="expression" dxfId="663" priority="1010">
      <formula>AA171&lt;(AA172+AA173+AA174)</formula>
    </cfRule>
    <cfRule type="expression" dxfId="662" priority="1016">
      <formula>(AA174+AA173+AA172)&gt;AA170</formula>
    </cfRule>
  </conditionalFormatting>
  <conditionalFormatting sqref="AA174">
    <cfRule type="expression" dxfId="661" priority="1009">
      <formula>AA171&lt;(AA172+AA173+AA174)</formula>
    </cfRule>
    <cfRule type="expression" dxfId="660" priority="1015">
      <formula>(AA174+AA173+AA172)&gt;AA170</formula>
    </cfRule>
  </conditionalFormatting>
  <conditionalFormatting sqref="AA171">
    <cfRule type="cellIs" dxfId="659" priority="1014" operator="equal">
      <formula>0</formula>
    </cfRule>
  </conditionalFormatting>
  <conditionalFormatting sqref="AA171">
    <cfRule type="expression" dxfId="658" priority="1012">
      <formula>AA171&lt;(AA172+AA173+AA174)</formula>
    </cfRule>
    <cfRule type="expression" dxfId="657" priority="1013">
      <formula>AA171&gt;AA170</formula>
    </cfRule>
  </conditionalFormatting>
  <conditionalFormatting sqref="M180">
    <cfRule type="expression" dxfId="656" priority="1002">
      <formula>M179&lt;(M180+M181+M182)</formula>
    </cfRule>
    <cfRule type="expression" dxfId="655" priority="1008">
      <formula>(M182+M181+M180)&gt;M178</formula>
    </cfRule>
  </conditionalFormatting>
  <conditionalFormatting sqref="M181">
    <cfRule type="expression" dxfId="654" priority="1001">
      <formula>M179&lt;(M180+M181+M182)</formula>
    </cfRule>
    <cfRule type="expression" dxfId="653" priority="1007">
      <formula>(M182+M181+M180)&gt;M178</formula>
    </cfRule>
  </conditionalFormatting>
  <conditionalFormatting sqref="M182">
    <cfRule type="expression" dxfId="652" priority="1000">
      <formula>M179&lt;(M180+M181+M182)</formula>
    </cfRule>
    <cfRule type="expression" dxfId="651" priority="1006">
      <formula>(M182+M181+M180)&gt;M178</formula>
    </cfRule>
  </conditionalFormatting>
  <conditionalFormatting sqref="M179">
    <cfRule type="cellIs" dxfId="650" priority="1005" operator="equal">
      <formula>0</formula>
    </cfRule>
  </conditionalFormatting>
  <conditionalFormatting sqref="M179">
    <cfRule type="expression" dxfId="649" priority="1003">
      <formula>M179&lt;(M180+M181+M182)</formula>
    </cfRule>
    <cfRule type="expression" dxfId="648" priority="1004">
      <formula>M179&gt;M178</formula>
    </cfRule>
  </conditionalFormatting>
  <conditionalFormatting sqref="O180">
    <cfRule type="expression" dxfId="647" priority="993">
      <formula>O179&lt;(O180+O181+O182)</formula>
    </cfRule>
    <cfRule type="expression" dxfId="646" priority="999">
      <formula>(O182+O181+O180)&gt;O178</formula>
    </cfRule>
  </conditionalFormatting>
  <conditionalFormatting sqref="O181">
    <cfRule type="expression" dxfId="645" priority="992">
      <formula>O179&lt;(O180+O181+O182)</formula>
    </cfRule>
    <cfRule type="expression" dxfId="644" priority="998">
      <formula>(O182+O181+O180)&gt;O178</formula>
    </cfRule>
  </conditionalFormatting>
  <conditionalFormatting sqref="O182">
    <cfRule type="expression" dxfId="643" priority="991">
      <formula>O179&lt;(O180+O181+O182)</formula>
    </cfRule>
    <cfRule type="expression" dxfId="642" priority="997">
      <formula>(O182+O181+O180)&gt;O178</formula>
    </cfRule>
  </conditionalFormatting>
  <conditionalFormatting sqref="O179">
    <cfRule type="cellIs" dxfId="641" priority="996" operator="equal">
      <formula>0</formula>
    </cfRule>
  </conditionalFormatting>
  <conditionalFormatting sqref="O179">
    <cfRule type="expression" dxfId="640" priority="994">
      <formula>O179&lt;(O180+O181+O182)</formula>
    </cfRule>
    <cfRule type="expression" dxfId="639" priority="995">
      <formula>O179&gt;O178</formula>
    </cfRule>
  </conditionalFormatting>
  <conditionalFormatting sqref="Q180">
    <cfRule type="expression" dxfId="638" priority="984">
      <formula>Q179&lt;(Q180+Q181+Q182)</formula>
    </cfRule>
    <cfRule type="expression" dxfId="637" priority="990">
      <formula>(Q182+Q181+Q180)&gt;Q178</formula>
    </cfRule>
  </conditionalFormatting>
  <conditionalFormatting sqref="Q181">
    <cfRule type="expression" dxfId="636" priority="983">
      <formula>Q179&lt;(Q180+Q181+Q182)</formula>
    </cfRule>
    <cfRule type="expression" dxfId="635" priority="989">
      <formula>(Q182+Q181+Q180)&gt;Q178</formula>
    </cfRule>
  </conditionalFormatting>
  <conditionalFormatting sqref="Q182">
    <cfRule type="expression" dxfId="634" priority="982">
      <formula>Q179&lt;(Q180+Q181+Q182)</formula>
    </cfRule>
    <cfRule type="expression" dxfId="633" priority="988">
      <formula>(Q182+Q181+Q180)&gt;Q178</formula>
    </cfRule>
  </conditionalFormatting>
  <conditionalFormatting sqref="Q179">
    <cfRule type="cellIs" dxfId="632" priority="987" operator="equal">
      <formula>0</formula>
    </cfRule>
  </conditionalFormatting>
  <conditionalFormatting sqref="Q179">
    <cfRule type="expression" dxfId="631" priority="985">
      <formula>Q179&lt;(Q180+Q181+Q182)</formula>
    </cfRule>
    <cfRule type="expression" dxfId="630" priority="986">
      <formula>Q179&gt;Q178</formula>
    </cfRule>
  </conditionalFormatting>
  <conditionalFormatting sqref="S180">
    <cfRule type="expression" dxfId="629" priority="975">
      <formula>S179&lt;(S180+S181+S182)</formula>
    </cfRule>
    <cfRule type="expression" dxfId="628" priority="981">
      <formula>(S182+S181+S180)&gt;S178</formula>
    </cfRule>
  </conditionalFormatting>
  <conditionalFormatting sqref="S181">
    <cfRule type="expression" dxfId="627" priority="974">
      <formula>S179&lt;(S180+S181+S182)</formula>
    </cfRule>
    <cfRule type="expression" dxfId="626" priority="980">
      <formula>(S182+S181+S180)&gt;S178</formula>
    </cfRule>
  </conditionalFormatting>
  <conditionalFormatting sqref="S182">
    <cfRule type="expression" dxfId="625" priority="973">
      <formula>S179&lt;(S180+S181+S182)</formula>
    </cfRule>
    <cfRule type="expression" dxfId="624" priority="979">
      <formula>(S182+S181+S180)&gt;S178</formula>
    </cfRule>
  </conditionalFormatting>
  <conditionalFormatting sqref="S179">
    <cfRule type="cellIs" dxfId="623" priority="978" operator="equal">
      <formula>0</formula>
    </cfRule>
  </conditionalFormatting>
  <conditionalFormatting sqref="S179">
    <cfRule type="expression" dxfId="622" priority="976">
      <formula>S179&lt;(S180+S181+S182)</formula>
    </cfRule>
    <cfRule type="expression" dxfId="621" priority="977">
      <formula>S179&gt;S178</formula>
    </cfRule>
  </conditionalFormatting>
  <conditionalFormatting sqref="U180">
    <cfRule type="expression" dxfId="620" priority="966">
      <formula>U179&lt;(U180+U181+U182)</formula>
    </cfRule>
    <cfRule type="expression" dxfId="619" priority="972">
      <formula>(U182+U181+U180)&gt;U178</formula>
    </cfRule>
  </conditionalFormatting>
  <conditionalFormatting sqref="U181">
    <cfRule type="expression" dxfId="618" priority="965">
      <formula>U179&lt;(U180+U181+U182)</formula>
    </cfRule>
    <cfRule type="expression" dxfId="617" priority="971">
      <formula>(U182+U181+U180)&gt;U178</formula>
    </cfRule>
  </conditionalFormatting>
  <conditionalFormatting sqref="U182">
    <cfRule type="expression" dxfId="616" priority="964">
      <formula>U179&lt;(U180+U181+U182)</formula>
    </cfRule>
    <cfRule type="expression" dxfId="615" priority="970">
      <formula>(U182+U181+U180)&gt;U178</formula>
    </cfRule>
  </conditionalFormatting>
  <conditionalFormatting sqref="U179">
    <cfRule type="cellIs" dxfId="614" priority="969" operator="equal">
      <formula>0</formula>
    </cfRule>
  </conditionalFormatting>
  <conditionalFormatting sqref="U179">
    <cfRule type="expression" dxfId="613" priority="967">
      <formula>U179&lt;(U180+U181+U182)</formula>
    </cfRule>
    <cfRule type="expression" dxfId="612" priority="968">
      <formula>U179&gt;U178</formula>
    </cfRule>
  </conditionalFormatting>
  <conditionalFormatting sqref="W180">
    <cfRule type="expression" dxfId="611" priority="957">
      <formula>W179&lt;(W180+W181+W182)</formula>
    </cfRule>
    <cfRule type="expression" dxfId="610" priority="963">
      <formula>(W182+W181+W180)&gt;W178</formula>
    </cfRule>
  </conditionalFormatting>
  <conditionalFormatting sqref="W181">
    <cfRule type="expression" dxfId="609" priority="956">
      <formula>W179&lt;(W180+W181+W182)</formula>
    </cfRule>
    <cfRule type="expression" dxfId="608" priority="962">
      <formula>(W182+W181+W180)&gt;W178</formula>
    </cfRule>
  </conditionalFormatting>
  <conditionalFormatting sqref="W182">
    <cfRule type="expression" dxfId="607" priority="955">
      <formula>W179&lt;(W180+W181+W182)</formula>
    </cfRule>
    <cfRule type="expression" dxfId="606" priority="961">
      <formula>(W182+W181+W180)&gt;W178</formula>
    </cfRule>
  </conditionalFormatting>
  <conditionalFormatting sqref="W179">
    <cfRule type="cellIs" dxfId="605" priority="960" operator="equal">
      <formula>0</formula>
    </cfRule>
  </conditionalFormatting>
  <conditionalFormatting sqref="W179">
    <cfRule type="expression" dxfId="604" priority="958">
      <formula>W179&lt;(W180+W181+W182)</formula>
    </cfRule>
    <cfRule type="expression" dxfId="603" priority="959">
      <formula>W179&gt;W178</formula>
    </cfRule>
  </conditionalFormatting>
  <conditionalFormatting sqref="Y180">
    <cfRule type="expression" dxfId="602" priority="948">
      <formula>Y179&lt;(Y180+Y181+Y182)</formula>
    </cfRule>
    <cfRule type="expression" dxfId="601" priority="954">
      <formula>(Y182+Y181+Y180)&gt;Y178</formula>
    </cfRule>
  </conditionalFormatting>
  <conditionalFormatting sqref="Y181">
    <cfRule type="expression" dxfId="600" priority="947">
      <formula>Y179&lt;(Y180+Y181+Y182)</formula>
    </cfRule>
    <cfRule type="expression" dxfId="599" priority="953">
      <formula>(Y182+Y181+Y180)&gt;Y178</formula>
    </cfRule>
  </conditionalFormatting>
  <conditionalFormatting sqref="Y182">
    <cfRule type="expression" dxfId="598" priority="946">
      <formula>Y179&lt;(Y180+Y181+Y182)</formula>
    </cfRule>
    <cfRule type="expression" dxfId="597" priority="952">
      <formula>(Y182+Y181+Y180)&gt;Y178</formula>
    </cfRule>
  </conditionalFormatting>
  <conditionalFormatting sqref="Y179">
    <cfRule type="cellIs" dxfId="596" priority="951" operator="equal">
      <formula>0</formula>
    </cfRule>
  </conditionalFormatting>
  <conditionalFormatting sqref="Y179">
    <cfRule type="expression" dxfId="595" priority="949">
      <formula>Y179&lt;(Y180+Y181+Y182)</formula>
    </cfRule>
    <cfRule type="expression" dxfId="594" priority="950">
      <formula>Y179&gt;Y178</formula>
    </cfRule>
  </conditionalFormatting>
  <conditionalFormatting sqref="AA180">
    <cfRule type="expression" dxfId="593" priority="939">
      <formula>AA179&lt;(AA180+AA181+AA182)</formula>
    </cfRule>
    <cfRule type="expression" dxfId="592" priority="945">
      <formula>(AA182+AA181+AA180)&gt;AA178</formula>
    </cfRule>
  </conditionalFormatting>
  <conditionalFormatting sqref="AA181">
    <cfRule type="expression" dxfId="591" priority="938">
      <formula>AA179&lt;(AA180+AA181+AA182)</formula>
    </cfRule>
    <cfRule type="expression" dxfId="590" priority="944">
      <formula>(AA182+AA181+AA180)&gt;AA178</formula>
    </cfRule>
  </conditionalFormatting>
  <conditionalFormatting sqref="AA182">
    <cfRule type="expression" dxfId="589" priority="937">
      <formula>AA179&lt;(AA180+AA181+AA182)</formula>
    </cfRule>
    <cfRule type="expression" dxfId="588" priority="943">
      <formula>(AA182+AA181+AA180)&gt;AA178</formula>
    </cfRule>
  </conditionalFormatting>
  <conditionalFormatting sqref="AA179">
    <cfRule type="cellIs" dxfId="587" priority="942" operator="equal">
      <formula>0</formula>
    </cfRule>
  </conditionalFormatting>
  <conditionalFormatting sqref="AA179">
    <cfRule type="expression" dxfId="586" priority="940">
      <formula>AA179&lt;(AA180+AA181+AA182)</formula>
    </cfRule>
    <cfRule type="expression" dxfId="585" priority="941">
      <formula>AA179&gt;AA178</formula>
    </cfRule>
  </conditionalFormatting>
  <conditionalFormatting sqref="M188">
    <cfRule type="expression" dxfId="584" priority="930">
      <formula>M187&lt;(M188+M189+M190)</formula>
    </cfRule>
    <cfRule type="expression" dxfId="583" priority="936">
      <formula>(M190+M189+M188)&gt;M186</formula>
    </cfRule>
  </conditionalFormatting>
  <conditionalFormatting sqref="M189">
    <cfRule type="expression" dxfId="582" priority="929">
      <formula>M187&lt;(M188+M189+M190)</formula>
    </cfRule>
    <cfRule type="expression" dxfId="581" priority="935">
      <formula>(M190+M189+M188)&gt;M186</formula>
    </cfRule>
  </conditionalFormatting>
  <conditionalFormatting sqref="M190">
    <cfRule type="expression" dxfId="580" priority="928">
      <formula>M187&lt;(M188+M189+M190)</formula>
    </cfRule>
    <cfRule type="expression" dxfId="579" priority="934">
      <formula>(M190+M189+M188)&gt;M186</formula>
    </cfRule>
  </conditionalFormatting>
  <conditionalFormatting sqref="M187">
    <cfRule type="cellIs" dxfId="578" priority="933" operator="equal">
      <formula>0</formula>
    </cfRule>
  </conditionalFormatting>
  <conditionalFormatting sqref="M187">
    <cfRule type="expression" dxfId="577" priority="931">
      <formula>M187&lt;(M188+M189+M190)</formula>
    </cfRule>
    <cfRule type="expression" dxfId="576" priority="932">
      <formula>M187&gt;M186</formula>
    </cfRule>
  </conditionalFormatting>
  <conditionalFormatting sqref="O188">
    <cfRule type="expression" dxfId="575" priority="921">
      <formula>O187&lt;(O188+O189+O190)</formula>
    </cfRule>
    <cfRule type="expression" dxfId="574" priority="927">
      <formula>(O190+O189+O188)&gt;O186</formula>
    </cfRule>
  </conditionalFormatting>
  <conditionalFormatting sqref="O189">
    <cfRule type="expression" dxfId="573" priority="920">
      <formula>O187&lt;(O188+O189+O190)</formula>
    </cfRule>
    <cfRule type="expression" dxfId="572" priority="926">
      <formula>(O190+O189+O188)&gt;O186</formula>
    </cfRule>
  </conditionalFormatting>
  <conditionalFormatting sqref="O190">
    <cfRule type="expression" dxfId="571" priority="919">
      <formula>O187&lt;(O188+O189+O190)</formula>
    </cfRule>
    <cfRule type="expression" dxfId="570" priority="925">
      <formula>(O190+O189+O188)&gt;O186</formula>
    </cfRule>
  </conditionalFormatting>
  <conditionalFormatting sqref="O187">
    <cfRule type="cellIs" dxfId="569" priority="924" operator="equal">
      <formula>0</formula>
    </cfRule>
  </conditionalFormatting>
  <conditionalFormatting sqref="O187">
    <cfRule type="expression" dxfId="568" priority="922">
      <formula>O187&lt;(O188+O189+O190)</formula>
    </cfRule>
    <cfRule type="expression" dxfId="567" priority="923">
      <formula>O187&gt;O186</formula>
    </cfRule>
  </conditionalFormatting>
  <conditionalFormatting sqref="Q188">
    <cfRule type="expression" dxfId="566" priority="912">
      <formula>Q187&lt;(Q188+Q189+Q190)</formula>
    </cfRule>
    <cfRule type="expression" dxfId="565" priority="918">
      <formula>(Q190+Q189+Q188)&gt;Q186</formula>
    </cfRule>
  </conditionalFormatting>
  <conditionalFormatting sqref="Q189">
    <cfRule type="expression" dxfId="564" priority="911">
      <formula>Q187&lt;(Q188+Q189+Q190)</formula>
    </cfRule>
    <cfRule type="expression" dxfId="563" priority="917">
      <formula>(Q190+Q189+Q188)&gt;Q186</formula>
    </cfRule>
  </conditionalFormatting>
  <conditionalFormatting sqref="Q190">
    <cfRule type="expression" dxfId="562" priority="910">
      <formula>Q187&lt;(Q188+Q189+Q190)</formula>
    </cfRule>
    <cfRule type="expression" dxfId="561" priority="916">
      <formula>(Q190+Q189+Q188)&gt;Q186</formula>
    </cfRule>
  </conditionalFormatting>
  <conditionalFormatting sqref="Q187">
    <cfRule type="cellIs" dxfId="560" priority="915" operator="equal">
      <formula>0</formula>
    </cfRule>
  </conditionalFormatting>
  <conditionalFormatting sqref="Q187">
    <cfRule type="expression" dxfId="559" priority="913">
      <formula>Q187&lt;(Q188+Q189+Q190)</formula>
    </cfRule>
    <cfRule type="expression" dxfId="558" priority="914">
      <formula>Q187&gt;Q186</formula>
    </cfRule>
  </conditionalFormatting>
  <conditionalFormatting sqref="S188">
    <cfRule type="expression" dxfId="557" priority="903">
      <formula>S187&lt;(S188+S189+S190)</formula>
    </cfRule>
    <cfRule type="expression" dxfId="556" priority="909">
      <formula>(S190+S189+S188)&gt;S186</formula>
    </cfRule>
  </conditionalFormatting>
  <conditionalFormatting sqref="S189">
    <cfRule type="expression" dxfId="555" priority="902">
      <formula>S187&lt;(S188+S189+S190)</formula>
    </cfRule>
    <cfRule type="expression" dxfId="554" priority="908">
      <formula>(S190+S189+S188)&gt;S186</formula>
    </cfRule>
  </conditionalFormatting>
  <conditionalFormatting sqref="S190">
    <cfRule type="expression" dxfId="553" priority="901">
      <formula>S187&lt;(S188+S189+S190)</formula>
    </cfRule>
    <cfRule type="expression" dxfId="552" priority="907">
      <formula>(S190+S189+S188)&gt;S186</formula>
    </cfRule>
  </conditionalFormatting>
  <conditionalFormatting sqref="S187">
    <cfRule type="cellIs" dxfId="551" priority="906" operator="equal">
      <formula>0</formula>
    </cfRule>
  </conditionalFormatting>
  <conditionalFormatting sqref="S187">
    <cfRule type="expression" dxfId="550" priority="904">
      <formula>S187&lt;(S188+S189+S190)</formula>
    </cfRule>
    <cfRule type="expression" dxfId="549" priority="905">
      <formula>S187&gt;S186</formula>
    </cfRule>
  </conditionalFormatting>
  <conditionalFormatting sqref="U188">
    <cfRule type="expression" dxfId="548" priority="894">
      <formula>U187&lt;(U188+U189+U190)</formula>
    </cfRule>
    <cfRule type="expression" dxfId="547" priority="900">
      <formula>(U190+U189+U188)&gt;U186</formula>
    </cfRule>
  </conditionalFormatting>
  <conditionalFormatting sqref="U189">
    <cfRule type="expression" dxfId="546" priority="893">
      <formula>U187&lt;(U188+U189+U190)</formula>
    </cfRule>
    <cfRule type="expression" dxfId="545" priority="899">
      <formula>(U190+U189+U188)&gt;U186</formula>
    </cfRule>
  </conditionalFormatting>
  <conditionalFormatting sqref="U190">
    <cfRule type="expression" dxfId="544" priority="892">
      <formula>U187&lt;(U188+U189+U190)</formula>
    </cfRule>
    <cfRule type="expression" dxfId="543" priority="898">
      <formula>(U190+U189+U188)&gt;U186</formula>
    </cfRule>
  </conditionalFormatting>
  <conditionalFormatting sqref="U187">
    <cfRule type="cellIs" dxfId="542" priority="897" operator="equal">
      <formula>0</formula>
    </cfRule>
  </conditionalFormatting>
  <conditionalFormatting sqref="U187">
    <cfRule type="expression" dxfId="541" priority="895">
      <formula>U187&lt;(U188+U189+U190)</formula>
    </cfRule>
    <cfRule type="expression" dxfId="540" priority="896">
      <formula>U187&gt;U186</formula>
    </cfRule>
  </conditionalFormatting>
  <conditionalFormatting sqref="W188">
    <cfRule type="expression" dxfId="539" priority="885">
      <formula>W187&lt;(W188+W189+W190)</formula>
    </cfRule>
    <cfRule type="expression" dxfId="538" priority="891">
      <formula>(W190+W189+W188)&gt;W186</formula>
    </cfRule>
  </conditionalFormatting>
  <conditionalFormatting sqref="W189">
    <cfRule type="expression" dxfId="537" priority="884">
      <formula>W187&lt;(W188+W189+W190)</formula>
    </cfRule>
    <cfRule type="expression" dxfId="536" priority="890">
      <formula>(W190+W189+W188)&gt;W186</formula>
    </cfRule>
  </conditionalFormatting>
  <conditionalFormatting sqref="W190">
    <cfRule type="expression" dxfId="535" priority="883">
      <formula>W187&lt;(W188+W189+W190)</formula>
    </cfRule>
    <cfRule type="expression" dxfId="534" priority="889">
      <formula>(W190+W189+W188)&gt;W186</formula>
    </cfRule>
  </conditionalFormatting>
  <conditionalFormatting sqref="W187">
    <cfRule type="cellIs" dxfId="533" priority="888" operator="equal">
      <formula>0</formula>
    </cfRule>
  </conditionalFormatting>
  <conditionalFormatting sqref="W187">
    <cfRule type="expression" dxfId="532" priority="886">
      <formula>W187&lt;(W188+W189+W190)</formula>
    </cfRule>
    <cfRule type="expression" dxfId="531" priority="887">
      <formula>W187&gt;W186</formula>
    </cfRule>
  </conditionalFormatting>
  <conditionalFormatting sqref="Y188">
    <cfRule type="expression" dxfId="530" priority="876">
      <formula>Y187&lt;(Y188+Y189+Y190)</formula>
    </cfRule>
    <cfRule type="expression" dxfId="529" priority="882">
      <formula>(Y190+Y189+Y188)&gt;Y186</formula>
    </cfRule>
  </conditionalFormatting>
  <conditionalFormatting sqref="Y189">
    <cfRule type="expression" dxfId="528" priority="875">
      <formula>Y187&lt;(Y188+Y189+Y190)</formula>
    </cfRule>
    <cfRule type="expression" dxfId="527" priority="881">
      <formula>(Y190+Y189+Y188)&gt;Y186</formula>
    </cfRule>
  </conditionalFormatting>
  <conditionalFormatting sqref="Y190">
    <cfRule type="expression" dxfId="526" priority="874">
      <formula>Y187&lt;(Y188+Y189+Y190)</formula>
    </cfRule>
    <cfRule type="expression" dxfId="525" priority="880">
      <formula>(Y190+Y189+Y188)&gt;Y186</formula>
    </cfRule>
  </conditionalFormatting>
  <conditionalFormatting sqref="Y187">
    <cfRule type="cellIs" dxfId="524" priority="879" operator="equal">
      <formula>0</formula>
    </cfRule>
  </conditionalFormatting>
  <conditionalFormatting sqref="Y187">
    <cfRule type="expression" dxfId="523" priority="877">
      <formula>Y187&lt;(Y188+Y189+Y190)</formula>
    </cfRule>
    <cfRule type="expression" dxfId="522" priority="878">
      <formula>Y187&gt;Y186</formula>
    </cfRule>
  </conditionalFormatting>
  <conditionalFormatting sqref="AA188">
    <cfRule type="expression" dxfId="521" priority="867">
      <formula>AA187&lt;(AA188+AA189+AA190)</formula>
    </cfRule>
    <cfRule type="expression" dxfId="520" priority="873">
      <formula>(AA190+AA189+AA188)&gt;AA186</formula>
    </cfRule>
  </conditionalFormatting>
  <conditionalFormatting sqref="AA189">
    <cfRule type="expression" dxfId="519" priority="866">
      <formula>AA187&lt;(AA188+AA189+AA190)</formula>
    </cfRule>
    <cfRule type="expression" dxfId="518" priority="872">
      <formula>(AA190+AA189+AA188)&gt;AA186</formula>
    </cfRule>
  </conditionalFormatting>
  <conditionalFormatting sqref="AA190">
    <cfRule type="expression" dxfId="517" priority="865">
      <formula>AA187&lt;(AA188+AA189+AA190)</formula>
    </cfRule>
    <cfRule type="expression" dxfId="516" priority="871">
      <formula>(AA190+AA189+AA188)&gt;AA186</formula>
    </cfRule>
  </conditionalFormatting>
  <conditionalFormatting sqref="AA187">
    <cfRule type="cellIs" dxfId="515" priority="870" operator="equal">
      <formula>0</formula>
    </cfRule>
  </conditionalFormatting>
  <conditionalFormatting sqref="AA187">
    <cfRule type="expression" dxfId="514" priority="868">
      <formula>AA187&lt;(AA188+AA189+AA190)</formula>
    </cfRule>
    <cfRule type="expression" dxfId="513" priority="869">
      <formula>AA187&gt;AA186</formula>
    </cfRule>
  </conditionalFormatting>
  <conditionalFormatting sqref="F43:AA43">
    <cfRule type="cellIs" dxfId="512" priority="863" operator="equal">
      <formula>0</formula>
    </cfRule>
  </conditionalFormatting>
  <conditionalFormatting sqref="J128:AA128">
    <cfRule type="expression" dxfId="511" priority="2808">
      <formula>J126&gt;J128</formula>
    </cfRule>
  </conditionalFormatting>
  <conditionalFormatting sqref="AA333">
    <cfRule type="expression" dxfId="510" priority="2814">
      <formula>AJ334&gt;(AJ330+AJ331+AJ332)</formula>
    </cfRule>
  </conditionalFormatting>
  <conditionalFormatting sqref="AK57:AK58">
    <cfRule type="notContainsBlanks" dxfId="509" priority="861">
      <formula>LEN(TRIM(AK57))&gt;0</formula>
    </cfRule>
  </conditionalFormatting>
  <conditionalFormatting sqref="AM61">
    <cfRule type="notContainsBlanks" dxfId="508" priority="859">
      <formula>LEN(TRIM(AM61))&gt;0</formula>
    </cfRule>
  </conditionalFormatting>
  <conditionalFormatting sqref="AM57:AM58 AM61:AM62">
    <cfRule type="notContainsBlanks" dxfId="507" priority="858">
      <formula>LEN(TRIM(AM57))&gt;0</formula>
    </cfRule>
  </conditionalFormatting>
  <conditionalFormatting sqref="AL57">
    <cfRule type="notContainsBlanks" dxfId="506" priority="862">
      <formula>LEN(TRIM(AL57))&gt;0</formula>
    </cfRule>
  </conditionalFormatting>
  <conditionalFormatting sqref="AJ57:AJ58">
    <cfRule type="cellIs" dxfId="505" priority="852" operator="equal">
      <formula>0</formula>
    </cfRule>
  </conditionalFormatting>
  <conditionalFormatting sqref="AK67:AK68">
    <cfRule type="notContainsBlanks" dxfId="504" priority="849">
      <formula>LEN(TRIM(AK67))&gt;0</formula>
    </cfRule>
  </conditionalFormatting>
  <conditionalFormatting sqref="AM65">
    <cfRule type="notContainsBlanks" dxfId="503" priority="848">
      <formula>LEN(TRIM(AM65))&gt;0</formula>
    </cfRule>
  </conditionalFormatting>
  <conditionalFormatting sqref="AM65:AM68">
    <cfRule type="notContainsBlanks" dxfId="502" priority="847">
      <formula>LEN(TRIM(AM65))&gt;0</formula>
    </cfRule>
  </conditionalFormatting>
  <conditionalFormatting sqref="AK71:AK72">
    <cfRule type="notContainsBlanks" dxfId="501" priority="841">
      <formula>LEN(TRIM(AK71))&gt;0</formula>
    </cfRule>
  </conditionalFormatting>
  <conditionalFormatting sqref="AM69">
    <cfRule type="notContainsBlanks" dxfId="500" priority="840">
      <formula>LEN(TRIM(AM69))&gt;0</formula>
    </cfRule>
  </conditionalFormatting>
  <conditionalFormatting sqref="AM69:AM72">
    <cfRule type="notContainsBlanks" dxfId="499" priority="839">
      <formula>LEN(TRIM(AM69))&gt;0</formula>
    </cfRule>
  </conditionalFormatting>
  <conditionalFormatting sqref="AK79:AK80">
    <cfRule type="notContainsBlanks" dxfId="498" priority="832">
      <formula>LEN(TRIM(AK79))&gt;0</formula>
    </cfRule>
  </conditionalFormatting>
  <conditionalFormatting sqref="AM77">
    <cfRule type="notContainsBlanks" dxfId="497" priority="831">
      <formula>LEN(TRIM(AM77))&gt;0</formula>
    </cfRule>
  </conditionalFormatting>
  <conditionalFormatting sqref="AM77:AM80">
    <cfRule type="notContainsBlanks" dxfId="496" priority="830">
      <formula>LEN(TRIM(AM77))&gt;0</formula>
    </cfRule>
  </conditionalFormatting>
  <conditionalFormatting sqref="AK83:AK84">
    <cfRule type="notContainsBlanks" dxfId="495" priority="823">
      <formula>LEN(TRIM(AK83))&gt;0</formula>
    </cfRule>
  </conditionalFormatting>
  <conditionalFormatting sqref="AM81">
    <cfRule type="notContainsBlanks" dxfId="494" priority="822">
      <formula>LEN(TRIM(AM81))&gt;0</formula>
    </cfRule>
  </conditionalFormatting>
  <conditionalFormatting sqref="AM81:AM84">
    <cfRule type="notContainsBlanks" dxfId="493" priority="821">
      <formula>LEN(TRIM(AM81))&gt;0</formula>
    </cfRule>
  </conditionalFormatting>
  <conditionalFormatting sqref="AK87:AK88">
    <cfRule type="notContainsBlanks" dxfId="492" priority="814">
      <formula>LEN(TRIM(AK87))&gt;0</formula>
    </cfRule>
  </conditionalFormatting>
  <conditionalFormatting sqref="AM85">
    <cfRule type="notContainsBlanks" dxfId="491" priority="813">
      <formula>LEN(TRIM(AM85))&gt;0</formula>
    </cfRule>
  </conditionalFormatting>
  <conditionalFormatting sqref="AM85:AM88">
    <cfRule type="notContainsBlanks" dxfId="490" priority="812">
      <formula>LEN(TRIM(AM85))&gt;0</formula>
    </cfRule>
  </conditionalFormatting>
  <conditionalFormatting sqref="AK91:AK92">
    <cfRule type="notContainsBlanks" dxfId="489" priority="805">
      <formula>LEN(TRIM(AK91))&gt;0</formula>
    </cfRule>
  </conditionalFormatting>
  <conditionalFormatting sqref="AM89">
    <cfRule type="notContainsBlanks" dxfId="488" priority="804">
      <formula>LEN(TRIM(AM89))&gt;0</formula>
    </cfRule>
  </conditionalFormatting>
  <conditionalFormatting sqref="AM89:AM92">
    <cfRule type="notContainsBlanks" dxfId="487" priority="803">
      <formula>LEN(TRIM(AM89))&gt;0</formula>
    </cfRule>
  </conditionalFormatting>
  <conditionalFormatting sqref="AK95:AK96">
    <cfRule type="notContainsBlanks" dxfId="486" priority="796">
      <formula>LEN(TRIM(AK95))&gt;0</formula>
    </cfRule>
  </conditionalFormatting>
  <conditionalFormatting sqref="AM93">
    <cfRule type="notContainsBlanks" dxfId="485" priority="795">
      <formula>LEN(TRIM(AM93))&gt;0</formula>
    </cfRule>
  </conditionalFormatting>
  <conditionalFormatting sqref="AM93:AM96">
    <cfRule type="notContainsBlanks" dxfId="484" priority="794">
      <formula>LEN(TRIM(AM93))&gt;0</formula>
    </cfRule>
  </conditionalFormatting>
  <conditionalFormatting sqref="AK75:AK76">
    <cfRule type="notContainsBlanks" dxfId="483" priority="769">
      <formula>LEN(TRIM(AK75))&gt;0</formula>
    </cfRule>
  </conditionalFormatting>
  <conditionalFormatting sqref="AM73">
    <cfRule type="notContainsBlanks" dxfId="482" priority="768">
      <formula>LEN(TRIM(AM73))&gt;0</formula>
    </cfRule>
  </conditionalFormatting>
  <conditionalFormatting sqref="AM73:AM76">
    <cfRule type="notContainsBlanks" dxfId="481" priority="767">
      <formula>LEN(TRIM(AM73))&gt;0</formula>
    </cfRule>
  </conditionalFormatting>
  <conditionalFormatting sqref="AJ65:AJ68">
    <cfRule type="cellIs" dxfId="480" priority="747" operator="equal">
      <formula>0</formula>
    </cfRule>
  </conditionalFormatting>
  <conditionalFormatting sqref="AJ69:AJ72">
    <cfRule type="cellIs" dxfId="479" priority="746" operator="equal">
      <formula>0</formula>
    </cfRule>
  </conditionalFormatting>
  <conditionalFormatting sqref="F50:AA50">
    <cfRule type="expression" dxfId="478" priority="760">
      <formula>F51&gt;F50</formula>
    </cfRule>
  </conditionalFormatting>
  <conditionalFormatting sqref="AK97:AK98">
    <cfRule type="notContainsBlanks" dxfId="477" priority="758">
      <formula>LEN(TRIM(AK97))&gt;0</formula>
    </cfRule>
  </conditionalFormatting>
  <conditionalFormatting sqref="AM97">
    <cfRule type="notContainsBlanks" dxfId="476" priority="757">
      <formula>LEN(TRIM(AM97))&gt;0</formula>
    </cfRule>
  </conditionalFormatting>
  <conditionalFormatting sqref="AM97:AM98">
    <cfRule type="notContainsBlanks" dxfId="475" priority="756">
      <formula>LEN(TRIM(AM97))&gt;0</formula>
    </cfRule>
  </conditionalFormatting>
  <conditionalFormatting sqref="AJ85:AJ88">
    <cfRule type="cellIs" dxfId="474" priority="742" operator="equal">
      <formula>0</formula>
    </cfRule>
  </conditionalFormatting>
  <conditionalFormatting sqref="AJ89:AJ98">
    <cfRule type="cellIs" dxfId="473" priority="741" operator="equal">
      <formula>0</formula>
    </cfRule>
  </conditionalFormatting>
  <conditionalFormatting sqref="AJ61:AJ62">
    <cfRule type="cellIs" dxfId="472" priority="748" operator="equal">
      <formula>0</formula>
    </cfRule>
  </conditionalFormatting>
  <conditionalFormatting sqref="AJ73:AJ76">
    <cfRule type="cellIs" dxfId="471" priority="745" operator="equal">
      <formula>0</formula>
    </cfRule>
  </conditionalFormatting>
  <conditionalFormatting sqref="AJ77:AJ80">
    <cfRule type="cellIs" dxfId="470" priority="744" operator="equal">
      <formula>0</formula>
    </cfRule>
  </conditionalFormatting>
  <conditionalFormatting sqref="AJ81:AJ84">
    <cfRule type="cellIs" dxfId="469" priority="743" operator="equal">
      <formula>0</formula>
    </cfRule>
  </conditionalFormatting>
  <conditionalFormatting sqref="Z308:AA323">
    <cfRule type="cellIs" dxfId="468" priority="727" operator="equal">
      <formula>0</formula>
    </cfRule>
  </conditionalFormatting>
  <conditionalFormatting sqref="AJ50">
    <cfRule type="cellIs" dxfId="467" priority="739" operator="equal">
      <formula>0</formula>
    </cfRule>
  </conditionalFormatting>
  <conditionalFormatting sqref="AJ51">
    <cfRule type="cellIs" dxfId="466" priority="738" operator="equal">
      <formula>0</formula>
    </cfRule>
  </conditionalFormatting>
  <conditionalFormatting sqref="M283">
    <cfRule type="expression" dxfId="465" priority="724">
      <formula>M283&gt;M299</formula>
    </cfRule>
    <cfRule type="expression" dxfId="464" priority="725">
      <formula>M283&gt;M299 &amp; EXACT($I$3,"1") &amp; EXACT($E$3,"1")</formula>
    </cfRule>
  </conditionalFormatting>
  <conditionalFormatting sqref="O283">
    <cfRule type="expression" dxfId="463" priority="722">
      <formula>O283&gt;O299</formula>
    </cfRule>
    <cfRule type="expression" dxfId="462" priority="723">
      <formula>O283&gt;O299 &amp; EXACT($I$3,"1") &amp; EXACT($E$3,"1")</formula>
    </cfRule>
  </conditionalFormatting>
  <conditionalFormatting sqref="Q283">
    <cfRule type="expression" dxfId="461" priority="720">
      <formula>Q283&gt;Q299</formula>
    </cfRule>
    <cfRule type="expression" dxfId="460" priority="721">
      <formula>Q283&gt;Q299 &amp; EXACT($I$3,"1") &amp; EXACT($E$3,"1")</formula>
    </cfRule>
  </conditionalFormatting>
  <conditionalFormatting sqref="S283">
    <cfRule type="expression" dxfId="459" priority="718">
      <formula>S283&gt;S299</formula>
    </cfRule>
    <cfRule type="expression" dxfId="458" priority="719">
      <formula>S283&gt;S299 &amp; EXACT($I$3,"1") &amp; EXACT($E$3,"1")</formula>
    </cfRule>
  </conditionalFormatting>
  <conditionalFormatting sqref="U283">
    <cfRule type="expression" dxfId="457" priority="716">
      <formula>U283&gt;U299</formula>
    </cfRule>
    <cfRule type="expression" dxfId="456" priority="717">
      <formula>U283&gt;U299 &amp; EXACT($I$3,"1") &amp; EXACT($E$3,"1")</formula>
    </cfRule>
  </conditionalFormatting>
  <conditionalFormatting sqref="W283">
    <cfRule type="expression" dxfId="455" priority="714">
      <formula>W283&gt;W299</formula>
    </cfRule>
    <cfRule type="expression" dxfId="454" priority="715">
      <formula>W283&gt;W299 &amp; EXACT($I$3,"1") &amp; EXACT($E$3,"1")</formula>
    </cfRule>
  </conditionalFormatting>
  <conditionalFormatting sqref="Y283">
    <cfRule type="expression" dxfId="453" priority="712">
      <formula>Y283&gt;Y299</formula>
    </cfRule>
    <cfRule type="expression" dxfId="452" priority="713">
      <formula>Y283&gt;Y299 &amp; EXACT($I$3,"1") &amp; EXACT($E$3,"1")</formula>
    </cfRule>
  </conditionalFormatting>
  <conditionalFormatting sqref="K299">
    <cfRule type="expression" dxfId="451" priority="711">
      <formula>K283&gt;K299</formula>
    </cfRule>
  </conditionalFormatting>
  <conditionalFormatting sqref="M299">
    <cfRule type="expression" dxfId="450" priority="710">
      <formula>M283&gt;M299</formula>
    </cfRule>
  </conditionalFormatting>
  <conditionalFormatting sqref="O299">
    <cfRule type="expression" dxfId="449" priority="709">
      <formula>O283&gt;O299</formula>
    </cfRule>
  </conditionalFormatting>
  <conditionalFormatting sqref="Q299">
    <cfRule type="expression" dxfId="448" priority="708">
      <formula>Q283&gt;Q299</formula>
    </cfRule>
  </conditionalFormatting>
  <conditionalFormatting sqref="S299">
    <cfRule type="expression" dxfId="447" priority="707">
      <formula>S283&gt;S299</formula>
    </cfRule>
  </conditionalFormatting>
  <conditionalFormatting sqref="U299">
    <cfRule type="expression" dxfId="446" priority="706">
      <formula>U283&gt;U299</formula>
    </cfRule>
  </conditionalFormatting>
  <conditionalFormatting sqref="W299">
    <cfRule type="expression" dxfId="445" priority="705">
      <formula>W283&gt;W299</formula>
    </cfRule>
  </conditionalFormatting>
  <conditionalFormatting sqref="Y299">
    <cfRule type="expression" dxfId="444" priority="704">
      <formula>Y283&gt;Y299</formula>
    </cfRule>
  </conditionalFormatting>
  <conditionalFormatting sqref="AA299">
    <cfRule type="expression" dxfId="443" priority="703">
      <formula>AA283&gt;AA299</formula>
    </cfRule>
  </conditionalFormatting>
  <conditionalFormatting sqref="AK386:AK387">
    <cfRule type="notContainsBlanks" dxfId="442" priority="700">
      <formula>LEN(TRIM(AK386))&gt;0</formula>
    </cfRule>
  </conditionalFormatting>
  <conditionalFormatting sqref="AM386">
    <cfRule type="notContainsBlanks" dxfId="441" priority="699">
      <formula>LEN(TRIM(AM386))&gt;0</formula>
    </cfRule>
  </conditionalFormatting>
  <conditionalFormatting sqref="AJ386">
    <cfRule type="cellIs" dxfId="440" priority="697" operator="equal">
      <formula>0</formula>
    </cfRule>
  </conditionalFormatting>
  <conditionalFormatting sqref="AJ387">
    <cfRule type="cellIs" dxfId="439" priority="696" operator="equal">
      <formula>0</formula>
    </cfRule>
  </conditionalFormatting>
  <conditionalFormatting sqref="AJ385">
    <cfRule type="cellIs" dxfId="438" priority="695" operator="equal">
      <formula>0</formula>
    </cfRule>
  </conditionalFormatting>
  <conditionalFormatting sqref="AM388">
    <cfRule type="notContainsBlanks" dxfId="437" priority="690">
      <formula>LEN(TRIM(AM388))&gt;0</formula>
    </cfRule>
  </conditionalFormatting>
  <conditionalFormatting sqref="AL388">
    <cfRule type="notContainsBlanks" dxfId="436" priority="691">
      <formula>LEN(TRIM(AL388))&gt;0</formula>
    </cfRule>
  </conditionalFormatting>
  <conditionalFormatting sqref="AK388">
    <cfRule type="notContainsBlanks" dxfId="435" priority="689">
      <formula>LEN(TRIM(AK388))&gt;0</formula>
    </cfRule>
  </conditionalFormatting>
  <conditionalFormatting sqref="AJ388">
    <cfRule type="cellIs" dxfId="434" priority="688" operator="equal">
      <formula>0</formula>
    </cfRule>
  </conditionalFormatting>
  <conditionalFormatting sqref="AM389">
    <cfRule type="notContainsBlanks" dxfId="433" priority="685">
      <formula>LEN(TRIM(AM389))&gt;0</formula>
    </cfRule>
  </conditionalFormatting>
  <conditionalFormatting sqref="AL389">
    <cfRule type="notContainsBlanks" dxfId="432" priority="686">
      <formula>LEN(TRIM(AL389))&gt;0</formula>
    </cfRule>
  </conditionalFormatting>
  <conditionalFormatting sqref="AK389">
    <cfRule type="notContainsBlanks" dxfId="431" priority="684">
      <formula>LEN(TRIM(AK389))&gt;0</formula>
    </cfRule>
  </conditionalFormatting>
  <conditionalFormatting sqref="AJ389">
    <cfRule type="cellIs" dxfId="430" priority="683" operator="equal">
      <formula>0</formula>
    </cfRule>
  </conditionalFormatting>
  <conditionalFormatting sqref="AK390">
    <cfRule type="notContainsBlanks" dxfId="429" priority="676">
      <formula>LEN(TRIM(AK390))&gt;0</formula>
    </cfRule>
  </conditionalFormatting>
  <conditionalFormatting sqref="AM390:AM392">
    <cfRule type="notContainsBlanks" dxfId="428" priority="675">
      <formula>LEN(TRIM(AM390))&gt;0</formula>
    </cfRule>
  </conditionalFormatting>
  <conditionalFormatting sqref="AL390:AL392">
    <cfRule type="notContainsBlanks" dxfId="427" priority="677">
      <formula>LEN(TRIM(AL390))&gt;0</formula>
    </cfRule>
  </conditionalFormatting>
  <conditionalFormatting sqref="AK391:AK392">
    <cfRule type="notContainsBlanks" dxfId="426" priority="674">
      <formula>LEN(TRIM(AK391))&gt;0</formula>
    </cfRule>
  </conditionalFormatting>
  <conditionalFormatting sqref="AM391">
    <cfRule type="notContainsBlanks" dxfId="425" priority="673">
      <formula>LEN(TRIM(AM391))&gt;0</formula>
    </cfRule>
  </conditionalFormatting>
  <conditionalFormatting sqref="AM393">
    <cfRule type="notContainsBlanks" dxfId="424" priority="667">
      <formula>LEN(TRIM(AM393))&gt;0</formula>
    </cfRule>
  </conditionalFormatting>
  <conditionalFormatting sqref="AL393">
    <cfRule type="notContainsBlanks" dxfId="423" priority="668">
      <formula>LEN(TRIM(AL393))&gt;0</formula>
    </cfRule>
  </conditionalFormatting>
  <conditionalFormatting sqref="AK393">
    <cfRule type="notContainsBlanks" dxfId="422" priority="666">
      <formula>LEN(TRIM(AK393))&gt;0</formula>
    </cfRule>
  </conditionalFormatting>
  <conditionalFormatting sqref="AM394">
    <cfRule type="notContainsBlanks" dxfId="421" priority="662">
      <formula>LEN(TRIM(AM394))&gt;0</formula>
    </cfRule>
  </conditionalFormatting>
  <conditionalFormatting sqref="AL394">
    <cfRule type="notContainsBlanks" dxfId="420" priority="663">
      <formula>LEN(TRIM(AL394))&gt;0</formula>
    </cfRule>
  </conditionalFormatting>
  <conditionalFormatting sqref="AK394">
    <cfRule type="notContainsBlanks" dxfId="419" priority="661">
      <formula>LEN(TRIM(AK394))&gt;0</formula>
    </cfRule>
  </conditionalFormatting>
  <conditionalFormatting sqref="AK395">
    <cfRule type="notContainsBlanks" dxfId="418" priority="653">
      <formula>LEN(TRIM(AK395))&gt;0</formula>
    </cfRule>
  </conditionalFormatting>
  <conditionalFormatting sqref="AM395:AM397">
    <cfRule type="notContainsBlanks" dxfId="417" priority="652">
      <formula>LEN(TRIM(AM395))&gt;0</formula>
    </cfRule>
  </conditionalFormatting>
  <conditionalFormatting sqref="AL395:AL397">
    <cfRule type="notContainsBlanks" dxfId="416" priority="654">
      <formula>LEN(TRIM(AL395))&gt;0</formula>
    </cfRule>
  </conditionalFormatting>
  <conditionalFormatting sqref="AK396:AK397">
    <cfRule type="notContainsBlanks" dxfId="415" priority="651">
      <formula>LEN(TRIM(AK396))&gt;0</formula>
    </cfRule>
  </conditionalFormatting>
  <conditionalFormatting sqref="AM396">
    <cfRule type="notContainsBlanks" dxfId="414" priority="650">
      <formula>LEN(TRIM(AM396))&gt;0</formula>
    </cfRule>
  </conditionalFormatting>
  <conditionalFormatting sqref="AM398">
    <cfRule type="notContainsBlanks" dxfId="413" priority="644">
      <formula>LEN(TRIM(AM398))&gt;0</formula>
    </cfRule>
  </conditionalFormatting>
  <conditionalFormatting sqref="AL398">
    <cfRule type="notContainsBlanks" dxfId="412" priority="645">
      <formula>LEN(TRIM(AL398))&gt;0</formula>
    </cfRule>
  </conditionalFormatting>
  <conditionalFormatting sqref="AK398">
    <cfRule type="notContainsBlanks" dxfId="411" priority="643">
      <formula>LEN(TRIM(AK398))&gt;0</formula>
    </cfRule>
  </conditionalFormatting>
  <conditionalFormatting sqref="AM399">
    <cfRule type="notContainsBlanks" dxfId="410" priority="639">
      <formula>LEN(TRIM(AM399))&gt;0</formula>
    </cfRule>
  </conditionalFormatting>
  <conditionalFormatting sqref="AL399">
    <cfRule type="notContainsBlanks" dxfId="409" priority="640">
      <formula>LEN(TRIM(AL399))&gt;0</formula>
    </cfRule>
  </conditionalFormatting>
  <conditionalFormatting sqref="AK399">
    <cfRule type="notContainsBlanks" dxfId="408" priority="638">
      <formula>LEN(TRIM(AK399))&gt;0</formula>
    </cfRule>
  </conditionalFormatting>
  <conditionalFormatting sqref="AK400">
    <cfRule type="notContainsBlanks" dxfId="407" priority="630">
      <formula>LEN(TRIM(AK400))&gt;0</formula>
    </cfRule>
  </conditionalFormatting>
  <conditionalFormatting sqref="AM400:AM402">
    <cfRule type="notContainsBlanks" dxfId="406" priority="629">
      <formula>LEN(TRIM(AM400))&gt;0</formula>
    </cfRule>
  </conditionalFormatting>
  <conditionalFormatting sqref="AL400:AL402">
    <cfRule type="notContainsBlanks" dxfId="405" priority="631">
      <formula>LEN(TRIM(AL400))&gt;0</formula>
    </cfRule>
  </conditionalFormatting>
  <conditionalFormatting sqref="AK401:AK402">
    <cfRule type="notContainsBlanks" dxfId="404" priority="628">
      <formula>LEN(TRIM(AK401))&gt;0</formula>
    </cfRule>
  </conditionalFormatting>
  <conditionalFormatting sqref="AM401">
    <cfRule type="notContainsBlanks" dxfId="403" priority="627">
      <formula>LEN(TRIM(AM401))&gt;0</formula>
    </cfRule>
  </conditionalFormatting>
  <conditionalFormatting sqref="AM403">
    <cfRule type="notContainsBlanks" dxfId="402" priority="621">
      <formula>LEN(TRIM(AM403))&gt;0</formula>
    </cfRule>
  </conditionalFormatting>
  <conditionalFormatting sqref="AL403">
    <cfRule type="notContainsBlanks" dxfId="401" priority="622">
      <formula>LEN(TRIM(AL403))&gt;0</formula>
    </cfRule>
  </conditionalFormatting>
  <conditionalFormatting sqref="AK403">
    <cfRule type="notContainsBlanks" dxfId="400" priority="620">
      <formula>LEN(TRIM(AK403))&gt;0</formula>
    </cfRule>
  </conditionalFormatting>
  <conditionalFormatting sqref="AJ392">
    <cfRule type="cellIs" dxfId="399" priority="607" operator="equal">
      <formula>0</formula>
    </cfRule>
  </conditionalFormatting>
  <conditionalFormatting sqref="AM404">
    <cfRule type="notContainsBlanks" dxfId="398" priority="616">
      <formula>LEN(TRIM(AM404))&gt;0</formula>
    </cfRule>
  </conditionalFormatting>
  <conditionalFormatting sqref="AL404">
    <cfRule type="notContainsBlanks" dxfId="397" priority="617">
      <formula>LEN(TRIM(AL404))&gt;0</formula>
    </cfRule>
  </conditionalFormatting>
  <conditionalFormatting sqref="AK404">
    <cfRule type="notContainsBlanks" dxfId="396" priority="615">
      <formula>LEN(TRIM(AK404))&gt;0</formula>
    </cfRule>
  </conditionalFormatting>
  <conditionalFormatting sqref="AJ394">
    <cfRule type="cellIs" dxfId="395" priority="602" operator="equal">
      <formula>0</formula>
    </cfRule>
  </conditionalFormatting>
  <conditionalFormatting sqref="AJ391">
    <cfRule type="cellIs" dxfId="394" priority="608" operator="equal">
      <formula>0</formula>
    </cfRule>
  </conditionalFormatting>
  <conditionalFormatting sqref="AJ390">
    <cfRule type="cellIs" dxfId="393" priority="606" operator="equal">
      <formula>0</formula>
    </cfRule>
  </conditionalFormatting>
  <conditionalFormatting sqref="AJ393">
    <cfRule type="cellIs" dxfId="392" priority="604" operator="equal">
      <formula>0</formula>
    </cfRule>
  </conditionalFormatting>
  <conditionalFormatting sqref="AJ396">
    <cfRule type="cellIs" dxfId="391" priority="596" operator="equal">
      <formula>0</formula>
    </cfRule>
  </conditionalFormatting>
  <conditionalFormatting sqref="AJ397">
    <cfRule type="cellIs" dxfId="390" priority="595" operator="equal">
      <formula>0</formula>
    </cfRule>
  </conditionalFormatting>
  <conditionalFormatting sqref="AJ395">
    <cfRule type="cellIs" dxfId="389" priority="594" operator="equal">
      <formula>0</formula>
    </cfRule>
  </conditionalFormatting>
  <conditionalFormatting sqref="AJ398">
    <cfRule type="cellIs" dxfId="388" priority="592" operator="equal">
      <formula>0</formula>
    </cfRule>
  </conditionalFormatting>
  <conditionalFormatting sqref="AJ399">
    <cfRule type="cellIs" dxfId="387" priority="590" operator="equal">
      <formula>0</formula>
    </cfRule>
  </conditionalFormatting>
  <conditionalFormatting sqref="AJ401">
    <cfRule type="cellIs" dxfId="386" priority="584" operator="equal">
      <formula>0</formula>
    </cfRule>
  </conditionalFormatting>
  <conditionalFormatting sqref="AJ402">
    <cfRule type="cellIs" dxfId="385" priority="583" operator="equal">
      <formula>0</formula>
    </cfRule>
  </conditionalFormatting>
  <conditionalFormatting sqref="AJ400">
    <cfRule type="cellIs" dxfId="384" priority="582" operator="equal">
      <formula>0</formula>
    </cfRule>
  </conditionalFormatting>
  <conditionalFormatting sqref="AJ403">
    <cfRule type="cellIs" dxfId="383" priority="580" operator="equal">
      <formula>0</formula>
    </cfRule>
  </conditionalFormatting>
  <conditionalFormatting sqref="AJ404">
    <cfRule type="cellIs" dxfId="382" priority="578" operator="equal">
      <formula>0</formula>
    </cfRule>
  </conditionalFormatting>
  <conditionalFormatting sqref="AK405">
    <cfRule type="notContainsBlanks" dxfId="381" priority="571">
      <formula>LEN(TRIM(AK405))&gt;0</formula>
    </cfRule>
  </conditionalFormatting>
  <conditionalFormatting sqref="AM405:AM407">
    <cfRule type="notContainsBlanks" dxfId="380" priority="570">
      <formula>LEN(TRIM(AM405))&gt;0</formula>
    </cfRule>
  </conditionalFormatting>
  <conditionalFormatting sqref="AL405:AL407">
    <cfRule type="notContainsBlanks" dxfId="379" priority="572">
      <formula>LEN(TRIM(AL405))&gt;0</formula>
    </cfRule>
  </conditionalFormatting>
  <conditionalFormatting sqref="AK406:AK407">
    <cfRule type="notContainsBlanks" dxfId="378" priority="569">
      <formula>LEN(TRIM(AK406))&gt;0</formula>
    </cfRule>
  </conditionalFormatting>
  <conditionalFormatting sqref="AM406">
    <cfRule type="notContainsBlanks" dxfId="377" priority="568">
      <formula>LEN(TRIM(AM406))&gt;0</formula>
    </cfRule>
  </conditionalFormatting>
  <conditionalFormatting sqref="AJ406">
    <cfRule type="cellIs" dxfId="376" priority="567" operator="equal">
      <formula>0</formula>
    </cfRule>
  </conditionalFormatting>
  <conditionalFormatting sqref="AJ407">
    <cfRule type="cellIs" dxfId="375" priority="566" operator="equal">
      <formula>0</formula>
    </cfRule>
  </conditionalFormatting>
  <conditionalFormatting sqref="AJ405">
    <cfRule type="cellIs" dxfId="374" priority="565" operator="equal">
      <formula>0</formula>
    </cfRule>
  </conditionalFormatting>
  <conditionalFormatting sqref="AM408">
    <cfRule type="notContainsBlanks" dxfId="373" priority="562">
      <formula>LEN(TRIM(AM408))&gt;0</formula>
    </cfRule>
  </conditionalFormatting>
  <conditionalFormatting sqref="AL408">
    <cfRule type="notContainsBlanks" dxfId="372" priority="563">
      <formula>LEN(TRIM(AL408))&gt;0</formula>
    </cfRule>
  </conditionalFormatting>
  <conditionalFormatting sqref="AK408">
    <cfRule type="notContainsBlanks" dxfId="371" priority="561">
      <formula>LEN(TRIM(AK408))&gt;0</formula>
    </cfRule>
  </conditionalFormatting>
  <conditionalFormatting sqref="AJ408">
    <cfRule type="cellIs" dxfId="370" priority="560" operator="equal">
      <formula>0</formula>
    </cfRule>
  </conditionalFormatting>
  <conditionalFormatting sqref="AM409">
    <cfRule type="notContainsBlanks" dxfId="369" priority="557">
      <formula>LEN(TRIM(AM409))&gt;0</formula>
    </cfRule>
  </conditionalFormatting>
  <conditionalFormatting sqref="AL409">
    <cfRule type="notContainsBlanks" dxfId="368" priority="558">
      <formula>LEN(TRIM(AL409))&gt;0</formula>
    </cfRule>
  </conditionalFormatting>
  <conditionalFormatting sqref="AK409">
    <cfRule type="notContainsBlanks" dxfId="367" priority="556">
      <formula>LEN(TRIM(AK409))&gt;0</formula>
    </cfRule>
  </conditionalFormatting>
  <conditionalFormatting sqref="AJ409">
    <cfRule type="cellIs" dxfId="366" priority="555" operator="equal">
      <formula>0</formula>
    </cfRule>
  </conditionalFormatting>
  <conditionalFormatting sqref="AK410">
    <cfRule type="notContainsBlanks" dxfId="365" priority="548">
      <formula>LEN(TRIM(AK410))&gt;0</formula>
    </cfRule>
  </conditionalFormatting>
  <conditionalFormatting sqref="AM410:AM412">
    <cfRule type="notContainsBlanks" dxfId="364" priority="547">
      <formula>LEN(TRIM(AM410))&gt;0</formula>
    </cfRule>
  </conditionalFormatting>
  <conditionalFormatting sqref="AL410:AL412">
    <cfRule type="notContainsBlanks" dxfId="363" priority="549">
      <formula>LEN(TRIM(AL410))&gt;0</formula>
    </cfRule>
  </conditionalFormatting>
  <conditionalFormatting sqref="AK411:AK412">
    <cfRule type="notContainsBlanks" dxfId="362" priority="546">
      <formula>LEN(TRIM(AK411))&gt;0</formula>
    </cfRule>
  </conditionalFormatting>
  <conditionalFormatting sqref="AM411">
    <cfRule type="notContainsBlanks" dxfId="361" priority="545">
      <formula>LEN(TRIM(AM411))&gt;0</formula>
    </cfRule>
  </conditionalFormatting>
  <conditionalFormatting sqref="AM413">
    <cfRule type="notContainsBlanks" dxfId="360" priority="543">
      <formula>LEN(TRIM(AM413))&gt;0</formula>
    </cfRule>
  </conditionalFormatting>
  <conditionalFormatting sqref="AL413">
    <cfRule type="notContainsBlanks" dxfId="359" priority="544">
      <formula>LEN(TRIM(AL413))&gt;0</formula>
    </cfRule>
  </conditionalFormatting>
  <conditionalFormatting sqref="AK413">
    <cfRule type="notContainsBlanks" dxfId="358" priority="542">
      <formula>LEN(TRIM(AK413))&gt;0</formula>
    </cfRule>
  </conditionalFormatting>
  <conditionalFormatting sqref="AM414">
    <cfRule type="notContainsBlanks" dxfId="357" priority="540">
      <formula>LEN(TRIM(AM414))&gt;0</formula>
    </cfRule>
  </conditionalFormatting>
  <conditionalFormatting sqref="AL414">
    <cfRule type="notContainsBlanks" dxfId="356" priority="541">
      <formula>LEN(TRIM(AL414))&gt;0</formula>
    </cfRule>
  </conditionalFormatting>
  <conditionalFormatting sqref="AK414">
    <cfRule type="notContainsBlanks" dxfId="355" priority="539">
      <formula>LEN(TRIM(AK414))&gt;0</formula>
    </cfRule>
  </conditionalFormatting>
  <conditionalFormatting sqref="AK415">
    <cfRule type="notContainsBlanks" dxfId="354" priority="537">
      <formula>LEN(TRIM(AK415))&gt;0</formula>
    </cfRule>
  </conditionalFormatting>
  <conditionalFormatting sqref="AM415:AM417">
    <cfRule type="notContainsBlanks" dxfId="353" priority="536">
      <formula>LEN(TRIM(AM415))&gt;0</formula>
    </cfRule>
  </conditionalFormatting>
  <conditionalFormatting sqref="AL415:AL417">
    <cfRule type="notContainsBlanks" dxfId="352" priority="538">
      <formula>LEN(TRIM(AL415))&gt;0</formula>
    </cfRule>
  </conditionalFormatting>
  <conditionalFormatting sqref="AK416:AK417">
    <cfRule type="notContainsBlanks" dxfId="351" priority="535">
      <formula>LEN(TRIM(AK416))&gt;0</formula>
    </cfRule>
  </conditionalFormatting>
  <conditionalFormatting sqref="AM416">
    <cfRule type="notContainsBlanks" dxfId="350" priority="534">
      <formula>LEN(TRIM(AM416))&gt;0</formula>
    </cfRule>
  </conditionalFormatting>
  <conditionalFormatting sqref="AM418">
    <cfRule type="notContainsBlanks" dxfId="349" priority="532">
      <formula>LEN(TRIM(AM418))&gt;0</formula>
    </cfRule>
  </conditionalFormatting>
  <conditionalFormatting sqref="AL418">
    <cfRule type="notContainsBlanks" dxfId="348" priority="533">
      <formula>LEN(TRIM(AL418))&gt;0</formula>
    </cfRule>
  </conditionalFormatting>
  <conditionalFormatting sqref="AK418">
    <cfRule type="notContainsBlanks" dxfId="347" priority="531">
      <formula>LEN(TRIM(AK418))&gt;0</formula>
    </cfRule>
  </conditionalFormatting>
  <conditionalFormatting sqref="AM419">
    <cfRule type="notContainsBlanks" dxfId="346" priority="529">
      <formula>LEN(TRIM(AM419))&gt;0</formula>
    </cfRule>
  </conditionalFormatting>
  <conditionalFormatting sqref="AL419">
    <cfRule type="notContainsBlanks" dxfId="345" priority="530">
      <formula>LEN(TRIM(AL419))&gt;0</formula>
    </cfRule>
  </conditionalFormatting>
  <conditionalFormatting sqref="AK419">
    <cfRule type="notContainsBlanks" dxfId="344" priority="528">
      <formula>LEN(TRIM(AK419))&gt;0</formula>
    </cfRule>
  </conditionalFormatting>
  <conditionalFormatting sqref="AK420">
    <cfRule type="notContainsBlanks" dxfId="343" priority="526">
      <formula>LEN(TRIM(AK420))&gt;0</formula>
    </cfRule>
  </conditionalFormatting>
  <conditionalFormatting sqref="AM420:AM422">
    <cfRule type="notContainsBlanks" dxfId="342" priority="525">
      <formula>LEN(TRIM(AM420))&gt;0</formula>
    </cfRule>
  </conditionalFormatting>
  <conditionalFormatting sqref="AL420:AL422">
    <cfRule type="notContainsBlanks" dxfId="341" priority="527">
      <formula>LEN(TRIM(AL420))&gt;0</formula>
    </cfRule>
  </conditionalFormatting>
  <conditionalFormatting sqref="AK421:AK422">
    <cfRule type="notContainsBlanks" dxfId="340" priority="524">
      <formula>LEN(TRIM(AK421))&gt;0</formula>
    </cfRule>
  </conditionalFormatting>
  <conditionalFormatting sqref="AM421">
    <cfRule type="notContainsBlanks" dxfId="339" priority="523">
      <formula>LEN(TRIM(AM421))&gt;0</formula>
    </cfRule>
  </conditionalFormatting>
  <conditionalFormatting sqref="AM423">
    <cfRule type="notContainsBlanks" dxfId="338" priority="521">
      <formula>LEN(TRIM(AM423))&gt;0</formula>
    </cfRule>
  </conditionalFormatting>
  <conditionalFormatting sqref="AL423">
    <cfRule type="notContainsBlanks" dxfId="337" priority="522">
      <formula>LEN(TRIM(AL423))&gt;0</formula>
    </cfRule>
  </conditionalFormatting>
  <conditionalFormatting sqref="AK423">
    <cfRule type="notContainsBlanks" dxfId="336" priority="520">
      <formula>LEN(TRIM(AK423))&gt;0</formula>
    </cfRule>
  </conditionalFormatting>
  <conditionalFormatting sqref="AJ412">
    <cfRule type="cellIs" dxfId="335" priority="515" operator="equal">
      <formula>0</formula>
    </cfRule>
  </conditionalFormatting>
  <conditionalFormatting sqref="AM424">
    <cfRule type="notContainsBlanks" dxfId="334" priority="518">
      <formula>LEN(TRIM(AM424))&gt;0</formula>
    </cfRule>
  </conditionalFormatting>
  <conditionalFormatting sqref="AL424">
    <cfRule type="notContainsBlanks" dxfId="333" priority="519">
      <formula>LEN(TRIM(AL424))&gt;0</formula>
    </cfRule>
  </conditionalFormatting>
  <conditionalFormatting sqref="AK424">
    <cfRule type="notContainsBlanks" dxfId="332" priority="517">
      <formula>LEN(TRIM(AK424))&gt;0</formula>
    </cfRule>
  </conditionalFormatting>
  <conditionalFormatting sqref="AJ414">
    <cfRule type="cellIs" dxfId="331" priority="510" operator="equal">
      <formula>0</formula>
    </cfRule>
  </conditionalFormatting>
  <conditionalFormatting sqref="AJ411">
    <cfRule type="cellIs" dxfId="330" priority="516" operator="equal">
      <formula>0</formula>
    </cfRule>
  </conditionalFormatting>
  <conditionalFormatting sqref="AJ410">
    <cfRule type="cellIs" dxfId="329" priority="514" operator="equal">
      <formula>0</formula>
    </cfRule>
  </conditionalFormatting>
  <conditionalFormatting sqref="AJ413">
    <cfRule type="cellIs" dxfId="328" priority="512" operator="equal">
      <formula>0</formula>
    </cfRule>
  </conditionalFormatting>
  <conditionalFormatting sqref="AJ416">
    <cfRule type="cellIs" dxfId="327" priority="504" operator="equal">
      <formula>0</formula>
    </cfRule>
  </conditionalFormatting>
  <conditionalFormatting sqref="AJ417">
    <cfRule type="cellIs" dxfId="326" priority="503" operator="equal">
      <formula>0</formula>
    </cfRule>
  </conditionalFormatting>
  <conditionalFormatting sqref="AJ415">
    <cfRule type="cellIs" dxfId="325" priority="502" operator="equal">
      <formula>0</formula>
    </cfRule>
  </conditionalFormatting>
  <conditionalFormatting sqref="AJ418">
    <cfRule type="cellIs" dxfId="324" priority="500" operator="equal">
      <formula>0</formula>
    </cfRule>
  </conditionalFormatting>
  <conditionalFormatting sqref="AJ419">
    <cfRule type="cellIs" dxfId="323" priority="498" operator="equal">
      <formula>0</formula>
    </cfRule>
  </conditionalFormatting>
  <conditionalFormatting sqref="AJ421">
    <cfRule type="cellIs" dxfId="322" priority="492" operator="equal">
      <formula>0</formula>
    </cfRule>
  </conditionalFormatting>
  <conditionalFormatting sqref="AJ422">
    <cfRule type="cellIs" dxfId="321" priority="491" operator="equal">
      <formula>0</formula>
    </cfRule>
  </conditionalFormatting>
  <conditionalFormatting sqref="AJ420">
    <cfRule type="cellIs" dxfId="320" priority="490" operator="equal">
      <formula>0</formula>
    </cfRule>
  </conditionalFormatting>
  <conditionalFormatting sqref="AJ423">
    <cfRule type="cellIs" dxfId="319" priority="488" operator="equal">
      <formula>0</formula>
    </cfRule>
  </conditionalFormatting>
  <conditionalFormatting sqref="AJ424">
    <cfRule type="cellIs" dxfId="318" priority="486" operator="equal">
      <formula>0</formula>
    </cfRule>
  </conditionalFormatting>
  <conditionalFormatting sqref="AK425">
    <cfRule type="notContainsBlanks" dxfId="317" priority="479">
      <formula>LEN(TRIM(AK425))&gt;0</formula>
    </cfRule>
  </conditionalFormatting>
  <conditionalFormatting sqref="AM425:AM427">
    <cfRule type="notContainsBlanks" dxfId="316" priority="478">
      <formula>LEN(TRIM(AM425))&gt;0</formula>
    </cfRule>
  </conditionalFormatting>
  <conditionalFormatting sqref="AL425:AL427">
    <cfRule type="notContainsBlanks" dxfId="315" priority="480">
      <formula>LEN(TRIM(AL425))&gt;0</formula>
    </cfRule>
  </conditionalFormatting>
  <conditionalFormatting sqref="AK426:AK427">
    <cfRule type="notContainsBlanks" dxfId="314" priority="477">
      <formula>LEN(TRIM(AK426))&gt;0</formula>
    </cfRule>
  </conditionalFormatting>
  <conditionalFormatting sqref="AM426">
    <cfRule type="notContainsBlanks" dxfId="313" priority="476">
      <formula>LEN(TRIM(AM426))&gt;0</formula>
    </cfRule>
  </conditionalFormatting>
  <conditionalFormatting sqref="AJ426">
    <cfRule type="cellIs" dxfId="312" priority="475" operator="equal">
      <formula>0</formula>
    </cfRule>
  </conditionalFormatting>
  <conditionalFormatting sqref="AJ427">
    <cfRule type="cellIs" dxfId="311" priority="474" operator="equal">
      <formula>0</formula>
    </cfRule>
  </conditionalFormatting>
  <conditionalFormatting sqref="AJ425">
    <cfRule type="cellIs" dxfId="310" priority="473" operator="equal">
      <formula>0</formula>
    </cfRule>
  </conditionalFormatting>
  <conditionalFormatting sqref="AM428">
    <cfRule type="notContainsBlanks" dxfId="309" priority="470">
      <formula>LEN(TRIM(AM428))&gt;0</formula>
    </cfRule>
  </conditionalFormatting>
  <conditionalFormatting sqref="AL428">
    <cfRule type="notContainsBlanks" dxfId="308" priority="471">
      <formula>LEN(TRIM(AL428))&gt;0</formula>
    </cfRule>
  </conditionalFormatting>
  <conditionalFormatting sqref="AK428">
    <cfRule type="notContainsBlanks" dxfId="307" priority="469">
      <formula>LEN(TRIM(AK428))&gt;0</formula>
    </cfRule>
  </conditionalFormatting>
  <conditionalFormatting sqref="AJ428">
    <cfRule type="cellIs" dxfId="306" priority="468" operator="equal">
      <formula>0</formula>
    </cfRule>
  </conditionalFormatting>
  <conditionalFormatting sqref="AM429">
    <cfRule type="notContainsBlanks" dxfId="305" priority="465">
      <formula>LEN(TRIM(AM429))&gt;0</formula>
    </cfRule>
  </conditionalFormatting>
  <conditionalFormatting sqref="AL429">
    <cfRule type="notContainsBlanks" dxfId="304" priority="466">
      <formula>LEN(TRIM(AL429))&gt;0</formula>
    </cfRule>
  </conditionalFormatting>
  <conditionalFormatting sqref="AK429">
    <cfRule type="notContainsBlanks" dxfId="303" priority="464">
      <formula>LEN(TRIM(AK429))&gt;0</formula>
    </cfRule>
  </conditionalFormatting>
  <conditionalFormatting sqref="AJ429">
    <cfRule type="cellIs" dxfId="302" priority="463" operator="equal">
      <formula>0</formula>
    </cfRule>
  </conditionalFormatting>
  <conditionalFormatting sqref="AK430">
    <cfRule type="notContainsBlanks" dxfId="301" priority="456">
      <formula>LEN(TRIM(AK430))&gt;0</formula>
    </cfRule>
  </conditionalFormatting>
  <conditionalFormatting sqref="AM430:AM432">
    <cfRule type="notContainsBlanks" dxfId="300" priority="455">
      <formula>LEN(TRIM(AM430))&gt;0</formula>
    </cfRule>
  </conditionalFormatting>
  <conditionalFormatting sqref="AL430:AL432">
    <cfRule type="notContainsBlanks" dxfId="299" priority="457">
      <formula>LEN(TRIM(AL430))&gt;0</formula>
    </cfRule>
  </conditionalFormatting>
  <conditionalFormatting sqref="AK431:AK432">
    <cfRule type="notContainsBlanks" dxfId="298" priority="454">
      <formula>LEN(TRIM(AK431))&gt;0</formula>
    </cfRule>
  </conditionalFormatting>
  <conditionalFormatting sqref="AM431">
    <cfRule type="notContainsBlanks" dxfId="297" priority="453">
      <formula>LEN(TRIM(AM431))&gt;0</formula>
    </cfRule>
  </conditionalFormatting>
  <conditionalFormatting sqref="AM433">
    <cfRule type="notContainsBlanks" dxfId="296" priority="451">
      <formula>LEN(TRIM(AM433))&gt;0</formula>
    </cfRule>
  </conditionalFormatting>
  <conditionalFormatting sqref="AL433">
    <cfRule type="notContainsBlanks" dxfId="295" priority="452">
      <formula>LEN(TRIM(AL433))&gt;0</formula>
    </cfRule>
  </conditionalFormatting>
  <conditionalFormatting sqref="AK433">
    <cfRule type="notContainsBlanks" dxfId="294" priority="450">
      <formula>LEN(TRIM(AK433))&gt;0</formula>
    </cfRule>
  </conditionalFormatting>
  <conditionalFormatting sqref="AM434">
    <cfRule type="notContainsBlanks" dxfId="293" priority="448">
      <formula>LEN(TRIM(AM434))&gt;0</formula>
    </cfRule>
  </conditionalFormatting>
  <conditionalFormatting sqref="AL434">
    <cfRule type="notContainsBlanks" dxfId="292" priority="449">
      <formula>LEN(TRIM(AL434))&gt;0</formula>
    </cfRule>
  </conditionalFormatting>
  <conditionalFormatting sqref="AK434">
    <cfRule type="notContainsBlanks" dxfId="291" priority="447">
      <formula>LEN(TRIM(AK434))&gt;0</formula>
    </cfRule>
  </conditionalFormatting>
  <conditionalFormatting sqref="AK435">
    <cfRule type="notContainsBlanks" dxfId="290" priority="445">
      <formula>LEN(TRIM(AK435))&gt;0</formula>
    </cfRule>
  </conditionalFormatting>
  <conditionalFormatting sqref="AM435:AM437">
    <cfRule type="notContainsBlanks" dxfId="289" priority="444">
      <formula>LEN(TRIM(AM435))&gt;0</formula>
    </cfRule>
  </conditionalFormatting>
  <conditionalFormatting sqref="AL435:AL437">
    <cfRule type="notContainsBlanks" dxfId="288" priority="446">
      <formula>LEN(TRIM(AL435))&gt;0</formula>
    </cfRule>
  </conditionalFormatting>
  <conditionalFormatting sqref="AK436:AK437">
    <cfRule type="notContainsBlanks" dxfId="287" priority="443">
      <formula>LEN(TRIM(AK436))&gt;0</formula>
    </cfRule>
  </conditionalFormatting>
  <conditionalFormatting sqref="AM436">
    <cfRule type="notContainsBlanks" dxfId="286" priority="442">
      <formula>LEN(TRIM(AM436))&gt;0</formula>
    </cfRule>
  </conditionalFormatting>
  <conditionalFormatting sqref="AM438">
    <cfRule type="notContainsBlanks" dxfId="285" priority="440">
      <formula>LEN(TRIM(AM438))&gt;0</formula>
    </cfRule>
  </conditionalFormatting>
  <conditionalFormatting sqref="AL438">
    <cfRule type="notContainsBlanks" dxfId="284" priority="441">
      <formula>LEN(TRIM(AL438))&gt;0</formula>
    </cfRule>
  </conditionalFormatting>
  <conditionalFormatting sqref="AK438">
    <cfRule type="notContainsBlanks" dxfId="283" priority="439">
      <formula>LEN(TRIM(AK438))&gt;0</formula>
    </cfRule>
  </conditionalFormatting>
  <conditionalFormatting sqref="AM439">
    <cfRule type="notContainsBlanks" dxfId="282" priority="437">
      <formula>LEN(TRIM(AM439))&gt;0</formula>
    </cfRule>
  </conditionalFormatting>
  <conditionalFormatting sqref="AL439">
    <cfRule type="notContainsBlanks" dxfId="281" priority="438">
      <formula>LEN(TRIM(AL439))&gt;0</formula>
    </cfRule>
  </conditionalFormatting>
  <conditionalFormatting sqref="AK439">
    <cfRule type="notContainsBlanks" dxfId="280" priority="436">
      <formula>LEN(TRIM(AK439))&gt;0</formula>
    </cfRule>
  </conditionalFormatting>
  <conditionalFormatting sqref="AK440">
    <cfRule type="notContainsBlanks" dxfId="279" priority="434">
      <formula>LEN(TRIM(AK440))&gt;0</formula>
    </cfRule>
  </conditionalFormatting>
  <conditionalFormatting sqref="AM440:AM442">
    <cfRule type="notContainsBlanks" dxfId="278" priority="433">
      <formula>LEN(TRIM(AM440))&gt;0</formula>
    </cfRule>
  </conditionalFormatting>
  <conditionalFormatting sqref="AL440:AL442">
    <cfRule type="notContainsBlanks" dxfId="277" priority="435">
      <formula>LEN(TRIM(AL440))&gt;0</formula>
    </cfRule>
  </conditionalFormatting>
  <conditionalFormatting sqref="AK441:AK442">
    <cfRule type="notContainsBlanks" dxfId="276" priority="432">
      <formula>LEN(TRIM(AK441))&gt;0</formula>
    </cfRule>
  </conditionalFormatting>
  <conditionalFormatting sqref="AM441">
    <cfRule type="notContainsBlanks" dxfId="275" priority="431">
      <formula>LEN(TRIM(AM441))&gt;0</formula>
    </cfRule>
  </conditionalFormatting>
  <conditionalFormatting sqref="AM443">
    <cfRule type="notContainsBlanks" dxfId="274" priority="429">
      <formula>LEN(TRIM(AM443))&gt;0</formula>
    </cfRule>
  </conditionalFormatting>
  <conditionalFormatting sqref="AL443">
    <cfRule type="notContainsBlanks" dxfId="273" priority="430">
      <formula>LEN(TRIM(AL443))&gt;0</formula>
    </cfRule>
  </conditionalFormatting>
  <conditionalFormatting sqref="AK443">
    <cfRule type="notContainsBlanks" dxfId="272" priority="428">
      <formula>LEN(TRIM(AK443))&gt;0</formula>
    </cfRule>
  </conditionalFormatting>
  <conditionalFormatting sqref="AJ432">
    <cfRule type="cellIs" dxfId="271" priority="423" operator="equal">
      <formula>0</formula>
    </cfRule>
  </conditionalFormatting>
  <conditionalFormatting sqref="AM444">
    <cfRule type="notContainsBlanks" dxfId="270" priority="426">
      <formula>LEN(TRIM(AM444))&gt;0</formula>
    </cfRule>
  </conditionalFormatting>
  <conditionalFormatting sqref="AL444">
    <cfRule type="notContainsBlanks" dxfId="269" priority="427">
      <formula>LEN(TRIM(AL444))&gt;0</formula>
    </cfRule>
  </conditionalFormatting>
  <conditionalFormatting sqref="AK444">
    <cfRule type="notContainsBlanks" dxfId="268" priority="425">
      <formula>LEN(TRIM(AK444))&gt;0</formula>
    </cfRule>
  </conditionalFormatting>
  <conditionalFormatting sqref="AJ434">
    <cfRule type="cellIs" dxfId="267" priority="418" operator="equal">
      <formula>0</formula>
    </cfRule>
  </conditionalFormatting>
  <conditionalFormatting sqref="AJ431">
    <cfRule type="cellIs" dxfId="266" priority="424" operator="equal">
      <formula>0</formula>
    </cfRule>
  </conditionalFormatting>
  <conditionalFormatting sqref="AJ430">
    <cfRule type="cellIs" dxfId="265" priority="422" operator="equal">
      <formula>0</formula>
    </cfRule>
  </conditionalFormatting>
  <conditionalFormatting sqref="AJ433">
    <cfRule type="cellIs" dxfId="264" priority="420" operator="equal">
      <formula>0</formula>
    </cfRule>
  </conditionalFormatting>
  <conditionalFormatting sqref="AJ436">
    <cfRule type="cellIs" dxfId="263" priority="412" operator="equal">
      <formula>0</formula>
    </cfRule>
  </conditionalFormatting>
  <conditionalFormatting sqref="AJ437">
    <cfRule type="cellIs" dxfId="262" priority="411" operator="equal">
      <formula>0</formula>
    </cfRule>
  </conditionalFormatting>
  <conditionalFormatting sqref="AJ435">
    <cfRule type="cellIs" dxfId="261" priority="410" operator="equal">
      <formula>0</formula>
    </cfRule>
  </conditionalFormatting>
  <conditionalFormatting sqref="AJ438">
    <cfRule type="cellIs" dxfId="260" priority="408" operator="equal">
      <formula>0</formula>
    </cfRule>
  </conditionalFormatting>
  <conditionalFormatting sqref="AJ439">
    <cfRule type="cellIs" dxfId="259" priority="406" operator="equal">
      <formula>0</formula>
    </cfRule>
  </conditionalFormatting>
  <conditionalFormatting sqref="AJ441">
    <cfRule type="cellIs" dxfId="258" priority="400" operator="equal">
      <formula>0</formula>
    </cfRule>
  </conditionalFormatting>
  <conditionalFormatting sqref="AJ442">
    <cfRule type="cellIs" dxfId="257" priority="399" operator="equal">
      <formula>0</formula>
    </cfRule>
  </conditionalFormatting>
  <conditionalFormatting sqref="AJ440">
    <cfRule type="cellIs" dxfId="256" priority="398" operator="equal">
      <formula>0</formula>
    </cfRule>
  </conditionalFormatting>
  <conditionalFormatting sqref="AJ443">
    <cfRule type="cellIs" dxfId="255" priority="396" operator="equal">
      <formula>0</formula>
    </cfRule>
  </conditionalFormatting>
  <conditionalFormatting sqref="AJ444">
    <cfRule type="cellIs" dxfId="254" priority="394" operator="equal">
      <formula>0</formula>
    </cfRule>
  </conditionalFormatting>
  <conditionalFormatting sqref="AK445">
    <cfRule type="notContainsBlanks" dxfId="253" priority="386">
      <formula>LEN(TRIM(AK445))&gt;0</formula>
    </cfRule>
  </conditionalFormatting>
  <conditionalFormatting sqref="AM445:AM447">
    <cfRule type="notContainsBlanks" dxfId="252" priority="385">
      <formula>LEN(TRIM(AM445))&gt;0</formula>
    </cfRule>
  </conditionalFormatting>
  <conditionalFormatting sqref="AL445:AL447">
    <cfRule type="notContainsBlanks" dxfId="251" priority="387">
      <formula>LEN(TRIM(AL445))&gt;0</formula>
    </cfRule>
  </conditionalFormatting>
  <conditionalFormatting sqref="AK446:AK447">
    <cfRule type="notContainsBlanks" dxfId="250" priority="384">
      <formula>LEN(TRIM(AK446))&gt;0</formula>
    </cfRule>
  </conditionalFormatting>
  <conditionalFormatting sqref="AM446">
    <cfRule type="notContainsBlanks" dxfId="249" priority="383">
      <formula>LEN(TRIM(AM446))&gt;0</formula>
    </cfRule>
  </conditionalFormatting>
  <conditionalFormatting sqref="AM448">
    <cfRule type="notContainsBlanks" dxfId="248" priority="381">
      <formula>LEN(TRIM(AM448))&gt;0</formula>
    </cfRule>
  </conditionalFormatting>
  <conditionalFormatting sqref="AL448">
    <cfRule type="notContainsBlanks" dxfId="247" priority="382">
      <formula>LEN(TRIM(AL448))&gt;0</formula>
    </cfRule>
  </conditionalFormatting>
  <conditionalFormatting sqref="AK448">
    <cfRule type="notContainsBlanks" dxfId="246" priority="380">
      <formula>LEN(TRIM(AK448))&gt;0</formula>
    </cfRule>
  </conditionalFormatting>
  <conditionalFormatting sqref="AM449">
    <cfRule type="notContainsBlanks" dxfId="245" priority="378">
      <formula>LEN(TRIM(AM449))&gt;0</formula>
    </cfRule>
  </conditionalFormatting>
  <conditionalFormatting sqref="AL449">
    <cfRule type="notContainsBlanks" dxfId="244" priority="379">
      <formula>LEN(TRIM(AL449))&gt;0</formula>
    </cfRule>
  </conditionalFormatting>
  <conditionalFormatting sqref="AK449">
    <cfRule type="notContainsBlanks" dxfId="243" priority="377">
      <formula>LEN(TRIM(AK449))&gt;0</formula>
    </cfRule>
  </conditionalFormatting>
  <conditionalFormatting sqref="AJ446">
    <cfRule type="cellIs" dxfId="242" priority="376" operator="equal">
      <formula>0</formula>
    </cfRule>
  </conditionalFormatting>
  <conditionalFormatting sqref="AJ447">
    <cfRule type="cellIs" dxfId="241" priority="375" operator="equal">
      <formula>0</formula>
    </cfRule>
  </conditionalFormatting>
  <conditionalFormatting sqref="AJ445">
    <cfRule type="cellIs" dxfId="240" priority="374" operator="equal">
      <formula>0</formula>
    </cfRule>
  </conditionalFormatting>
  <conditionalFormatting sqref="AJ448">
    <cfRule type="cellIs" dxfId="239" priority="372" operator="equal">
      <formula>0</formula>
    </cfRule>
  </conditionalFormatting>
  <conditionalFormatting sqref="AJ449">
    <cfRule type="cellIs" dxfId="238" priority="370" operator="equal">
      <formula>0</formula>
    </cfRule>
  </conditionalFormatting>
  <conditionalFormatting sqref="F445:AA448">
    <cfRule type="expression" dxfId="237" priority="366">
      <formula>F445=0</formula>
    </cfRule>
  </conditionalFormatting>
  <conditionalFormatting sqref="F449:AA449">
    <cfRule type="expression" dxfId="236" priority="308">
      <formula>F449=0</formula>
    </cfRule>
  </conditionalFormatting>
  <conditionalFormatting sqref="G439 I439 K439 M439 O439 Q439 S439 U439 W439 Y439 AA439">
    <cfRule type="expression" dxfId="235" priority="262">
      <formula>G439=0</formula>
    </cfRule>
  </conditionalFormatting>
  <conditionalFormatting sqref="F430:AA430">
    <cfRule type="expression" dxfId="234" priority="259">
      <formula>F430=0</formula>
    </cfRule>
  </conditionalFormatting>
  <conditionalFormatting sqref="F430:AA430">
    <cfRule type="cellIs" dxfId="233" priority="257" operator="equal">
      <formula>0</formula>
    </cfRule>
  </conditionalFormatting>
  <conditionalFormatting sqref="G434 I434 K434 M434 O434 Q434 S434 U434 W434 Y434 AA434">
    <cfRule type="expression" dxfId="232" priority="256">
      <formula>G434=0</formula>
    </cfRule>
  </conditionalFormatting>
  <conditionalFormatting sqref="F434:AA434">
    <cfRule type="cellIs" dxfId="231" priority="255" operator="equal">
      <formula>0</formula>
    </cfRule>
  </conditionalFormatting>
  <conditionalFormatting sqref="G425 I425 K425 M425 O425 Q425 S425 U425 W425 Y425 AA425">
    <cfRule type="expression" dxfId="230" priority="254">
      <formula>G425=0</formula>
    </cfRule>
  </conditionalFormatting>
  <conditionalFormatting sqref="F425:AA425">
    <cfRule type="cellIs" dxfId="229" priority="253" operator="equal">
      <formula>0</formula>
    </cfRule>
  </conditionalFormatting>
  <conditionalFormatting sqref="G429 I429 K429 M429 O429 Q429 S429 U429 W429 Y429 AA429">
    <cfRule type="expression" dxfId="228" priority="252">
      <formula>G429=0</formula>
    </cfRule>
  </conditionalFormatting>
  <conditionalFormatting sqref="F429:AA429">
    <cfRule type="cellIs" dxfId="227" priority="251" operator="equal">
      <formula>0</formula>
    </cfRule>
  </conditionalFormatting>
  <conditionalFormatting sqref="G420 I420 K420 M420 O420 Q420 S420 U420 W420 Y420 AA420">
    <cfRule type="expression" dxfId="226" priority="250">
      <formula>G420=0</formula>
    </cfRule>
  </conditionalFormatting>
  <conditionalFormatting sqref="F420:AA420">
    <cfRule type="cellIs" dxfId="225" priority="249" operator="equal">
      <formula>0</formula>
    </cfRule>
  </conditionalFormatting>
  <conditionalFormatting sqref="G424 I424 K424 M424 O424 Q424 S424 U424 W424 Y424 AA424">
    <cfRule type="expression" dxfId="224" priority="248">
      <formula>G424=0</formula>
    </cfRule>
  </conditionalFormatting>
  <conditionalFormatting sqref="F424:AA424">
    <cfRule type="cellIs" dxfId="223" priority="247" operator="equal">
      <formula>0</formula>
    </cfRule>
  </conditionalFormatting>
  <conditionalFormatting sqref="G415 I415 K415 M415 O415 Q415 S415 U415 W415 Y415 AA415">
    <cfRule type="expression" dxfId="222" priority="246">
      <formula>G415=0</formula>
    </cfRule>
  </conditionalFormatting>
  <conditionalFormatting sqref="F415:AA415">
    <cfRule type="cellIs" dxfId="221" priority="245" operator="equal">
      <formula>0</formula>
    </cfRule>
  </conditionalFormatting>
  <conditionalFormatting sqref="G419 I419 K419 M419 O419 Q419 S419 U419 W419 Y419 AA419">
    <cfRule type="expression" dxfId="220" priority="244">
      <formula>G419=0</formula>
    </cfRule>
  </conditionalFormatting>
  <conditionalFormatting sqref="F419:AA419">
    <cfRule type="cellIs" dxfId="219" priority="243" operator="equal">
      <formula>0</formula>
    </cfRule>
  </conditionalFormatting>
  <conditionalFormatting sqref="G410 I410 K410 M410 O410 Q410 S410 U410 W410 Y410 AA410">
    <cfRule type="expression" dxfId="218" priority="242">
      <formula>G410=0</formula>
    </cfRule>
  </conditionalFormatting>
  <conditionalFormatting sqref="F410:AA410">
    <cfRule type="cellIs" dxfId="217" priority="241" operator="equal">
      <formula>0</formula>
    </cfRule>
  </conditionalFormatting>
  <conditionalFormatting sqref="G414 I414 K414 M414 O414 Q414 S414 U414 W414 Y414 AA414">
    <cfRule type="expression" dxfId="216" priority="240">
      <formula>G414=0</formula>
    </cfRule>
  </conditionalFormatting>
  <conditionalFormatting sqref="F414:AA414">
    <cfRule type="cellIs" dxfId="215" priority="239" operator="equal">
      <formula>0</formula>
    </cfRule>
  </conditionalFormatting>
  <conditionalFormatting sqref="G405:AA405">
    <cfRule type="expression" dxfId="214" priority="238">
      <formula>G405=0</formula>
    </cfRule>
  </conditionalFormatting>
  <conditionalFormatting sqref="F405:AA405">
    <cfRule type="cellIs" dxfId="213" priority="237" operator="equal">
      <formula>0</formula>
    </cfRule>
  </conditionalFormatting>
  <conditionalFormatting sqref="G409 I409 K409 M409 O409 Q409 S409 U409 W409 Y409 AA409">
    <cfRule type="expression" dxfId="212" priority="236">
      <formula>G409=0</formula>
    </cfRule>
  </conditionalFormatting>
  <conditionalFormatting sqref="F409:AA409">
    <cfRule type="cellIs" dxfId="211" priority="235" operator="equal">
      <formula>0</formula>
    </cfRule>
  </conditionalFormatting>
  <conditionalFormatting sqref="G400 I400 K400 M400 O400 Q400 S400 U400 W400 Y400 AA400">
    <cfRule type="expression" dxfId="210" priority="234">
      <formula>G400=0</formula>
    </cfRule>
  </conditionalFormatting>
  <conditionalFormatting sqref="F400:AA400">
    <cfRule type="cellIs" dxfId="209" priority="233" operator="equal">
      <formula>0</formula>
    </cfRule>
  </conditionalFormatting>
  <conditionalFormatting sqref="G404 I404 K404 M404 O404 Q404 S404 U404 W404 Y404 AA404">
    <cfRule type="expression" dxfId="208" priority="232">
      <formula>G404=0</formula>
    </cfRule>
  </conditionalFormatting>
  <conditionalFormatting sqref="F404:AA404">
    <cfRule type="cellIs" dxfId="207" priority="231" operator="equal">
      <formula>0</formula>
    </cfRule>
  </conditionalFormatting>
  <conditionalFormatting sqref="G395 I395 K395 M395 O395 Q395 S395 U395 W395 Y395 AA395">
    <cfRule type="expression" dxfId="206" priority="230">
      <formula>G395=0</formula>
    </cfRule>
  </conditionalFormatting>
  <conditionalFormatting sqref="F395:AA395">
    <cfRule type="cellIs" dxfId="205" priority="229" operator="equal">
      <formula>0</formula>
    </cfRule>
  </conditionalFormatting>
  <conditionalFormatting sqref="G399 I399 K399 M399 O399 Q399 S399 U399 W399 Y399 AA399">
    <cfRule type="expression" dxfId="204" priority="228">
      <formula>G399=0</formula>
    </cfRule>
  </conditionalFormatting>
  <conditionalFormatting sqref="F399:AA399">
    <cfRule type="cellIs" dxfId="203" priority="227" operator="equal">
      <formula>0</formula>
    </cfRule>
  </conditionalFormatting>
  <conditionalFormatting sqref="G390 I390 K390 M390 O390 Q390 S390 U390 W390 Y390 AA390">
    <cfRule type="expression" dxfId="202" priority="226">
      <formula>G390=0</formula>
    </cfRule>
  </conditionalFormatting>
  <conditionalFormatting sqref="F390:AA390">
    <cfRule type="cellIs" dxfId="201" priority="225" operator="equal">
      <formula>0</formula>
    </cfRule>
  </conditionalFormatting>
  <conditionalFormatting sqref="G394 I394 K394 M394 O394 Q394 S394 U394 W394 Y394 AA394">
    <cfRule type="expression" dxfId="200" priority="224">
      <formula>G394=0</formula>
    </cfRule>
  </conditionalFormatting>
  <conditionalFormatting sqref="F394:AA394">
    <cfRule type="cellIs" dxfId="199" priority="223" operator="equal">
      <formula>0</formula>
    </cfRule>
  </conditionalFormatting>
  <conditionalFormatting sqref="G385 I385 K385 M385 O385 Q385 S385 U385 W385 Y385 AA385">
    <cfRule type="expression" dxfId="198" priority="222">
      <formula>G385=0</formula>
    </cfRule>
  </conditionalFormatting>
  <conditionalFormatting sqref="F385:AA385">
    <cfRule type="cellIs" dxfId="197" priority="221" operator="equal">
      <formula>0</formula>
    </cfRule>
  </conditionalFormatting>
  <conditionalFormatting sqref="G389 I389 K389 M389 O389 Q389 S389 U389 W389 Y389 AA389">
    <cfRule type="expression" dxfId="196" priority="220">
      <formula>G389=0</formula>
    </cfRule>
  </conditionalFormatting>
  <conditionalFormatting sqref="F389:AA389">
    <cfRule type="cellIs" dxfId="195" priority="219" operator="equal">
      <formula>0</formula>
    </cfRule>
  </conditionalFormatting>
  <conditionalFormatting sqref="G444">
    <cfRule type="expression" dxfId="194" priority="207">
      <formula>G444=0</formula>
    </cfRule>
  </conditionalFormatting>
  <conditionalFormatting sqref="I444">
    <cfRule type="expression" dxfId="193" priority="206">
      <formula>I444=0</formula>
    </cfRule>
  </conditionalFormatting>
  <conditionalFormatting sqref="K444">
    <cfRule type="expression" dxfId="192" priority="205">
      <formula>K444=0</formula>
    </cfRule>
  </conditionalFormatting>
  <conditionalFormatting sqref="M444">
    <cfRule type="expression" dxfId="191" priority="204">
      <formula>M444=0</formula>
    </cfRule>
  </conditionalFormatting>
  <conditionalFormatting sqref="O444">
    <cfRule type="expression" dxfId="190" priority="203">
      <formula>O444=0</formula>
    </cfRule>
  </conditionalFormatting>
  <conditionalFormatting sqref="Q444">
    <cfRule type="expression" dxfId="189" priority="202">
      <formula>Q444=0</formula>
    </cfRule>
  </conditionalFormatting>
  <conditionalFormatting sqref="S444">
    <cfRule type="expression" dxfId="188" priority="201">
      <formula>S444=0</formula>
    </cfRule>
  </conditionalFormatting>
  <conditionalFormatting sqref="U444">
    <cfRule type="expression" dxfId="187" priority="200">
      <formula>U444=0</formula>
    </cfRule>
  </conditionalFormatting>
  <conditionalFormatting sqref="W444">
    <cfRule type="expression" dxfId="186" priority="199">
      <formula>W444=0</formula>
    </cfRule>
  </conditionalFormatting>
  <conditionalFormatting sqref="Y444">
    <cfRule type="expression" dxfId="185" priority="198">
      <formula>Y444=0</formula>
    </cfRule>
  </conditionalFormatting>
  <conditionalFormatting sqref="AA444">
    <cfRule type="expression" dxfId="184" priority="197">
      <formula>AA444=0</formula>
    </cfRule>
  </conditionalFormatting>
  <conditionalFormatting sqref="AH309:AI309">
    <cfRule type="cellIs" dxfId="183" priority="185" operator="equal">
      <formula>0</formula>
    </cfRule>
  </conditionalFormatting>
  <conditionalFormatting sqref="AH322:AI322">
    <cfRule type="cellIs" dxfId="182" priority="184" operator="equal">
      <formula>0</formula>
    </cfRule>
  </conditionalFormatting>
  <conditionalFormatting sqref="AH322:AI322">
    <cfRule type="cellIs" dxfId="181" priority="183" operator="equal">
      <formula>0</formula>
    </cfRule>
  </conditionalFormatting>
  <conditionalFormatting sqref="AH309:AI309 AH322:AI322">
    <cfRule type="cellIs" dxfId="180" priority="182" operator="equal">
      <formula>0</formula>
    </cfRule>
  </conditionalFormatting>
  <conditionalFormatting sqref="AH360:AI360">
    <cfRule type="cellIs" dxfId="179" priority="181" operator="equal">
      <formula>0</formula>
    </cfRule>
  </conditionalFormatting>
  <conditionalFormatting sqref="AH322:AI322">
    <cfRule type="expression" dxfId="178" priority="180">
      <formula>AH322&lt;&gt;AH309</formula>
    </cfRule>
  </conditionalFormatting>
  <conditionalFormatting sqref="AH194:AI194">
    <cfRule type="cellIs" dxfId="177" priority="179" operator="equal">
      <formula>0</formula>
    </cfRule>
  </conditionalFormatting>
  <conditionalFormatting sqref="AH308:AI308">
    <cfRule type="cellIs" dxfId="176" priority="178" operator="equal">
      <formula>0</formula>
    </cfRule>
  </conditionalFormatting>
  <conditionalFormatting sqref="AH339:AI339">
    <cfRule type="cellIs" dxfId="175" priority="177" operator="equal">
      <formula>0</formula>
    </cfRule>
  </conditionalFormatting>
  <conditionalFormatting sqref="AH339:AI339">
    <cfRule type="cellIs" dxfId="174" priority="176" operator="equal">
      <formula>0</formula>
    </cfRule>
  </conditionalFormatting>
  <conditionalFormatting sqref="AH338:AI338">
    <cfRule type="cellIs" dxfId="173" priority="175" operator="equal">
      <formula>0</formula>
    </cfRule>
  </conditionalFormatting>
  <conditionalFormatting sqref="AH338:AI338">
    <cfRule type="cellIs" dxfId="172" priority="174" operator="equal">
      <formula>0</formula>
    </cfRule>
  </conditionalFormatting>
  <conditionalFormatting sqref="AH338:AI338">
    <cfRule type="cellIs" dxfId="171" priority="173" operator="equal">
      <formula>0</formula>
    </cfRule>
  </conditionalFormatting>
  <conditionalFormatting sqref="AH309:AI309">
    <cfRule type="expression" dxfId="170" priority="172">
      <formula>AH308&gt;AH309</formula>
    </cfRule>
  </conditionalFormatting>
  <conditionalFormatting sqref="AH381:AI381">
    <cfRule type="expression" dxfId="169" priority="171">
      <formula>AH381&gt;AH379</formula>
    </cfRule>
  </conditionalFormatting>
  <conditionalFormatting sqref="AH309:AI309">
    <cfRule type="expression" dxfId="168" priority="170">
      <formula>AH299&gt;AH309</formula>
    </cfRule>
  </conditionalFormatting>
  <conditionalFormatting sqref="AH310:AI315">
    <cfRule type="expression" dxfId="167" priority="169">
      <formula>AH300&gt;AH310</formula>
    </cfRule>
  </conditionalFormatting>
  <conditionalFormatting sqref="AH308:AI308">
    <cfRule type="expression" dxfId="166" priority="168">
      <formula>AH308&gt;AH309</formula>
    </cfRule>
  </conditionalFormatting>
  <conditionalFormatting sqref="AH322:AI322">
    <cfRule type="expression" dxfId="165" priority="167">
      <formula>AH322&lt;&gt;AH309</formula>
    </cfRule>
  </conditionalFormatting>
  <conditionalFormatting sqref="AH309:AI309">
    <cfRule type="expression" dxfId="164" priority="166">
      <formula>AH322&lt;&gt;AH309</formula>
    </cfRule>
  </conditionalFormatting>
  <conditionalFormatting sqref="AH309:AI309">
    <cfRule type="expression" dxfId="163" priority="165">
      <formula>AH292&gt;AH309</formula>
    </cfRule>
  </conditionalFormatting>
  <conditionalFormatting sqref="AH309:AI309">
    <cfRule type="expression" dxfId="162" priority="164">
      <formula>AH329&gt;AH309</formula>
    </cfRule>
  </conditionalFormatting>
  <conditionalFormatting sqref="AH309:AI309">
    <cfRule type="expression" dxfId="161" priority="163">
      <formula>SUM(AH152:AH153)&gt;AH309</formula>
    </cfRule>
  </conditionalFormatting>
  <conditionalFormatting sqref="AH339:AI339">
    <cfRule type="expression" dxfId="160" priority="162">
      <formula>AH340&gt;AH339</formula>
    </cfRule>
  </conditionalFormatting>
  <conditionalFormatting sqref="AH361:AI367">
    <cfRule type="expression" dxfId="159" priority="161">
      <formula>AH361&gt;AH$355</formula>
    </cfRule>
  </conditionalFormatting>
  <conditionalFormatting sqref="AH355:AI355">
    <cfRule type="expression" dxfId="158" priority="160">
      <formula>AH361&gt;AH$355</formula>
    </cfRule>
  </conditionalFormatting>
  <conditionalFormatting sqref="AH381:AI381">
    <cfRule type="expression" dxfId="157" priority="159">
      <formula>AH379&gt;AH381</formula>
    </cfRule>
  </conditionalFormatting>
  <conditionalFormatting sqref="AH18:AI18">
    <cfRule type="cellIs" dxfId="156" priority="158" operator="equal">
      <formula>0</formula>
    </cfRule>
  </conditionalFormatting>
  <conditionalFormatting sqref="AH14:AI14">
    <cfRule type="cellIs" dxfId="155" priority="157" operator="equal">
      <formula>0</formula>
    </cfRule>
  </conditionalFormatting>
  <conditionalFormatting sqref="AH14:AI14">
    <cfRule type="expression" dxfId="154" priority="156">
      <formula>AH52&gt;AH14</formula>
    </cfRule>
  </conditionalFormatting>
  <conditionalFormatting sqref="AH196:AI196">
    <cfRule type="cellIs" dxfId="153" priority="155" operator="equal">
      <formula>0</formula>
    </cfRule>
  </conditionalFormatting>
  <conditionalFormatting sqref="AH195:AI195">
    <cfRule type="expression" dxfId="152" priority="154">
      <formula>AH195&gt;AH194</formula>
    </cfRule>
  </conditionalFormatting>
  <conditionalFormatting sqref="AH194:AI194">
    <cfRule type="expression" dxfId="151" priority="153">
      <formula>AH195&gt;AH194</formula>
    </cfRule>
  </conditionalFormatting>
  <conditionalFormatting sqref="AH196:AI196">
    <cfRule type="expression" dxfId="150" priority="152">
      <formula>AH196&gt;AH195</formula>
    </cfRule>
  </conditionalFormatting>
  <conditionalFormatting sqref="AH195:AI195">
    <cfRule type="expression" dxfId="149" priority="151">
      <formula>AH196&gt;AH195</formula>
    </cfRule>
  </conditionalFormatting>
  <conditionalFormatting sqref="AH198:AI198">
    <cfRule type="expression" dxfId="148" priority="150">
      <formula>AH198&gt;AH197</formula>
    </cfRule>
  </conditionalFormatting>
  <conditionalFormatting sqref="AH197:AI197">
    <cfRule type="expression" dxfId="147" priority="149">
      <formula>AH198&gt;AH197</formula>
    </cfRule>
  </conditionalFormatting>
  <conditionalFormatting sqref="AH200:AI200">
    <cfRule type="expression" dxfId="146" priority="148">
      <formula>AH200&gt;AH199</formula>
    </cfRule>
  </conditionalFormatting>
  <conditionalFormatting sqref="AH199:AI199">
    <cfRule type="expression" dxfId="145" priority="147">
      <formula>AH200&gt;AH199</formula>
    </cfRule>
  </conditionalFormatting>
  <conditionalFormatting sqref="AH203:AI203">
    <cfRule type="cellIs" dxfId="144" priority="146" operator="equal">
      <formula>0</formula>
    </cfRule>
  </conditionalFormatting>
  <conditionalFormatting sqref="AH205:AI205">
    <cfRule type="cellIs" dxfId="143" priority="145" operator="equal">
      <formula>0</formula>
    </cfRule>
  </conditionalFormatting>
  <conditionalFormatting sqref="AH204:AI204">
    <cfRule type="expression" dxfId="142" priority="144">
      <formula>AH204&gt;AH203</formula>
    </cfRule>
  </conditionalFormatting>
  <conditionalFormatting sqref="AH203:AI203">
    <cfRule type="expression" dxfId="141" priority="143">
      <formula>AH204&gt;AH203</formula>
    </cfRule>
  </conditionalFormatting>
  <conditionalFormatting sqref="AH205:AI205">
    <cfRule type="expression" dxfId="140" priority="142">
      <formula>AH205&gt;AH204</formula>
    </cfRule>
  </conditionalFormatting>
  <conditionalFormatting sqref="AH204:AI204">
    <cfRule type="expression" dxfId="139" priority="141">
      <formula>AH205&gt;AH204</formula>
    </cfRule>
  </conditionalFormatting>
  <conditionalFormatting sqref="AH207:AI207">
    <cfRule type="expression" dxfId="138" priority="140">
      <formula>AH207&gt;AH206</formula>
    </cfRule>
  </conditionalFormatting>
  <conditionalFormatting sqref="AH206:AI206">
    <cfRule type="expression" dxfId="137" priority="139">
      <formula>AH207&gt;AH206</formula>
    </cfRule>
  </conditionalFormatting>
  <conditionalFormatting sqref="AH209:AI209">
    <cfRule type="expression" dxfId="136" priority="138">
      <formula>AH209&gt;AH208</formula>
    </cfRule>
  </conditionalFormatting>
  <conditionalFormatting sqref="AH208:AI208">
    <cfRule type="expression" dxfId="135" priority="137">
      <formula>AH209&gt;AH208</formula>
    </cfRule>
  </conditionalFormatting>
  <conditionalFormatting sqref="AH214:AI214">
    <cfRule type="cellIs" dxfId="134" priority="136" operator="equal">
      <formula>0</formula>
    </cfRule>
  </conditionalFormatting>
  <conditionalFormatting sqref="AH213:AI213">
    <cfRule type="expression" dxfId="133" priority="135">
      <formula>AH213&gt;AH212</formula>
    </cfRule>
  </conditionalFormatting>
  <conditionalFormatting sqref="AH212:AI212">
    <cfRule type="expression" dxfId="132" priority="134">
      <formula>AH213&gt;AH212</formula>
    </cfRule>
  </conditionalFormatting>
  <conditionalFormatting sqref="AH214:AI214">
    <cfRule type="expression" dxfId="131" priority="133">
      <formula>AH214&gt;AH213</formula>
    </cfRule>
  </conditionalFormatting>
  <conditionalFormatting sqref="AH213:AI213">
    <cfRule type="expression" dxfId="130" priority="132">
      <formula>AH214&gt;AH213</formula>
    </cfRule>
  </conditionalFormatting>
  <conditionalFormatting sqref="AH216:AI216">
    <cfRule type="expression" dxfId="129" priority="131">
      <formula>AH216&gt;AH215</formula>
    </cfRule>
  </conditionalFormatting>
  <conditionalFormatting sqref="AH215:AI215">
    <cfRule type="expression" dxfId="128" priority="130">
      <formula>AH216&gt;AH215</formula>
    </cfRule>
  </conditionalFormatting>
  <conditionalFormatting sqref="AH218:AI218">
    <cfRule type="expression" dxfId="127" priority="129">
      <formula>AH218&gt;AH217</formula>
    </cfRule>
  </conditionalFormatting>
  <conditionalFormatting sqref="AH217:AI217">
    <cfRule type="expression" dxfId="126" priority="128">
      <formula>AH218&gt;AH217</formula>
    </cfRule>
  </conditionalFormatting>
  <conditionalFormatting sqref="AH221:AI221">
    <cfRule type="cellIs" dxfId="125" priority="127" operator="equal">
      <formula>0</formula>
    </cfRule>
  </conditionalFormatting>
  <conditionalFormatting sqref="AH223:AI223">
    <cfRule type="cellIs" dxfId="124" priority="126" operator="equal">
      <formula>0</formula>
    </cfRule>
  </conditionalFormatting>
  <conditionalFormatting sqref="AH222:AI222">
    <cfRule type="expression" dxfId="123" priority="125">
      <formula>AH222&gt;AH221</formula>
    </cfRule>
  </conditionalFormatting>
  <conditionalFormatting sqref="AH221:AI221">
    <cfRule type="expression" dxfId="122" priority="124">
      <formula>AH222&gt;AH221</formula>
    </cfRule>
  </conditionalFormatting>
  <conditionalFormatting sqref="AH223:AI223">
    <cfRule type="expression" dxfId="121" priority="123">
      <formula>AH223&gt;AH222</formula>
    </cfRule>
  </conditionalFormatting>
  <conditionalFormatting sqref="AH222:AI222">
    <cfRule type="expression" dxfId="120" priority="122">
      <formula>AH223&gt;AH222</formula>
    </cfRule>
  </conditionalFormatting>
  <conditionalFormatting sqref="AH225:AI225">
    <cfRule type="expression" dxfId="119" priority="121">
      <formula>AH225&gt;AH224</formula>
    </cfRule>
  </conditionalFormatting>
  <conditionalFormatting sqref="AH224:AI224">
    <cfRule type="expression" dxfId="118" priority="120">
      <formula>AH225&gt;AH224</formula>
    </cfRule>
  </conditionalFormatting>
  <conditionalFormatting sqref="AH227:AI227">
    <cfRule type="expression" dxfId="117" priority="119">
      <formula>AH227&gt;AH226</formula>
    </cfRule>
  </conditionalFormatting>
  <conditionalFormatting sqref="AH226:AI226">
    <cfRule type="expression" dxfId="116" priority="118">
      <formula>AH227&gt;AH226</formula>
    </cfRule>
  </conditionalFormatting>
  <conditionalFormatting sqref="AM59:AM60">
    <cfRule type="notContainsBlanks" dxfId="115" priority="115">
      <formula>LEN(TRIM(AM59))&gt;0</formula>
    </cfRule>
  </conditionalFormatting>
  <conditionalFormatting sqref="AL59">
    <cfRule type="notContainsBlanks" dxfId="114" priority="117">
      <formula>LEN(TRIM(AL59))&gt;0</formula>
    </cfRule>
  </conditionalFormatting>
  <conditionalFormatting sqref="AJ59:AJ60">
    <cfRule type="cellIs" dxfId="113" priority="114" operator="equal">
      <formula>0</formula>
    </cfRule>
  </conditionalFormatting>
  <conditionalFormatting sqref="AM63">
    <cfRule type="notContainsBlanks" dxfId="112" priority="112">
      <formula>LEN(TRIM(AM63))&gt;0</formula>
    </cfRule>
  </conditionalFormatting>
  <conditionalFormatting sqref="AM63:AM64">
    <cfRule type="notContainsBlanks" dxfId="111" priority="111">
      <formula>LEN(TRIM(AM63))&gt;0</formula>
    </cfRule>
  </conditionalFormatting>
  <conditionalFormatting sqref="AJ63:AJ64">
    <cfRule type="cellIs" dxfId="110" priority="110" operator="equal">
      <formula>0</formula>
    </cfRule>
  </conditionalFormatting>
  <conditionalFormatting sqref="L59:AA59">
    <cfRule type="expression" dxfId="109" priority="109">
      <formula>L59&gt;L57</formula>
    </cfRule>
  </conditionalFormatting>
  <conditionalFormatting sqref="L57:AA57">
    <cfRule type="expression" dxfId="108" priority="108">
      <formula>L59&gt;L57</formula>
    </cfRule>
  </conditionalFormatting>
  <conditionalFormatting sqref="L58:AA58">
    <cfRule type="expression" dxfId="107" priority="107">
      <formula>L60&gt;L58</formula>
    </cfRule>
  </conditionalFormatting>
  <conditionalFormatting sqref="L60:AA60">
    <cfRule type="expression" dxfId="106" priority="106">
      <formula>L60&gt;L58</formula>
    </cfRule>
  </conditionalFormatting>
  <conditionalFormatting sqref="L63:AA63">
    <cfRule type="expression" dxfId="105" priority="105">
      <formula>L63&gt;L61</formula>
    </cfRule>
  </conditionalFormatting>
  <conditionalFormatting sqref="L61:AA61">
    <cfRule type="expression" dxfId="104" priority="104">
      <formula>L63&gt;L61</formula>
    </cfRule>
  </conditionalFormatting>
  <conditionalFormatting sqref="L62:AA62">
    <cfRule type="expression" dxfId="103" priority="103">
      <formula>L64&gt;L62</formula>
    </cfRule>
  </conditionalFormatting>
  <conditionalFormatting sqref="L64:AA64">
    <cfRule type="expression" dxfId="102" priority="102">
      <formula>L64&gt;L62</formula>
    </cfRule>
  </conditionalFormatting>
  <conditionalFormatting sqref="L67:AA67">
    <cfRule type="expression" dxfId="101" priority="101">
      <formula>L67&gt;L65</formula>
    </cfRule>
  </conditionalFormatting>
  <conditionalFormatting sqref="L65:AA65">
    <cfRule type="expression" dxfId="100" priority="100">
      <formula>L67&gt;L65</formula>
    </cfRule>
  </conditionalFormatting>
  <conditionalFormatting sqref="L66:AA66">
    <cfRule type="expression" dxfId="99" priority="99">
      <formula>L68&gt;L66</formula>
    </cfRule>
  </conditionalFormatting>
  <conditionalFormatting sqref="L68:AA68">
    <cfRule type="expression" dxfId="98" priority="98">
      <formula>L68&gt;L66</formula>
    </cfRule>
  </conditionalFormatting>
  <conditionalFormatting sqref="M71">
    <cfRule type="expression" dxfId="97" priority="97">
      <formula>M71&gt;M69</formula>
    </cfRule>
  </conditionalFormatting>
  <conditionalFormatting sqref="M69">
    <cfRule type="expression" dxfId="96" priority="96">
      <formula>M71&gt;M69</formula>
    </cfRule>
  </conditionalFormatting>
  <conditionalFormatting sqref="M70">
    <cfRule type="expression" dxfId="95" priority="95">
      <formula>M72&gt;M70</formula>
    </cfRule>
  </conditionalFormatting>
  <conditionalFormatting sqref="M72">
    <cfRule type="expression" dxfId="94" priority="94">
      <formula>M72&gt;M70</formula>
    </cfRule>
  </conditionalFormatting>
  <conditionalFormatting sqref="O71">
    <cfRule type="expression" dxfId="93" priority="93">
      <formula>O71&gt;O69</formula>
    </cfRule>
  </conditionalFormatting>
  <conditionalFormatting sqref="O69">
    <cfRule type="expression" dxfId="92" priority="92">
      <formula>O71&gt;O69</formula>
    </cfRule>
  </conditionalFormatting>
  <conditionalFormatting sqref="O70">
    <cfRule type="expression" dxfId="91" priority="91">
      <formula>O72&gt;O70</formula>
    </cfRule>
  </conditionalFormatting>
  <conditionalFormatting sqref="O72">
    <cfRule type="expression" dxfId="90" priority="90">
      <formula>O72&gt;O70</formula>
    </cfRule>
  </conditionalFormatting>
  <conditionalFormatting sqref="Q71">
    <cfRule type="expression" dxfId="89" priority="89">
      <formula>Q71&gt;Q69</formula>
    </cfRule>
  </conditionalFormatting>
  <conditionalFormatting sqref="Q69">
    <cfRule type="expression" dxfId="88" priority="88">
      <formula>Q71&gt;Q69</formula>
    </cfRule>
  </conditionalFormatting>
  <conditionalFormatting sqref="Q70">
    <cfRule type="expression" dxfId="87" priority="87">
      <formula>Q72&gt;Q70</formula>
    </cfRule>
  </conditionalFormatting>
  <conditionalFormatting sqref="Q72">
    <cfRule type="expression" dxfId="86" priority="86">
      <formula>Q72&gt;Q70</formula>
    </cfRule>
  </conditionalFormatting>
  <conditionalFormatting sqref="S71">
    <cfRule type="expression" dxfId="85" priority="85">
      <formula>S71&gt;S69</formula>
    </cfRule>
  </conditionalFormatting>
  <conditionalFormatting sqref="S69">
    <cfRule type="expression" dxfId="84" priority="84">
      <formula>S71&gt;S69</formula>
    </cfRule>
  </conditionalFormatting>
  <conditionalFormatting sqref="S70">
    <cfRule type="expression" dxfId="83" priority="83">
      <formula>S72&gt;S70</formula>
    </cfRule>
  </conditionalFormatting>
  <conditionalFormatting sqref="S72">
    <cfRule type="expression" dxfId="82" priority="82">
      <formula>S72&gt;S70</formula>
    </cfRule>
  </conditionalFormatting>
  <conditionalFormatting sqref="U71">
    <cfRule type="expression" dxfId="81" priority="81">
      <formula>U71&gt;U69</formula>
    </cfRule>
  </conditionalFormatting>
  <conditionalFormatting sqref="U69">
    <cfRule type="expression" dxfId="80" priority="80">
      <formula>U71&gt;U69</formula>
    </cfRule>
  </conditionalFormatting>
  <conditionalFormatting sqref="U70">
    <cfRule type="expression" dxfId="79" priority="79">
      <formula>U72&gt;U70</formula>
    </cfRule>
  </conditionalFormatting>
  <conditionalFormatting sqref="U72">
    <cfRule type="expression" dxfId="78" priority="78">
      <formula>U72&gt;U70</formula>
    </cfRule>
  </conditionalFormatting>
  <conditionalFormatting sqref="W71">
    <cfRule type="expression" dxfId="77" priority="77">
      <formula>W71&gt;W69</formula>
    </cfRule>
  </conditionalFormatting>
  <conditionalFormatting sqref="W69">
    <cfRule type="expression" dxfId="76" priority="76">
      <formula>W71&gt;W69</formula>
    </cfRule>
  </conditionalFormatting>
  <conditionalFormatting sqref="W70">
    <cfRule type="expression" dxfId="75" priority="75">
      <formula>W72&gt;W70</formula>
    </cfRule>
  </conditionalFormatting>
  <conditionalFormatting sqref="W72">
    <cfRule type="expression" dxfId="74" priority="74">
      <formula>W72&gt;W70</formula>
    </cfRule>
  </conditionalFormatting>
  <conditionalFormatting sqref="Y71">
    <cfRule type="expression" dxfId="73" priority="73">
      <formula>Y71&gt;Y69</formula>
    </cfRule>
  </conditionalFormatting>
  <conditionalFormatting sqref="Y69">
    <cfRule type="expression" dxfId="72" priority="72">
      <formula>Y71&gt;Y69</formula>
    </cfRule>
  </conditionalFormatting>
  <conditionalFormatting sqref="Y70">
    <cfRule type="expression" dxfId="71" priority="71">
      <formula>Y72&gt;Y70</formula>
    </cfRule>
  </conditionalFormatting>
  <conditionalFormatting sqref="Y72">
    <cfRule type="expression" dxfId="70" priority="70">
      <formula>Y72&gt;Y70</formula>
    </cfRule>
  </conditionalFormatting>
  <conditionalFormatting sqref="AA71">
    <cfRule type="expression" dxfId="69" priority="69">
      <formula>AA71&gt;AA69</formula>
    </cfRule>
  </conditionalFormatting>
  <conditionalFormatting sqref="AA69">
    <cfRule type="expression" dxfId="68" priority="68">
      <formula>AA71&gt;AA69</formula>
    </cfRule>
  </conditionalFormatting>
  <conditionalFormatting sqref="AA70">
    <cfRule type="expression" dxfId="67" priority="67">
      <formula>AA72&gt;AA70</formula>
    </cfRule>
  </conditionalFormatting>
  <conditionalFormatting sqref="AA72">
    <cfRule type="expression" dxfId="66" priority="66">
      <formula>AA72&gt;AA70</formula>
    </cfRule>
  </conditionalFormatting>
  <conditionalFormatting sqref="M75">
    <cfRule type="expression" dxfId="65" priority="65">
      <formula>M75&gt;M73</formula>
    </cfRule>
  </conditionalFormatting>
  <conditionalFormatting sqref="M73">
    <cfRule type="expression" dxfId="64" priority="64">
      <formula>M75&gt;M73</formula>
    </cfRule>
  </conditionalFormatting>
  <conditionalFormatting sqref="M74">
    <cfRule type="expression" dxfId="63" priority="63">
      <formula>M76&gt;M74</formula>
    </cfRule>
  </conditionalFormatting>
  <conditionalFormatting sqref="M76">
    <cfRule type="expression" dxfId="62" priority="62">
      <formula>M76&gt;M74</formula>
    </cfRule>
  </conditionalFormatting>
  <conditionalFormatting sqref="O75">
    <cfRule type="expression" dxfId="61" priority="61">
      <formula>O75&gt;O73</formula>
    </cfRule>
  </conditionalFormatting>
  <conditionalFormatting sqref="O73">
    <cfRule type="expression" dxfId="60" priority="60">
      <formula>O75&gt;O73</formula>
    </cfRule>
  </conditionalFormatting>
  <conditionalFormatting sqref="O74">
    <cfRule type="expression" dxfId="59" priority="59">
      <formula>O76&gt;O74</formula>
    </cfRule>
  </conditionalFormatting>
  <conditionalFormatting sqref="O76">
    <cfRule type="expression" dxfId="58" priority="58">
      <formula>O76&gt;O74</formula>
    </cfRule>
  </conditionalFormatting>
  <conditionalFormatting sqref="Q75">
    <cfRule type="expression" dxfId="57" priority="57">
      <formula>Q75&gt;Q73</formula>
    </cfRule>
  </conditionalFormatting>
  <conditionalFormatting sqref="Q73">
    <cfRule type="expression" dxfId="56" priority="56">
      <formula>Q75&gt;Q73</formula>
    </cfRule>
  </conditionalFormatting>
  <conditionalFormatting sqref="Q74">
    <cfRule type="expression" dxfId="55" priority="55">
      <formula>Q76&gt;Q74</formula>
    </cfRule>
  </conditionalFormatting>
  <conditionalFormatting sqref="Q76">
    <cfRule type="expression" dxfId="54" priority="54">
      <formula>Q76&gt;Q74</formula>
    </cfRule>
  </conditionalFormatting>
  <conditionalFormatting sqref="S75">
    <cfRule type="expression" dxfId="53" priority="53">
      <formula>S75&gt;S73</formula>
    </cfRule>
  </conditionalFormatting>
  <conditionalFormatting sqref="S73">
    <cfRule type="expression" dxfId="52" priority="52">
      <formula>S75&gt;S73</formula>
    </cfRule>
  </conditionalFormatting>
  <conditionalFormatting sqref="S74">
    <cfRule type="expression" dxfId="51" priority="51">
      <formula>S76&gt;S74</formula>
    </cfRule>
  </conditionalFormatting>
  <conditionalFormatting sqref="S76">
    <cfRule type="expression" dxfId="50" priority="50">
      <formula>S76&gt;S74</formula>
    </cfRule>
  </conditionalFormatting>
  <conditionalFormatting sqref="U75">
    <cfRule type="expression" dxfId="49" priority="49">
      <formula>U75&gt;U73</formula>
    </cfRule>
  </conditionalFormatting>
  <conditionalFormatting sqref="U73">
    <cfRule type="expression" dxfId="48" priority="48">
      <formula>U75&gt;U73</formula>
    </cfRule>
  </conditionalFormatting>
  <conditionalFormatting sqref="U74">
    <cfRule type="expression" dxfId="47" priority="47">
      <formula>U76&gt;U74</formula>
    </cfRule>
  </conditionalFormatting>
  <conditionalFormatting sqref="U76">
    <cfRule type="expression" dxfId="46" priority="46">
      <formula>U76&gt;U74</formula>
    </cfRule>
  </conditionalFormatting>
  <conditionalFormatting sqref="W75">
    <cfRule type="expression" dxfId="45" priority="45">
      <formula>W75&gt;W73</formula>
    </cfRule>
  </conditionalFormatting>
  <conditionalFormatting sqref="W73">
    <cfRule type="expression" dxfId="44" priority="44">
      <formula>W75&gt;W73</formula>
    </cfRule>
  </conditionalFormatting>
  <conditionalFormatting sqref="W74">
    <cfRule type="expression" dxfId="43" priority="43">
      <formula>W76&gt;W74</formula>
    </cfRule>
  </conditionalFormatting>
  <conditionalFormatting sqref="W76">
    <cfRule type="expression" dxfId="42" priority="42">
      <formula>W76&gt;W74</formula>
    </cfRule>
  </conditionalFormatting>
  <conditionalFormatting sqref="Y75">
    <cfRule type="expression" dxfId="41" priority="41">
      <formula>Y75&gt;Y73</formula>
    </cfRule>
  </conditionalFormatting>
  <conditionalFormatting sqref="Y73">
    <cfRule type="expression" dxfId="40" priority="40">
      <formula>Y75&gt;Y73</formula>
    </cfRule>
  </conditionalFormatting>
  <conditionalFormatting sqref="Y74">
    <cfRule type="expression" dxfId="39" priority="39">
      <formula>Y76&gt;Y74</formula>
    </cfRule>
  </conditionalFormatting>
  <conditionalFormatting sqref="Y76">
    <cfRule type="expression" dxfId="38" priority="38">
      <formula>Y76&gt;Y74</formula>
    </cfRule>
  </conditionalFormatting>
  <conditionalFormatting sqref="AA75">
    <cfRule type="expression" dxfId="37" priority="37">
      <formula>AA75&gt;AA73</formula>
    </cfRule>
  </conditionalFormatting>
  <conditionalFormatting sqref="AA73">
    <cfRule type="expression" dxfId="36" priority="36">
      <formula>AA75&gt;AA73</formula>
    </cfRule>
  </conditionalFormatting>
  <conditionalFormatting sqref="AA74">
    <cfRule type="expression" dxfId="35" priority="35">
      <formula>AA76&gt;AA74</formula>
    </cfRule>
  </conditionalFormatting>
  <conditionalFormatting sqref="AA76">
    <cfRule type="expression" dxfId="34" priority="34">
      <formula>AA76&gt;AA74</formula>
    </cfRule>
  </conditionalFormatting>
  <conditionalFormatting sqref="L79:AA79">
    <cfRule type="expression" dxfId="33" priority="33">
      <formula>L79&gt;L77</formula>
    </cfRule>
  </conditionalFormatting>
  <conditionalFormatting sqref="L77:AA77">
    <cfRule type="expression" dxfId="32" priority="32">
      <formula>L79&gt;L77</formula>
    </cfRule>
  </conditionalFormatting>
  <conditionalFormatting sqref="L78:AA78">
    <cfRule type="expression" dxfId="31" priority="31">
      <formula>L80&gt;L78</formula>
    </cfRule>
  </conditionalFormatting>
  <conditionalFormatting sqref="L80:AA80">
    <cfRule type="expression" dxfId="30" priority="30">
      <formula>L80&gt;L78</formula>
    </cfRule>
  </conditionalFormatting>
  <conditionalFormatting sqref="L83:AA83">
    <cfRule type="expression" dxfId="29" priority="29">
      <formula>L83&gt;L81</formula>
    </cfRule>
  </conditionalFormatting>
  <conditionalFormatting sqref="L81:AA81">
    <cfRule type="expression" dxfId="28" priority="28">
      <formula>L83&gt;L81</formula>
    </cfRule>
  </conditionalFormatting>
  <conditionalFormatting sqref="L82:AA82">
    <cfRule type="expression" dxfId="27" priority="27">
      <formula>L84&gt;L82</formula>
    </cfRule>
  </conditionalFormatting>
  <conditionalFormatting sqref="L84:AA84">
    <cfRule type="expression" dxfId="26" priority="26">
      <formula>L84&gt;L82</formula>
    </cfRule>
  </conditionalFormatting>
  <conditionalFormatting sqref="L87:AA87">
    <cfRule type="expression" dxfId="25" priority="25">
      <formula>L87&gt;L85</formula>
    </cfRule>
  </conditionalFormatting>
  <conditionalFormatting sqref="L85:AA85">
    <cfRule type="expression" dxfId="24" priority="24">
      <formula>L87&gt;L85</formula>
    </cfRule>
  </conditionalFormatting>
  <conditionalFormatting sqref="L86:AA86">
    <cfRule type="expression" dxfId="23" priority="23">
      <formula>L88&gt;L86</formula>
    </cfRule>
  </conditionalFormatting>
  <conditionalFormatting sqref="L88:AA88">
    <cfRule type="expression" dxfId="22" priority="22">
      <formula>L88&gt;L86</formula>
    </cfRule>
  </conditionalFormatting>
  <conditionalFormatting sqref="L91:AA91">
    <cfRule type="expression" dxfId="21" priority="21">
      <formula>L91&gt;L89</formula>
    </cfRule>
  </conditionalFormatting>
  <conditionalFormatting sqref="L89:AA89">
    <cfRule type="expression" dxfId="20" priority="20">
      <formula>L91&gt;L89</formula>
    </cfRule>
  </conditionalFormatting>
  <conditionalFormatting sqref="L90:AA90">
    <cfRule type="expression" dxfId="19" priority="19">
      <formula>L92&gt;L90</formula>
    </cfRule>
  </conditionalFormatting>
  <conditionalFormatting sqref="L92:AA92">
    <cfRule type="expression" dxfId="18" priority="18">
      <formula>L92&gt;L90</formula>
    </cfRule>
  </conditionalFormatting>
  <conditionalFormatting sqref="L95:AA95">
    <cfRule type="expression" dxfId="17" priority="17">
      <formula>L95&gt;L93</formula>
    </cfRule>
  </conditionalFormatting>
  <conditionalFormatting sqref="L93:AA93">
    <cfRule type="expression" dxfId="16" priority="16">
      <formula>L95&gt;L93</formula>
    </cfRule>
  </conditionalFormatting>
  <conditionalFormatting sqref="L94:AA94">
    <cfRule type="expression" dxfId="15" priority="15">
      <formula>L96&gt;L94</formula>
    </cfRule>
  </conditionalFormatting>
  <conditionalFormatting sqref="L96:AA96">
    <cfRule type="expression" dxfId="14" priority="14">
      <formula>L96&gt;L94</formula>
    </cfRule>
  </conditionalFormatting>
  <conditionalFormatting sqref="AK59:AK60">
    <cfRule type="notContainsBlanks" dxfId="13" priority="13">
      <formula>LEN(TRIM(AK59))&gt;0</formula>
    </cfRule>
  </conditionalFormatting>
  <conditionalFormatting sqref="AK61:AK62">
    <cfRule type="notContainsBlanks" dxfId="12" priority="12">
      <formula>LEN(TRIM(AK61))&gt;0</formula>
    </cfRule>
  </conditionalFormatting>
  <conditionalFormatting sqref="AK63:AK64">
    <cfRule type="notContainsBlanks" dxfId="11" priority="11">
      <formula>LEN(TRIM(AK63))&gt;0</formula>
    </cfRule>
  </conditionalFormatting>
  <conditionalFormatting sqref="AK65:AK66">
    <cfRule type="notContainsBlanks" dxfId="10" priority="10">
      <formula>LEN(TRIM(AK65))&gt;0</formula>
    </cfRule>
  </conditionalFormatting>
  <conditionalFormatting sqref="AK69:AK70">
    <cfRule type="notContainsBlanks" dxfId="9" priority="9">
      <formula>LEN(TRIM(AK69))&gt;0</formula>
    </cfRule>
  </conditionalFormatting>
  <conditionalFormatting sqref="AK73:AK74">
    <cfRule type="notContainsBlanks" dxfId="8" priority="8">
      <formula>LEN(TRIM(AK73))&gt;0</formula>
    </cfRule>
  </conditionalFormatting>
  <conditionalFormatting sqref="AK77:AK78">
    <cfRule type="notContainsBlanks" dxfId="7" priority="7">
      <formula>LEN(TRIM(AK77))&gt;0</formula>
    </cfRule>
  </conditionalFormatting>
  <conditionalFormatting sqref="AK81:AK82">
    <cfRule type="notContainsBlanks" dxfId="6" priority="6">
      <formula>LEN(TRIM(AK81))&gt;0</formula>
    </cfRule>
  </conditionalFormatting>
  <conditionalFormatting sqref="AK85:AK86">
    <cfRule type="notContainsBlanks" dxfId="5" priority="5">
      <formula>LEN(TRIM(AK85))&gt;0</formula>
    </cfRule>
  </conditionalFormatting>
  <conditionalFormatting sqref="AK89:AK90">
    <cfRule type="notContainsBlanks" dxfId="4" priority="4">
      <formula>LEN(TRIM(AK89))&gt;0</formula>
    </cfRule>
  </conditionalFormatting>
  <conditionalFormatting sqref="AK93:AK94">
    <cfRule type="notContainsBlanks" dxfId="3" priority="3">
      <formula>LEN(TRIM(AK93))&gt;0</formula>
    </cfRule>
  </conditionalFormatting>
  <conditionalFormatting sqref="J139:AA139">
    <cfRule type="expression" dxfId="2" priority="2816">
      <formula>(J136+J137+J139)&gt;J129</formula>
    </cfRule>
  </conditionalFormatting>
  <conditionalFormatting sqref="F440:AA440">
    <cfRule type="cellIs" dxfId="1" priority="2" operator="equal">
      <formula>0</formula>
    </cfRule>
  </conditionalFormatting>
  <conditionalFormatting sqref="F435:AA435">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D112:AI148 Z324:AA337 AB310:AI337 AJ147:AJ148 D355:D367 E361:AI367 D152:AI163 E355:AI359 E204:AI244 E194:AI202 AJ18 AJ194 D194:D244 E339:AI345 E299:Y337 D102:AI108 D299:D345 D22:AI51 AJ11 AJ232 D248:AI278 D167:AI190 D369:AI379 D282:AI295 Z299:AA307 AB299:AI308 D381:AI381 D57:AI98 E203:AJ203 AB309:AJ309 E360:AJ360 E338:AJ338 D385:AI449">
      <formula1>0</formula1>
      <formula2>99999</formula2>
    </dataValidation>
    <dataValidation type="whole" allowBlank="1" showInputMessage="1" showErrorMessage="1" errorTitle="Numeric Characters Error" error="Enter Numeric Characters only between range 0 and 2000" sqref="D349:AI354">
      <formula1>0</formula1>
      <formula2>2000</formula2>
    </dataValidation>
    <dataValidation allowBlank="1" showInputMessage="1" showErrorMessage="1" errorTitle="Non-Numeric or abnormal value" error="Enter Numbers only between 0 and 99999" sqref="Z308:AA32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63" max="16383" man="1"/>
  </rowBreaks>
  <ignoredErrors>
    <ignoredError sqref="J20 J100 J110 J150 J192 J297 J347 J280 J246"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office/2006/documentManagement/types"/>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purl.org/dc/elements/1.1/"/>
    <ds:schemaRef ds:uri="http://purl.org/dc/dcmitype/"/>
    <ds:schemaRef ds:uri="http://schemas.microsoft.com/office/infopath/2007/PartnerControls"/>
    <ds:schemaRef ds:uri="1ed6e237-7a44-4d6d-bfbc-e270d277b5ad"/>
    <ds:schemaRef ds:uri="http://www.w3.org/XML/1998/namespac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2022-01-27T13:58:13Z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