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8_{A6ABA84A-B86A-4DD7-BCDB-93B4B0AABE81}" xr6:coauthVersionLast="46" xr6:coauthVersionMax="46"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InstructionsForm1A!$B$2:$F$299</definedName>
    <definedName name="_xlnm.Print_Area" localSheetId="1">Feb!$A$1:$AB$330</definedName>
    <definedName name="_xlnm.Print_Area" localSheetId="0">InstructionsForm1A!$B$1:$F$299</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67" i="1" l="1"/>
  <c r="AC65" i="1"/>
  <c r="AC66" i="1"/>
  <c r="AB256"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8" i="1"/>
  <c r="E227" i="1"/>
  <c r="AB8" i="1" l="1"/>
  <c r="F248" i="1" l="1"/>
  <c r="G248" i="1"/>
  <c r="H248" i="1"/>
  <c r="I248" i="1"/>
  <c r="J248" i="1"/>
  <c r="K248" i="1"/>
  <c r="L248" i="1"/>
  <c r="M248" i="1"/>
  <c r="N248" i="1"/>
  <c r="O248" i="1"/>
  <c r="P248" i="1"/>
  <c r="Q248" i="1"/>
  <c r="R248" i="1"/>
  <c r="S248" i="1"/>
  <c r="T248" i="1"/>
  <c r="U248" i="1"/>
  <c r="V248" i="1"/>
  <c r="W248" i="1"/>
  <c r="X248" i="1"/>
  <c r="Y248" i="1"/>
  <c r="Z248" i="1"/>
  <c r="AA248" i="1"/>
  <c r="AB329" i="1" l="1"/>
  <c r="AB9" i="1"/>
  <c r="AB10" i="1"/>
  <c r="K55" i="1" l="1"/>
  <c r="L55" i="1"/>
  <c r="M55" i="1"/>
  <c r="N55" i="1"/>
  <c r="O55" i="1"/>
  <c r="P55" i="1"/>
  <c r="Q55" i="1"/>
  <c r="R55" i="1"/>
  <c r="S55" i="1"/>
  <c r="T55" i="1"/>
  <c r="U55" i="1"/>
  <c r="V55" i="1"/>
  <c r="W55" i="1"/>
  <c r="X55" i="1"/>
  <c r="Y55" i="1"/>
  <c r="Z55" i="1"/>
  <c r="AA55" i="1"/>
  <c r="J55" i="1"/>
  <c r="AC242" i="1" l="1"/>
  <c r="AC244" i="1" l="1"/>
  <c r="AE274" i="1" l="1"/>
  <c r="AE273" i="1"/>
  <c r="E275" i="1"/>
  <c r="F275" i="1"/>
  <c r="G275" i="1"/>
  <c r="H275" i="1"/>
  <c r="I275" i="1"/>
  <c r="J275" i="1"/>
  <c r="K275" i="1"/>
  <c r="L275" i="1"/>
  <c r="M275" i="1"/>
  <c r="N275" i="1"/>
  <c r="O275" i="1"/>
  <c r="P275" i="1"/>
  <c r="Q275" i="1"/>
  <c r="R275" i="1"/>
  <c r="S275" i="1"/>
  <c r="T275" i="1"/>
  <c r="U275" i="1"/>
  <c r="V275" i="1"/>
  <c r="W275" i="1"/>
  <c r="X275" i="1"/>
  <c r="Y275" i="1"/>
  <c r="Z275" i="1"/>
  <c r="AA275" i="1"/>
  <c r="E282" i="1"/>
  <c r="F282" i="1"/>
  <c r="G282" i="1"/>
  <c r="H282" i="1"/>
  <c r="I282" i="1"/>
  <c r="J282" i="1"/>
  <c r="K282" i="1"/>
  <c r="L282" i="1"/>
  <c r="M282" i="1"/>
  <c r="N282" i="1"/>
  <c r="O282" i="1"/>
  <c r="P282" i="1"/>
  <c r="Q282" i="1"/>
  <c r="R282" i="1"/>
  <c r="S282" i="1"/>
  <c r="T282" i="1"/>
  <c r="U282" i="1"/>
  <c r="V282" i="1"/>
  <c r="W282" i="1"/>
  <c r="X282" i="1"/>
  <c r="Y282" i="1"/>
  <c r="Z282" i="1"/>
  <c r="AA282" i="1"/>
  <c r="AC8" i="1" l="1"/>
  <c r="AC9" i="1"/>
  <c r="G322" i="1" l="1"/>
  <c r="H322" i="1"/>
  <c r="I322" i="1"/>
  <c r="J322" i="1"/>
  <c r="K322" i="1"/>
  <c r="L322" i="1"/>
  <c r="M322" i="1"/>
  <c r="N322" i="1"/>
  <c r="O322" i="1"/>
  <c r="P322" i="1"/>
  <c r="Q322" i="1"/>
  <c r="R322" i="1"/>
  <c r="S322" i="1"/>
  <c r="T322" i="1"/>
  <c r="U322" i="1"/>
  <c r="V322" i="1"/>
  <c r="W322" i="1"/>
  <c r="X322" i="1"/>
  <c r="Y322" i="1"/>
  <c r="Z322" i="1"/>
  <c r="AA322" i="1"/>
  <c r="W324" i="1"/>
  <c r="AB290" i="1"/>
  <c r="AB291" i="1"/>
  <c r="AB292" i="1"/>
  <c r="AB293" i="1"/>
  <c r="AB294" i="1"/>
  <c r="E287" i="1"/>
  <c r="F287" i="1"/>
  <c r="G287" i="1"/>
  <c r="H287" i="1"/>
  <c r="I287" i="1"/>
  <c r="J287" i="1"/>
  <c r="K287" i="1"/>
  <c r="L287" i="1"/>
  <c r="M287" i="1"/>
  <c r="N287" i="1"/>
  <c r="O287" i="1"/>
  <c r="P287" i="1"/>
  <c r="Q287" i="1"/>
  <c r="R287" i="1"/>
  <c r="S287" i="1"/>
  <c r="T287" i="1"/>
  <c r="U287" i="1"/>
  <c r="V287" i="1"/>
  <c r="W287" i="1"/>
  <c r="X287" i="1"/>
  <c r="Y287" i="1"/>
  <c r="Z287" i="1"/>
  <c r="AA287" i="1"/>
  <c r="D287" i="1"/>
  <c r="AB237" i="1"/>
  <c r="AB236" i="1"/>
  <c r="AB240" i="1"/>
  <c r="AB239" i="1"/>
  <c r="AB234" i="1"/>
  <c r="AB235" i="1"/>
  <c r="AB209" i="1"/>
  <c r="AB210" i="1"/>
  <c r="AB82" i="1"/>
  <c r="AB83" i="1"/>
  <c r="AB84" i="1"/>
  <c r="AB85" i="1"/>
  <c r="AB81" i="1"/>
  <c r="AB80" i="1"/>
  <c r="AB75" i="1"/>
  <c r="AB77" i="1"/>
  <c r="AB78" i="1"/>
  <c r="AB76" i="1"/>
  <c r="AB69" i="1"/>
  <c r="AB70" i="1"/>
  <c r="AB71" i="1"/>
  <c r="AB72" i="1"/>
  <c r="AB73" i="1"/>
  <c r="AB74" i="1"/>
  <c r="AB66" i="1"/>
  <c r="AB65" i="1"/>
  <c r="D227" i="1" l="1"/>
  <c r="E286" i="1"/>
  <c r="F286" i="1"/>
  <c r="G286" i="1"/>
  <c r="H286" i="1"/>
  <c r="I286" i="1"/>
  <c r="J286" i="1"/>
  <c r="K286" i="1"/>
  <c r="L286" i="1"/>
  <c r="M286" i="1"/>
  <c r="N286" i="1"/>
  <c r="O286" i="1"/>
  <c r="P286" i="1"/>
  <c r="Q286" i="1"/>
  <c r="R286" i="1"/>
  <c r="S286" i="1"/>
  <c r="T286" i="1"/>
  <c r="U286" i="1"/>
  <c r="V286" i="1"/>
  <c r="W286" i="1"/>
  <c r="X286" i="1"/>
  <c r="Y286" i="1"/>
  <c r="Z286" i="1"/>
  <c r="AA286" i="1"/>
  <c r="AF287" i="1"/>
  <c r="AD287" i="1"/>
  <c r="D282" i="1"/>
  <c r="AC186" i="1" l="1"/>
  <c r="AC187" i="1"/>
  <c r="AC184" i="1"/>
  <c r="AC175" i="1"/>
  <c r="AC166" i="1"/>
  <c r="AC164" i="1"/>
  <c r="AC161" i="1"/>
  <c r="AC157" i="1"/>
  <c r="AC155" i="1"/>
  <c r="E170" i="1"/>
  <c r="F170" i="1"/>
  <c r="G170" i="1"/>
  <c r="H170" i="1"/>
  <c r="I170" i="1"/>
  <c r="J170" i="1"/>
  <c r="K170" i="1"/>
  <c r="L170" i="1"/>
  <c r="M170" i="1"/>
  <c r="N170" i="1"/>
  <c r="O170" i="1"/>
  <c r="P170" i="1"/>
  <c r="Q170" i="1"/>
  <c r="R170" i="1"/>
  <c r="S170" i="1"/>
  <c r="T170" i="1"/>
  <c r="U170" i="1"/>
  <c r="V170" i="1"/>
  <c r="W170" i="1"/>
  <c r="X170" i="1"/>
  <c r="Y170" i="1"/>
  <c r="Z170" i="1"/>
  <c r="AA170" i="1"/>
  <c r="D170" i="1"/>
  <c r="E152" i="1"/>
  <c r="F152" i="1"/>
  <c r="G152" i="1"/>
  <c r="H152" i="1"/>
  <c r="I152" i="1"/>
  <c r="J152" i="1"/>
  <c r="K152" i="1"/>
  <c r="L152" i="1"/>
  <c r="M152" i="1"/>
  <c r="N152" i="1"/>
  <c r="O152" i="1"/>
  <c r="P152" i="1"/>
  <c r="Q152" i="1"/>
  <c r="R152" i="1"/>
  <c r="S152" i="1"/>
  <c r="T152" i="1"/>
  <c r="U152" i="1"/>
  <c r="V152" i="1"/>
  <c r="W152" i="1"/>
  <c r="X152" i="1"/>
  <c r="Y152" i="1"/>
  <c r="Z152" i="1"/>
  <c r="AA152" i="1"/>
  <c r="D152" i="1"/>
  <c r="AA172" i="1"/>
  <c r="Z172" i="1"/>
  <c r="Y172" i="1"/>
  <c r="X172" i="1"/>
  <c r="W172" i="1"/>
  <c r="V172" i="1"/>
  <c r="U172" i="1"/>
  <c r="T172" i="1"/>
  <c r="S172" i="1"/>
  <c r="R172" i="1"/>
  <c r="Q172" i="1"/>
  <c r="P172" i="1"/>
  <c r="O172" i="1"/>
  <c r="N172" i="1"/>
  <c r="M172" i="1"/>
  <c r="L172" i="1"/>
  <c r="K172" i="1"/>
  <c r="J172" i="1"/>
  <c r="I172" i="1"/>
  <c r="H172" i="1"/>
  <c r="G172" i="1"/>
  <c r="F172" i="1"/>
  <c r="E172" i="1"/>
  <c r="D172" i="1"/>
  <c r="AA163" i="1"/>
  <c r="Z163" i="1"/>
  <c r="Y163" i="1"/>
  <c r="X163" i="1"/>
  <c r="W163" i="1"/>
  <c r="V163" i="1"/>
  <c r="U163" i="1"/>
  <c r="T163" i="1"/>
  <c r="S163" i="1"/>
  <c r="R163" i="1"/>
  <c r="Q163" i="1"/>
  <c r="P163" i="1"/>
  <c r="O163" i="1"/>
  <c r="N163" i="1"/>
  <c r="M163" i="1"/>
  <c r="L163" i="1"/>
  <c r="K163" i="1"/>
  <c r="J163" i="1"/>
  <c r="I163" i="1"/>
  <c r="H163" i="1"/>
  <c r="G163" i="1"/>
  <c r="F163" i="1"/>
  <c r="E163" i="1"/>
  <c r="D163" i="1"/>
  <c r="AB161" i="1"/>
  <c r="AA154" i="1"/>
  <c r="Z154" i="1"/>
  <c r="Y154" i="1"/>
  <c r="X154" i="1"/>
  <c r="W154" i="1"/>
  <c r="V154" i="1"/>
  <c r="U154" i="1"/>
  <c r="T154" i="1"/>
  <c r="S154" i="1"/>
  <c r="R154" i="1"/>
  <c r="Q154" i="1"/>
  <c r="P154" i="1"/>
  <c r="O154" i="1"/>
  <c r="N154" i="1"/>
  <c r="M154" i="1"/>
  <c r="L154" i="1"/>
  <c r="K154" i="1"/>
  <c r="J154" i="1"/>
  <c r="I154" i="1"/>
  <c r="H154" i="1"/>
  <c r="G154" i="1"/>
  <c r="F154" i="1"/>
  <c r="E154" i="1"/>
  <c r="D154" i="1"/>
  <c r="AC173" i="1"/>
  <c r="AC148" i="1"/>
  <c r="AC146" i="1"/>
  <c r="E145" i="1"/>
  <c r="F145" i="1"/>
  <c r="G145" i="1"/>
  <c r="H145" i="1"/>
  <c r="I145" i="1"/>
  <c r="J145" i="1"/>
  <c r="K145" i="1"/>
  <c r="L145" i="1"/>
  <c r="M145" i="1"/>
  <c r="N145" i="1"/>
  <c r="O145" i="1"/>
  <c r="P145" i="1"/>
  <c r="Q145" i="1"/>
  <c r="R145" i="1"/>
  <c r="S145" i="1"/>
  <c r="T145" i="1"/>
  <c r="U145" i="1"/>
  <c r="V145" i="1"/>
  <c r="W145" i="1"/>
  <c r="X145" i="1"/>
  <c r="Y145" i="1"/>
  <c r="Z145" i="1"/>
  <c r="AA145" i="1"/>
  <c r="E143" i="1"/>
  <c r="F143" i="1"/>
  <c r="G143" i="1"/>
  <c r="H143" i="1"/>
  <c r="I143" i="1"/>
  <c r="J143" i="1"/>
  <c r="K143" i="1"/>
  <c r="L143" i="1"/>
  <c r="M143" i="1"/>
  <c r="N143" i="1"/>
  <c r="O143" i="1"/>
  <c r="P143" i="1"/>
  <c r="Q143" i="1"/>
  <c r="R143" i="1"/>
  <c r="S143" i="1"/>
  <c r="T143" i="1"/>
  <c r="U143" i="1"/>
  <c r="V143" i="1"/>
  <c r="W143" i="1"/>
  <c r="X143" i="1"/>
  <c r="Y143" i="1"/>
  <c r="Z143" i="1"/>
  <c r="AA143" i="1"/>
  <c r="D18" i="1"/>
  <c r="E18" i="1"/>
  <c r="AB16" i="1"/>
  <c r="AB17" i="1"/>
  <c r="AB15" i="1"/>
  <c r="AB12" i="1"/>
  <c r="AB13" i="1"/>
  <c r="AB143" i="1"/>
  <c r="D143" i="1"/>
  <c r="D14" i="1"/>
  <c r="E14" i="1"/>
  <c r="AB181" i="1"/>
  <c r="AB162" i="1"/>
  <c r="AB164" i="1"/>
  <c r="AB165" i="1"/>
  <c r="AB166" i="1"/>
  <c r="AB167" i="1"/>
  <c r="AB168" i="1"/>
  <c r="AB169" i="1"/>
  <c r="AB171" i="1"/>
  <c r="AB173" i="1"/>
  <c r="AB174" i="1"/>
  <c r="AB175" i="1"/>
  <c r="AB176" i="1"/>
  <c r="AB177" i="1"/>
  <c r="AB178" i="1"/>
  <c r="AB160" i="1"/>
  <c r="AB153" i="1"/>
  <c r="AB155" i="1"/>
  <c r="AB156" i="1"/>
  <c r="AB157" i="1"/>
  <c r="AB158" i="1"/>
  <c r="AB159" i="1"/>
  <c r="AB151" i="1"/>
  <c r="D145" i="1"/>
  <c r="AB146" i="1"/>
  <c r="AB147" i="1"/>
  <c r="AB148" i="1"/>
  <c r="AB149" i="1"/>
  <c r="AB150"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5" i="1"/>
  <c r="Y135" i="1"/>
  <c r="W135" i="1"/>
  <c r="U135" i="1"/>
  <c r="S135" i="1"/>
  <c r="Q135" i="1"/>
  <c r="O135" i="1"/>
  <c r="M135" i="1"/>
  <c r="AA119" i="1"/>
  <c r="Y119" i="1"/>
  <c r="W119" i="1"/>
  <c r="U119" i="1"/>
  <c r="S119" i="1"/>
  <c r="Q119" i="1"/>
  <c r="O119" i="1"/>
  <c r="M119" i="1"/>
  <c r="AA127" i="1"/>
  <c r="Y127" i="1"/>
  <c r="W127" i="1"/>
  <c r="U127" i="1"/>
  <c r="S127" i="1"/>
  <c r="Q127" i="1"/>
  <c r="O127" i="1"/>
  <c r="M127" i="1"/>
  <c r="F14" i="1"/>
  <c r="AB18" i="1" l="1"/>
  <c r="AB163" i="1"/>
  <c r="AB172" i="1"/>
  <c r="AC125" i="1"/>
  <c r="AB154" i="1"/>
  <c r="AC170" i="1"/>
  <c r="AD170" i="1" s="1"/>
  <c r="AB152" i="1"/>
  <c r="AB287" i="1"/>
  <c r="AC152" i="1"/>
  <c r="AD152" i="1" s="1"/>
  <c r="AB14" i="1"/>
  <c r="AC143" i="1"/>
  <c r="AD143" i="1" s="1"/>
  <c r="AB170" i="1"/>
  <c r="AD161" i="1"/>
  <c r="AC181" i="1"/>
  <c r="AC179" i="1"/>
  <c r="AB145" i="1"/>
  <c r="AC133" i="1"/>
  <c r="AC117" i="1"/>
  <c r="AB135" i="1"/>
  <c r="AB119" i="1"/>
  <c r="AB127" i="1"/>
  <c r="AC16" i="1"/>
  <c r="AC15" i="1"/>
  <c r="AC12" i="1"/>
  <c r="AC11" i="1"/>
  <c r="G18" i="1"/>
  <c r="H18" i="1"/>
  <c r="I18" i="1"/>
  <c r="J18" i="1"/>
  <c r="K18" i="1"/>
  <c r="L18" i="1"/>
  <c r="M18" i="1"/>
  <c r="N18" i="1"/>
  <c r="O18" i="1"/>
  <c r="P18" i="1"/>
  <c r="Q18" i="1"/>
  <c r="R18" i="1"/>
  <c r="S18" i="1"/>
  <c r="T18" i="1"/>
  <c r="U18" i="1"/>
  <c r="V18" i="1"/>
  <c r="W18" i="1"/>
  <c r="X18" i="1"/>
  <c r="Y18" i="1"/>
  <c r="Z18" i="1"/>
  <c r="AA18" i="1"/>
  <c r="F18" i="1"/>
  <c r="AE235" i="1" l="1"/>
  <c r="AC215" i="1"/>
  <c r="F320" i="1" l="1"/>
  <c r="G320" i="1"/>
  <c r="H320" i="1"/>
  <c r="I320" i="1"/>
  <c r="J320" i="1"/>
  <c r="K320" i="1"/>
  <c r="L320" i="1"/>
  <c r="M320" i="1"/>
  <c r="O320" i="1"/>
  <c r="P320" i="1"/>
  <c r="Q320" i="1"/>
  <c r="R320" i="1"/>
  <c r="S320" i="1"/>
  <c r="T320" i="1"/>
  <c r="U320" i="1"/>
  <c r="V320" i="1"/>
  <c r="W320" i="1"/>
  <c r="X320" i="1"/>
  <c r="Y320" i="1"/>
  <c r="Z320" i="1"/>
  <c r="AA320" i="1"/>
  <c r="AC326" i="1"/>
  <c r="AC101" i="1"/>
  <c r="AE325" i="1"/>
  <c r="AC323" i="1"/>
  <c r="AC321" i="1"/>
  <c r="AC318" i="1"/>
  <c r="AC304" i="1"/>
  <c r="F256" i="4"/>
  <c r="AE242" i="1"/>
  <c r="E258" i="1"/>
  <c r="F258" i="1"/>
  <c r="G258" i="1"/>
  <c r="H258" i="1"/>
  <c r="I258" i="1"/>
  <c r="J258" i="1"/>
  <c r="K258" i="1"/>
  <c r="L258" i="1"/>
  <c r="M258" i="1"/>
  <c r="N258" i="1"/>
  <c r="O258" i="1"/>
  <c r="P258" i="1"/>
  <c r="Q258" i="1"/>
  <c r="R258" i="1"/>
  <c r="S258" i="1"/>
  <c r="T258" i="1"/>
  <c r="U258" i="1"/>
  <c r="V258" i="1"/>
  <c r="W258" i="1"/>
  <c r="X258" i="1"/>
  <c r="Y258" i="1"/>
  <c r="Z258" i="1"/>
  <c r="AA258" i="1"/>
  <c r="AC274" i="1"/>
  <c r="AC273" i="1"/>
  <c r="AB276" i="1" l="1"/>
  <c r="AB277" i="1"/>
  <c r="AB279" i="1"/>
  <c r="AB280" i="1"/>
  <c r="AB281" i="1"/>
  <c r="AB283" i="1"/>
  <c r="AB272" i="1"/>
  <c r="AB273" i="1"/>
  <c r="AB274" i="1"/>
  <c r="AB282" i="1" l="1"/>
  <c r="AC282" i="1"/>
  <c r="E271" i="1" l="1"/>
  <c r="F271" i="1"/>
  <c r="G271" i="1"/>
  <c r="H271" i="1"/>
  <c r="I271" i="1"/>
  <c r="J271" i="1"/>
  <c r="K271" i="1"/>
  <c r="L271" i="1"/>
  <c r="M271" i="1"/>
  <c r="N271" i="1"/>
  <c r="O271" i="1"/>
  <c r="P271" i="1"/>
  <c r="Q271" i="1"/>
  <c r="R271" i="1"/>
  <c r="S271" i="1"/>
  <c r="T271" i="1"/>
  <c r="U271" i="1"/>
  <c r="V271" i="1"/>
  <c r="W271" i="1"/>
  <c r="X271" i="1"/>
  <c r="Y271" i="1"/>
  <c r="Z271" i="1"/>
  <c r="AA271" i="1"/>
  <c r="D258" i="1"/>
  <c r="AC105" i="1" s="1"/>
  <c r="AB249" i="1"/>
  <c r="AB250" i="1"/>
  <c r="AB251" i="1"/>
  <c r="AB252" i="1"/>
  <c r="AB253" i="1"/>
  <c r="AB254" i="1"/>
  <c r="AC257" i="1" l="1"/>
  <c r="AC240" i="1"/>
  <c r="AC239" i="1"/>
  <c r="AC237" i="1"/>
  <c r="AC236" i="1"/>
  <c r="AE236" i="1"/>
  <c r="AE234" i="1"/>
  <c r="AE232" i="1" l="1"/>
  <c r="AE231" i="1"/>
  <c r="AC198" i="1"/>
  <c r="D221" i="1"/>
  <c r="D224" i="1"/>
  <c r="AE223" i="1"/>
  <c r="AE222" i="1"/>
  <c r="AC222" i="1"/>
  <c r="AC223" i="1"/>
  <c r="AC220" i="1"/>
  <c r="AC219" i="1"/>
  <c r="AC217" i="1"/>
  <c r="E224" i="1"/>
  <c r="E221" i="1"/>
  <c r="AC213" i="1"/>
  <c r="AC211" i="1"/>
  <c r="AC209" i="1"/>
  <c r="AC224" i="1" l="1"/>
  <c r="AE224" i="1"/>
  <c r="AB224" i="1"/>
  <c r="AE198" i="1" l="1"/>
  <c r="AF197" i="1" s="1"/>
  <c r="AC205" i="1"/>
  <c r="AC203"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4" i="1"/>
  <c r="AC47" i="1"/>
  <c r="AC45" i="1"/>
  <c r="AC43" i="1"/>
  <c r="AC41" i="1"/>
  <c r="AC39" i="1"/>
  <c r="AC37" i="1"/>
  <c r="AC35" i="1"/>
  <c r="AC33" i="1"/>
  <c r="AC26" i="1"/>
  <c r="AE24" i="1"/>
  <c r="AC22" i="1"/>
  <c r="AB79" i="1" l="1"/>
  <c r="AC88" i="1"/>
  <c r="AC78" i="1"/>
  <c r="AC75" i="1"/>
  <c r="AB288" i="1" l="1"/>
  <c r="D286" i="1"/>
  <c r="AC285" i="1" s="1"/>
  <c r="AB284" i="1"/>
  <c r="E278" i="1"/>
  <c r="F278" i="1"/>
  <c r="G278" i="1"/>
  <c r="H278" i="1"/>
  <c r="J278" i="1"/>
  <c r="K278" i="1"/>
  <c r="L278" i="1"/>
  <c r="M278" i="1"/>
  <c r="N278" i="1"/>
  <c r="O278" i="1"/>
  <c r="P278" i="1"/>
  <c r="Q278" i="1"/>
  <c r="R278" i="1"/>
  <c r="S278" i="1"/>
  <c r="T278" i="1"/>
  <c r="U278" i="1"/>
  <c r="V278" i="1"/>
  <c r="W278" i="1"/>
  <c r="X278" i="1"/>
  <c r="Y278" i="1"/>
  <c r="Z278" i="1"/>
  <c r="AA278" i="1"/>
  <c r="D275" i="1"/>
  <c r="AC283" i="1" s="1"/>
  <c r="AB285" i="1"/>
  <c r="J68" i="1"/>
  <c r="AC68" i="1" s="1"/>
  <c r="D248" i="1"/>
  <c r="AC227" i="1" s="1"/>
  <c r="AB257" i="1"/>
  <c r="AC79" i="1" l="1"/>
  <c r="I278" i="1"/>
  <c r="D278" i="1"/>
  <c r="AB275" i="1"/>
  <c r="AB289" i="1"/>
  <c r="AB286" i="1"/>
  <c r="AB278" i="1" l="1"/>
  <c r="AC278" i="1"/>
  <c r="AC286" i="1"/>
  <c r="AE278" i="1"/>
  <c r="AF273" i="1" s="1"/>
  <c r="AB321" i="1"/>
  <c r="AB323" i="1"/>
  <c r="AB325" i="1"/>
  <c r="AB326" i="1"/>
  <c r="F327" i="1"/>
  <c r="G327" i="1"/>
  <c r="H327" i="1"/>
  <c r="I327" i="1"/>
  <c r="J327" i="1"/>
  <c r="K327" i="1"/>
  <c r="L327" i="1"/>
  <c r="M327" i="1"/>
  <c r="N327" i="1"/>
  <c r="O327" i="1"/>
  <c r="P327" i="1"/>
  <c r="Q327" i="1"/>
  <c r="R327" i="1"/>
  <c r="S327" i="1"/>
  <c r="T327" i="1"/>
  <c r="U327" i="1"/>
  <c r="V327" i="1"/>
  <c r="W327" i="1"/>
  <c r="X327" i="1"/>
  <c r="Y327" i="1"/>
  <c r="Z327" i="1"/>
  <c r="AA327" i="1"/>
  <c r="F324" i="1"/>
  <c r="G324" i="1"/>
  <c r="H324" i="1"/>
  <c r="I324" i="1"/>
  <c r="J324" i="1"/>
  <c r="K324" i="1"/>
  <c r="L324" i="1"/>
  <c r="M324" i="1"/>
  <c r="N324" i="1"/>
  <c r="O324" i="1"/>
  <c r="P324" i="1"/>
  <c r="Q324" i="1"/>
  <c r="R324" i="1"/>
  <c r="S324" i="1"/>
  <c r="T324" i="1"/>
  <c r="U324" i="1"/>
  <c r="V324" i="1"/>
  <c r="X324" i="1"/>
  <c r="Y324" i="1"/>
  <c r="Z324" i="1"/>
  <c r="AA324" i="1"/>
  <c r="F322" i="1"/>
  <c r="AC322" i="1" s="1"/>
  <c r="N320" i="1"/>
  <c r="AE320" i="1" s="1"/>
  <c r="AB319" i="1"/>
  <c r="AB318" i="1"/>
  <c r="AB144" i="1"/>
  <c r="AB179" i="1"/>
  <c r="AB227" i="1"/>
  <c r="AB216" i="1"/>
  <c r="AB217" i="1"/>
  <c r="AB218" i="1"/>
  <c r="AB219" i="1"/>
  <c r="AB220" i="1"/>
  <c r="AB222" i="1"/>
  <c r="AB223" i="1"/>
  <c r="AB225" i="1"/>
  <c r="AB226" i="1"/>
  <c r="AB205" i="1"/>
  <c r="AB206" i="1"/>
  <c r="AB207" i="1"/>
  <c r="AB208" i="1"/>
  <c r="AB211" i="1"/>
  <c r="AB212" i="1"/>
  <c r="AB213" i="1"/>
  <c r="AB214" i="1"/>
  <c r="AB215" i="1"/>
  <c r="AB203" i="1"/>
  <c r="AB221" i="1"/>
  <c r="AE329" i="1" l="1"/>
  <c r="AD273" i="1"/>
  <c r="AF318" i="1"/>
  <c r="AC327" i="1"/>
  <c r="AD318" i="1" s="1"/>
  <c r="AB320" i="1"/>
  <c r="AB322" i="1"/>
  <c r="AB327" i="1"/>
  <c r="AB324" i="1"/>
  <c r="Y233" i="1"/>
  <c r="W233" i="1"/>
  <c r="U233" i="1"/>
  <c r="S233" i="1"/>
  <c r="Q233" i="1"/>
  <c r="O233" i="1"/>
  <c r="M233" i="1"/>
  <c r="K233" i="1"/>
  <c r="AB233" i="1" l="1"/>
  <c r="Y202" i="1"/>
  <c r="W202" i="1"/>
  <c r="U202" i="1"/>
  <c r="S202" i="1"/>
  <c r="Q202" i="1"/>
  <c r="O202" i="1"/>
  <c r="M202" i="1"/>
  <c r="K202" i="1"/>
  <c r="Y201" i="1"/>
  <c r="W201" i="1"/>
  <c r="U201" i="1"/>
  <c r="S201" i="1"/>
  <c r="Q201" i="1"/>
  <c r="O201" i="1"/>
  <c r="M201" i="1"/>
  <c r="K201" i="1"/>
  <c r="AB201" i="1" l="1"/>
  <c r="AB202" i="1"/>
  <c r="F50" i="1"/>
  <c r="AB305" i="1" l="1"/>
  <c r="AB306" i="1"/>
  <c r="AB307" i="1"/>
  <c r="AB308" i="1"/>
  <c r="D309" i="1" l="1"/>
  <c r="E309" i="1"/>
  <c r="F309" i="1"/>
  <c r="G309" i="1"/>
  <c r="H309" i="1"/>
  <c r="I309" i="1"/>
  <c r="J309" i="1"/>
  <c r="K309" i="1"/>
  <c r="L309" i="1"/>
  <c r="M309" i="1"/>
  <c r="N309" i="1"/>
  <c r="O309" i="1"/>
  <c r="P309" i="1"/>
  <c r="Q309" i="1"/>
  <c r="R309" i="1"/>
  <c r="S309" i="1"/>
  <c r="T309" i="1"/>
  <c r="U309" i="1"/>
  <c r="V309" i="1"/>
  <c r="W309" i="1"/>
  <c r="X309" i="1"/>
  <c r="Y309" i="1"/>
  <c r="Z309" i="1"/>
  <c r="AA309" i="1"/>
  <c r="AF298" i="1" l="1"/>
  <c r="AB255" i="1" l="1"/>
  <c r="AB259" i="1"/>
  <c r="AB260" i="1"/>
  <c r="AB261" i="1"/>
  <c r="AB262" i="1"/>
  <c r="AB263" i="1"/>
  <c r="AB264" i="1"/>
  <c r="AB265" i="1"/>
  <c r="AB266" i="1"/>
  <c r="AB267" i="1"/>
  <c r="AB268" i="1"/>
  <c r="AB269" i="1"/>
  <c r="AB270" i="1"/>
  <c r="AB298" i="1"/>
  <c r="AB299" i="1"/>
  <c r="AB300" i="1"/>
  <c r="AB301" i="1"/>
  <c r="AB302" i="1"/>
  <c r="AB303" i="1"/>
  <c r="AB304" i="1"/>
  <c r="D271" i="1"/>
  <c r="AC258" i="1" l="1"/>
  <c r="AB271" i="1"/>
  <c r="AB258" i="1"/>
  <c r="AC248" i="1"/>
  <c r="AF54" i="1" l="1"/>
  <c r="AF101" i="1"/>
  <c r="AF116" i="1"/>
  <c r="AF143" i="1"/>
  <c r="AE34" i="1"/>
  <c r="AD54" i="1"/>
  <c r="AB248" i="1"/>
  <c r="AB309" i="1"/>
  <c r="AB310" i="1"/>
  <c r="AB311" i="1"/>
  <c r="AB312" i="1"/>
  <c r="AB313" i="1"/>
  <c r="AB314" i="1"/>
  <c r="AB315" i="1"/>
  <c r="AB316" i="1"/>
  <c r="AB232" i="1"/>
  <c r="AB238" i="1"/>
  <c r="AB241" i="1"/>
  <c r="AB242" i="1"/>
  <c r="AB243" i="1"/>
  <c r="AB244" i="1"/>
  <c r="AB231" i="1"/>
  <c r="AB198" i="1"/>
  <c r="AB199" i="1"/>
  <c r="AB200" i="1"/>
  <c r="AB204" i="1"/>
  <c r="AB197" i="1"/>
  <c r="AB180" i="1"/>
  <c r="AB182" i="1"/>
  <c r="AB183" i="1"/>
  <c r="AC183" i="1" s="1"/>
  <c r="AB184" i="1"/>
  <c r="AB185" i="1"/>
  <c r="AB186" i="1"/>
  <c r="AB187" i="1"/>
  <c r="AB188" i="1"/>
  <c r="AB189" i="1"/>
  <c r="AB190" i="1"/>
  <c r="AB191" i="1"/>
  <c r="AB192" i="1"/>
  <c r="AB193" i="1"/>
  <c r="AB117" i="1"/>
  <c r="AB118" i="1"/>
  <c r="AB121" i="1"/>
  <c r="AB122" i="1"/>
  <c r="AB123" i="1"/>
  <c r="AB124" i="1"/>
  <c r="AB125" i="1"/>
  <c r="AB126" i="1"/>
  <c r="AB129" i="1"/>
  <c r="AB130" i="1"/>
  <c r="AB131" i="1"/>
  <c r="AB132" i="1"/>
  <c r="AB133" i="1"/>
  <c r="AB134" i="1"/>
  <c r="AB137" i="1"/>
  <c r="AB138" i="1"/>
  <c r="AB139"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5" i="1" l="1"/>
  <c r="AE221" i="1"/>
  <c r="AF219" i="1" s="1"/>
  <c r="AD8" i="1"/>
  <c r="AD219" i="1"/>
  <c r="AC232" i="1"/>
  <c r="AC197" i="1"/>
  <c r="AE68" i="1"/>
  <c r="AF64" i="1" s="1"/>
  <c r="AC200" i="1"/>
  <c r="AC49" i="1"/>
  <c r="AC193" i="1"/>
  <c r="AE47" i="1"/>
  <c r="AC86" i="1"/>
  <c r="AD64" i="1" s="1"/>
  <c r="AE31" i="1"/>
  <c r="AC255" i="1"/>
  <c r="AD248" i="1" s="1"/>
  <c r="AE45" i="1"/>
  <c r="AE41" i="1"/>
  <c r="AE37" i="1"/>
  <c r="AC188" i="1"/>
  <c r="AC243" i="1"/>
  <c r="AC192" i="1"/>
  <c r="AC31" i="1"/>
  <c r="AD298" i="1"/>
  <c r="AE43" i="1"/>
  <c r="AE35" i="1"/>
  <c r="AB50" i="1"/>
  <c r="AB49" i="1"/>
  <c r="AF8" i="1" s="1"/>
  <c r="AC190" i="1"/>
  <c r="AC207" i="1"/>
  <c r="AE238" i="1"/>
  <c r="AC199" i="1"/>
  <c r="AE33" i="1"/>
  <c r="AC104" i="1"/>
  <c r="AD101" i="1" s="1"/>
  <c r="AE50" i="1"/>
  <c r="AE26" i="1"/>
  <c r="AE243" i="1"/>
  <c r="AE39" i="1"/>
  <c r="AE49" i="1"/>
  <c r="AE255" i="1"/>
  <c r="AF248" i="1" s="1"/>
  <c r="AE244" i="1"/>
  <c r="AC238" i="1"/>
  <c r="AD197" i="1" l="1"/>
  <c r="AD179" i="1"/>
  <c r="AF231" i="1"/>
  <c r="AD231" i="1"/>
  <c r="AD22" i="1"/>
  <c r="AD116" i="1"/>
  <c r="AF22" i="1"/>
  <c r="A356" i="1" l="1"/>
  <c r="AF6" i="1" s="1"/>
  <c r="A334" i="1"/>
  <c r="AD6" i="1" s="1"/>
  <c r="M334" i="1" l="1"/>
</calcChain>
</file>

<file path=xl/sharedStrings.xml><?xml version="1.0" encoding="utf-8"?>
<sst xmlns="http://schemas.openxmlformats.org/spreadsheetml/2006/main" count="2333" uniqueCount="1086">
  <si>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</si>
  <si>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</si>
  <si>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</si>
  <si>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</si>
  <si>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</si>
  <si>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</si>
  <si>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</si>
  <si>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</si>
  <si>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</si>
  <si>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</si>
  <si>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</si>
  <si>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</si>
  <si>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</si>
  <si>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</si>
  <si>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</si>
  <si>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</si>
  <si>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</si>
  <si>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</si>
  <si>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</si>
  <si>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</si>
  <si>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</si>
  <si>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</si>
  <si>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</si>
  <si>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</si>
  <si>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</si>
  <si>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</si>
  <si>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</si>
  <si>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</si>
  <si>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</si>
  <si>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</si>
  <si>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</si>
  <si>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</si>
  <si>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</si>
  <si>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</si>
  <si>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</si>
  <si>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</si>
  <si>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</si>
  <si>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</si>
  <si>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</si>
  <si>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</si>
  <si>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</si>
  <si>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</si>
  <si>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</si>
  <si>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</si>
  <si>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</si>
  <si>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</si>
  <si>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</si>
  <si>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</si>
  <si>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</si>
  <si>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</si>
  <si>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</si>
  <si>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</si>
  <si>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</si>
  <si>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</si>
  <si>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</si>
  <si>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</si>
  <si>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</si>
  <si>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</si>
  <si>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</si>
  <si>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</si>
  <si>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</si>
  <si>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</si>
  <si>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</si>
  <si>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</si>
  <si>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</si>
  <si>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</si>
  <si>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</si>
  <si>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</si>
  <si>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</si>
  <si>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</si>
  <si>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</si>
  <si>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</si>
  <si>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</si>
  <si>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</si>
  <si>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</si>
  <si>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</si>
  <si>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</si>
  <si>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</si>
  <si>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</si>
  <si>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</si>
  <si>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</si>
  <si>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</si>
  <si>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</si>
  <si>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</si>
  <si>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</si>
  <si>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</si>
  <si>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</si>
  <si>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</si>
  <si>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</si>
  <si>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</si>
  <si>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</si>
  <si>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</si>
  <si>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</si>
  <si>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</si>
  <si>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</si>
  <si>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</si>
  <si>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</si>
  <si>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</si>
  <si>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</si>
  <si>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</si>
  <si>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</si>
  <si>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</si>
  <si>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</si>
  <si>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</si>
  <si>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</si>
  <si>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</si>
  <si>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</si>
  <si>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</si>
  <si>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</si>
  <si>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</si>
  <si>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</si>
  <si>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</si>
  <si>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</si>
  <si>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</si>
  <si>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</si>
  <si>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</si>
  <si>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</si>
  <si>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</si>
  <si>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</si>
  <si>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</si>
  <si>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</si>
  <si>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</si>
  <si>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</si>
  <si>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</si>
  <si>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</si>
  <si>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</si>
  <si>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</si>
  <si>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</si>
  <si>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</si>
  <si>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</si>
  <si>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</si>
  <si>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</si>
  <si>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</si>
  <si>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</si>
  <si>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</si>
  <si>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</si>
  <si>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</si>
  <si>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</si>
  <si>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</si>
  <si>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</si>
  <si>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</si>
  <si>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</si>
  <si>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</si>
  <si>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</si>
  <si>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</si>
  <si>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</si>
  <si>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</si>
  <si>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</si>
  <si>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</si>
  <si>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</si>
  <si>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</si>
  <si>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</si>
  <si>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</si>
  <si>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</si>
  <si>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</si>
  <si>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</si>
  <si>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</si>
  <si>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</si>
  <si>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</si>
  <si>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</si>
  <si>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</si>
  <si>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</si>
  <si>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</si>
  <si>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</si>
  <si>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</si>
  <si>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</si>
  <si>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</si>
  <si>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</si>
  <si>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</si>
  <si>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</si>
  <si>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</si>
  <si>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</si>
  <si>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</si>
  <si>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</si>
  <si>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</si>
  <si>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</si>
  <si>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</si>
  <si>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</si>
  <si>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</si>
  <si>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</si>
  <si>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</si>
  <si>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</si>
  <si>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</si>
  <si>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</si>
  <si>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</si>
  <si>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</si>
  <si>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</si>
  <si>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</si>
  <si>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</si>
  <si>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</si>
  <si>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</si>
  <si>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</si>
  <si>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</si>
  <si>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</si>
  <si>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</si>
  <si>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</si>
  <si>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</si>
  <si>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</si>
  <si>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</si>
  <si>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</si>
  <si>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</si>
  <si>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</si>
  <si>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</si>
  <si>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</si>
  <si>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</si>
  <si>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</si>
  <si>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</si>
  <si>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</si>
  <si>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</si>
  <si>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</si>
  <si>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</si>
  <si>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</si>
  <si>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</si>
  <si>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</si>
  <si>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</si>
  <si>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</si>
  <si>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</si>
  <si>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</si>
  <si>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</si>
  <si>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</si>
  <si>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</si>
  <si>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</si>
  <si>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</si>
  <si>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</si>
  <si>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</si>
  <si>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</si>
  <si>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</si>
  <si>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</si>
  <si>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</si>
  <si>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</si>
  <si>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</si>
  <si>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</si>
  <si>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</si>
  <si>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</si>
  <si>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</si>
  <si>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</si>
  <si>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</si>
  <si>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</si>
  <si>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</si>
  <si>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</si>
  <si>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</si>
  <si>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</si>
  <si>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</si>
  <si>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</si>
  <si>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</si>
  <si>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</si>
  <si>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</si>
  <si>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</si>
  <si>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</si>
  <si>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</si>
  <si>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</si>
  <si>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</si>
  <si>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</si>
  <si>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</si>
  <si>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</si>
  <si>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</si>
  <si>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</si>
  <si>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</si>
  <si>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</si>
  <si>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</si>
  <si>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</si>
  <si>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</si>
  <si>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</si>
  <si>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</si>
  <si>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</si>
  <si>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</si>
  <si>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</si>
  <si>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</si>
  <si>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</si>
  <si>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</si>
  <si>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</si>
  <si>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</si>
  <si>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</si>
  <si>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</si>
  <si>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</si>
  <si>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</si>
  <si>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</si>
  <si>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</si>
  <si>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</si>
  <si>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</si>
  <si>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</si>
  <si>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</si>
  <si>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</si>
  <si>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</si>
  <si>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</si>
  <si>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</si>
  <si>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</si>
  <si>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</si>
  <si>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</si>
  <si>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</si>
  <si>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</si>
  <si>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</si>
  <si>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</si>
  <si>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</si>
  <si>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</si>
  <si>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</si>
  <si>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</si>
  <si>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</si>
  <si>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</si>
  <si>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</si>
  <si>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</si>
  <si>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</si>
  <si>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</si>
  <si>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</si>
  <si>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</si>
  <si>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</si>
  <si>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</si>
  <si>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</si>
  <si>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</si>
  <si>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</si>
  <si>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</si>
  <si>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</si>
  <si>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</si>
  <si>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</si>
  <si>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</si>
  <si>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</si>
  <si>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</si>
  <si>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</si>
  <si>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</si>
  <si>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</si>
  <si>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</si>
  <si>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</si>
  <si>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</si>
  <si>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</si>
  <si>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</si>
  <si>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</si>
  <si>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</si>
  <si>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</si>
  <si>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</si>
  <si>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</si>
  <si>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</si>
  <si>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</si>
  <si>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</si>
  <si>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</si>
  <si>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</si>
  <si>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</si>
  <si>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</si>
  <si>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</si>
  <si>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</si>
  <si>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</si>
  <si>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</si>
  <si>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</si>
  <si>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</si>
  <si>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</si>
  <si>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</si>
  <si>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</si>
  <si>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</si>
  <si>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</si>
  <si>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</si>
  <si>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</si>
  <si>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</si>
  <si>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</si>
  <si>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</si>
  <si>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</si>
  <si>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</si>
  <si>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</si>
  <si>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</si>
  <si>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</si>
  <si>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</si>
  <si>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</si>
  <si>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</si>
  <si>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</si>
  <si>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</si>
  <si>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</si>
  <si>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</si>
  <si>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</si>
  <si>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</si>
  <si>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</si>
  <si>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</si>
  <si>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</si>
  <si>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</si>
  <si>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</si>
  <si>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</si>
  <si>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</si>
  <si>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</si>
  <si>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</si>
  <si>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</si>
  <si>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</si>
  <si>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</si>
  <si>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</si>
  <si>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</si>
  <si>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</si>
  <si>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</si>
  <si>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</si>
  <si>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</si>
  <si>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</si>
  <si>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</si>
  <si>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</si>
  <si>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</si>
  <si>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</si>
  <si>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</si>
  <si>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</si>
  <si>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</si>
  <si>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</si>
  <si>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</si>
  <si>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</si>
  <si>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</si>
  <si>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</si>
  <si>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</si>
  <si>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</si>
  <si>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</si>
  <si>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</si>
  <si>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</si>
  <si>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</si>
  <si>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</si>
  <si>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</si>
  <si>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</si>
  <si>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</si>
  <si>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</si>
  <si>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</si>
  <si>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</si>
  <si>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</si>
  <si>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</si>
  <si>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</si>
  <si>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</si>
  <si>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</si>
  <si>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</si>
  <si>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</si>
  <si>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</si>
  <si>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</si>
  <si>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</si>
  <si>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</si>
  <si>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</si>
  <si>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</si>
  <si>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</si>
  <si>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</si>
  <si>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</si>
  <si>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</si>
  <si>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</si>
  <si>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</si>
  <si>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</si>
  <si>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</si>
  <si>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</si>
  <si>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</si>
  <si>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</si>
  <si>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</si>
  <si>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</si>
  <si>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</si>
  <si>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</si>
  <si>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</si>
  <si>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</si>
  <si>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</si>
  <si>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</si>
  <si>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</si>
  <si>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</si>
  <si>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</si>
  <si>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</si>
  <si>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</si>
  <si>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</si>
  <si>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</si>
  <si>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</si>
  <si>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</si>
  <si>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</si>
  <si>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</si>
  <si>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</si>
  <si>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</si>
  <si>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</si>
  <si>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</si>
  <si>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</si>
  <si>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</si>
  <si>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</si>
  <si>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</si>
  <si>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</si>
  <si>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</si>
  <si>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</si>
  <si>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</si>
  <si>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</si>
  <si>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</si>
  <si>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</si>
  <si>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</si>
  <si>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</si>
  <si>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</si>
  <si>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</si>
  <si>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</si>
  <si>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</si>
  <si>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</si>
  <si>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</si>
  <si>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</si>
  <si>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</si>
  <si>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</si>
  <si>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</si>
  <si>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</si>
  <si>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</si>
  <si>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</si>
  <si>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</si>
  <si>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</si>
  <si>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</si>
  <si>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</si>
  <si>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</si>
  <si>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</si>
  <si>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</si>
  <si>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</si>
  <si>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</si>
  <si>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</si>
  <si>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</si>
  <si>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</si>
  <si>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</si>
  <si>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</si>
  <si>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</si>
  <si>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</si>
  <si>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</si>
  <si>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</si>
  <si>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</si>
  <si>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</si>
  <si>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</si>
  <si>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</si>
  <si>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</si>
  <si>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</si>
  <si>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</si>
  <si>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</si>
  <si>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</si>
  <si>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</si>
  <si>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</si>
  <si>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</si>
  <si>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</si>
  <si>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</si>
  <si>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</si>
  <si>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</si>
  <si>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</si>
  <si>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</si>
  <si>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</si>
  <si>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</si>
  <si>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</si>
  <si>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</si>
  <si>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</si>
  <si>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</si>
  <si>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</si>
  <si>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</si>
  <si>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</si>
  <si>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</si>
  <si>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</si>
  <si>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</si>
  <si>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</si>
  <si>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</si>
  <si>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</si>
  <si>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</si>
  <si>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</si>
  <si>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</si>
  <si>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</si>
  <si>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</si>
  <si>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</si>
  <si>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</si>
  <si>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</si>
  <si>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</si>
  <si>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</si>
  <si>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</si>
  <si>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</si>
  <si>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</si>
  <si>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</si>
  <si>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</si>
  <si>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</si>
  <si>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</si>
  <si>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</si>
  <si>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</si>
  <si>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</si>
  <si>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</si>
  <si>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</si>
  <si>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</si>
  <si>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</si>
  <si>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</si>
  <si>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</si>
  <si>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</si>
  <si>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</si>
  <si>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</si>
  <si>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</si>
  <si>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</si>
  <si>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</si>
  <si>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</si>
  <si>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</si>
  <si>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</si>
  <si>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</si>
  <si>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</si>
  <si>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</si>
  <si>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</si>
  <si>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</si>
  <si>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</si>
  <si>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</si>
  <si>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</si>
  <si>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</si>
  <si>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</si>
  <si>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</si>
  <si>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</si>
  <si>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</si>
  <si>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</si>
  <si>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</si>
  <si>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</si>
  <si>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</si>
  <si>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</si>
  <si>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</si>
  <si>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</si>
  <si>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</si>
  <si>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</si>
  <si>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</si>
  <si>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</si>
  <si>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</si>
  <si>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</si>
  <si>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</si>
  <si>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</si>
  <si>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</si>
  <si>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</si>
  <si>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</si>
  <si>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</si>
  <si>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</si>
  <si>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</si>
  <si>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</si>
  <si>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</si>
  <si>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</si>
  <si>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</si>
  <si>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</si>
  <si>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</si>
  <si>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</si>
  <si>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</si>
  <si>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</si>
  <si>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</si>
  <si>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</si>
  <si>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</si>
  <si>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</si>
  <si>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</si>
  <si>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</si>
  <si>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</si>
  <si>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</si>
  <si>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</si>
  <si>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</si>
  <si>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</si>
  <si>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</si>
  <si>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</si>
  <si>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</si>
  <si>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</si>
  <si>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</si>
  <si>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</si>
  <si>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</si>
  <si>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</si>
  <si>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</si>
  <si>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</si>
  <si>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</si>
  <si>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</si>
  <si>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</si>
  <si>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</si>
  <si>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</si>
  <si>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</si>
  <si>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</si>
  <si>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</si>
  <si>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</si>
  <si>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</si>
  <si>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</si>
  <si>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</si>
  <si>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</si>
  <si>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</si>
  <si>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</si>
  <si>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</si>
  <si>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</si>
  <si>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</si>
  <si>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</si>
  <si>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</si>
  <si>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</si>
  <si>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</si>
  <si>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</si>
  <si>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</si>
  <si>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</si>
  <si>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</si>
  <si>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</si>
  <si>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</si>
  <si>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</si>
  <si>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</si>
  <si>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</si>
  <si>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</si>
  <si>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</si>
  <si>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</si>
  <si>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</si>
  <si>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</si>
  <si>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</si>
  <si>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</si>
  <si>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</si>
  <si>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</si>
  <si>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</si>
  <si>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</si>
  <si>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</si>
  <si>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</si>
  <si>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</si>
  <si>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</si>
  <si>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</si>
  <si>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</si>
  <si>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</si>
  <si>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</si>
  <si>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</si>
  <si>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</si>
  <si>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</si>
  <si>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</si>
  <si>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</si>
  <si>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</si>
  <si>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</si>
  <si>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</si>
  <si>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</si>
  <si>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</si>
  <si>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</si>
  <si>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</si>
  <si>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</si>
  <si>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</si>
  <si>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</si>
  <si>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</si>
  <si>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</si>
  <si>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</si>
  <si>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</si>
  <si>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</si>
  <si>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</si>
  <si>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</si>
  <si>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</si>
  <si>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</si>
  <si>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</si>
  <si>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</si>
  <si>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</si>
  <si>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</si>
  <si>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</si>
  <si>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</si>
  <si>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</si>
  <si>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</si>
  <si>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</si>
  <si>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</si>
  <si>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</si>
  <si>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</si>
  <si>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</si>
  <si>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</si>
  <si>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</si>
  <si>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</si>
  <si>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</si>
  <si>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</si>
  <si>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</si>
  <si>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</si>
  <si>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</si>
  <si>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</si>
  <si>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</si>
  <si>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</si>
  <si>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</si>
  <si>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</si>
  <si>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</si>
  <si>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</si>
  <si>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</si>
  <si>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</si>
  <si>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</si>
  <si>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</si>
  <si>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</si>
  <si>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</si>
  <si>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</si>
  <si>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</si>
  <si>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</si>
  <si>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</si>
  <si>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</si>
  <si>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</si>
  <si>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</si>
  <si>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</si>
  <si>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</si>
  <si>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</si>
  <si>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</si>
  <si>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</si>
  <si>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</si>
  <si>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</si>
  <si>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</si>
  <si>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</si>
  <si>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</si>
  <si>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</si>
  <si>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</si>
  <si>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</si>
  <si>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</si>
  <si>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</si>
  <si>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</si>
  <si>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</si>
  <si>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</si>
  <si>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</si>
  <si>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</si>
  <si>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</si>
  <si>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</si>
  <si>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</si>
  <si>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</si>
  <si>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</si>
  <si>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</si>
  <si>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</si>
  <si>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</si>
  <si>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</si>
  <si>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</si>
  <si>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</si>
  <si>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</si>
  <si>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</si>
  <si>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</si>
  <si>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</si>
  <si>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</si>
  <si>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</si>
  <si>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</si>
  <si>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</si>
  <si>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</si>
  <si>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</si>
  <si>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</si>
  <si>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</si>
  <si>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</si>
  <si>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</si>
  <si>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</si>
  <si>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</si>
  <si>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</si>
  <si>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</si>
  <si>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</si>
  <si>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</si>
  <si>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</si>
  <si>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</si>
  <si>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</si>
  <si>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</si>
  <si>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</si>
  <si>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</si>
  <si>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</si>
  <si>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</si>
  <si>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</si>
  <si>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</si>
  <si>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</si>
  <si>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</si>
  <si>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</si>
  <si>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</si>
  <si>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</si>
  <si>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</si>
  <si>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</si>
  <si>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</si>
  <si>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</si>
  <si>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</si>
  <si>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</si>
  <si>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</si>
  <si>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</si>
  <si>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</si>
  <si>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</si>
  <si>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</si>
  <si>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</si>
  <si>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</si>
  <si>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</si>
  <si>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</si>
  <si>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</si>
  <si>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</si>
  <si>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</si>
  <si>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</si>
  <si>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</si>
  <si>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</si>
  <si>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</si>
  <si>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</si>
  <si>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</si>
  <si>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</si>
  <si>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</si>
  <si>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</si>
  <si>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</si>
  <si>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</si>
  <si>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</si>
  <si>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</si>
  <si>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</si>
  <si>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</si>
  <si>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</si>
  <si>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</si>
  <si>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</si>
  <si>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</si>
  <si>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</si>
  <si>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</si>
  <si>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</si>
  <si>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</si>
  <si>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</si>
  <si>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</si>
  <si>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</si>
  <si>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</si>
  <si>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</si>
  <si>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</si>
  <si>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</si>
  <si>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</si>
  <si>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</si>
  <si>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</si>
  <si>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</si>
  <si>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</si>
  <si>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</si>
  <si>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</si>
  <si>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</si>
  <si>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</si>
  <si>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</si>
  <si>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</si>
  <si>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</si>
  <si>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</si>
  <si>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</si>
  <si>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</si>
  <si>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</si>
  <si>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</si>
  <si>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</si>
  <si>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</si>
  <si>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</si>
  <si>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</si>
  <si>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</si>
  <si>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</si>
  <si>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</si>
  <si>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</si>
  <si>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</si>
  <si>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</si>
  <si>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</si>
  <si>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</si>
  <si>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</si>
  <si>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</si>
  <si>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</si>
  <si>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</si>
  <si>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</si>
  <si>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</si>
  <si>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</si>
  <si>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</si>
  <si>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</si>
  <si>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</si>
  <si>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</si>
  <si>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</si>
  <si>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</si>
  <si>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</si>
  <si>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</si>
  <si>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</si>
  <si>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</si>
  <si>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</si>
  <si>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</si>
  <si>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</si>
  <si>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</si>
  <si>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</si>
  <si>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</si>
  <si>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</si>
  <si>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</si>
  <si>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</si>
  <si>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</si>
  <si>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</si>
  <si>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</si>
  <si>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</si>
  <si>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</si>
  <si>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</si>
  <si>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</si>
  <si>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</si>
  <si>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</si>
  <si>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</si>
  <si>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</si>
  <si>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</si>
  <si>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</si>
  <si>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</si>
  <si>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</si>
  <si>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</si>
  <si>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</si>
  <si>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</si>
  <si>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</si>
  <si>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</si>
  <si>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</si>
  <si>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</si>
  <si>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</si>
  <si>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</si>
  <si>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</si>
  <si>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</si>
  <si>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</si>
  <si>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</si>
  <si>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</si>
  <si>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</si>
  <si>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</si>
  <si>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</si>
  <si>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</si>
  <si>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</si>
  <si>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</si>
  <si>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</si>
  <si>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</si>
  <si>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</si>
  <si>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</si>
  <si>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</si>
  <si>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</si>
  <si>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</si>
  <si>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</si>
  <si>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</si>
  <si>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</si>
  <si>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</si>
  <si>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</si>
  <si>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</si>
  <si>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</si>
  <si>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</si>
  <si>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</si>
  <si>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</si>
  <si>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</si>
  <si>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</si>
  <si>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</si>
  <si>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</si>
  <si>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</si>
  <si>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</si>
  <si>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</si>
  <si>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</si>
  <si>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</si>
  <si>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</si>
  <si>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</si>
  <si>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</si>
  <si>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</si>
  <si>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</si>
  <si>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</si>
  <si>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</si>
  <si>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</si>
  <si>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</si>
  <si>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</si>
  <si>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</si>
  <si>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</si>
  <si>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</si>
  <si>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</si>
  <si>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</si>
  <si>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</si>
  <si>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</si>
  <si>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</si>
  <si>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</si>
  <si>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</si>
  <si>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</si>
  <si>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</si>
  <si>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</si>
  <si>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</si>
  <si>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</si>
  <si>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</si>
  <si>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</si>
  <si>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</si>
  <si>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</si>
  <si>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</si>
  <si>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</si>
  <si>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</si>
  <si>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</si>
  <si>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</si>
  <si>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</si>
  <si>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</si>
  <si>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</si>
  <si>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</si>
  <si>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</si>
  <si>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</si>
  <si>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</si>
  <si>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</si>
  <si>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</si>
  <si>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</si>
  <si>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</si>
  <si>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</si>
  <si>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</si>
  <si>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</si>
  <si>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</si>
  <si>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</si>
  <si>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</si>
  <si>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</si>
  <si>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</si>
  <si>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</si>
  <si>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</si>
  <si>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</si>
  <si>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</si>
  <si>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</si>
  <si>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</si>
  <si>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</si>
  <si>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</si>
  <si>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</si>
  <si>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</si>
  <si>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</si>
  <si>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</si>
  <si>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</si>
  <si>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</si>
  <si>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</si>
  <si>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</si>
  <si>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</si>
  <si>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</si>
  <si>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</si>
  <si>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</si>
  <si>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</si>
  <si>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</si>
  <si>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</si>
  <si>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</si>
  <si>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</si>
  <si>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</si>
  <si>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</si>
  <si>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</si>
  <si>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</si>
  <si>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</si>
  <si>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</si>
  <si>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Form 1A  version 4.0.3</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</si>
  <si>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</si>
  <si>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</si>
  <si>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</si>
  <si>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</si>
  <si>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</si>
  <si>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</si>
  <si>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</si>
  <si>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</si>
  <si>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</si>
  <si>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</si>
  <si>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</si>
  <si>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</si>
  <si>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</si>
  <si>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</si>
  <si>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</si>
  <si>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</si>
  <si>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r>
      <t xml:space="preserve">PITC-TB </t>
    </r>
    <r>
      <rPr>
        <sz val="22"/>
        <color theme="4"/>
        <rFont val="Browallia New"/>
        <family val="2"/>
      </rPr>
      <t>( autopopulated from section 9.0)</t>
    </r>
  </si>
  <si>
    <r>
      <t xml:space="preserve">Screening positive for TB ( Presumptive TB clients) </t>
    </r>
    <r>
      <rPr>
        <sz val="14"/>
        <color theme="1"/>
        <rFont val="Browallia New"/>
        <family val="2"/>
      </rPr>
      <t xml:space="preserve"> Previously enrolled on ART</t>
    </r>
  </si>
  <si>
    <t>F04-032</t>
  </si>
  <si>
    <t>F04-152</t>
  </si>
  <si>
    <t>F04-092</t>
  </si>
  <si>
    <t>Reffered for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</si>
</sst>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0"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
      <sz val="22"/>
      <color theme="4"/>
      <name val="Browallia New"/>
      <family val="2"/>
    </font>
    <font>
      <sz val="14"/>
      <color theme="1"/>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8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9">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5" fillId="4" borderId="140" xfId="0" applyFont="1" applyFill="1" applyBorder="1" applyAlignment="1" applyProtection="1">
      <alignment horizontal="center" vertical="center"/>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26" fillId="5" borderId="97" xfId="0" applyFont="1" applyFill="1" applyBorder="1" applyAlignment="1" applyProtection="1">
      <alignment horizontal="center" vertical="center" wrapText="1"/>
      <protection locked="0"/>
    </xf>
    <xf numFmtId="0" fontId="26" fillId="5" borderId="153"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6"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7" xfId="0" applyFont="1" applyFill="1" applyBorder="1" applyAlignment="1" applyProtection="1">
      <alignment horizontal="center" vertical="center" wrapText="1"/>
      <protection locked="0"/>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6" borderId="161"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5" fillId="5" borderId="164" xfId="0" applyFont="1" applyFill="1" applyBorder="1" applyAlignment="1" applyProtection="1">
      <alignment horizontal="center" vertical="center"/>
      <protection locked="0"/>
    </xf>
    <xf numFmtId="0" fontId="5" fillId="5" borderId="165" xfId="0" applyFont="1" applyFill="1" applyBorder="1" applyAlignment="1" applyProtection="1">
      <alignment horizontal="center" vertical="center"/>
      <protection locked="0"/>
    </xf>
    <xf numFmtId="0" fontId="5" fillId="4" borderId="166" xfId="0" applyFont="1" applyFill="1" applyBorder="1" applyAlignment="1" applyProtection="1">
      <alignment horizontal="center" vertical="center"/>
    </xf>
    <xf numFmtId="0" fontId="5" fillId="4" borderId="167" xfId="0" applyFont="1" applyFill="1" applyBorder="1" applyAlignment="1" applyProtection="1">
      <alignment horizontal="center" vertical="center"/>
    </xf>
    <xf numFmtId="0" fontId="5" fillId="4" borderId="168" xfId="0" applyFont="1" applyFill="1" applyBorder="1" applyAlignment="1" applyProtection="1">
      <alignment horizontal="center" vertical="center"/>
    </xf>
    <xf numFmtId="0" fontId="5" fillId="4" borderId="169" xfId="0" applyFont="1" applyFill="1" applyBorder="1" applyAlignment="1" applyProtection="1">
      <alignment horizontal="center" vertical="center"/>
    </xf>
    <xf numFmtId="0" fontId="5" fillId="4" borderId="170" xfId="0" applyFont="1" applyFill="1" applyBorder="1" applyAlignment="1" applyProtection="1">
      <alignment horizontal="center" vertical="center"/>
    </xf>
    <xf numFmtId="0" fontId="5" fillId="4" borderId="171" xfId="0" applyFont="1" applyFill="1" applyBorder="1" applyAlignment="1" applyProtection="1">
      <alignment horizontal="center" vertical="center"/>
    </xf>
    <xf numFmtId="0" fontId="5" fillId="4" borderId="172" xfId="0" applyFont="1" applyFill="1" applyBorder="1" applyAlignment="1" applyProtection="1">
      <alignment horizontal="center" vertical="center"/>
    </xf>
    <xf numFmtId="0" fontId="5" fillId="4" borderId="173" xfId="0" applyFont="1" applyFill="1" applyBorder="1" applyAlignment="1" applyProtection="1">
      <alignment horizontal="center" vertical="center"/>
    </xf>
    <xf numFmtId="0" fontId="5" fillId="4" borderId="174" xfId="0" applyFont="1" applyFill="1" applyBorder="1" applyAlignment="1" applyProtection="1">
      <alignment horizontal="center" vertical="center"/>
    </xf>
    <xf numFmtId="0" fontId="5" fillId="5" borderId="166" xfId="0" applyFont="1" applyFill="1" applyBorder="1" applyAlignment="1" applyProtection="1">
      <alignment horizontal="center" vertical="center"/>
      <protection locked="0"/>
    </xf>
    <xf numFmtId="0" fontId="5" fillId="5" borderId="167" xfId="0" applyFont="1" applyFill="1" applyBorder="1" applyAlignment="1" applyProtection="1">
      <alignment horizontal="center" vertical="center"/>
      <protection locked="0"/>
    </xf>
    <xf numFmtId="0" fontId="5" fillId="5" borderId="168" xfId="0" applyFont="1" applyFill="1" applyBorder="1" applyAlignment="1" applyProtection="1">
      <alignment horizontal="center" vertical="center"/>
      <protection locked="0"/>
    </xf>
    <xf numFmtId="0" fontId="5" fillId="5" borderId="175" xfId="0" applyFont="1" applyFill="1" applyBorder="1" applyAlignment="1" applyProtection="1">
      <alignment horizontal="center" vertical="center"/>
      <protection locked="0"/>
    </xf>
    <xf numFmtId="0" fontId="5" fillId="5" borderId="176" xfId="0" applyFont="1" applyFill="1" applyBorder="1" applyAlignment="1" applyProtection="1">
      <alignment horizontal="center" vertical="center"/>
      <protection locked="0"/>
    </xf>
    <xf numFmtId="0" fontId="5" fillId="5" borderId="177" xfId="0" applyFont="1" applyFill="1" applyBorder="1" applyAlignment="1" applyProtection="1">
      <alignment horizontal="center" vertical="center"/>
      <protection locked="0"/>
    </xf>
    <xf numFmtId="0" fontId="5" fillId="5" borderId="178" xfId="0" applyFont="1" applyFill="1" applyBorder="1" applyAlignment="1" applyProtection="1">
      <alignment horizontal="center" vertical="center"/>
      <protection locked="0"/>
    </xf>
    <xf numFmtId="0" fontId="5" fillId="5" borderId="179" xfId="0" applyFont="1" applyFill="1" applyBorder="1" applyAlignment="1" applyProtection="1">
      <alignment horizontal="center" vertical="center"/>
      <protection locked="0"/>
    </xf>
    <xf numFmtId="0" fontId="30" fillId="6" borderId="47" xfId="0" applyFont="1" applyFill="1" applyBorder="1" applyAlignment="1">
      <alignment horizontal="left" vertical="top" wrapText="1"/>
    </xf>
    <xf numFmtId="0" fontId="30" fillId="0" borderId="0" xfId="0" applyFont="1" applyAlignment="1">
      <alignment horizontal="left" vertical="top" wrapText="1"/>
    </xf>
    <xf numFmtId="0" fontId="25" fillId="12" borderId="52" xfId="0" applyFont="1" applyFill="1" applyBorder="1" applyAlignment="1">
      <alignment horizontal="left" vertical="top" wrapText="1"/>
    </xf>
    <xf numFmtId="0" fontId="25" fillId="6" borderId="39" xfId="0" applyFont="1" applyFill="1" applyBorder="1" applyAlignment="1">
      <alignment horizontal="left" vertical="top" wrapText="1"/>
    </xf>
    <xf numFmtId="0" fontId="25" fillId="0" borderId="64" xfId="0" applyFont="1" applyBorder="1" applyAlignment="1">
      <alignment horizontal="left" vertical="top" wrapText="1"/>
    </xf>
    <xf numFmtId="0" fontId="25" fillId="0" borderId="65" xfId="0" applyFont="1" applyBorder="1" applyAlignment="1">
      <alignment horizontal="left" vertical="top" wrapText="1"/>
    </xf>
    <xf numFmtId="0" fontId="25" fillId="5" borderId="11" xfId="0" applyFont="1" applyFill="1" applyBorder="1" applyAlignment="1">
      <alignment horizontal="left" vertical="top" wrapText="1"/>
    </xf>
    <xf numFmtId="0" fontId="30" fillId="0" borderId="39" xfId="0" applyFont="1" applyBorder="1" applyAlignment="1">
      <alignment horizontal="left" vertical="top" wrapText="1"/>
    </xf>
    <xf numFmtId="0" fontId="25" fillId="0" borderId="11" xfId="0" applyFont="1" applyBorder="1" applyAlignment="1">
      <alignment horizontal="left" vertical="top" wrapText="1"/>
    </xf>
    <xf numFmtId="0" fontId="54" fillId="0" borderId="0" xfId="0" applyFont="1" applyAlignment="1">
      <alignment horizontal="left" vertical="top" wrapText="1"/>
    </xf>
    <xf numFmtId="0" fontId="25" fillId="0" borderId="0" xfId="0" applyFont="1" applyAlignment="1">
      <alignment horizontal="left" vertical="top" wrapText="1"/>
    </xf>
    <xf numFmtId="0" fontId="5" fillId="10" borderId="12" xfId="0" applyFont="1" applyFill="1" applyBorder="1" applyAlignment="1" applyProtection="1">
      <alignment horizontal="center" vertical="center"/>
    </xf>
    <xf numFmtId="0" fontId="45" fillId="0" borderId="15" xfId="0" applyFont="1" applyBorder="1" applyAlignment="1" applyProtection="1">
      <alignment horizontal="center" vertical="center"/>
    </xf>
    <xf numFmtId="0" fontId="5" fillId="2" borderId="23" xfId="0" applyFont="1" applyFill="1" applyBorder="1" applyAlignment="1">
      <alignment horizontal="left" vertical="top"/>
    </xf>
    <xf numFmtId="0" fontId="25" fillId="0" borderId="29" xfId="0" applyFont="1" applyBorder="1" applyAlignment="1">
      <alignment horizontal="left" vertical="center"/>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35" fillId="0" borderId="83" xfId="0" applyFont="1" applyBorder="1" applyAlignment="1">
      <alignment horizontal="left" vertical="center" wrapText="1"/>
    </xf>
    <xf numFmtId="0" fontId="41" fillId="3" borderId="83" xfId="0" applyFont="1" applyFill="1" applyBorder="1" applyAlignment="1">
      <alignment horizontal="left" vertical="center"/>
    </xf>
    <xf numFmtId="0" fontId="35" fillId="5" borderId="83" xfId="0" applyFont="1" applyFill="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Border="1" applyAlignment="1">
      <alignment horizontal="left" vertical="center" wrapText="1"/>
    </xf>
    <xf numFmtId="0" fontId="34" fillId="0" borderId="83" xfId="0" applyFont="1" applyFill="1" applyBorder="1" applyAlignment="1">
      <alignment horizontal="left" vertical="center" wrapText="1"/>
    </xf>
    <xf numFmtId="0" fontId="41" fillId="3" borderId="162" xfId="0" applyFont="1" applyFill="1" applyBorder="1" applyAlignment="1">
      <alignment horizontal="left" vertical="center"/>
    </xf>
    <xf numFmtId="0" fontId="41" fillId="3" borderId="163"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54" fillId="5" borderId="24" xfId="0" applyFont="1" applyFill="1" applyBorder="1" applyAlignment="1">
      <alignment horizontal="left" vertical="top" wrapText="1"/>
    </xf>
    <xf numFmtId="0" fontId="54" fillId="5" borderId="25" xfId="0" applyFont="1" applyFill="1" applyBorder="1" applyAlignment="1">
      <alignment horizontal="left" vertical="top" wrapText="1"/>
    </xf>
    <xf numFmtId="0" fontId="54" fillId="5" borderId="26" xfId="0" applyFont="1" applyFill="1" applyBorder="1" applyAlignment="1">
      <alignment horizontal="left"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0" borderId="26" xfId="0" applyFont="1" applyBorder="1" applyAlignment="1">
      <alignment horizontal="left" vertical="top" wrapText="1"/>
    </xf>
    <xf numFmtId="0" fontId="25" fillId="0" borderId="28" xfId="0" applyFont="1" applyBorder="1" applyAlignment="1">
      <alignment horizontal="left" vertical="top" wrapText="1"/>
    </xf>
    <xf numFmtId="0" fontId="25" fillId="0" borderId="29" xfId="0" applyFont="1" applyBorder="1" applyAlignment="1">
      <alignment horizontal="left" vertical="top" wrapText="1"/>
    </xf>
    <xf numFmtId="0" fontId="25" fillId="0" borderId="30" xfId="0" applyFont="1" applyBorder="1" applyAlignment="1">
      <alignment horizontal="left"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23" fillId="7" borderId="41" xfId="0" applyFont="1" applyFill="1" applyBorder="1" applyAlignment="1">
      <alignment horizontal="center" vertical="center" wrapText="1"/>
    </xf>
    <xf numFmtId="0" fontId="53" fillId="5" borderId="24" xfId="0" applyFont="1" applyFill="1" applyBorder="1" applyAlignment="1">
      <alignment horizontal="left" vertical="top" wrapText="1"/>
    </xf>
    <xf numFmtId="0" fontId="53" fillId="5" borderId="26" xfId="0" applyFont="1" applyFill="1" applyBorder="1" applyAlignment="1">
      <alignment horizontal="left" vertical="top" wrapText="1"/>
    </xf>
    <xf numFmtId="0" fontId="30" fillId="2" borderId="24" xfId="0" applyFont="1" applyFill="1" applyBorder="1" applyAlignment="1">
      <alignment horizontal="left" vertical="top" wrapText="1"/>
    </xf>
    <xf numFmtId="0" fontId="30" fillId="2" borderId="26" xfId="0" applyFont="1" applyFill="1" applyBorder="1" applyAlignment="1">
      <alignment horizontal="lef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30" fillId="2" borderId="42" xfId="0" applyFont="1" applyFill="1" applyBorder="1" applyAlignment="1">
      <alignment horizontal="left" vertical="top" wrapText="1"/>
    </xf>
    <xf numFmtId="0" fontId="53" fillId="5" borderId="42" xfId="0" applyFont="1" applyFill="1" applyBorder="1" applyAlignment="1">
      <alignment horizontal="lef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55"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87" xfId="0" applyFont="1" applyFill="1" applyBorder="1" applyAlignment="1">
      <alignment horizontal="center" vertical="top" wrapText="1"/>
    </xf>
    <xf numFmtId="49" fontId="7" fillId="4" borderId="12" xfId="1" applyNumberFormat="1" applyFont="1" applyFill="1" applyBorder="1" applyAlignment="1">
      <alignment horizontal="center" vertical="center"/>
    </xf>
    <xf numFmtId="0" fontId="25" fillId="12" borderId="68" xfId="0" applyFont="1" applyFill="1" applyBorder="1" applyAlignment="1">
      <alignment horizontal="left" vertical="top" wrapText="1"/>
    </xf>
    <xf numFmtId="0" fontId="25" fillId="12" borderId="62" xfId="0" applyFont="1" applyFill="1" applyBorder="1" applyAlignment="1">
      <alignment horizontal="left" vertical="top" wrapText="1"/>
    </xf>
    <xf numFmtId="0" fontId="25" fillId="12" borderId="63" xfId="0" applyFont="1" applyFill="1" applyBorder="1" applyAlignment="1">
      <alignment horizontal="left" vertical="top" wrapText="1"/>
    </xf>
    <xf numFmtId="0" fontId="25" fillId="12" borderId="61" xfId="0" applyFont="1" applyFill="1" applyBorder="1" applyAlignment="1">
      <alignment horizontal="lef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49" fontId="7" fillId="4" borderId="31" xfId="1" applyNumberFormat="1" applyFont="1" applyFill="1" applyBorder="1" applyAlignment="1">
      <alignment horizontal="center" vertical="center"/>
    </xf>
    <xf numFmtId="0" fontId="43" fillId="2" borderId="24"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0" fontId="4" fillId="8" borderId="28" xfId="0" applyFont="1" applyFill="1" applyBorder="1" applyAlignment="1">
      <alignment horizontal="center" vertical="center"/>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30" fillId="5" borderId="24" xfId="0" applyFont="1" applyFill="1" applyBorder="1" applyAlignment="1">
      <alignment horizontal="left" vertical="top" wrapText="1"/>
    </xf>
    <xf numFmtId="0" fontId="30" fillId="5" borderId="25" xfId="0" applyFont="1" applyFill="1" applyBorder="1" applyAlignment="1">
      <alignment horizontal="left" vertical="top" wrapText="1"/>
    </xf>
    <xf numFmtId="0" fontId="30" fillId="5" borderId="26" xfId="0" applyFont="1" applyFill="1" applyBorder="1" applyAlignment="1">
      <alignment horizontal="left" vertical="top" wrapText="1"/>
    </xf>
    <xf numFmtId="0" fontId="27" fillId="2" borderId="42"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65" xfId="0" applyFont="1" applyFill="1" applyBorder="1" applyAlignment="1">
      <alignment horizontal="center" vertical="top" wrapText="1"/>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42" xfId="0" applyFont="1" applyBorder="1" applyAlignment="1">
      <alignment horizontal="left" vertical="top"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30" fillId="5" borderId="41" xfId="0" applyFont="1" applyFill="1" applyBorder="1" applyAlignment="1">
      <alignment horizontal="left" vertical="top" wrapText="1"/>
    </xf>
    <xf numFmtId="0" fontId="25" fillId="5" borderId="41"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23" fillId="10" borderId="45"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horizontal="left" vertical="top" wrapText="1"/>
    </xf>
    <xf numFmtId="0" fontId="30" fillId="6" borderId="42" xfId="0" applyFont="1" applyFill="1" applyBorder="1" applyAlignment="1">
      <alignment horizontal="left" vertical="top" wrapText="1"/>
    </xf>
    <xf numFmtId="0" fontId="17" fillId="2" borderId="24" xfId="0" applyFont="1" applyFill="1" applyBorder="1" applyAlignment="1">
      <alignment horizontal="left" vertical="center" wrapText="1"/>
    </xf>
    <xf numFmtId="0" fontId="17" fillId="2" borderId="26" xfId="0" applyFont="1" applyFill="1" applyBorder="1" applyAlignment="1">
      <alignment horizontal="left" vertical="center" wrapText="1"/>
    </xf>
    <xf numFmtId="0" fontId="25" fillId="0" borderId="42" xfId="0" applyFont="1" applyBorder="1" applyAlignment="1">
      <alignment horizontal="lef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43" fillId="2" borderId="41" xfId="0" applyFont="1" applyFill="1" applyBorder="1" applyAlignment="1">
      <alignment horizontal="left" vertical="top" wrapText="1"/>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25" fillId="0" borderId="41" xfId="0" applyFont="1" applyBorder="1" applyAlignment="1">
      <alignment horizontal="left" vertical="top" wrapText="1"/>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25" fillId="0" borderId="64" xfId="0" applyFont="1" applyBorder="1" applyAlignment="1">
      <alignment horizontal="left" vertical="top" wrapText="1"/>
    </xf>
    <xf numFmtId="0" fontId="25" fillId="0" borderId="52" xfId="0" applyFont="1" applyBorder="1" applyAlignment="1">
      <alignment horizontal="left" vertical="top" wrapText="1"/>
    </xf>
    <xf numFmtId="0" fontId="25" fillId="0" borderId="65" xfId="0" applyFont="1" applyBorder="1" applyAlignment="1">
      <alignment horizontal="left" vertical="top"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5" borderId="42" xfId="0" applyFont="1" applyFill="1" applyBorder="1" applyAlignment="1">
      <alignment horizontal="left" vertical="top" wrapText="1"/>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29" fillId="0" borderId="0" xfId="0" applyFont="1" applyBorder="1" applyAlignment="1">
      <alignment horizontal="center" wrapText="1"/>
    </xf>
    <xf numFmtId="0" fontId="29" fillId="0" borderId="6" xfId="0" applyFont="1" applyBorder="1" applyAlignment="1">
      <alignment horizontal="center" wrapText="1"/>
    </xf>
    <xf numFmtId="0" fontId="64" fillId="0" borderId="88" xfId="0" applyFont="1" applyBorder="1" applyAlignment="1">
      <alignment horizontal="center" vertical="center"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30" fillId="0" borderId="26" xfId="0" applyFont="1" applyBorder="1" applyAlignment="1">
      <alignment horizontal="left"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7" fillId="2" borderId="42" xfId="0" applyFont="1" applyFill="1" applyBorder="1" applyAlignment="1">
      <alignment horizontal="left" vertical="center" wrapText="1"/>
    </xf>
    <xf numFmtId="0" fontId="25" fillId="0" borderId="45" xfId="0" applyFont="1" applyBorder="1" applyAlignment="1">
      <alignment horizontal="left" vertical="top"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25" fillId="5" borderId="42" xfId="0" applyFont="1" applyFill="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0" fontId="30" fillId="0" borderId="41" xfId="0" applyFont="1" applyBorder="1" applyAlignment="1">
      <alignment horizontal="lef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41"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15" fillId="3" borderId="9"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xf numFmtId="0" fontId="5" fillId="12" borderId="7" xfId="0" applyFont="1" applyFill="1" applyBorder="1" applyAlignment="1" applyProtection="1">
      <alignment horizontal="center" vertical="center"/>
      <protection locked="0"/>
    </xf>
    <xf numFmtId="0" fontId="35" fillId="12" borderId="23" xfId="0" applyFont="1" applyFill="1" applyBorder="1" applyAlignment="1">
      <alignment horizontal="left" vertical="center" wrapText="1"/>
    </xf>
    <xf numFmtId="0" fontId="35" fillId="4" borderId="25" xfId="0" applyFont="1" applyFill="1" applyBorder="1" applyAlignment="1">
      <alignment horizontal="center" vertical="center" wrapText="1"/>
    </xf>
  </cellXfs>
  <cellStyles count="3">
    <cellStyle name="Neutral" xfId="2" builtinId="28"/>
    <cellStyle name="Normal" xfId="0" builtinId="0"/>
    <cellStyle name="Normal 3" xfId="1" xr:uid="{931A1C79-423E-4C1D-A52E-ECC68AACDB72}"/>
  </cellStyles>
  <dxfs count="1884">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1883"/>
      <tableStyleElement type="headerRow" dxfId="18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301"/>
  <sheetViews>
    <sheetView showGridLines="0" showWhiteSpace="0" zoomScale="55" zoomScaleNormal="55" zoomScalePageLayoutView="30" workbookViewId="0">
      <pane xSplit="4" ySplit="2" topLeftCell="E99" activePane="bottomRight" state="frozen"/>
      <selection pane="topRight" activeCell="D1" sqref="D1"/>
      <selection pane="bottomLeft" activeCell="A3" sqref="A3"/>
      <selection pane="bottomRight" activeCell="C103" sqref="C103:D103"/>
    </sheetView>
  </sheetViews>
  <sheetFormatPr defaultColWidth="9" defaultRowHeight="36.75" x14ac:dyDescent="0.5"/>
  <cols>
    <col min="1" max="1" width="6.42578125" style="250" customWidth="1"/>
    <col min="2" max="2" width="66.42578125" style="17" customWidth="1" collapsed="1"/>
    <col min="3" max="3" width="79.5703125" style="463" customWidth="1" collapsed="1"/>
    <col min="4" max="4" width="20.140625" style="254" bestFit="1" customWidth="1" collapsed="1"/>
    <col min="5" max="5" width="116.140625" style="378" customWidth="1" collapsed="1"/>
    <col min="6" max="6" width="86" style="121" customWidth="1" collapsed="1"/>
    <col min="7" max="35" width="9" style="118"/>
    <col min="36" max="16384" width="9" style="118" collapsed="1"/>
  </cols>
  <sheetData>
    <row r="1" spans="1:6" s="114" customFormat="1" ht="79.5" customHeight="1" x14ac:dyDescent="0.8">
      <c r="A1" s="246"/>
      <c r="B1" s="582" t="s">
        <v>110</v>
      </c>
      <c r="C1" s="583"/>
      <c r="D1" s="583"/>
      <c r="E1" s="583"/>
      <c r="F1" s="369"/>
    </row>
    <row r="2" spans="1:6" s="116" customFormat="1" ht="38.25" x14ac:dyDescent="0.8">
      <c r="A2" s="248"/>
      <c r="B2" s="16" t="s">
        <v>37</v>
      </c>
      <c r="C2" s="442" t="s">
        <v>38</v>
      </c>
      <c r="D2" s="247" t="s">
        <v>145</v>
      </c>
      <c r="E2" s="370" t="s">
        <v>36</v>
      </c>
      <c r="F2" s="115" t="s">
        <v>134</v>
      </c>
    </row>
    <row r="3" spans="1:6" s="116" customFormat="1" ht="7.5" customHeight="1" x14ac:dyDescent="0.8">
      <c r="A3" s="248"/>
      <c r="B3" s="352"/>
      <c r="C3" s="443"/>
      <c r="D3" s="353"/>
      <c r="E3" s="371"/>
      <c r="F3" s="354"/>
    </row>
    <row r="4" spans="1:6" s="117" customFormat="1" ht="39" hidden="1" thickBot="1" x14ac:dyDescent="0.55000000000000004">
      <c r="A4" s="249"/>
      <c r="B4" s="556" t="s">
        <v>471</v>
      </c>
      <c r="C4" s="557"/>
      <c r="D4" s="557"/>
      <c r="E4" s="557"/>
      <c r="F4" s="558"/>
    </row>
    <row r="5" spans="1:6" ht="38.25" hidden="1" x14ac:dyDescent="0.7">
      <c r="B5" s="559" t="s">
        <v>875</v>
      </c>
      <c r="C5" s="444" t="s">
        <v>724</v>
      </c>
      <c r="D5" s="389" t="s">
        <v>473</v>
      </c>
      <c r="E5" s="382" t="s">
        <v>725</v>
      </c>
      <c r="F5" s="383" t="s">
        <v>1047</v>
      </c>
    </row>
    <row r="6" spans="1:6" ht="73.5" hidden="1" x14ac:dyDescent="0.7">
      <c r="B6" s="560"/>
      <c r="C6" s="445" t="s">
        <v>727</v>
      </c>
      <c r="D6" s="357" t="s">
        <v>474</v>
      </c>
      <c r="E6" s="372" t="s">
        <v>728</v>
      </c>
      <c r="F6" s="379" t="s">
        <v>729</v>
      </c>
    </row>
    <row r="7" spans="1:6" ht="74.25" hidden="1" thickBot="1" x14ac:dyDescent="0.75">
      <c r="B7" s="561"/>
      <c r="C7" s="446" t="s">
        <v>730</v>
      </c>
      <c r="D7" s="394" t="s">
        <v>475</v>
      </c>
      <c r="E7" s="380" t="s">
        <v>731</v>
      </c>
      <c r="F7" s="381" t="s">
        <v>729</v>
      </c>
    </row>
    <row r="8" spans="1:6" s="207" customFormat="1" ht="38.25" hidden="1" x14ac:dyDescent="0.5">
      <c r="B8" s="559" t="s">
        <v>876</v>
      </c>
      <c r="C8" s="447" t="s">
        <v>885</v>
      </c>
      <c r="D8" s="390" t="s">
        <v>878</v>
      </c>
      <c r="E8" s="384" t="s">
        <v>725</v>
      </c>
      <c r="F8" s="385" t="s">
        <v>1047</v>
      </c>
    </row>
    <row r="9" spans="1:6" s="207" customFormat="1" ht="73.5" hidden="1" x14ac:dyDescent="0.5">
      <c r="B9" s="560"/>
      <c r="C9" s="445" t="s">
        <v>653</v>
      </c>
      <c r="D9" s="357" t="s">
        <v>879</v>
      </c>
      <c r="E9" s="373" t="s">
        <v>728</v>
      </c>
      <c r="F9" s="386" t="s">
        <v>729</v>
      </c>
    </row>
    <row r="10" spans="1:6" s="207" customFormat="1" ht="74.25" hidden="1" thickBot="1" x14ac:dyDescent="0.55000000000000004">
      <c r="B10" s="561"/>
      <c r="C10" s="446" t="s">
        <v>472</v>
      </c>
      <c r="D10" s="394" t="s">
        <v>880</v>
      </c>
      <c r="E10" s="387" t="s">
        <v>731</v>
      </c>
      <c r="F10" s="388" t="s">
        <v>729</v>
      </c>
    </row>
    <row r="11" spans="1:6" s="207" customFormat="1" ht="38.25" hidden="1" x14ac:dyDescent="0.5">
      <c r="B11" s="566" t="s">
        <v>877</v>
      </c>
      <c r="C11" s="448" t="s">
        <v>886</v>
      </c>
      <c r="D11" s="390" t="s">
        <v>882</v>
      </c>
      <c r="E11" s="384" t="s">
        <v>725</v>
      </c>
      <c r="F11" s="385" t="s">
        <v>726</v>
      </c>
    </row>
    <row r="12" spans="1:6" s="207" customFormat="1" ht="73.5" hidden="1" x14ac:dyDescent="0.5">
      <c r="B12" s="567"/>
      <c r="C12" s="422" t="s">
        <v>653</v>
      </c>
      <c r="D12" s="357" t="s">
        <v>883</v>
      </c>
      <c r="E12" s="373" t="s">
        <v>728</v>
      </c>
      <c r="F12" s="386" t="s">
        <v>729</v>
      </c>
    </row>
    <row r="13" spans="1:6" s="207" customFormat="1" ht="74.25" hidden="1" thickBot="1" x14ac:dyDescent="0.55000000000000004">
      <c r="B13" s="568"/>
      <c r="C13" s="449" t="s">
        <v>472</v>
      </c>
      <c r="D13" s="394" t="s">
        <v>884</v>
      </c>
      <c r="E13" s="387" t="s">
        <v>731</v>
      </c>
      <c r="F13" s="388" t="s">
        <v>729</v>
      </c>
    </row>
    <row r="14" spans="1:6" ht="39" thickBot="1" x14ac:dyDescent="0.55000000000000004">
      <c r="B14" s="562" t="s">
        <v>12</v>
      </c>
      <c r="C14" s="562"/>
      <c r="D14" s="562"/>
      <c r="E14" s="562"/>
      <c r="F14" s="562"/>
    </row>
    <row r="15" spans="1:6" ht="147" x14ac:dyDescent="0.7">
      <c r="B15" s="563" t="s">
        <v>121</v>
      </c>
      <c r="C15" s="447" t="s">
        <v>642</v>
      </c>
      <c r="D15" s="390" t="s">
        <v>144</v>
      </c>
      <c r="E15" s="391" t="s">
        <v>92</v>
      </c>
      <c r="F15" s="392" t="s">
        <v>632</v>
      </c>
    </row>
    <row r="16" spans="1:6" ht="110.25" x14ac:dyDescent="0.7">
      <c r="B16" s="564"/>
      <c r="C16" s="450" t="s">
        <v>643</v>
      </c>
      <c r="D16" s="357" t="s">
        <v>146</v>
      </c>
      <c r="E16" s="374" t="s">
        <v>93</v>
      </c>
      <c r="F16" s="393" t="s">
        <v>633</v>
      </c>
    </row>
    <row r="17" spans="2:6" ht="110.25" x14ac:dyDescent="0.7">
      <c r="B17" s="564"/>
      <c r="C17" s="450" t="s">
        <v>147</v>
      </c>
      <c r="D17" s="357" t="s">
        <v>348</v>
      </c>
      <c r="E17" s="374" t="s">
        <v>625</v>
      </c>
      <c r="F17" s="393" t="s">
        <v>634</v>
      </c>
    </row>
    <row r="18" spans="2:6" ht="73.5" x14ac:dyDescent="0.7">
      <c r="B18" s="564"/>
      <c r="C18" s="445" t="s">
        <v>148</v>
      </c>
      <c r="D18" s="357" t="s">
        <v>149</v>
      </c>
      <c r="E18" s="374" t="s">
        <v>43</v>
      </c>
      <c r="F18" s="393" t="s">
        <v>635</v>
      </c>
    </row>
    <row r="19" spans="2:6" ht="73.5" x14ac:dyDescent="0.7">
      <c r="B19" s="564"/>
      <c r="C19" s="445" t="s">
        <v>161</v>
      </c>
      <c r="D19" s="357" t="s">
        <v>150</v>
      </c>
      <c r="E19" s="374" t="s">
        <v>151</v>
      </c>
      <c r="F19" s="393" t="s">
        <v>636</v>
      </c>
    </row>
    <row r="20" spans="2:6" ht="73.5" x14ac:dyDescent="0.7">
      <c r="B20" s="564"/>
      <c r="C20" s="451" t="s">
        <v>153</v>
      </c>
      <c r="D20" s="359" t="s">
        <v>152</v>
      </c>
      <c r="E20" s="374" t="s">
        <v>39</v>
      </c>
      <c r="F20" s="393" t="s">
        <v>327</v>
      </c>
    </row>
    <row r="21" spans="2:6" ht="73.5" x14ac:dyDescent="0.7">
      <c r="B21" s="564"/>
      <c r="C21" s="445" t="s">
        <v>154</v>
      </c>
      <c r="D21" s="357" t="s">
        <v>155</v>
      </c>
      <c r="E21" s="374" t="s">
        <v>40</v>
      </c>
      <c r="F21" s="393" t="s">
        <v>637</v>
      </c>
    </row>
    <row r="22" spans="2:6" ht="73.5" x14ac:dyDescent="0.7">
      <c r="B22" s="564"/>
      <c r="C22" s="445" t="s">
        <v>644</v>
      </c>
      <c r="D22" s="357" t="s">
        <v>156</v>
      </c>
      <c r="E22" s="374" t="s">
        <v>41</v>
      </c>
      <c r="F22" s="393" t="s">
        <v>638</v>
      </c>
    </row>
    <row r="23" spans="2:6" ht="74.25" thickBot="1" x14ac:dyDescent="0.75">
      <c r="B23" s="565"/>
      <c r="C23" s="446" t="s">
        <v>157</v>
      </c>
      <c r="D23" s="394" t="s">
        <v>158</v>
      </c>
      <c r="E23" s="395" t="s">
        <v>42</v>
      </c>
      <c r="F23" s="396" t="s">
        <v>159</v>
      </c>
    </row>
    <row r="24" spans="2:6" ht="110.25" x14ac:dyDescent="0.7">
      <c r="B24" s="554" t="s">
        <v>13</v>
      </c>
      <c r="C24" s="448" t="s">
        <v>161</v>
      </c>
      <c r="D24" s="390" t="s">
        <v>160</v>
      </c>
      <c r="E24" s="391" t="s">
        <v>94</v>
      </c>
      <c r="F24" s="392" t="s">
        <v>639</v>
      </c>
    </row>
    <row r="25" spans="2:6" ht="111" thickBot="1" x14ac:dyDescent="0.75">
      <c r="B25" s="555"/>
      <c r="C25" s="452" t="s">
        <v>153</v>
      </c>
      <c r="D25" s="394" t="s">
        <v>162</v>
      </c>
      <c r="E25" s="395" t="s">
        <v>102</v>
      </c>
      <c r="F25" s="396" t="s">
        <v>639</v>
      </c>
    </row>
    <row r="26" spans="2:6" ht="73.5" x14ac:dyDescent="0.7">
      <c r="B26" s="554" t="s">
        <v>14</v>
      </c>
      <c r="C26" s="448" t="s">
        <v>973</v>
      </c>
      <c r="D26" s="390" t="s">
        <v>163</v>
      </c>
      <c r="E26" s="391" t="s">
        <v>95</v>
      </c>
      <c r="F26" s="392" t="s">
        <v>639</v>
      </c>
    </row>
    <row r="27" spans="2:6" ht="74.25" thickBot="1" x14ac:dyDescent="0.75">
      <c r="B27" s="555"/>
      <c r="C27" s="452" t="s">
        <v>463</v>
      </c>
      <c r="D27" s="394" t="s">
        <v>164</v>
      </c>
      <c r="E27" s="395" t="s">
        <v>103</v>
      </c>
      <c r="F27" s="396" t="s">
        <v>639</v>
      </c>
    </row>
    <row r="28" spans="2:6" ht="73.5" x14ac:dyDescent="0.7">
      <c r="B28" s="554" t="s">
        <v>15</v>
      </c>
      <c r="C28" s="448" t="s">
        <v>973</v>
      </c>
      <c r="D28" s="390" t="s">
        <v>165</v>
      </c>
      <c r="E28" s="391" t="s">
        <v>96</v>
      </c>
      <c r="F28" s="392" t="s">
        <v>639</v>
      </c>
    </row>
    <row r="29" spans="2:6" ht="74.25" thickBot="1" x14ac:dyDescent="0.75">
      <c r="B29" s="555"/>
      <c r="C29" s="452" t="s">
        <v>463</v>
      </c>
      <c r="D29" s="394" t="s">
        <v>166</v>
      </c>
      <c r="E29" s="395" t="s">
        <v>104</v>
      </c>
      <c r="F29" s="396" t="s">
        <v>639</v>
      </c>
    </row>
    <row r="30" spans="2:6" ht="38.25" x14ac:dyDescent="0.7">
      <c r="B30" s="554" t="s">
        <v>443</v>
      </c>
      <c r="C30" s="448" t="s">
        <v>974</v>
      </c>
      <c r="D30" s="390" t="s">
        <v>167</v>
      </c>
      <c r="E30" s="391" t="s">
        <v>97</v>
      </c>
      <c r="F30" s="392" t="s">
        <v>639</v>
      </c>
    </row>
    <row r="31" spans="2:6" ht="74.25" thickBot="1" x14ac:dyDescent="0.75">
      <c r="B31" s="555"/>
      <c r="C31" s="452" t="s">
        <v>463</v>
      </c>
      <c r="D31" s="394" t="s">
        <v>168</v>
      </c>
      <c r="E31" s="395" t="s">
        <v>105</v>
      </c>
      <c r="F31" s="396" t="s">
        <v>639</v>
      </c>
    </row>
    <row r="32" spans="2:6" ht="73.5" x14ac:dyDescent="0.7">
      <c r="B32" s="554" t="s">
        <v>16</v>
      </c>
      <c r="C32" s="448" t="s">
        <v>974</v>
      </c>
      <c r="D32" s="390" t="s">
        <v>169</v>
      </c>
      <c r="E32" s="391" t="s">
        <v>98</v>
      </c>
      <c r="F32" s="392" t="s">
        <v>639</v>
      </c>
    </row>
    <row r="33" spans="1:6" ht="74.25" thickBot="1" x14ac:dyDescent="0.75">
      <c r="B33" s="555"/>
      <c r="C33" s="452" t="s">
        <v>463</v>
      </c>
      <c r="D33" s="394" t="s">
        <v>170</v>
      </c>
      <c r="E33" s="395" t="s">
        <v>106</v>
      </c>
      <c r="F33" s="396" t="s">
        <v>639</v>
      </c>
    </row>
    <row r="34" spans="1:6" ht="73.5" x14ac:dyDescent="0.7">
      <c r="B34" s="554" t="s">
        <v>17</v>
      </c>
      <c r="C34" s="448" t="s">
        <v>974</v>
      </c>
      <c r="D34" s="390" t="s">
        <v>349</v>
      </c>
      <c r="E34" s="391" t="s">
        <v>99</v>
      </c>
      <c r="F34" s="392" t="s">
        <v>639</v>
      </c>
    </row>
    <row r="35" spans="1:6" s="119" customFormat="1" ht="74.25" thickBot="1" x14ac:dyDescent="0.3">
      <c r="A35" s="251"/>
      <c r="B35" s="555"/>
      <c r="C35" s="452" t="s">
        <v>463</v>
      </c>
      <c r="D35" s="394" t="s">
        <v>171</v>
      </c>
      <c r="E35" s="397" t="s">
        <v>107</v>
      </c>
      <c r="F35" s="398" t="s">
        <v>639</v>
      </c>
    </row>
    <row r="36" spans="1:6" ht="110.25" x14ac:dyDescent="0.7">
      <c r="B36" s="554" t="s">
        <v>22</v>
      </c>
      <c r="C36" s="448" t="s">
        <v>974</v>
      </c>
      <c r="D36" s="390" t="s">
        <v>172</v>
      </c>
      <c r="E36" s="391" t="s">
        <v>100</v>
      </c>
      <c r="F36" s="392" t="s">
        <v>639</v>
      </c>
    </row>
    <row r="37" spans="1:6" ht="147.75" thickBot="1" x14ac:dyDescent="0.75">
      <c r="B37" s="555"/>
      <c r="C37" s="452" t="s">
        <v>463</v>
      </c>
      <c r="D37" s="394" t="s">
        <v>173</v>
      </c>
      <c r="E37" s="395" t="s">
        <v>108</v>
      </c>
      <c r="F37" s="396" t="s">
        <v>639</v>
      </c>
    </row>
    <row r="38" spans="1:6" ht="73.5" x14ac:dyDescent="0.7">
      <c r="B38" s="554" t="s">
        <v>18</v>
      </c>
      <c r="C38" s="448" t="s">
        <v>974</v>
      </c>
      <c r="D38" s="390" t="s">
        <v>174</v>
      </c>
      <c r="E38" s="391" t="s">
        <v>101</v>
      </c>
      <c r="F38" s="392" t="s">
        <v>639</v>
      </c>
    </row>
    <row r="39" spans="1:6" ht="111" thickBot="1" x14ac:dyDescent="0.75">
      <c r="B39" s="555"/>
      <c r="C39" s="452" t="s">
        <v>463</v>
      </c>
      <c r="D39" s="394" t="s">
        <v>175</v>
      </c>
      <c r="E39" s="395" t="s">
        <v>109</v>
      </c>
      <c r="F39" s="396" t="s">
        <v>639</v>
      </c>
    </row>
    <row r="40" spans="1:6" ht="73.5" x14ac:dyDescent="0.7">
      <c r="B40" s="554" t="s">
        <v>113</v>
      </c>
      <c r="C40" s="448" t="s">
        <v>974</v>
      </c>
      <c r="D40" s="390" t="s">
        <v>350</v>
      </c>
      <c r="E40" s="391" t="s">
        <v>136</v>
      </c>
      <c r="F40" s="392" t="s">
        <v>639</v>
      </c>
    </row>
    <row r="41" spans="1:6" ht="74.25" thickBot="1" x14ac:dyDescent="0.75">
      <c r="B41" s="555"/>
      <c r="C41" s="452" t="s">
        <v>463</v>
      </c>
      <c r="D41" s="394" t="s">
        <v>176</v>
      </c>
      <c r="E41" s="395" t="s">
        <v>626</v>
      </c>
      <c r="F41" s="396" t="s">
        <v>639</v>
      </c>
    </row>
    <row r="42" spans="1:6" ht="73.5" x14ac:dyDescent="0.7">
      <c r="B42" s="399" t="s">
        <v>132</v>
      </c>
      <c r="C42" s="268" t="s">
        <v>646</v>
      </c>
      <c r="D42" s="389" t="s">
        <v>351</v>
      </c>
      <c r="E42" s="382" t="s">
        <v>1020</v>
      </c>
      <c r="F42" s="400"/>
    </row>
    <row r="43" spans="1:6" ht="73.5" x14ac:dyDescent="0.7">
      <c r="B43" s="360"/>
      <c r="C43" s="405" t="s">
        <v>655</v>
      </c>
      <c r="D43" s="357" t="s">
        <v>352</v>
      </c>
      <c r="E43" s="372" t="s">
        <v>1021</v>
      </c>
      <c r="F43" s="355"/>
    </row>
    <row r="44" spans="1:6" ht="38.25" x14ac:dyDescent="0.5">
      <c r="B44" s="570" t="s">
        <v>112</v>
      </c>
      <c r="C44" s="570"/>
      <c r="D44" s="570"/>
      <c r="E44" s="570"/>
      <c r="F44" s="570"/>
    </row>
    <row r="45" spans="1:6" ht="110.25" x14ac:dyDescent="0.7">
      <c r="B45" s="569" t="s">
        <v>20</v>
      </c>
      <c r="C45" s="422" t="s">
        <v>975</v>
      </c>
      <c r="D45" s="357" t="s">
        <v>177</v>
      </c>
      <c r="E45" s="374" t="s">
        <v>44</v>
      </c>
      <c r="F45" s="358" t="s">
        <v>183</v>
      </c>
    </row>
    <row r="46" spans="1:6" ht="73.5" x14ac:dyDescent="0.7">
      <c r="B46" s="569"/>
      <c r="C46" s="422" t="s">
        <v>178</v>
      </c>
      <c r="D46" s="357" t="s">
        <v>179</v>
      </c>
      <c r="E46" s="374" t="s">
        <v>122</v>
      </c>
      <c r="F46" s="358"/>
    </row>
    <row r="47" spans="1:6" ht="73.5" x14ac:dyDescent="0.7">
      <c r="B47" s="569"/>
      <c r="C47" s="422" t="s">
        <v>329</v>
      </c>
      <c r="D47" s="357" t="s">
        <v>180</v>
      </c>
      <c r="E47" s="374" t="s">
        <v>45</v>
      </c>
      <c r="F47" s="358"/>
    </row>
    <row r="48" spans="1:6" ht="73.5" x14ac:dyDescent="0.7">
      <c r="B48" s="569"/>
      <c r="C48" s="453" t="s">
        <v>976</v>
      </c>
      <c r="D48" s="357" t="s">
        <v>181</v>
      </c>
      <c r="E48" s="374" t="s">
        <v>46</v>
      </c>
      <c r="F48" s="358"/>
    </row>
    <row r="49" spans="2:6" ht="111" thickBot="1" x14ac:dyDescent="0.75">
      <c r="B49" s="569"/>
      <c r="C49" s="453" t="s">
        <v>330</v>
      </c>
      <c r="D49" s="357" t="s">
        <v>182</v>
      </c>
      <c r="E49" s="374" t="s">
        <v>47</v>
      </c>
      <c r="F49" s="358"/>
    </row>
    <row r="50" spans="2:6" s="250" customFormat="1" ht="73.5" x14ac:dyDescent="0.7">
      <c r="B50" s="572" t="s">
        <v>1062</v>
      </c>
      <c r="C50" s="264" t="s">
        <v>161</v>
      </c>
      <c r="D50" s="357" t="s">
        <v>1066</v>
      </c>
      <c r="E50" s="374" t="s">
        <v>1072</v>
      </c>
      <c r="F50" s="358" t="s">
        <v>1073</v>
      </c>
    </row>
    <row r="51" spans="2:6" s="250" customFormat="1" ht="74.25" thickBot="1" x14ac:dyDescent="0.75">
      <c r="B51" s="573"/>
      <c r="C51" s="265" t="s">
        <v>153</v>
      </c>
      <c r="D51" s="357" t="s">
        <v>1067</v>
      </c>
      <c r="E51" s="374" t="s">
        <v>1074</v>
      </c>
      <c r="F51" s="358" t="s">
        <v>1073</v>
      </c>
    </row>
    <row r="52" spans="2:6" ht="38.25" x14ac:dyDescent="0.5">
      <c r="B52" s="570" t="s">
        <v>125</v>
      </c>
      <c r="C52" s="570"/>
      <c r="D52" s="570"/>
      <c r="E52" s="570"/>
      <c r="F52" s="570"/>
    </row>
    <row r="53" spans="2:6" ht="73.5" x14ac:dyDescent="0.7">
      <c r="B53" s="571" t="s">
        <v>590</v>
      </c>
      <c r="C53" s="422" t="s">
        <v>977</v>
      </c>
      <c r="D53" s="357" t="s">
        <v>187</v>
      </c>
      <c r="E53" s="374" t="s">
        <v>49</v>
      </c>
      <c r="F53" s="358" t="s">
        <v>200</v>
      </c>
    </row>
    <row r="54" spans="2:6" ht="38.25" x14ac:dyDescent="0.7">
      <c r="B54" s="571"/>
      <c r="C54" s="422" t="s">
        <v>732</v>
      </c>
      <c r="D54" s="357" t="s">
        <v>564</v>
      </c>
      <c r="E54" s="372" t="s">
        <v>733</v>
      </c>
      <c r="F54" s="355" t="s">
        <v>734</v>
      </c>
    </row>
    <row r="55" spans="2:6" ht="73.5" x14ac:dyDescent="0.7">
      <c r="B55" s="571"/>
      <c r="C55" s="422" t="s">
        <v>735</v>
      </c>
      <c r="D55" s="357" t="s">
        <v>565</v>
      </c>
      <c r="E55" s="372" t="s">
        <v>736</v>
      </c>
      <c r="F55" s="355" t="s">
        <v>734</v>
      </c>
    </row>
    <row r="56" spans="2:6" ht="183.75" x14ac:dyDescent="0.7">
      <c r="B56" s="571"/>
      <c r="C56" s="422" t="s">
        <v>978</v>
      </c>
      <c r="D56" s="357" t="s">
        <v>188</v>
      </c>
      <c r="E56" s="374" t="s">
        <v>48</v>
      </c>
      <c r="F56" s="358" t="s">
        <v>201</v>
      </c>
    </row>
    <row r="57" spans="2:6" ht="110.25" x14ac:dyDescent="0.7">
      <c r="B57" s="361" t="s">
        <v>591</v>
      </c>
      <c r="C57" s="362" t="s">
        <v>645</v>
      </c>
      <c r="D57" s="357" t="s">
        <v>189</v>
      </c>
      <c r="E57" s="374" t="s">
        <v>120</v>
      </c>
      <c r="F57" s="358" t="s">
        <v>202</v>
      </c>
    </row>
    <row r="58" spans="2:6" ht="73.5" x14ac:dyDescent="0.7">
      <c r="B58" s="571" t="s">
        <v>583</v>
      </c>
      <c r="C58" s="453" t="s">
        <v>396</v>
      </c>
      <c r="D58" s="357" t="s">
        <v>584</v>
      </c>
      <c r="E58" s="372" t="s">
        <v>737</v>
      </c>
      <c r="F58" s="355" t="s">
        <v>738</v>
      </c>
    </row>
    <row r="59" spans="2:6" ht="73.5" x14ac:dyDescent="0.7">
      <c r="B59" s="571"/>
      <c r="C59" s="453" t="s">
        <v>391</v>
      </c>
      <c r="D59" s="357" t="s">
        <v>585</v>
      </c>
      <c r="E59" s="372" t="s">
        <v>739</v>
      </c>
      <c r="F59" s="355" t="s">
        <v>738</v>
      </c>
    </row>
    <row r="60" spans="2:6" ht="73.5" x14ac:dyDescent="0.7">
      <c r="B60" s="571"/>
      <c r="C60" s="422" t="s">
        <v>392</v>
      </c>
      <c r="D60" s="357" t="s">
        <v>586</v>
      </c>
      <c r="E60" s="372" t="s">
        <v>740</v>
      </c>
      <c r="F60" s="355" t="s">
        <v>738</v>
      </c>
    </row>
    <row r="61" spans="2:6" ht="73.5" x14ac:dyDescent="0.7">
      <c r="B61" s="571"/>
      <c r="C61" s="422" t="s">
        <v>393</v>
      </c>
      <c r="D61" s="357" t="s">
        <v>587</v>
      </c>
      <c r="E61" s="372" t="s">
        <v>741</v>
      </c>
      <c r="F61" s="355" t="s">
        <v>738</v>
      </c>
    </row>
    <row r="62" spans="2:6" ht="73.5" x14ac:dyDescent="0.7">
      <c r="B62" s="571"/>
      <c r="C62" s="422" t="s">
        <v>394</v>
      </c>
      <c r="D62" s="357" t="s">
        <v>588</v>
      </c>
      <c r="E62" s="372" t="s">
        <v>742</v>
      </c>
      <c r="F62" s="355" t="s">
        <v>738</v>
      </c>
    </row>
    <row r="63" spans="2:6" ht="73.5" x14ac:dyDescent="0.7">
      <c r="B63" s="571"/>
      <c r="C63" s="422" t="s">
        <v>395</v>
      </c>
      <c r="D63" s="357" t="s">
        <v>589</v>
      </c>
      <c r="E63" s="372" t="s">
        <v>743</v>
      </c>
      <c r="F63" s="355" t="s">
        <v>738</v>
      </c>
    </row>
    <row r="64" spans="2:6" ht="73.5" x14ac:dyDescent="0.7">
      <c r="B64" s="571" t="s">
        <v>592</v>
      </c>
      <c r="C64" s="422" t="s">
        <v>562</v>
      </c>
      <c r="D64" s="357" t="s">
        <v>353</v>
      </c>
      <c r="E64" s="374" t="s">
        <v>744</v>
      </c>
      <c r="F64" s="358" t="s">
        <v>745</v>
      </c>
    </row>
    <row r="65" spans="2:6" ht="73.5" x14ac:dyDescent="0.7">
      <c r="B65" s="571"/>
      <c r="C65" s="422" t="s">
        <v>746</v>
      </c>
      <c r="D65" s="357" t="s">
        <v>568</v>
      </c>
      <c r="E65" s="372" t="s">
        <v>747</v>
      </c>
      <c r="F65" s="355" t="s">
        <v>748</v>
      </c>
    </row>
    <row r="66" spans="2:6" ht="73.5" x14ac:dyDescent="0.7">
      <c r="B66" s="571"/>
      <c r="C66" s="422" t="s">
        <v>749</v>
      </c>
      <c r="D66" s="357" t="s">
        <v>569</v>
      </c>
      <c r="E66" s="372" t="s">
        <v>750</v>
      </c>
      <c r="F66" s="355" t="s">
        <v>751</v>
      </c>
    </row>
    <row r="67" spans="2:6" ht="73.5" x14ac:dyDescent="0.7">
      <c r="B67" s="571"/>
      <c r="C67" s="422" t="s">
        <v>979</v>
      </c>
      <c r="D67" s="357" t="s">
        <v>190</v>
      </c>
      <c r="E67" s="374" t="s">
        <v>50</v>
      </c>
      <c r="F67" s="358" t="s">
        <v>203</v>
      </c>
    </row>
    <row r="68" spans="2:6" ht="110.25" x14ac:dyDescent="0.7">
      <c r="B68" s="571"/>
      <c r="C68" s="362" t="s">
        <v>570</v>
      </c>
      <c r="D68" s="357" t="s">
        <v>571</v>
      </c>
      <c r="E68" s="372" t="s">
        <v>752</v>
      </c>
      <c r="F68" s="355" t="s">
        <v>753</v>
      </c>
    </row>
    <row r="69" spans="2:6" ht="110.25" x14ac:dyDescent="0.7">
      <c r="B69" s="571" t="s">
        <v>582</v>
      </c>
      <c r="C69" s="422" t="s">
        <v>396</v>
      </c>
      <c r="D69" s="357" t="s">
        <v>593</v>
      </c>
      <c r="E69" s="372" t="s">
        <v>754</v>
      </c>
      <c r="F69" s="355"/>
    </row>
    <row r="70" spans="2:6" ht="110.25" x14ac:dyDescent="0.7">
      <c r="B70" s="571"/>
      <c r="C70" s="422" t="s">
        <v>391</v>
      </c>
      <c r="D70" s="357" t="s">
        <v>594</v>
      </c>
      <c r="E70" s="372" t="s">
        <v>755</v>
      </c>
      <c r="F70" s="355"/>
    </row>
    <row r="71" spans="2:6" ht="110.25" x14ac:dyDescent="0.7">
      <c r="B71" s="571"/>
      <c r="C71" s="422" t="s">
        <v>392</v>
      </c>
      <c r="D71" s="357" t="s">
        <v>595</v>
      </c>
      <c r="E71" s="372" t="s">
        <v>756</v>
      </c>
      <c r="F71" s="355"/>
    </row>
    <row r="72" spans="2:6" ht="110.25" x14ac:dyDescent="0.7">
      <c r="B72" s="571"/>
      <c r="C72" s="422" t="s">
        <v>393</v>
      </c>
      <c r="D72" s="357" t="s">
        <v>596</v>
      </c>
      <c r="E72" s="372" t="s">
        <v>757</v>
      </c>
      <c r="F72" s="355"/>
    </row>
    <row r="73" spans="2:6" ht="110.25" x14ac:dyDescent="0.7">
      <c r="B73" s="571"/>
      <c r="C73" s="422" t="s">
        <v>394</v>
      </c>
      <c r="D73" s="357" t="s">
        <v>597</v>
      </c>
      <c r="E73" s="372" t="s">
        <v>758</v>
      </c>
      <c r="F73" s="355"/>
    </row>
    <row r="74" spans="2:6" ht="110.25" x14ac:dyDescent="0.7">
      <c r="B74" s="571"/>
      <c r="C74" s="422" t="s">
        <v>395</v>
      </c>
      <c r="D74" s="357" t="s">
        <v>598</v>
      </c>
      <c r="E74" s="372" t="s">
        <v>759</v>
      </c>
      <c r="F74" s="355"/>
    </row>
    <row r="75" spans="2:6" ht="73.5" x14ac:dyDescent="0.7">
      <c r="B75" s="569" t="s">
        <v>28</v>
      </c>
      <c r="C75" s="422" t="s">
        <v>191</v>
      </c>
      <c r="D75" s="357" t="s">
        <v>192</v>
      </c>
      <c r="E75" s="374" t="s">
        <v>51</v>
      </c>
      <c r="F75" s="358" t="s">
        <v>203</v>
      </c>
    </row>
    <row r="76" spans="2:6" ht="73.5" x14ac:dyDescent="0.7">
      <c r="B76" s="569"/>
      <c r="C76" s="422" t="s">
        <v>331</v>
      </c>
      <c r="D76" s="357" t="s">
        <v>193</v>
      </c>
      <c r="E76" s="374" t="s">
        <v>52</v>
      </c>
      <c r="F76" s="358" t="s">
        <v>203</v>
      </c>
    </row>
    <row r="77" spans="2:6" ht="110.25" x14ac:dyDescent="0.7">
      <c r="B77" s="569"/>
      <c r="C77" s="422" t="s">
        <v>332</v>
      </c>
      <c r="D77" s="357" t="s">
        <v>354</v>
      </c>
      <c r="E77" s="374" t="s">
        <v>53</v>
      </c>
      <c r="F77" s="358" t="s">
        <v>207</v>
      </c>
    </row>
    <row r="78" spans="2:6" ht="73.5" x14ac:dyDescent="0.7">
      <c r="B78" s="569" t="s">
        <v>21</v>
      </c>
      <c r="C78" s="422" t="s">
        <v>980</v>
      </c>
      <c r="D78" s="357" t="s">
        <v>355</v>
      </c>
      <c r="E78" s="374" t="s">
        <v>54</v>
      </c>
      <c r="F78" s="358" t="s">
        <v>204</v>
      </c>
    </row>
    <row r="79" spans="2:6" ht="73.5" x14ac:dyDescent="0.7">
      <c r="B79" s="569"/>
      <c r="C79" s="422" t="s">
        <v>981</v>
      </c>
      <c r="D79" s="357" t="s">
        <v>356</v>
      </c>
      <c r="E79" s="374" t="s">
        <v>86</v>
      </c>
      <c r="F79" s="358" t="s">
        <v>205</v>
      </c>
    </row>
    <row r="80" spans="2:6" ht="73.5" x14ac:dyDescent="0.7">
      <c r="B80" s="569"/>
      <c r="C80" s="422" t="s">
        <v>194</v>
      </c>
      <c r="D80" s="357" t="s">
        <v>195</v>
      </c>
      <c r="E80" s="374" t="s">
        <v>87</v>
      </c>
      <c r="F80" s="358" t="s">
        <v>206</v>
      </c>
    </row>
    <row r="81" spans="2:14" ht="73.5" x14ac:dyDescent="0.7">
      <c r="B81" s="569"/>
      <c r="C81" s="422" t="s">
        <v>982</v>
      </c>
      <c r="D81" s="357" t="s">
        <v>196</v>
      </c>
      <c r="E81" s="374" t="s">
        <v>88</v>
      </c>
      <c r="F81" s="358" t="s">
        <v>206</v>
      </c>
    </row>
    <row r="82" spans="2:14" ht="73.5" x14ac:dyDescent="0.7">
      <c r="B82" s="569"/>
      <c r="C82" s="422" t="s">
        <v>983</v>
      </c>
      <c r="D82" s="357" t="s">
        <v>197</v>
      </c>
      <c r="E82" s="374" t="s">
        <v>89</v>
      </c>
      <c r="F82" s="358" t="s">
        <v>640</v>
      </c>
    </row>
    <row r="83" spans="2:14" ht="73.5" x14ac:dyDescent="0.7">
      <c r="B83" s="569"/>
      <c r="C83" s="422" t="s">
        <v>333</v>
      </c>
      <c r="D83" s="357" t="s">
        <v>198</v>
      </c>
      <c r="E83" s="374" t="s">
        <v>90</v>
      </c>
      <c r="F83" s="358" t="s">
        <v>208</v>
      </c>
    </row>
    <row r="84" spans="2:14" ht="38.25" x14ac:dyDescent="0.7">
      <c r="B84" s="569"/>
      <c r="C84" s="422" t="s">
        <v>984</v>
      </c>
      <c r="D84" s="357" t="s">
        <v>199</v>
      </c>
      <c r="E84" s="374" t="s">
        <v>91</v>
      </c>
      <c r="F84" s="358" t="s">
        <v>641</v>
      </c>
    </row>
    <row r="85" spans="2:14" ht="147" x14ac:dyDescent="0.7">
      <c r="B85" s="569" t="s">
        <v>114</v>
      </c>
      <c r="C85" s="423" t="s">
        <v>985</v>
      </c>
      <c r="D85" s="357" t="s">
        <v>357</v>
      </c>
      <c r="E85" s="374" t="s">
        <v>138</v>
      </c>
      <c r="F85" s="358" t="s">
        <v>209</v>
      </c>
    </row>
    <row r="86" spans="2:14" ht="147" x14ac:dyDescent="0.7">
      <c r="B86" s="569"/>
      <c r="C86" s="423" t="s">
        <v>334</v>
      </c>
      <c r="D86" s="357" t="s">
        <v>358</v>
      </c>
      <c r="E86" s="374" t="s">
        <v>137</v>
      </c>
      <c r="F86" s="358" t="s">
        <v>210</v>
      </c>
    </row>
    <row r="87" spans="2:14" ht="38.25" x14ac:dyDescent="0.5">
      <c r="B87" s="570" t="s">
        <v>126</v>
      </c>
      <c r="C87" s="570"/>
      <c r="D87" s="570"/>
      <c r="E87" s="570"/>
      <c r="F87" s="570"/>
    </row>
    <row r="88" spans="2:14" ht="110.25" x14ac:dyDescent="0.7">
      <c r="B88" s="569" t="s">
        <v>1033</v>
      </c>
      <c r="C88" s="422" t="s">
        <v>986</v>
      </c>
      <c r="D88" s="357" t="s">
        <v>213</v>
      </c>
      <c r="E88" s="374" t="s">
        <v>81</v>
      </c>
      <c r="F88" s="358" t="s">
        <v>211</v>
      </c>
    </row>
    <row r="89" spans="2:14" ht="73.5" x14ac:dyDescent="0.7">
      <c r="B89" s="569"/>
      <c r="C89" s="422" t="s">
        <v>987</v>
      </c>
      <c r="D89" s="357" t="s">
        <v>214</v>
      </c>
      <c r="E89" s="374" t="s">
        <v>1035</v>
      </c>
      <c r="F89" s="358" t="s">
        <v>211</v>
      </c>
      <c r="G89" s="552"/>
      <c r="H89" s="553"/>
      <c r="I89" s="553"/>
      <c r="J89" s="553"/>
      <c r="K89" s="553"/>
      <c r="L89" s="553"/>
      <c r="M89" s="553"/>
      <c r="N89" s="553"/>
    </row>
    <row r="90" spans="2:14" ht="73.5" x14ac:dyDescent="0.7">
      <c r="B90" s="569" t="s">
        <v>1034</v>
      </c>
      <c r="C90" s="422" t="s">
        <v>988</v>
      </c>
      <c r="D90" s="357" t="s">
        <v>215</v>
      </c>
      <c r="E90" s="374" t="s">
        <v>1037</v>
      </c>
      <c r="F90" s="358" t="s">
        <v>211</v>
      </c>
    </row>
    <row r="91" spans="2:14" ht="73.5" x14ac:dyDescent="0.7">
      <c r="B91" s="569"/>
      <c r="C91" s="422" t="s">
        <v>987</v>
      </c>
      <c r="D91" s="357" t="s">
        <v>216</v>
      </c>
      <c r="E91" s="374" t="s">
        <v>1038</v>
      </c>
      <c r="F91" s="358" t="s">
        <v>211</v>
      </c>
    </row>
    <row r="92" spans="2:14" ht="73.5" x14ac:dyDescent="0.7">
      <c r="B92" s="569" t="s">
        <v>29</v>
      </c>
      <c r="C92" s="423" t="s">
        <v>335</v>
      </c>
      <c r="D92" s="357" t="s">
        <v>217</v>
      </c>
      <c r="E92" s="374" t="s">
        <v>82</v>
      </c>
      <c r="F92" s="358" t="s">
        <v>211</v>
      </c>
    </row>
    <row r="93" spans="2:14" ht="110.25" x14ac:dyDescent="0.7">
      <c r="B93" s="569"/>
      <c r="C93" s="423" t="s">
        <v>336</v>
      </c>
      <c r="D93" s="357" t="s">
        <v>218</v>
      </c>
      <c r="E93" s="374" t="s">
        <v>212</v>
      </c>
      <c r="F93" s="358" t="s">
        <v>211</v>
      </c>
    </row>
    <row r="94" spans="2:14" ht="110.25" x14ac:dyDescent="0.7">
      <c r="B94" s="569" t="s">
        <v>30</v>
      </c>
      <c r="C94" s="423" t="s">
        <v>335</v>
      </c>
      <c r="D94" s="357" t="s">
        <v>219</v>
      </c>
      <c r="E94" s="374" t="s">
        <v>83</v>
      </c>
      <c r="F94" s="358" t="s">
        <v>211</v>
      </c>
    </row>
    <row r="95" spans="2:14" ht="110.25" x14ac:dyDescent="0.7">
      <c r="B95" s="569"/>
      <c r="C95" s="454" t="s">
        <v>1009</v>
      </c>
      <c r="D95" s="357" t="s">
        <v>220</v>
      </c>
      <c r="E95" s="374" t="s">
        <v>212</v>
      </c>
      <c r="F95" s="358" t="s">
        <v>211</v>
      </c>
    </row>
    <row r="96" spans="2:14" ht="73.5" x14ac:dyDescent="0.7">
      <c r="B96" s="569" t="s">
        <v>31</v>
      </c>
      <c r="C96" s="454" t="s">
        <v>335</v>
      </c>
      <c r="D96" s="357" t="s">
        <v>221</v>
      </c>
      <c r="E96" s="374" t="s">
        <v>84</v>
      </c>
      <c r="F96" s="358" t="s">
        <v>211</v>
      </c>
    </row>
    <row r="97" spans="2:6" ht="110.25" x14ac:dyDescent="0.7">
      <c r="B97" s="569"/>
      <c r="C97" s="423" t="s">
        <v>1010</v>
      </c>
      <c r="D97" s="357" t="s">
        <v>222</v>
      </c>
      <c r="E97" s="374" t="s">
        <v>212</v>
      </c>
      <c r="F97" s="358" t="s">
        <v>211</v>
      </c>
    </row>
    <row r="98" spans="2:6" ht="73.5" x14ac:dyDescent="0.7">
      <c r="B98" s="569" t="s">
        <v>32</v>
      </c>
      <c r="C98" s="423" t="s">
        <v>335</v>
      </c>
      <c r="D98" s="357" t="s">
        <v>223</v>
      </c>
      <c r="E98" s="374" t="s">
        <v>85</v>
      </c>
      <c r="F98" s="358" t="s">
        <v>211</v>
      </c>
    </row>
    <row r="99" spans="2:6" ht="110.25" x14ac:dyDescent="0.7">
      <c r="B99" s="569"/>
      <c r="C99" s="423" t="s">
        <v>337</v>
      </c>
      <c r="D99" s="357" t="s">
        <v>224</v>
      </c>
      <c r="E99" s="374" t="s">
        <v>212</v>
      </c>
      <c r="F99" s="358" t="s">
        <v>211</v>
      </c>
    </row>
    <row r="100" spans="2:6" ht="38.25" x14ac:dyDescent="0.5">
      <c r="B100" s="570" t="s">
        <v>127</v>
      </c>
      <c r="C100" s="570"/>
      <c r="D100" s="570"/>
      <c r="E100" s="570"/>
      <c r="F100" s="570"/>
    </row>
    <row r="101" spans="2:6" ht="110.25" x14ac:dyDescent="0.7">
      <c r="B101" s="569" t="s">
        <v>33</v>
      </c>
      <c r="C101" s="422" t="s">
        <v>989</v>
      </c>
      <c r="D101" s="357" t="s">
        <v>359</v>
      </c>
      <c r="E101" s="374" t="s">
        <v>55</v>
      </c>
      <c r="F101" s="358" t="s">
        <v>227</v>
      </c>
    </row>
    <row r="102" spans="2:6" ht="110.25" x14ac:dyDescent="0.7">
      <c r="B102" s="569"/>
      <c r="C102" s="422" t="s">
        <v>226</v>
      </c>
      <c r="D102" s="357" t="s">
        <v>225</v>
      </c>
      <c r="E102" s="374" t="s">
        <v>57</v>
      </c>
      <c r="F102" s="358" t="s">
        <v>228</v>
      </c>
    </row>
    <row r="103" spans="2:6" s="250" customFormat="1" ht="57" customHeight="1" x14ac:dyDescent="0.7">
      <c r="B103" s="569"/>
      <c r="C103" s="807" t="s">
        <v>1085</v>
      </c>
      <c r="D103" s="808" t="s">
        <v>1082</v>
      </c>
      <c r="E103" s="374"/>
      <c r="F103" s="358"/>
    </row>
    <row r="104" spans="2:6" ht="110.25" x14ac:dyDescent="0.7">
      <c r="B104" s="569"/>
      <c r="C104" s="422" t="s">
        <v>990</v>
      </c>
      <c r="D104" s="357" t="s">
        <v>360</v>
      </c>
      <c r="E104" s="374" t="s">
        <v>56</v>
      </c>
      <c r="F104" s="358" t="s">
        <v>229</v>
      </c>
    </row>
    <row r="105" spans="2:6" ht="73.5" x14ac:dyDescent="0.7">
      <c r="B105" s="569"/>
      <c r="C105" s="422" t="s">
        <v>991</v>
      </c>
      <c r="D105" s="357" t="s">
        <v>230</v>
      </c>
      <c r="E105" s="374" t="s">
        <v>58</v>
      </c>
      <c r="F105" s="358" t="s">
        <v>233</v>
      </c>
    </row>
    <row r="106" spans="2:6" ht="110.25" x14ac:dyDescent="0.7">
      <c r="B106" s="569"/>
      <c r="C106" s="422" t="s">
        <v>992</v>
      </c>
      <c r="D106" s="357" t="s">
        <v>231</v>
      </c>
      <c r="E106" s="374" t="s">
        <v>59</v>
      </c>
      <c r="F106" s="358" t="s">
        <v>234</v>
      </c>
    </row>
    <row r="107" spans="2:6" ht="147" x14ac:dyDescent="0.7">
      <c r="B107" s="569"/>
      <c r="C107" s="422" t="s">
        <v>993</v>
      </c>
      <c r="D107" s="357" t="s">
        <v>232</v>
      </c>
      <c r="E107" s="374" t="s">
        <v>60</v>
      </c>
      <c r="F107" s="358" t="s">
        <v>234</v>
      </c>
    </row>
    <row r="108" spans="2:6" ht="110.25" x14ac:dyDescent="0.7">
      <c r="B108" s="569" t="s">
        <v>469</v>
      </c>
      <c r="C108" s="422" t="s">
        <v>238</v>
      </c>
      <c r="D108" s="357" t="s">
        <v>361</v>
      </c>
      <c r="E108" s="374" t="s">
        <v>55</v>
      </c>
      <c r="F108" s="358" t="s">
        <v>235</v>
      </c>
    </row>
    <row r="109" spans="2:6" ht="110.25" x14ac:dyDescent="0.7">
      <c r="B109" s="569"/>
      <c r="C109" s="422" t="s">
        <v>994</v>
      </c>
      <c r="D109" s="357" t="s">
        <v>362</v>
      </c>
      <c r="E109" s="374" t="s">
        <v>57</v>
      </c>
      <c r="F109" s="358" t="s">
        <v>236</v>
      </c>
    </row>
    <row r="110" spans="2:6" ht="110.25" x14ac:dyDescent="0.7">
      <c r="B110" s="569"/>
      <c r="C110" s="422" t="s">
        <v>239</v>
      </c>
      <c r="D110" s="357" t="s">
        <v>240</v>
      </c>
      <c r="E110" s="374" t="s">
        <v>56</v>
      </c>
      <c r="F110" s="358" t="s">
        <v>237</v>
      </c>
    </row>
    <row r="111" spans="2:6" s="250" customFormat="1" x14ac:dyDescent="0.7">
      <c r="B111" s="569"/>
      <c r="C111" s="807" t="s">
        <v>1085</v>
      </c>
      <c r="D111" s="808" t="s">
        <v>1082</v>
      </c>
      <c r="E111" s="374"/>
      <c r="F111" s="358"/>
    </row>
    <row r="112" spans="2:6" ht="73.5" x14ac:dyDescent="0.7">
      <c r="B112" s="569"/>
      <c r="C112" s="453" t="s">
        <v>338</v>
      </c>
      <c r="D112" s="357" t="s">
        <v>241</v>
      </c>
      <c r="E112" s="374" t="s">
        <v>58</v>
      </c>
      <c r="F112" s="358" t="s">
        <v>244</v>
      </c>
    </row>
    <row r="113" spans="1:6" ht="110.25" x14ac:dyDescent="0.7">
      <c r="B113" s="569"/>
      <c r="C113" s="453" t="s">
        <v>992</v>
      </c>
      <c r="D113" s="357" t="s">
        <v>363</v>
      </c>
      <c r="E113" s="374" t="s">
        <v>59</v>
      </c>
      <c r="F113" s="358" t="s">
        <v>245</v>
      </c>
    </row>
    <row r="114" spans="1:6" ht="147" x14ac:dyDescent="0.7">
      <c r="B114" s="569"/>
      <c r="C114" s="422" t="s">
        <v>242</v>
      </c>
      <c r="D114" s="357" t="s">
        <v>243</v>
      </c>
      <c r="E114" s="374" t="s">
        <v>60</v>
      </c>
      <c r="F114" s="358" t="s">
        <v>245</v>
      </c>
    </row>
    <row r="115" spans="1:6" ht="110.25" x14ac:dyDescent="0.7">
      <c r="B115" s="569" t="s">
        <v>25</v>
      </c>
      <c r="C115" s="422" t="s">
        <v>995</v>
      </c>
      <c r="D115" s="357" t="s">
        <v>364</v>
      </c>
      <c r="E115" s="374" t="s">
        <v>55</v>
      </c>
      <c r="F115" s="358" t="s">
        <v>246</v>
      </c>
    </row>
    <row r="116" spans="1:6" ht="110.25" x14ac:dyDescent="0.7">
      <c r="B116" s="569"/>
      <c r="C116" s="453" t="s">
        <v>226</v>
      </c>
      <c r="D116" s="357" t="s">
        <v>365</v>
      </c>
      <c r="E116" s="374" t="s">
        <v>57</v>
      </c>
      <c r="F116" s="358" t="s">
        <v>247</v>
      </c>
    </row>
    <row r="117" spans="1:6" ht="110.25" x14ac:dyDescent="0.7">
      <c r="B117" s="569"/>
      <c r="C117" s="422" t="s">
        <v>239</v>
      </c>
      <c r="D117" s="357" t="s">
        <v>366</v>
      </c>
      <c r="E117" s="374" t="s">
        <v>56</v>
      </c>
      <c r="F117" s="358" t="s">
        <v>248</v>
      </c>
    </row>
    <row r="118" spans="1:6" s="250" customFormat="1" x14ac:dyDescent="0.7">
      <c r="B118" s="569"/>
      <c r="C118" s="807" t="s">
        <v>1085</v>
      </c>
      <c r="D118" s="808" t="s">
        <v>1082</v>
      </c>
      <c r="E118" s="374"/>
      <c r="F118" s="358"/>
    </row>
    <row r="119" spans="1:6" ht="73.5" x14ac:dyDescent="0.7">
      <c r="B119" s="569"/>
      <c r="C119" s="422" t="s">
        <v>991</v>
      </c>
      <c r="D119" s="357" t="s">
        <v>251</v>
      </c>
      <c r="E119" s="374" t="s">
        <v>58</v>
      </c>
      <c r="F119" s="358" t="s">
        <v>250</v>
      </c>
    </row>
    <row r="120" spans="1:6" ht="110.25" x14ac:dyDescent="0.7">
      <c r="B120" s="569"/>
      <c r="C120" s="422" t="s">
        <v>992</v>
      </c>
      <c r="D120" s="357" t="s">
        <v>367</v>
      </c>
      <c r="E120" s="374" t="s">
        <v>59</v>
      </c>
      <c r="F120" s="358" t="s">
        <v>249</v>
      </c>
    </row>
    <row r="121" spans="1:6" ht="147" x14ac:dyDescent="0.7">
      <c r="B121" s="569"/>
      <c r="C121" s="422" t="s">
        <v>242</v>
      </c>
      <c r="D121" s="357" t="s">
        <v>368</v>
      </c>
      <c r="E121" s="374" t="s">
        <v>60</v>
      </c>
      <c r="F121" s="358" t="s">
        <v>249</v>
      </c>
    </row>
    <row r="122" spans="1:6" ht="38.25" x14ac:dyDescent="0.5">
      <c r="B122" s="570" t="s">
        <v>128</v>
      </c>
      <c r="C122" s="570"/>
      <c r="D122" s="570"/>
      <c r="E122" s="570"/>
      <c r="F122" s="570"/>
    </row>
    <row r="123" spans="1:6" ht="38.25" hidden="1" x14ac:dyDescent="0.7">
      <c r="B123" s="584" t="s">
        <v>897</v>
      </c>
      <c r="C123" s="422" t="s">
        <v>686</v>
      </c>
      <c r="D123" s="511" t="s">
        <v>523</v>
      </c>
      <c r="E123" s="374" t="s">
        <v>725</v>
      </c>
      <c r="F123" s="364" t="s">
        <v>760</v>
      </c>
    </row>
    <row r="124" spans="1:6" ht="73.5" hidden="1" x14ac:dyDescent="0.7">
      <c r="B124" s="584"/>
      <c r="C124" s="422" t="s">
        <v>936</v>
      </c>
      <c r="D124" s="511" t="s">
        <v>524</v>
      </c>
      <c r="E124" s="374" t="s">
        <v>761</v>
      </c>
      <c r="F124" s="363" t="s">
        <v>762</v>
      </c>
    </row>
    <row r="125" spans="1:6" ht="38.25" hidden="1" x14ac:dyDescent="0.7">
      <c r="B125" s="584"/>
      <c r="C125" s="360" t="s">
        <v>940</v>
      </c>
      <c r="D125" s="511" t="s">
        <v>901</v>
      </c>
      <c r="E125" s="374" t="s">
        <v>952</v>
      </c>
      <c r="F125" s="363" t="s">
        <v>953</v>
      </c>
    </row>
    <row r="126" spans="1:6" ht="73.5" hidden="1" x14ac:dyDescent="0.7">
      <c r="B126" s="584"/>
      <c r="C126" s="422" t="s">
        <v>892</v>
      </c>
      <c r="D126" s="511" t="s">
        <v>902</v>
      </c>
      <c r="E126" s="374" t="s">
        <v>954</v>
      </c>
      <c r="F126" s="363" t="s">
        <v>953</v>
      </c>
    </row>
    <row r="127" spans="1:6" s="120" customFormat="1" ht="73.5" hidden="1" x14ac:dyDescent="0.7">
      <c r="A127" s="252"/>
      <c r="B127" s="584"/>
      <c r="C127" s="422" t="s">
        <v>893</v>
      </c>
      <c r="D127" s="511" t="s">
        <v>903</v>
      </c>
      <c r="E127" s="374" t="s">
        <v>955</v>
      </c>
      <c r="F127" s="363" t="s">
        <v>956</v>
      </c>
    </row>
    <row r="128" spans="1:6" ht="73.5" hidden="1" x14ac:dyDescent="0.7">
      <c r="B128" s="584"/>
      <c r="C128" s="422" t="s">
        <v>894</v>
      </c>
      <c r="D128" s="511" t="s">
        <v>904</v>
      </c>
      <c r="E128" s="374" t="s">
        <v>957</v>
      </c>
      <c r="F128" s="363" t="s">
        <v>953</v>
      </c>
    </row>
    <row r="129" spans="2:6" ht="73.5" hidden="1" x14ac:dyDescent="0.7">
      <c r="B129" s="584"/>
      <c r="C129" s="422" t="s">
        <v>895</v>
      </c>
      <c r="D129" s="511" t="s">
        <v>905</v>
      </c>
      <c r="E129" s="374" t="s">
        <v>958</v>
      </c>
      <c r="F129" s="363" t="s">
        <v>956</v>
      </c>
    </row>
    <row r="130" spans="2:6" ht="73.5" hidden="1" x14ac:dyDescent="0.7">
      <c r="B130" s="584"/>
      <c r="C130" s="422" t="s">
        <v>896</v>
      </c>
      <c r="D130" s="511" t="s">
        <v>906</v>
      </c>
      <c r="E130" s="374" t="s">
        <v>959</v>
      </c>
      <c r="F130" s="363" t="s">
        <v>953</v>
      </c>
    </row>
    <row r="131" spans="2:6" ht="73.5" hidden="1" x14ac:dyDescent="0.7">
      <c r="B131" s="584"/>
      <c r="C131" s="422" t="s">
        <v>931</v>
      </c>
      <c r="D131" s="511" t="s">
        <v>907</v>
      </c>
      <c r="E131" s="374" t="s">
        <v>963</v>
      </c>
      <c r="F131" s="363" t="s">
        <v>953</v>
      </c>
    </row>
    <row r="132" spans="2:6" ht="38.25" hidden="1" x14ac:dyDescent="0.7">
      <c r="B132" s="584" t="s">
        <v>898</v>
      </c>
      <c r="C132" s="422" t="s">
        <v>943</v>
      </c>
      <c r="D132" s="511" t="s">
        <v>908</v>
      </c>
      <c r="E132" s="374" t="s">
        <v>960</v>
      </c>
      <c r="F132" s="363" t="s">
        <v>961</v>
      </c>
    </row>
    <row r="133" spans="2:6" ht="73.5" hidden="1" x14ac:dyDescent="0.7">
      <c r="B133" s="584"/>
      <c r="C133" s="422" t="s">
        <v>937</v>
      </c>
      <c r="D133" s="511" t="s">
        <v>909</v>
      </c>
      <c r="E133" s="374" t="s">
        <v>962</v>
      </c>
      <c r="F133" s="363" t="s">
        <v>762</v>
      </c>
    </row>
    <row r="134" spans="2:6" ht="38.25" hidden="1" x14ac:dyDescent="0.7">
      <c r="B134" s="584"/>
      <c r="C134" s="360" t="s">
        <v>946</v>
      </c>
      <c r="D134" s="511" t="s">
        <v>910</v>
      </c>
      <c r="E134" s="374" t="s">
        <v>952</v>
      </c>
      <c r="F134" s="363" t="s">
        <v>953</v>
      </c>
    </row>
    <row r="135" spans="2:6" ht="73.5" hidden="1" x14ac:dyDescent="0.7">
      <c r="B135" s="584"/>
      <c r="C135" s="422" t="s">
        <v>892</v>
      </c>
      <c r="D135" s="511" t="s">
        <v>911</v>
      </c>
      <c r="E135" s="374" t="s">
        <v>954</v>
      </c>
      <c r="F135" s="363" t="s">
        <v>953</v>
      </c>
    </row>
    <row r="136" spans="2:6" ht="73.5" hidden="1" x14ac:dyDescent="0.7">
      <c r="B136" s="584"/>
      <c r="C136" s="422" t="s">
        <v>893</v>
      </c>
      <c r="D136" s="511" t="s">
        <v>912</v>
      </c>
      <c r="E136" s="374" t="s">
        <v>955</v>
      </c>
      <c r="F136" s="363" t="s">
        <v>956</v>
      </c>
    </row>
    <row r="137" spans="2:6" ht="73.5" hidden="1" x14ac:dyDescent="0.7">
      <c r="B137" s="584"/>
      <c r="C137" s="422" t="s">
        <v>894</v>
      </c>
      <c r="D137" s="511" t="s">
        <v>913</v>
      </c>
      <c r="E137" s="374" t="s">
        <v>957</v>
      </c>
      <c r="F137" s="363" t="s">
        <v>953</v>
      </c>
    </row>
    <row r="138" spans="2:6" ht="73.5" hidden="1" x14ac:dyDescent="0.7">
      <c r="B138" s="584"/>
      <c r="C138" s="422" t="s">
        <v>895</v>
      </c>
      <c r="D138" s="511" t="s">
        <v>914</v>
      </c>
      <c r="E138" s="374" t="s">
        <v>958</v>
      </c>
      <c r="F138" s="363" t="s">
        <v>956</v>
      </c>
    </row>
    <row r="139" spans="2:6" ht="73.5" hidden="1" x14ac:dyDescent="0.7">
      <c r="B139" s="584"/>
      <c r="C139" s="422" t="s">
        <v>896</v>
      </c>
      <c r="D139" s="511" t="s">
        <v>915</v>
      </c>
      <c r="E139" s="374" t="s">
        <v>959</v>
      </c>
      <c r="F139" s="363" t="s">
        <v>953</v>
      </c>
    </row>
    <row r="140" spans="2:6" ht="73.5" hidden="1" x14ac:dyDescent="0.7">
      <c r="B140" s="584"/>
      <c r="C140" s="422" t="s">
        <v>931</v>
      </c>
      <c r="D140" s="511" t="s">
        <v>916</v>
      </c>
      <c r="E140" s="374" t="s">
        <v>963</v>
      </c>
      <c r="F140" s="363" t="s">
        <v>953</v>
      </c>
    </row>
    <row r="141" spans="2:6" ht="38.25" hidden="1" x14ac:dyDescent="0.7">
      <c r="B141" s="584" t="s">
        <v>900</v>
      </c>
      <c r="C141" s="422" t="s">
        <v>944</v>
      </c>
      <c r="D141" s="511" t="s">
        <v>917</v>
      </c>
      <c r="E141" s="374" t="s">
        <v>964</v>
      </c>
      <c r="F141" s="363" t="s">
        <v>965</v>
      </c>
    </row>
    <row r="142" spans="2:6" ht="73.5" hidden="1" x14ac:dyDescent="0.7">
      <c r="B142" s="584"/>
      <c r="C142" s="422" t="s">
        <v>938</v>
      </c>
      <c r="D142" s="511" t="s">
        <v>918</v>
      </c>
      <c r="E142" s="374" t="s">
        <v>966</v>
      </c>
      <c r="F142" s="363" t="s">
        <v>762</v>
      </c>
    </row>
    <row r="143" spans="2:6" ht="38.25" hidden="1" x14ac:dyDescent="0.7">
      <c r="B143" s="584"/>
      <c r="C143" s="360" t="s">
        <v>947</v>
      </c>
      <c r="D143" s="511" t="s">
        <v>919</v>
      </c>
      <c r="E143" s="374" t="s">
        <v>952</v>
      </c>
      <c r="F143" s="363" t="s">
        <v>953</v>
      </c>
    </row>
    <row r="144" spans="2:6" ht="73.5" hidden="1" x14ac:dyDescent="0.7">
      <c r="B144" s="584"/>
      <c r="C144" s="422" t="s">
        <v>892</v>
      </c>
      <c r="D144" s="511" t="s">
        <v>920</v>
      </c>
      <c r="E144" s="374" t="s">
        <v>967</v>
      </c>
      <c r="F144" s="363" t="s">
        <v>953</v>
      </c>
    </row>
    <row r="145" spans="2:6" ht="73.5" hidden="1" x14ac:dyDescent="0.7">
      <c r="B145" s="584"/>
      <c r="C145" s="422" t="s">
        <v>893</v>
      </c>
      <c r="D145" s="511" t="s">
        <v>921</v>
      </c>
      <c r="E145" s="374" t="s">
        <v>968</v>
      </c>
      <c r="F145" s="363" t="s">
        <v>956</v>
      </c>
    </row>
    <row r="146" spans="2:6" ht="73.5" hidden="1" x14ac:dyDescent="0.7">
      <c r="B146" s="584"/>
      <c r="C146" s="422" t="s">
        <v>894</v>
      </c>
      <c r="D146" s="511" t="s">
        <v>922</v>
      </c>
      <c r="E146" s="374" t="s">
        <v>969</v>
      </c>
      <c r="F146" s="363" t="s">
        <v>953</v>
      </c>
    </row>
    <row r="147" spans="2:6" ht="73.5" hidden="1" x14ac:dyDescent="0.7">
      <c r="B147" s="584"/>
      <c r="C147" s="422" t="s">
        <v>895</v>
      </c>
      <c r="D147" s="511" t="s">
        <v>923</v>
      </c>
      <c r="E147" s="374" t="s">
        <v>970</v>
      </c>
      <c r="F147" s="363" t="s">
        <v>956</v>
      </c>
    </row>
    <row r="148" spans="2:6" ht="73.5" hidden="1" x14ac:dyDescent="0.7">
      <c r="B148" s="584"/>
      <c r="C148" s="422" t="s">
        <v>896</v>
      </c>
      <c r="D148" s="511" t="s">
        <v>924</v>
      </c>
      <c r="E148" s="374" t="s">
        <v>959</v>
      </c>
      <c r="F148" s="363" t="s">
        <v>953</v>
      </c>
    </row>
    <row r="149" spans="2:6" ht="73.5" hidden="1" x14ac:dyDescent="0.7">
      <c r="B149" s="584"/>
      <c r="C149" s="422" t="s">
        <v>931</v>
      </c>
      <c r="D149" s="511" t="s">
        <v>925</v>
      </c>
      <c r="E149" s="374" t="s">
        <v>963</v>
      </c>
      <c r="F149" s="363" t="s">
        <v>953</v>
      </c>
    </row>
    <row r="150" spans="2:6" ht="38.25" hidden="1" x14ac:dyDescent="0.7">
      <c r="B150" s="584" t="s">
        <v>899</v>
      </c>
      <c r="C150" s="422" t="s">
        <v>945</v>
      </c>
      <c r="D150" s="511" t="s">
        <v>926</v>
      </c>
      <c r="E150" s="374" t="s">
        <v>725</v>
      </c>
      <c r="F150" s="363" t="s">
        <v>971</v>
      </c>
    </row>
    <row r="151" spans="2:6" ht="73.5" hidden="1" x14ac:dyDescent="0.7">
      <c r="B151" s="584"/>
      <c r="C151" s="422" t="s">
        <v>939</v>
      </c>
      <c r="D151" s="511" t="s">
        <v>927</v>
      </c>
      <c r="E151" s="374" t="s">
        <v>761</v>
      </c>
      <c r="F151" s="363" t="s">
        <v>762</v>
      </c>
    </row>
    <row r="152" spans="2:6" ht="38.25" hidden="1" x14ac:dyDescent="0.7">
      <c r="B152" s="584"/>
      <c r="C152" s="360" t="s">
        <v>948</v>
      </c>
      <c r="D152" s="511" t="s">
        <v>928</v>
      </c>
      <c r="E152" s="374" t="s">
        <v>952</v>
      </c>
      <c r="F152" s="363" t="s">
        <v>953</v>
      </c>
    </row>
    <row r="153" spans="2:6" ht="73.5" hidden="1" x14ac:dyDescent="0.7">
      <c r="B153" s="584"/>
      <c r="C153" s="422" t="s">
        <v>892</v>
      </c>
      <c r="D153" s="511" t="s">
        <v>929</v>
      </c>
      <c r="E153" s="374" t="s">
        <v>954</v>
      </c>
      <c r="F153" s="363" t="s">
        <v>953</v>
      </c>
    </row>
    <row r="154" spans="2:6" ht="73.5" hidden="1" x14ac:dyDescent="0.7">
      <c r="B154" s="584"/>
      <c r="C154" s="422" t="s">
        <v>893</v>
      </c>
      <c r="D154" s="511" t="s">
        <v>930</v>
      </c>
      <c r="E154" s="374" t="s">
        <v>955</v>
      </c>
      <c r="F154" s="363" t="s">
        <v>956</v>
      </c>
    </row>
    <row r="155" spans="2:6" ht="73.5" hidden="1" x14ac:dyDescent="0.7">
      <c r="B155" s="584"/>
      <c r="C155" s="422" t="s">
        <v>894</v>
      </c>
      <c r="D155" s="511" t="s">
        <v>932</v>
      </c>
      <c r="E155" s="374" t="s">
        <v>957</v>
      </c>
      <c r="F155" s="363" t="s">
        <v>953</v>
      </c>
    </row>
    <row r="156" spans="2:6" ht="73.5" hidden="1" x14ac:dyDescent="0.7">
      <c r="B156" s="584"/>
      <c r="C156" s="422" t="s">
        <v>895</v>
      </c>
      <c r="D156" s="511" t="s">
        <v>933</v>
      </c>
      <c r="E156" s="374" t="s">
        <v>958</v>
      </c>
      <c r="F156" s="363" t="s">
        <v>956</v>
      </c>
    </row>
    <row r="157" spans="2:6" ht="73.5" hidden="1" x14ac:dyDescent="0.7">
      <c r="B157" s="584"/>
      <c r="C157" s="422" t="s">
        <v>896</v>
      </c>
      <c r="D157" s="511" t="s">
        <v>934</v>
      </c>
      <c r="E157" s="374" t="s">
        <v>959</v>
      </c>
      <c r="F157" s="363" t="s">
        <v>953</v>
      </c>
    </row>
    <row r="158" spans="2:6" ht="73.5" hidden="1" x14ac:dyDescent="0.7">
      <c r="B158" s="584"/>
      <c r="C158" s="422" t="s">
        <v>931</v>
      </c>
      <c r="D158" s="511" t="s">
        <v>935</v>
      </c>
      <c r="E158" s="374" t="s">
        <v>963</v>
      </c>
      <c r="F158" s="363" t="s">
        <v>953</v>
      </c>
    </row>
    <row r="159" spans="2:6" ht="73.5" x14ac:dyDescent="0.7">
      <c r="B159" s="569" t="s">
        <v>34</v>
      </c>
      <c r="C159" s="422" t="s">
        <v>184</v>
      </c>
      <c r="D159" s="357" t="s">
        <v>186</v>
      </c>
      <c r="E159" s="374" t="s">
        <v>275</v>
      </c>
      <c r="F159" s="358" t="s">
        <v>253</v>
      </c>
    </row>
    <row r="160" spans="2:6" ht="73.5" x14ac:dyDescent="0.7">
      <c r="B160" s="569"/>
      <c r="C160" s="422" t="s">
        <v>996</v>
      </c>
      <c r="D160" s="357" t="s">
        <v>185</v>
      </c>
      <c r="E160" s="374" t="s">
        <v>64</v>
      </c>
      <c r="F160" s="358" t="s">
        <v>254</v>
      </c>
    </row>
    <row r="161" spans="2:6" ht="76.5" x14ac:dyDescent="0.8">
      <c r="B161" s="569" t="s">
        <v>35</v>
      </c>
      <c r="C161" s="455" t="s">
        <v>1011</v>
      </c>
      <c r="D161" s="357" t="s">
        <v>252</v>
      </c>
      <c r="E161" s="375" t="s">
        <v>321</v>
      </c>
      <c r="F161" s="365" t="s">
        <v>253</v>
      </c>
    </row>
    <row r="162" spans="2:6" ht="73.5" x14ac:dyDescent="0.7">
      <c r="B162" s="569"/>
      <c r="C162" s="453" t="s">
        <v>255</v>
      </c>
      <c r="D162" s="357" t="s">
        <v>256</v>
      </c>
      <c r="E162" s="374" t="s">
        <v>61</v>
      </c>
      <c r="F162" s="358" t="s">
        <v>254</v>
      </c>
    </row>
    <row r="163" spans="2:6" ht="38.25" x14ac:dyDescent="0.7">
      <c r="B163" s="571" t="s">
        <v>26</v>
      </c>
      <c r="C163" s="423" t="s">
        <v>997</v>
      </c>
      <c r="D163" s="357" t="s">
        <v>257</v>
      </c>
      <c r="E163" s="374" t="s">
        <v>62</v>
      </c>
      <c r="F163" s="358" t="s">
        <v>266</v>
      </c>
    </row>
    <row r="164" spans="2:6" ht="38.25" x14ac:dyDescent="0.7">
      <c r="B164" s="571"/>
      <c r="C164" s="423" t="s">
        <v>339</v>
      </c>
      <c r="D164" s="357" t="s">
        <v>258</v>
      </c>
      <c r="E164" s="374" t="s">
        <v>65</v>
      </c>
      <c r="F164" s="358" t="s">
        <v>266</v>
      </c>
    </row>
    <row r="165" spans="2:6" ht="73.5" x14ac:dyDescent="0.7">
      <c r="B165" s="571"/>
      <c r="C165" s="423" t="s">
        <v>998</v>
      </c>
      <c r="D165" s="357" t="s">
        <v>259</v>
      </c>
      <c r="E165" s="374" t="s">
        <v>63</v>
      </c>
      <c r="F165" s="358" t="s">
        <v>267</v>
      </c>
    </row>
    <row r="166" spans="2:6" ht="110.25" x14ac:dyDescent="0.7">
      <c r="B166" s="571"/>
      <c r="C166" s="423" t="s">
        <v>340</v>
      </c>
      <c r="D166" s="357" t="s">
        <v>260</v>
      </c>
      <c r="E166" s="374" t="s">
        <v>270</v>
      </c>
      <c r="F166" s="358" t="s">
        <v>269</v>
      </c>
    </row>
    <row r="167" spans="2:6" ht="73.5" x14ac:dyDescent="0.7">
      <c r="B167" s="571"/>
      <c r="C167" s="423" t="s">
        <v>341</v>
      </c>
      <c r="D167" s="357" t="s">
        <v>261</v>
      </c>
      <c r="E167" s="374" t="s">
        <v>271</v>
      </c>
      <c r="F167" s="358" t="s">
        <v>268</v>
      </c>
    </row>
    <row r="168" spans="2:6" ht="73.5" x14ac:dyDescent="0.7">
      <c r="B168" s="571"/>
      <c r="C168" s="454" t="s">
        <v>999</v>
      </c>
      <c r="D168" s="357" t="s">
        <v>262</v>
      </c>
      <c r="E168" s="374" t="s">
        <v>66</v>
      </c>
      <c r="F168" s="358" t="s">
        <v>272</v>
      </c>
    </row>
    <row r="169" spans="2:6" ht="73.5" x14ac:dyDescent="0.7">
      <c r="B169" s="571"/>
      <c r="C169" s="454" t="s">
        <v>1000</v>
      </c>
      <c r="D169" s="357" t="s">
        <v>263</v>
      </c>
      <c r="E169" s="374" t="s">
        <v>67</v>
      </c>
      <c r="F169" s="358" t="s">
        <v>272</v>
      </c>
    </row>
    <row r="170" spans="2:6" ht="73.5" x14ac:dyDescent="0.7">
      <c r="B170" s="571" t="s">
        <v>111</v>
      </c>
      <c r="C170" s="423" t="s">
        <v>273</v>
      </c>
      <c r="D170" s="357" t="s">
        <v>264</v>
      </c>
      <c r="E170" s="374" t="s">
        <v>139</v>
      </c>
      <c r="F170" s="358" t="s">
        <v>254</v>
      </c>
    </row>
    <row r="171" spans="2:6" ht="73.5" x14ac:dyDescent="0.7">
      <c r="B171" s="571"/>
      <c r="C171" s="454" t="s">
        <v>274</v>
      </c>
      <c r="D171" s="357" t="s">
        <v>265</v>
      </c>
      <c r="E171" s="374" t="s">
        <v>627</v>
      </c>
      <c r="F171" s="358" t="s">
        <v>254</v>
      </c>
    </row>
    <row r="172" spans="2:6" ht="73.5" x14ac:dyDescent="0.7">
      <c r="B172" s="571"/>
      <c r="C172" s="423" t="s">
        <v>1001</v>
      </c>
      <c r="D172" s="357" t="s">
        <v>322</v>
      </c>
      <c r="E172" s="374" t="s">
        <v>324</v>
      </c>
      <c r="F172" s="358" t="s">
        <v>325</v>
      </c>
    </row>
    <row r="173" spans="2:6" ht="110.25" x14ac:dyDescent="0.7">
      <c r="B173" s="571"/>
      <c r="C173" s="423" t="s">
        <v>1002</v>
      </c>
      <c r="D173" s="357" t="s">
        <v>323</v>
      </c>
      <c r="E173" s="374" t="s">
        <v>326</v>
      </c>
      <c r="F173" s="358" t="s">
        <v>325</v>
      </c>
    </row>
    <row r="174" spans="2:6" ht="38.25" x14ac:dyDescent="0.5">
      <c r="B174" s="570" t="s">
        <v>130</v>
      </c>
      <c r="C174" s="570"/>
      <c r="D174" s="570"/>
      <c r="E174" s="570"/>
      <c r="F174" s="570"/>
    </row>
    <row r="175" spans="2:6" ht="73.5" x14ac:dyDescent="0.7">
      <c r="B175" s="574" t="s">
        <v>115</v>
      </c>
      <c r="C175" s="455" t="s">
        <v>1012</v>
      </c>
      <c r="D175" s="357" t="s">
        <v>369</v>
      </c>
      <c r="E175" s="374" t="s">
        <v>69</v>
      </c>
      <c r="F175" s="358" t="s">
        <v>278</v>
      </c>
    </row>
    <row r="176" spans="2:6" ht="110.25" x14ac:dyDescent="0.7">
      <c r="B176" s="574"/>
      <c r="C176" s="455" t="s">
        <v>476</v>
      </c>
      <c r="D176" s="357" t="s">
        <v>276</v>
      </c>
      <c r="E176" s="374" t="s">
        <v>68</v>
      </c>
      <c r="F176" s="358" t="s">
        <v>279</v>
      </c>
    </row>
    <row r="177" spans="2:6" ht="110.25" x14ac:dyDescent="0.7">
      <c r="B177" s="574"/>
      <c r="C177" s="422" t="s">
        <v>1003</v>
      </c>
      <c r="D177" s="357" t="s">
        <v>277</v>
      </c>
      <c r="E177" s="374" t="s">
        <v>117</v>
      </c>
      <c r="F177" s="358" t="s">
        <v>280</v>
      </c>
    </row>
    <row r="178" spans="2:6" ht="73.5" x14ac:dyDescent="0.7">
      <c r="B178" s="574"/>
      <c r="C178" s="455" t="s">
        <v>478</v>
      </c>
      <c r="D178" s="357" t="s">
        <v>370</v>
      </c>
      <c r="E178" s="374" t="s">
        <v>116</v>
      </c>
      <c r="F178" s="358" t="s">
        <v>281</v>
      </c>
    </row>
    <row r="179" spans="2:6" ht="110.25" x14ac:dyDescent="0.7">
      <c r="B179" s="574"/>
      <c r="C179" s="362" t="s">
        <v>477</v>
      </c>
      <c r="D179" s="357" t="s">
        <v>481</v>
      </c>
      <c r="E179" s="372" t="s">
        <v>763</v>
      </c>
      <c r="F179" s="355"/>
    </row>
    <row r="180" spans="2:6" ht="147" x14ac:dyDescent="0.7">
      <c r="B180" s="574"/>
      <c r="C180" s="362" t="s">
        <v>482</v>
      </c>
      <c r="D180" s="357" t="s">
        <v>498</v>
      </c>
      <c r="E180" s="374" t="s">
        <v>764</v>
      </c>
      <c r="F180" s="355"/>
    </row>
    <row r="181" spans="2:6" ht="147" x14ac:dyDescent="0.7">
      <c r="B181" s="569" t="s">
        <v>1004</v>
      </c>
      <c r="C181" s="456" t="s">
        <v>1013</v>
      </c>
      <c r="D181" s="357" t="s">
        <v>282</v>
      </c>
      <c r="E181" s="374" t="s">
        <v>628</v>
      </c>
      <c r="F181" s="358" t="s">
        <v>281</v>
      </c>
    </row>
    <row r="182" spans="2:6" ht="220.5" x14ac:dyDescent="0.7">
      <c r="B182" s="569"/>
      <c r="C182" s="422" t="s">
        <v>479</v>
      </c>
      <c r="D182" s="357" t="s">
        <v>283</v>
      </c>
      <c r="E182" s="374" t="s">
        <v>629</v>
      </c>
      <c r="F182" s="358" t="s">
        <v>281</v>
      </c>
    </row>
    <row r="183" spans="2:6" ht="73.5" x14ac:dyDescent="0.7">
      <c r="B183" s="569"/>
      <c r="C183" s="422" t="s">
        <v>484</v>
      </c>
      <c r="D183" s="357" t="s">
        <v>486</v>
      </c>
      <c r="E183" s="372" t="s">
        <v>765</v>
      </c>
      <c r="F183" s="355" t="s">
        <v>766</v>
      </c>
    </row>
    <row r="184" spans="2:6" ht="110.25" x14ac:dyDescent="0.7">
      <c r="B184" s="569"/>
      <c r="C184" s="422" t="s">
        <v>485</v>
      </c>
      <c r="D184" s="357" t="s">
        <v>487</v>
      </c>
      <c r="E184" s="372" t="s">
        <v>767</v>
      </c>
      <c r="F184" s="355" t="s">
        <v>766</v>
      </c>
    </row>
    <row r="185" spans="2:6" ht="147" x14ac:dyDescent="0.7">
      <c r="B185" s="575" t="s">
        <v>488</v>
      </c>
      <c r="C185" s="422" t="s">
        <v>342</v>
      </c>
      <c r="D185" s="357" t="s">
        <v>371</v>
      </c>
      <c r="E185" s="374" t="s">
        <v>118</v>
      </c>
      <c r="F185" s="358" t="s">
        <v>768</v>
      </c>
    </row>
    <row r="186" spans="2:6" ht="73.5" x14ac:dyDescent="0.7">
      <c r="B186" s="575"/>
      <c r="C186" s="422" t="s">
        <v>1014</v>
      </c>
      <c r="D186" s="357" t="s">
        <v>372</v>
      </c>
      <c r="E186" s="372" t="s">
        <v>769</v>
      </c>
      <c r="F186" s="355" t="s">
        <v>770</v>
      </c>
    </row>
    <row r="187" spans="2:6" ht="38.25" x14ac:dyDescent="0.7">
      <c r="B187" s="575"/>
      <c r="C187" s="453" t="s">
        <v>649</v>
      </c>
      <c r="D187" s="357" t="s">
        <v>650</v>
      </c>
      <c r="E187" s="374" t="s">
        <v>771</v>
      </c>
      <c r="F187" s="358" t="s">
        <v>768</v>
      </c>
    </row>
    <row r="188" spans="2:6" ht="73.5" x14ac:dyDescent="0.7">
      <c r="B188" s="575"/>
      <c r="C188" s="453" t="s">
        <v>1015</v>
      </c>
      <c r="D188" s="357" t="s">
        <v>651</v>
      </c>
      <c r="E188" s="372" t="s">
        <v>772</v>
      </c>
      <c r="F188" s="358" t="s">
        <v>770</v>
      </c>
    </row>
    <row r="189" spans="2:6" ht="110.25" x14ac:dyDescent="0.7">
      <c r="B189" s="575" t="s">
        <v>493</v>
      </c>
      <c r="C189" s="422" t="s">
        <v>480</v>
      </c>
      <c r="D189" s="357" t="s">
        <v>284</v>
      </c>
      <c r="E189" s="374" t="s">
        <v>119</v>
      </c>
      <c r="F189" s="358" t="s">
        <v>285</v>
      </c>
    </row>
    <row r="190" spans="2:6" ht="183.75" x14ac:dyDescent="0.7">
      <c r="B190" s="575"/>
      <c r="C190" s="453" t="s">
        <v>1016</v>
      </c>
      <c r="D190" s="357" t="s">
        <v>286</v>
      </c>
      <c r="E190" s="374" t="s">
        <v>630</v>
      </c>
      <c r="F190" s="358" t="s">
        <v>285</v>
      </c>
    </row>
    <row r="191" spans="2:6" ht="110.25" x14ac:dyDescent="0.7">
      <c r="B191" s="575"/>
      <c r="C191" s="453" t="s">
        <v>489</v>
      </c>
      <c r="D191" s="357" t="s">
        <v>494</v>
      </c>
      <c r="E191" s="372" t="s">
        <v>773</v>
      </c>
      <c r="F191" s="358" t="s">
        <v>774</v>
      </c>
    </row>
    <row r="192" spans="2:6" ht="110.25" x14ac:dyDescent="0.7">
      <c r="B192" s="575"/>
      <c r="C192" s="422" t="s">
        <v>490</v>
      </c>
      <c r="D192" s="357" t="s">
        <v>495</v>
      </c>
      <c r="E192" s="372" t="s">
        <v>775</v>
      </c>
      <c r="F192" s="355" t="s">
        <v>776</v>
      </c>
    </row>
    <row r="193" spans="2:6" ht="73.5" x14ac:dyDescent="0.7">
      <c r="B193" s="575"/>
      <c r="C193" s="422" t="s">
        <v>491</v>
      </c>
      <c r="D193" s="357" t="s">
        <v>496</v>
      </c>
      <c r="E193" s="372" t="s">
        <v>777</v>
      </c>
      <c r="F193" s="355" t="s">
        <v>778</v>
      </c>
    </row>
    <row r="194" spans="2:6" ht="73.5" x14ac:dyDescent="0.7">
      <c r="B194" s="575"/>
      <c r="C194" s="422" t="s">
        <v>492</v>
      </c>
      <c r="D194" s="357" t="s">
        <v>497</v>
      </c>
      <c r="E194" s="372" t="s">
        <v>779</v>
      </c>
      <c r="F194" s="355" t="s">
        <v>778</v>
      </c>
    </row>
    <row r="195" spans="2:6" ht="110.25" x14ac:dyDescent="0.7">
      <c r="B195" s="574" t="s">
        <v>124</v>
      </c>
      <c r="C195" s="422" t="s">
        <v>864</v>
      </c>
      <c r="D195" s="357" t="s">
        <v>287</v>
      </c>
      <c r="E195" s="374" t="s">
        <v>135</v>
      </c>
      <c r="F195" s="358" t="s">
        <v>289</v>
      </c>
    </row>
    <row r="196" spans="2:6" ht="110.25" x14ac:dyDescent="0.7">
      <c r="B196" s="574"/>
      <c r="C196" s="422" t="s">
        <v>343</v>
      </c>
      <c r="D196" s="357" t="s">
        <v>288</v>
      </c>
      <c r="E196" s="374" t="s">
        <v>631</v>
      </c>
      <c r="F196" s="358" t="s">
        <v>289</v>
      </c>
    </row>
    <row r="197" spans="2:6" ht="73.5" x14ac:dyDescent="0.7">
      <c r="B197" s="574" t="s">
        <v>513</v>
      </c>
      <c r="C197" s="422" t="s">
        <v>520</v>
      </c>
      <c r="D197" s="357" t="s">
        <v>530</v>
      </c>
      <c r="E197" s="372" t="s">
        <v>780</v>
      </c>
      <c r="F197" s="355" t="s">
        <v>781</v>
      </c>
    </row>
    <row r="198" spans="2:6" ht="73.5" x14ac:dyDescent="0.7">
      <c r="B198" s="574"/>
      <c r="C198" s="422" t="s">
        <v>515</v>
      </c>
      <c r="D198" s="357" t="s">
        <v>531</v>
      </c>
      <c r="E198" s="372" t="s">
        <v>782</v>
      </c>
      <c r="F198" s="355" t="s">
        <v>781</v>
      </c>
    </row>
    <row r="199" spans="2:6" ht="73.5" x14ac:dyDescent="0.7">
      <c r="B199" s="574"/>
      <c r="C199" s="362" t="s">
        <v>516</v>
      </c>
      <c r="D199" s="357" t="s">
        <v>532</v>
      </c>
      <c r="E199" s="372" t="s">
        <v>783</v>
      </c>
      <c r="F199" s="355"/>
    </row>
    <row r="200" spans="2:6" ht="73.5" x14ac:dyDescent="0.7">
      <c r="B200" s="574" t="s">
        <v>517</v>
      </c>
      <c r="C200" s="422" t="s">
        <v>521</v>
      </c>
      <c r="D200" s="357" t="s">
        <v>533</v>
      </c>
      <c r="E200" s="372" t="s">
        <v>784</v>
      </c>
      <c r="F200" s="355" t="s">
        <v>785</v>
      </c>
    </row>
    <row r="201" spans="2:6" ht="73.5" x14ac:dyDescent="0.7">
      <c r="B201" s="574"/>
      <c r="C201" s="422" t="s">
        <v>518</v>
      </c>
      <c r="D201" s="357" t="s">
        <v>534</v>
      </c>
      <c r="E201" s="372" t="s">
        <v>786</v>
      </c>
      <c r="F201" s="355" t="s">
        <v>785</v>
      </c>
    </row>
    <row r="202" spans="2:6" ht="73.5" x14ac:dyDescent="0.7">
      <c r="B202" s="574"/>
      <c r="C202" s="362" t="s">
        <v>519</v>
      </c>
      <c r="D202" s="357" t="s">
        <v>535</v>
      </c>
      <c r="E202" s="372" t="s">
        <v>787</v>
      </c>
      <c r="F202" s="355"/>
    </row>
    <row r="203" spans="2:6" ht="73.5" x14ac:dyDescent="0.7">
      <c r="B203" s="574" t="s">
        <v>514</v>
      </c>
      <c r="C203" s="422" t="s">
        <v>950</v>
      </c>
      <c r="D203" s="357" t="s">
        <v>536</v>
      </c>
      <c r="E203" s="372" t="s">
        <v>788</v>
      </c>
      <c r="F203" s="355" t="s">
        <v>789</v>
      </c>
    </row>
    <row r="204" spans="2:6" ht="73.5" x14ac:dyDescent="0.7">
      <c r="B204" s="574"/>
      <c r="C204" s="422" t="s">
        <v>951</v>
      </c>
      <c r="D204" s="357" t="s">
        <v>537</v>
      </c>
      <c r="E204" s="372" t="s">
        <v>790</v>
      </c>
      <c r="F204" s="355" t="s">
        <v>789</v>
      </c>
    </row>
    <row r="205" spans="2:6" ht="73.5" x14ac:dyDescent="0.7">
      <c r="B205" s="574"/>
      <c r="C205" s="457" t="s">
        <v>972</v>
      </c>
      <c r="D205" s="357" t="s">
        <v>538</v>
      </c>
      <c r="E205" s="372" t="s">
        <v>791</v>
      </c>
      <c r="F205" s="355"/>
    </row>
    <row r="206" spans="2:6" ht="38.25" x14ac:dyDescent="0.5">
      <c r="B206" s="570" t="s">
        <v>129</v>
      </c>
      <c r="C206" s="570"/>
      <c r="D206" s="570"/>
      <c r="E206" s="570"/>
      <c r="F206" s="570"/>
    </row>
    <row r="207" spans="2:6" ht="147" x14ac:dyDescent="0.7">
      <c r="B207" s="575" t="s">
        <v>483</v>
      </c>
      <c r="C207" s="422" t="s">
        <v>499</v>
      </c>
      <c r="D207" s="357" t="s">
        <v>373</v>
      </c>
      <c r="E207" s="374" t="s">
        <v>70</v>
      </c>
      <c r="F207" s="358" t="s">
        <v>792</v>
      </c>
    </row>
    <row r="208" spans="2:6" ht="73.5" x14ac:dyDescent="0.7">
      <c r="B208" s="575"/>
      <c r="C208" s="422" t="s">
        <v>500</v>
      </c>
      <c r="D208" s="357" t="s">
        <v>374</v>
      </c>
      <c r="E208" s="374" t="s">
        <v>71</v>
      </c>
      <c r="F208" s="358" t="s">
        <v>792</v>
      </c>
    </row>
    <row r="209" spans="1:6" ht="38.25" x14ac:dyDescent="0.7">
      <c r="B209" s="575"/>
      <c r="C209" s="362" t="s">
        <v>501</v>
      </c>
      <c r="D209" s="357" t="s">
        <v>508</v>
      </c>
      <c r="E209" s="372"/>
      <c r="F209" s="355"/>
    </row>
    <row r="210" spans="1:6" ht="110.25" x14ac:dyDescent="0.7">
      <c r="B210" s="569" t="s">
        <v>865</v>
      </c>
      <c r="C210" s="422" t="s">
        <v>502</v>
      </c>
      <c r="D210" s="357" t="s">
        <v>509</v>
      </c>
      <c r="E210" s="372" t="s">
        <v>793</v>
      </c>
      <c r="F210" s="358" t="s">
        <v>792</v>
      </c>
    </row>
    <row r="211" spans="1:6" ht="73.5" x14ac:dyDescent="0.7">
      <c r="B211" s="569"/>
      <c r="C211" s="422" t="s">
        <v>503</v>
      </c>
      <c r="D211" s="357" t="s">
        <v>510</v>
      </c>
      <c r="E211" s="372" t="s">
        <v>794</v>
      </c>
      <c r="F211" s="358" t="s">
        <v>792</v>
      </c>
    </row>
    <row r="212" spans="1:6" ht="73.5" x14ac:dyDescent="0.7">
      <c r="B212" s="576" t="s">
        <v>488</v>
      </c>
      <c r="C212" s="458" t="s">
        <v>504</v>
      </c>
      <c r="D212" s="512" t="s">
        <v>375</v>
      </c>
      <c r="E212" s="376" t="s">
        <v>140</v>
      </c>
      <c r="F212" s="366" t="s">
        <v>296</v>
      </c>
    </row>
    <row r="213" spans="1:6" ht="73.5" x14ac:dyDescent="0.7">
      <c r="B213" s="576"/>
      <c r="C213" s="458" t="s">
        <v>647</v>
      </c>
      <c r="D213" s="512" t="s">
        <v>648</v>
      </c>
      <c r="E213" s="376" t="s">
        <v>795</v>
      </c>
      <c r="F213" s="366" t="s">
        <v>296</v>
      </c>
    </row>
    <row r="214" spans="1:6" ht="73.5" x14ac:dyDescent="0.7">
      <c r="B214" s="575" t="s">
        <v>493</v>
      </c>
      <c r="C214" s="422" t="s">
        <v>506</v>
      </c>
      <c r="D214" s="357" t="s">
        <v>376</v>
      </c>
      <c r="E214" s="374" t="s">
        <v>796</v>
      </c>
      <c r="F214" s="358" t="s">
        <v>797</v>
      </c>
    </row>
    <row r="215" spans="1:6" ht="73.5" x14ac:dyDescent="0.7">
      <c r="B215" s="575"/>
      <c r="C215" s="422" t="s">
        <v>507</v>
      </c>
      <c r="D215" s="357" t="s">
        <v>511</v>
      </c>
      <c r="E215" s="372" t="s">
        <v>798</v>
      </c>
      <c r="F215" s="358" t="s">
        <v>797</v>
      </c>
    </row>
    <row r="216" spans="1:6" ht="73.5" x14ac:dyDescent="0.7">
      <c r="B216" s="575"/>
      <c r="C216" s="422" t="s">
        <v>505</v>
      </c>
      <c r="D216" s="357" t="s">
        <v>512</v>
      </c>
      <c r="E216" s="372" t="s">
        <v>799</v>
      </c>
      <c r="F216" s="358" t="s">
        <v>800</v>
      </c>
    </row>
    <row r="217" spans="1:6" ht="73.5" x14ac:dyDescent="0.7">
      <c r="B217" s="356" t="s">
        <v>290</v>
      </c>
      <c r="C217" s="422" t="s">
        <v>866</v>
      </c>
      <c r="D217" s="357" t="s">
        <v>377</v>
      </c>
      <c r="E217" s="374" t="s">
        <v>291</v>
      </c>
      <c r="F217" s="358" t="s">
        <v>292</v>
      </c>
    </row>
    <row r="218" spans="1:6" ht="110.25" x14ac:dyDescent="0.7">
      <c r="B218" s="575" t="s">
        <v>867</v>
      </c>
      <c r="C218" s="422" t="s">
        <v>293</v>
      </c>
      <c r="D218" s="357" t="s">
        <v>378</v>
      </c>
      <c r="E218" s="374" t="s">
        <v>294</v>
      </c>
      <c r="F218" s="358" t="s">
        <v>295</v>
      </c>
    </row>
    <row r="219" spans="1:6" s="122" customFormat="1" ht="183.75" x14ac:dyDescent="0.7">
      <c r="A219" s="253"/>
      <c r="B219" s="575"/>
      <c r="C219" s="422" t="s">
        <v>344</v>
      </c>
      <c r="D219" s="357" t="s">
        <v>379</v>
      </c>
      <c r="E219" s="374" t="s">
        <v>141</v>
      </c>
      <c r="F219" s="358" t="s">
        <v>296</v>
      </c>
    </row>
    <row r="220" spans="1:6" ht="183.75" x14ac:dyDescent="0.7">
      <c r="B220" s="575"/>
      <c r="C220" s="422" t="s">
        <v>868</v>
      </c>
      <c r="D220" s="357" t="s">
        <v>380</v>
      </c>
      <c r="E220" s="374" t="s">
        <v>142</v>
      </c>
      <c r="F220" s="358" t="s">
        <v>297</v>
      </c>
    </row>
    <row r="221" spans="1:6" ht="38.25" x14ac:dyDescent="0.5">
      <c r="B221" s="570" t="s">
        <v>131</v>
      </c>
      <c r="C221" s="570"/>
      <c r="D221" s="570"/>
      <c r="E221" s="570"/>
      <c r="F221" s="570"/>
    </row>
    <row r="222" spans="1:6" ht="73.5" x14ac:dyDescent="0.7">
      <c r="B222" s="356" t="s">
        <v>298</v>
      </c>
      <c r="C222" s="459" t="s">
        <v>1005</v>
      </c>
      <c r="D222" s="357" t="s">
        <v>299</v>
      </c>
      <c r="E222" s="374" t="s">
        <v>801</v>
      </c>
      <c r="F222" s="358" t="s">
        <v>802</v>
      </c>
    </row>
    <row r="223" spans="1:6" ht="110.25" x14ac:dyDescent="0.7">
      <c r="B223" s="569" t="s">
        <v>578</v>
      </c>
      <c r="C223" s="453" t="s">
        <v>396</v>
      </c>
      <c r="D223" s="357" t="s">
        <v>572</v>
      </c>
      <c r="E223" s="372" t="s">
        <v>803</v>
      </c>
      <c r="F223" s="358" t="s">
        <v>802</v>
      </c>
    </row>
    <row r="224" spans="1:6" ht="73.5" x14ac:dyDescent="0.7">
      <c r="B224" s="569"/>
      <c r="C224" s="453" t="s">
        <v>391</v>
      </c>
      <c r="D224" s="357" t="s">
        <v>573</v>
      </c>
      <c r="E224" s="372" t="s">
        <v>804</v>
      </c>
      <c r="F224" s="358" t="s">
        <v>802</v>
      </c>
    </row>
    <row r="225" spans="2:6" ht="73.5" x14ac:dyDescent="0.7">
      <c r="B225" s="569"/>
      <c r="C225" s="422" t="s">
        <v>392</v>
      </c>
      <c r="D225" s="357" t="s">
        <v>574</v>
      </c>
      <c r="E225" s="372" t="s">
        <v>805</v>
      </c>
      <c r="F225" s="358" t="s">
        <v>802</v>
      </c>
    </row>
    <row r="226" spans="2:6" ht="73.5" x14ac:dyDescent="0.7">
      <c r="B226" s="569"/>
      <c r="C226" s="422" t="s">
        <v>393</v>
      </c>
      <c r="D226" s="357" t="s">
        <v>575</v>
      </c>
      <c r="E226" s="372" t="s">
        <v>806</v>
      </c>
      <c r="F226" s="358" t="s">
        <v>802</v>
      </c>
    </row>
    <row r="227" spans="2:6" ht="73.5" x14ac:dyDescent="0.7">
      <c r="B227" s="569"/>
      <c r="C227" s="422" t="s">
        <v>394</v>
      </c>
      <c r="D227" s="357" t="s">
        <v>576</v>
      </c>
      <c r="E227" s="372" t="s">
        <v>807</v>
      </c>
      <c r="F227" s="358" t="s">
        <v>802</v>
      </c>
    </row>
    <row r="228" spans="2:6" ht="110.25" x14ac:dyDescent="0.7">
      <c r="B228" s="569"/>
      <c r="C228" s="422" t="s">
        <v>395</v>
      </c>
      <c r="D228" s="357" t="s">
        <v>577</v>
      </c>
      <c r="E228" s="372" t="s">
        <v>808</v>
      </c>
      <c r="F228" s="358" t="s">
        <v>802</v>
      </c>
    </row>
    <row r="229" spans="2:6" ht="74.25" thickBot="1" x14ac:dyDescent="0.75">
      <c r="B229" s="356" t="s">
        <v>579</v>
      </c>
      <c r="C229" s="460" t="s">
        <v>1008</v>
      </c>
      <c r="D229" s="357" t="s">
        <v>300</v>
      </c>
      <c r="E229" s="374" t="s">
        <v>72</v>
      </c>
      <c r="F229" s="358" t="s">
        <v>802</v>
      </c>
    </row>
    <row r="230" spans="2:6" s="250" customFormat="1" ht="110.25" x14ac:dyDescent="0.7">
      <c r="B230" s="475" t="s">
        <v>1059</v>
      </c>
      <c r="C230" s="489" t="s">
        <v>1060</v>
      </c>
      <c r="D230" s="513" t="s">
        <v>1061</v>
      </c>
      <c r="E230" s="374" t="s">
        <v>1070</v>
      </c>
      <c r="F230" s="358" t="s">
        <v>1071</v>
      </c>
    </row>
    <row r="231" spans="2:6" ht="73.5" x14ac:dyDescent="0.7">
      <c r="B231" s="569" t="s">
        <v>580</v>
      </c>
      <c r="C231" s="422" t="s">
        <v>1064</v>
      </c>
      <c r="D231" s="357" t="s">
        <v>561</v>
      </c>
      <c r="E231" s="372" t="s">
        <v>1065</v>
      </c>
      <c r="F231" s="355" t="s">
        <v>809</v>
      </c>
    </row>
    <row r="232" spans="2:6" ht="38.25" x14ac:dyDescent="0.7">
      <c r="B232" s="569"/>
      <c r="C232" s="459" t="s">
        <v>1006</v>
      </c>
      <c r="D232" s="357" t="s">
        <v>302</v>
      </c>
      <c r="E232" s="374" t="s">
        <v>301</v>
      </c>
      <c r="F232" s="358" t="s">
        <v>303</v>
      </c>
    </row>
    <row r="233" spans="2:6" ht="73.5" x14ac:dyDescent="0.7">
      <c r="B233" s="569" t="s">
        <v>441</v>
      </c>
      <c r="C233" s="422" t="s">
        <v>396</v>
      </c>
      <c r="D233" s="357" t="s">
        <v>410</v>
      </c>
      <c r="E233" s="374" t="s">
        <v>427</v>
      </c>
      <c r="F233" s="358" t="s">
        <v>303</v>
      </c>
    </row>
    <row r="234" spans="2:6" ht="73.5" x14ac:dyDescent="0.7">
      <c r="B234" s="569"/>
      <c r="C234" s="422" t="s">
        <v>391</v>
      </c>
      <c r="D234" s="357" t="s">
        <v>411</v>
      </c>
      <c r="E234" s="374" t="s">
        <v>428</v>
      </c>
      <c r="F234" s="358" t="s">
        <v>303</v>
      </c>
    </row>
    <row r="235" spans="2:6" ht="73.5" x14ac:dyDescent="0.7">
      <c r="B235" s="569"/>
      <c r="C235" s="422" t="s">
        <v>392</v>
      </c>
      <c r="D235" s="357" t="s">
        <v>412</v>
      </c>
      <c r="E235" s="374" t="s">
        <v>429</v>
      </c>
      <c r="F235" s="358" t="s">
        <v>303</v>
      </c>
    </row>
    <row r="236" spans="2:6" ht="73.5" x14ac:dyDescent="0.7">
      <c r="B236" s="569"/>
      <c r="C236" s="422" t="s">
        <v>393</v>
      </c>
      <c r="D236" s="357" t="s">
        <v>413</v>
      </c>
      <c r="E236" s="374" t="s">
        <v>430</v>
      </c>
      <c r="F236" s="358" t="s">
        <v>303</v>
      </c>
    </row>
    <row r="237" spans="2:6" ht="73.5" x14ac:dyDescent="0.7">
      <c r="B237" s="569"/>
      <c r="C237" s="422" t="s">
        <v>394</v>
      </c>
      <c r="D237" s="357" t="s">
        <v>414</v>
      </c>
      <c r="E237" s="374" t="s">
        <v>431</v>
      </c>
      <c r="F237" s="358" t="s">
        <v>303</v>
      </c>
    </row>
    <row r="238" spans="2:6" ht="73.5" x14ac:dyDescent="0.7">
      <c r="B238" s="569"/>
      <c r="C238" s="422" t="s">
        <v>395</v>
      </c>
      <c r="D238" s="357" t="s">
        <v>415</v>
      </c>
      <c r="E238" s="374" t="s">
        <v>432</v>
      </c>
      <c r="F238" s="358" t="s">
        <v>303</v>
      </c>
    </row>
    <row r="239" spans="2:6" ht="38.25" x14ac:dyDescent="0.7">
      <c r="B239" s="569" t="s">
        <v>442</v>
      </c>
      <c r="C239" s="422" t="s">
        <v>445</v>
      </c>
      <c r="D239" s="357" t="s">
        <v>421</v>
      </c>
      <c r="E239" s="374" t="s">
        <v>433</v>
      </c>
      <c r="F239" s="358" t="s">
        <v>439</v>
      </c>
    </row>
    <row r="240" spans="2:6" ht="38.25" x14ac:dyDescent="0.7">
      <c r="B240" s="569"/>
      <c r="C240" s="453" t="s">
        <v>416</v>
      </c>
      <c r="D240" s="357" t="s">
        <v>422</v>
      </c>
      <c r="E240" s="374" t="s">
        <v>434</v>
      </c>
      <c r="F240" s="358" t="s">
        <v>439</v>
      </c>
    </row>
    <row r="241" spans="2:6" ht="38.25" x14ac:dyDescent="0.7">
      <c r="B241" s="569"/>
      <c r="C241" s="453" t="s">
        <v>417</v>
      </c>
      <c r="D241" s="357" t="s">
        <v>423</v>
      </c>
      <c r="E241" s="374" t="s">
        <v>435</v>
      </c>
      <c r="F241" s="358" t="s">
        <v>439</v>
      </c>
    </row>
    <row r="242" spans="2:6" ht="38.25" x14ac:dyDescent="0.7">
      <c r="B242" s="569"/>
      <c r="C242" s="422" t="s">
        <v>418</v>
      </c>
      <c r="D242" s="357" t="s">
        <v>424</v>
      </c>
      <c r="E242" s="374" t="s">
        <v>436</v>
      </c>
      <c r="F242" s="358" t="s">
        <v>439</v>
      </c>
    </row>
    <row r="243" spans="2:6" ht="38.25" x14ac:dyDescent="0.7">
      <c r="B243" s="569"/>
      <c r="C243" s="422" t="s">
        <v>419</v>
      </c>
      <c r="D243" s="357" t="s">
        <v>425</v>
      </c>
      <c r="E243" s="374" t="s">
        <v>437</v>
      </c>
      <c r="F243" s="358" t="s">
        <v>439</v>
      </c>
    </row>
    <row r="244" spans="2:6" ht="38.25" x14ac:dyDescent="0.7">
      <c r="B244" s="569"/>
      <c r="C244" s="422" t="s">
        <v>420</v>
      </c>
      <c r="D244" s="357" t="s">
        <v>426</v>
      </c>
      <c r="E244" s="374" t="s">
        <v>438</v>
      </c>
      <c r="F244" s="358" t="s">
        <v>439</v>
      </c>
    </row>
    <row r="245" spans="2:6" ht="38.25" x14ac:dyDescent="0.7">
      <c r="B245" s="569"/>
      <c r="C245" s="360" t="s">
        <v>440</v>
      </c>
      <c r="D245" s="357" t="s">
        <v>444</v>
      </c>
      <c r="E245" s="372"/>
      <c r="F245" s="355"/>
    </row>
    <row r="246" spans="2:6" ht="73.5" x14ac:dyDescent="0.7">
      <c r="B246" s="569"/>
      <c r="C246" s="422" t="s">
        <v>462</v>
      </c>
      <c r="D246" s="357" t="s">
        <v>446</v>
      </c>
      <c r="E246" s="374" t="s">
        <v>460</v>
      </c>
      <c r="F246" s="358" t="s">
        <v>439</v>
      </c>
    </row>
    <row r="247" spans="2:6" ht="110.25" x14ac:dyDescent="0.7">
      <c r="B247" s="581" t="s">
        <v>613</v>
      </c>
      <c r="C247" s="422" t="s">
        <v>605</v>
      </c>
      <c r="D247" s="357" t="s">
        <v>558</v>
      </c>
      <c r="E247" s="372" t="s">
        <v>811</v>
      </c>
      <c r="F247" s="355" t="s">
        <v>812</v>
      </c>
    </row>
    <row r="248" spans="2:6" ht="110.25" x14ac:dyDescent="0.7">
      <c r="B248" s="581"/>
      <c r="C248" s="422" t="s">
        <v>606</v>
      </c>
      <c r="D248" s="357" t="s">
        <v>559</v>
      </c>
      <c r="E248" s="372" t="s">
        <v>813</v>
      </c>
      <c r="F248" s="355" t="s">
        <v>812</v>
      </c>
    </row>
    <row r="249" spans="2:6" ht="76.5" x14ac:dyDescent="0.7">
      <c r="B249" s="581"/>
      <c r="C249" s="360" t="s">
        <v>852</v>
      </c>
      <c r="D249" s="357" t="s">
        <v>557</v>
      </c>
      <c r="E249" s="372"/>
      <c r="F249" s="368"/>
    </row>
    <row r="250" spans="2:6" ht="110.25" x14ac:dyDescent="0.7">
      <c r="B250" s="581"/>
      <c r="C250" s="422" t="s">
        <v>607</v>
      </c>
      <c r="D250" s="357" t="s">
        <v>560</v>
      </c>
      <c r="E250" s="372" t="s">
        <v>814</v>
      </c>
      <c r="F250" s="355" t="s">
        <v>812</v>
      </c>
    </row>
    <row r="251" spans="2:6" ht="110.25" x14ac:dyDescent="0.7">
      <c r="B251" s="581"/>
      <c r="C251" s="422" t="s">
        <v>608</v>
      </c>
      <c r="D251" s="357" t="s">
        <v>601</v>
      </c>
      <c r="E251" s="372" t="s">
        <v>815</v>
      </c>
      <c r="F251" s="355" t="s">
        <v>812</v>
      </c>
    </row>
    <row r="252" spans="2:6" ht="110.25" x14ac:dyDescent="0.7">
      <c r="B252" s="581"/>
      <c r="C252" s="360" t="s">
        <v>853</v>
      </c>
      <c r="D252" s="357" t="s">
        <v>304</v>
      </c>
      <c r="E252" s="374" t="s">
        <v>810</v>
      </c>
      <c r="F252" s="358" t="s">
        <v>303</v>
      </c>
    </row>
    <row r="253" spans="2:6" ht="75" x14ac:dyDescent="0.7">
      <c r="B253" s="581"/>
      <c r="C253" s="422" t="s">
        <v>1017</v>
      </c>
      <c r="D253" s="357" t="s">
        <v>602</v>
      </c>
      <c r="E253" s="372" t="s">
        <v>816</v>
      </c>
      <c r="F253" s="355" t="s">
        <v>817</v>
      </c>
    </row>
    <row r="254" spans="2:6" ht="75" x14ac:dyDescent="0.7">
      <c r="B254" s="581"/>
      <c r="C254" s="422" t="s">
        <v>1018</v>
      </c>
      <c r="D254" s="357" t="s">
        <v>603</v>
      </c>
      <c r="E254" s="372" t="s">
        <v>818</v>
      </c>
      <c r="F254" s="355" t="s">
        <v>819</v>
      </c>
    </row>
    <row r="255" spans="2:6" ht="75" x14ac:dyDescent="0.7">
      <c r="B255" s="581"/>
      <c r="C255" s="422" t="s">
        <v>1019</v>
      </c>
      <c r="D255" s="357" t="s">
        <v>604</v>
      </c>
      <c r="E255" s="372" t="s">
        <v>820</v>
      </c>
      <c r="F255" s="355" t="s">
        <v>821</v>
      </c>
    </row>
    <row r="256" spans="2:6" ht="76.5" x14ac:dyDescent="0.5">
      <c r="B256" s="581"/>
      <c r="C256" s="360" t="s">
        <v>854</v>
      </c>
      <c r="D256" s="357" t="s">
        <v>611</v>
      </c>
      <c r="E256" s="377" t="s">
        <v>863</v>
      </c>
      <c r="F256" s="367">
        <f t="shared" ref="F256" si="0">SUM(F253:F255)</f>
        <v>0</v>
      </c>
    </row>
    <row r="257" spans="2:6" ht="110.25" x14ac:dyDescent="0.7">
      <c r="B257" s="581"/>
      <c r="C257" s="422" t="s">
        <v>609</v>
      </c>
      <c r="D257" s="357" t="s">
        <v>612</v>
      </c>
      <c r="E257" s="372" t="s">
        <v>822</v>
      </c>
      <c r="F257" s="355" t="s">
        <v>823</v>
      </c>
    </row>
    <row r="258" spans="2:6" ht="76.5" x14ac:dyDescent="0.7">
      <c r="B258" s="581"/>
      <c r="C258" s="360" t="s">
        <v>855</v>
      </c>
      <c r="D258" s="357" t="s">
        <v>615</v>
      </c>
      <c r="E258" s="372" t="s">
        <v>824</v>
      </c>
      <c r="F258" s="355" t="s">
        <v>825</v>
      </c>
    </row>
    <row r="259" spans="2:6" ht="73.5" x14ac:dyDescent="0.7">
      <c r="B259" s="581"/>
      <c r="C259" s="422" t="s">
        <v>826</v>
      </c>
      <c r="D259" s="357" t="s">
        <v>616</v>
      </c>
      <c r="E259" s="372" t="s">
        <v>827</v>
      </c>
      <c r="F259" s="355" t="s">
        <v>828</v>
      </c>
    </row>
    <row r="260" spans="2:6" ht="73.5" x14ac:dyDescent="0.7">
      <c r="B260" s="581"/>
      <c r="C260" s="422" t="s">
        <v>829</v>
      </c>
      <c r="D260" s="357" t="s">
        <v>617</v>
      </c>
      <c r="E260" s="372" t="s">
        <v>830</v>
      </c>
      <c r="F260" s="355" t="s">
        <v>828</v>
      </c>
    </row>
    <row r="261" spans="2:6" ht="38.25" x14ac:dyDescent="0.7">
      <c r="B261" s="575" t="s">
        <v>614</v>
      </c>
      <c r="C261" s="360" t="s">
        <v>522</v>
      </c>
      <c r="D261" s="357" t="s">
        <v>618</v>
      </c>
      <c r="E261" s="372" t="s">
        <v>725</v>
      </c>
      <c r="F261" s="355" t="s">
        <v>831</v>
      </c>
    </row>
    <row r="262" spans="2:6" ht="38.25" x14ac:dyDescent="0.7">
      <c r="B262" s="575"/>
      <c r="C262" s="461" t="s">
        <v>1039</v>
      </c>
      <c r="D262" s="357" t="s">
        <v>618</v>
      </c>
      <c r="E262" s="372"/>
      <c r="F262" s="355"/>
    </row>
    <row r="263" spans="2:6" ht="38.25" x14ac:dyDescent="0.7">
      <c r="B263" s="575"/>
      <c r="C263" s="422" t="s">
        <v>600</v>
      </c>
      <c r="D263" s="357" t="s">
        <v>619</v>
      </c>
      <c r="E263" s="356" t="s">
        <v>832</v>
      </c>
      <c r="F263" s="355" t="s">
        <v>833</v>
      </c>
    </row>
    <row r="264" spans="2:6" ht="75" x14ac:dyDescent="0.7">
      <c r="B264" s="575"/>
      <c r="C264" s="422" t="s">
        <v>1017</v>
      </c>
      <c r="D264" s="357" t="s">
        <v>620</v>
      </c>
      <c r="E264" s="372" t="s">
        <v>834</v>
      </c>
      <c r="F264" s="355" t="s">
        <v>817</v>
      </c>
    </row>
    <row r="265" spans="2:6" ht="75" x14ac:dyDescent="0.7">
      <c r="B265" s="575"/>
      <c r="C265" s="422" t="s">
        <v>1018</v>
      </c>
      <c r="D265" s="357" t="s">
        <v>621</v>
      </c>
      <c r="E265" s="372" t="s">
        <v>835</v>
      </c>
      <c r="F265" s="355" t="s">
        <v>819</v>
      </c>
    </row>
    <row r="266" spans="2:6" ht="75" x14ac:dyDescent="0.7">
      <c r="B266" s="575"/>
      <c r="C266" s="422" t="s">
        <v>1019</v>
      </c>
      <c r="D266" s="357" t="s">
        <v>622</v>
      </c>
      <c r="E266" s="372" t="s">
        <v>836</v>
      </c>
      <c r="F266" s="355" t="s">
        <v>821</v>
      </c>
    </row>
    <row r="267" spans="2:6" ht="110.25" x14ac:dyDescent="0.7">
      <c r="B267" s="575"/>
      <c r="C267" s="422" t="s">
        <v>609</v>
      </c>
      <c r="D267" s="357" t="s">
        <v>623</v>
      </c>
      <c r="E267" s="372" t="s">
        <v>837</v>
      </c>
      <c r="F267" s="355" t="s">
        <v>823</v>
      </c>
    </row>
    <row r="268" spans="2:6" ht="76.5" x14ac:dyDescent="0.7">
      <c r="B268" s="575"/>
      <c r="C268" s="360" t="s">
        <v>1046</v>
      </c>
      <c r="D268" s="357" t="s">
        <v>624</v>
      </c>
      <c r="E268" s="372" t="s">
        <v>838</v>
      </c>
      <c r="F268" s="355" t="s">
        <v>825</v>
      </c>
    </row>
    <row r="269" spans="2:6" ht="38.25" hidden="1" x14ac:dyDescent="0.5">
      <c r="B269" s="577" t="s">
        <v>133</v>
      </c>
      <c r="C269" s="578"/>
      <c r="D269" s="578"/>
      <c r="E269" s="578"/>
      <c r="F269" s="579"/>
    </row>
    <row r="270" spans="2:6" ht="110.25" hidden="1" x14ac:dyDescent="0.7">
      <c r="B270" s="571" t="s">
        <v>390</v>
      </c>
      <c r="C270" s="422" t="s">
        <v>396</v>
      </c>
      <c r="D270" s="359" t="s">
        <v>397</v>
      </c>
      <c r="E270" s="374" t="s">
        <v>403</v>
      </c>
      <c r="F270" s="358" t="s">
        <v>409</v>
      </c>
    </row>
    <row r="271" spans="2:6" ht="110.25" hidden="1" x14ac:dyDescent="0.7">
      <c r="B271" s="571"/>
      <c r="C271" s="422" t="s">
        <v>391</v>
      </c>
      <c r="D271" s="359" t="s">
        <v>398</v>
      </c>
      <c r="E271" s="374" t="s">
        <v>404</v>
      </c>
      <c r="F271" s="358" t="s">
        <v>409</v>
      </c>
    </row>
    <row r="272" spans="2:6" ht="110.25" hidden="1" x14ac:dyDescent="0.7">
      <c r="B272" s="571"/>
      <c r="C272" s="422" t="s">
        <v>392</v>
      </c>
      <c r="D272" s="359" t="s">
        <v>399</v>
      </c>
      <c r="E272" s="374" t="s">
        <v>405</v>
      </c>
      <c r="F272" s="358" t="s">
        <v>409</v>
      </c>
    </row>
    <row r="273" spans="2:6" ht="110.25" hidden="1" x14ac:dyDescent="0.7">
      <c r="B273" s="571"/>
      <c r="C273" s="422" t="s">
        <v>393</v>
      </c>
      <c r="D273" s="359" t="s">
        <v>400</v>
      </c>
      <c r="E273" s="374" t="s">
        <v>406</v>
      </c>
      <c r="F273" s="358" t="s">
        <v>409</v>
      </c>
    </row>
    <row r="274" spans="2:6" ht="110.25" hidden="1" x14ac:dyDescent="0.7">
      <c r="B274" s="571"/>
      <c r="C274" s="422" t="s">
        <v>394</v>
      </c>
      <c r="D274" s="359" t="s">
        <v>401</v>
      </c>
      <c r="E274" s="374" t="s">
        <v>407</v>
      </c>
      <c r="F274" s="358" t="s">
        <v>409</v>
      </c>
    </row>
    <row r="275" spans="2:6" ht="147" hidden="1" x14ac:dyDescent="0.7">
      <c r="B275" s="571"/>
      <c r="C275" s="422" t="s">
        <v>395</v>
      </c>
      <c r="D275" s="359" t="s">
        <v>402</v>
      </c>
      <c r="E275" s="374" t="s">
        <v>408</v>
      </c>
      <c r="F275" s="358" t="s">
        <v>409</v>
      </c>
    </row>
    <row r="276" spans="2:6" ht="110.25" hidden="1" x14ac:dyDescent="0.7">
      <c r="B276" s="569" t="s">
        <v>27</v>
      </c>
      <c r="C276" s="422" t="s">
        <v>345</v>
      </c>
      <c r="D276" s="357" t="s">
        <v>305</v>
      </c>
      <c r="E276" s="374" t="s">
        <v>73</v>
      </c>
      <c r="F276" s="358" t="s">
        <v>306</v>
      </c>
    </row>
    <row r="277" spans="2:6" ht="73.5" hidden="1" x14ac:dyDescent="0.7">
      <c r="B277" s="569"/>
      <c r="C277" s="422" t="s">
        <v>599</v>
      </c>
      <c r="D277" s="357" t="s">
        <v>450</v>
      </c>
      <c r="E277" s="374" t="s">
        <v>456</v>
      </c>
      <c r="F277" s="358" t="s">
        <v>458</v>
      </c>
    </row>
    <row r="278" spans="2:6" ht="73.5" hidden="1" x14ac:dyDescent="0.7">
      <c r="B278" s="569"/>
      <c r="C278" s="422" t="s">
        <v>454</v>
      </c>
      <c r="D278" s="357" t="s">
        <v>451</v>
      </c>
      <c r="E278" s="374" t="s">
        <v>457</v>
      </c>
      <c r="F278" s="358" t="s">
        <v>458</v>
      </c>
    </row>
    <row r="279" spans="2:6" ht="409.5" hidden="1" x14ac:dyDescent="0.7">
      <c r="B279" s="569"/>
      <c r="C279" s="422" t="s">
        <v>447</v>
      </c>
      <c r="D279" s="357" t="s">
        <v>452</v>
      </c>
      <c r="E279" s="374" t="s">
        <v>448</v>
      </c>
      <c r="F279" s="358" t="s">
        <v>315</v>
      </c>
    </row>
    <row r="280" spans="2:6" ht="147" hidden="1" x14ac:dyDescent="0.7">
      <c r="B280" s="569"/>
      <c r="C280" s="422" t="s">
        <v>449</v>
      </c>
      <c r="D280" s="357" t="s">
        <v>453</v>
      </c>
      <c r="E280" s="374" t="s">
        <v>455</v>
      </c>
      <c r="F280" s="358" t="s">
        <v>459</v>
      </c>
    </row>
    <row r="281" spans="2:6" ht="38.25" hidden="1" x14ac:dyDescent="0.7">
      <c r="B281" s="569"/>
      <c r="C281" s="462" t="s">
        <v>461</v>
      </c>
      <c r="D281" s="514" t="s">
        <v>307</v>
      </c>
      <c r="E281" s="372"/>
      <c r="F281" s="355"/>
    </row>
    <row r="282" spans="2:6" ht="73.5" hidden="1" x14ac:dyDescent="0.7">
      <c r="B282" s="569" t="s">
        <v>1007</v>
      </c>
      <c r="C282" s="422" t="s">
        <v>317</v>
      </c>
      <c r="D282" s="357" t="s">
        <v>308</v>
      </c>
      <c r="E282" s="374" t="s">
        <v>80</v>
      </c>
      <c r="F282" s="358" t="s">
        <v>316</v>
      </c>
    </row>
    <row r="283" spans="2:6" ht="73.5" hidden="1" x14ac:dyDescent="0.7">
      <c r="B283" s="569"/>
      <c r="C283" s="422" t="s">
        <v>553</v>
      </c>
      <c r="D283" s="357" t="s">
        <v>309</v>
      </c>
      <c r="E283" s="374" t="s">
        <v>79</v>
      </c>
      <c r="F283" s="358" t="s">
        <v>316</v>
      </c>
    </row>
    <row r="284" spans="2:6" ht="38.25" hidden="1" x14ac:dyDescent="0.7">
      <c r="B284" s="569"/>
      <c r="C284" s="422" t="s">
        <v>346</v>
      </c>
      <c r="D284" s="357" t="s">
        <v>310</v>
      </c>
      <c r="E284" s="374" t="s">
        <v>78</v>
      </c>
      <c r="F284" s="358" t="s">
        <v>316</v>
      </c>
    </row>
    <row r="285" spans="2:6" ht="147" hidden="1" x14ac:dyDescent="0.7">
      <c r="B285" s="569"/>
      <c r="C285" s="422" t="s">
        <v>318</v>
      </c>
      <c r="D285" s="357" t="s">
        <v>311</v>
      </c>
      <c r="E285" s="374" t="s">
        <v>74</v>
      </c>
      <c r="F285" s="358"/>
    </row>
    <row r="286" spans="2:6" ht="73.5" hidden="1" x14ac:dyDescent="0.7">
      <c r="B286" s="569"/>
      <c r="C286" s="422" t="s">
        <v>554</v>
      </c>
      <c r="D286" s="357" t="s">
        <v>312</v>
      </c>
      <c r="E286" s="374" t="s">
        <v>75</v>
      </c>
      <c r="F286" s="358" t="s">
        <v>316</v>
      </c>
    </row>
    <row r="287" spans="2:6" ht="73.5" hidden="1" x14ac:dyDescent="0.7">
      <c r="B287" s="569"/>
      <c r="C287" s="422" t="s">
        <v>319</v>
      </c>
      <c r="D287" s="357" t="s">
        <v>313</v>
      </c>
      <c r="E287" s="374" t="s">
        <v>76</v>
      </c>
      <c r="F287" s="358" t="s">
        <v>316</v>
      </c>
    </row>
    <row r="288" spans="2:6" ht="38.25" hidden="1" x14ac:dyDescent="0.7">
      <c r="B288" s="569"/>
      <c r="C288" s="422" t="s">
        <v>320</v>
      </c>
      <c r="D288" s="357" t="s">
        <v>314</v>
      </c>
      <c r="E288" s="374" t="s">
        <v>77</v>
      </c>
      <c r="F288" s="358" t="s">
        <v>316</v>
      </c>
    </row>
    <row r="289" spans="2:39" ht="38.25" x14ac:dyDescent="0.5">
      <c r="B289" s="577" t="s">
        <v>581</v>
      </c>
      <c r="C289" s="578"/>
      <c r="D289" s="578"/>
      <c r="E289" s="578"/>
      <c r="F289" s="579"/>
    </row>
    <row r="290" spans="2:39" ht="73.5" x14ac:dyDescent="0.7">
      <c r="B290" s="580" t="s">
        <v>525</v>
      </c>
      <c r="C290" s="422" t="s">
        <v>526</v>
      </c>
      <c r="D290" s="357" t="s">
        <v>529</v>
      </c>
      <c r="E290" s="372" t="s">
        <v>839</v>
      </c>
      <c r="F290" s="355" t="s">
        <v>840</v>
      </c>
    </row>
    <row r="291" spans="2:39" ht="73.5" x14ac:dyDescent="0.7">
      <c r="B291" s="580"/>
      <c r="C291" s="423" t="s">
        <v>552</v>
      </c>
      <c r="D291" s="357" t="s">
        <v>539</v>
      </c>
      <c r="E291" s="372" t="s">
        <v>841</v>
      </c>
      <c r="F291" s="355" t="s">
        <v>842</v>
      </c>
    </row>
    <row r="292" spans="2:39" ht="38.25" x14ac:dyDescent="0.7">
      <c r="B292" s="580"/>
      <c r="C292" s="457" t="s">
        <v>527</v>
      </c>
      <c r="D292" s="357" t="s">
        <v>540</v>
      </c>
      <c r="E292" s="372" t="s">
        <v>843</v>
      </c>
      <c r="F292" s="355"/>
    </row>
    <row r="293" spans="2:39" ht="38.25" x14ac:dyDescent="0.7">
      <c r="B293" s="580"/>
      <c r="C293" s="423" t="s">
        <v>549</v>
      </c>
      <c r="D293" s="357" t="s">
        <v>541</v>
      </c>
      <c r="E293" s="361" t="s">
        <v>844</v>
      </c>
      <c r="F293" s="355" t="s">
        <v>842</v>
      </c>
    </row>
    <row r="294" spans="2:39" ht="76.5" x14ac:dyDescent="0.7">
      <c r="B294" s="580"/>
      <c r="C294" s="457" t="s">
        <v>528</v>
      </c>
      <c r="D294" s="357" t="s">
        <v>542</v>
      </c>
      <c r="E294" s="372" t="s">
        <v>845</v>
      </c>
      <c r="F294" s="355"/>
    </row>
    <row r="295" spans="2:39" ht="73.5" x14ac:dyDescent="0.7">
      <c r="B295" s="580"/>
      <c r="C295" s="423" t="s">
        <v>551</v>
      </c>
      <c r="D295" s="357" t="s">
        <v>543</v>
      </c>
      <c r="E295" s="372" t="s">
        <v>846</v>
      </c>
      <c r="F295" s="355" t="s">
        <v>842</v>
      </c>
    </row>
    <row r="296" spans="2:39" ht="76.5" x14ac:dyDescent="0.7">
      <c r="B296" s="580"/>
      <c r="C296" s="457" t="s">
        <v>544</v>
      </c>
      <c r="D296" s="357" t="s">
        <v>545</v>
      </c>
      <c r="E296" s="372" t="s">
        <v>847</v>
      </c>
      <c r="F296" s="355"/>
    </row>
    <row r="297" spans="2:39" ht="73.5" x14ac:dyDescent="0.7">
      <c r="B297" s="580"/>
      <c r="C297" s="423" t="s">
        <v>548</v>
      </c>
      <c r="D297" s="357" t="s">
        <v>546</v>
      </c>
      <c r="E297" s="372" t="s">
        <v>848</v>
      </c>
      <c r="F297" s="355" t="s">
        <v>849</v>
      </c>
    </row>
    <row r="298" spans="2:39" ht="73.5" x14ac:dyDescent="0.7">
      <c r="B298" s="580"/>
      <c r="C298" s="423" t="s">
        <v>550</v>
      </c>
      <c r="D298" s="357" t="s">
        <v>547</v>
      </c>
      <c r="E298" s="372" t="s">
        <v>850</v>
      </c>
      <c r="F298" s="355" t="s">
        <v>849</v>
      </c>
    </row>
    <row r="299" spans="2:39" ht="76.5" x14ac:dyDescent="0.7">
      <c r="B299" s="580"/>
      <c r="C299" s="457" t="s">
        <v>556</v>
      </c>
      <c r="D299" s="357" t="s">
        <v>555</v>
      </c>
      <c r="E299" s="372" t="s">
        <v>851</v>
      </c>
      <c r="F299" s="355"/>
    </row>
    <row r="300" spans="2:39" ht="36" hidden="1" thickBot="1" x14ac:dyDescent="0.55000000000000004">
      <c r="B300" s="502" t="s">
        <v>1056</v>
      </c>
      <c r="C300" s="502"/>
      <c r="D300" s="515"/>
      <c r="E300" s="502"/>
      <c r="F300" s="503"/>
      <c r="G300" s="504"/>
      <c r="H300" s="504"/>
      <c r="I300" s="504"/>
      <c r="J300" s="504"/>
      <c r="K300" s="504"/>
      <c r="L300" s="504"/>
      <c r="M300" s="504"/>
      <c r="N300" s="504"/>
      <c r="O300" s="504"/>
      <c r="P300" s="504"/>
      <c r="Q300" s="504"/>
      <c r="R300" s="504"/>
      <c r="S300" s="504"/>
      <c r="T300" s="504"/>
      <c r="U300" s="504"/>
      <c r="V300" s="504"/>
      <c r="W300" s="504"/>
      <c r="X300" s="504"/>
      <c r="Y300" s="504"/>
      <c r="Z300" s="504"/>
      <c r="AA300" s="504"/>
      <c r="AB300" s="504"/>
      <c r="AC300" s="504"/>
      <c r="AD300" s="504"/>
      <c r="AE300" s="504"/>
      <c r="AF300" s="504"/>
      <c r="AG300" s="504"/>
      <c r="AH300" s="509"/>
      <c r="AI300" s="509"/>
      <c r="AJ300" s="509"/>
      <c r="AK300" s="509"/>
      <c r="AL300" s="509"/>
      <c r="AM300" s="509"/>
    </row>
    <row r="301" spans="2:39" ht="73.5" hidden="1" x14ac:dyDescent="0.7">
      <c r="B301" s="510" t="s">
        <v>1058</v>
      </c>
      <c r="C301" s="473" t="s">
        <v>1057</v>
      </c>
      <c r="D301" s="357" t="s">
        <v>1055</v>
      </c>
      <c r="E301" s="372" t="s">
        <v>1068</v>
      </c>
      <c r="F301" s="355" t="s">
        <v>1069</v>
      </c>
      <c r="G301" s="505"/>
      <c r="H301" s="505"/>
      <c r="I301" s="505"/>
      <c r="J301" s="505"/>
      <c r="K301" s="506"/>
      <c r="L301" s="506"/>
      <c r="M301" s="506"/>
      <c r="N301" s="506"/>
      <c r="O301" s="506"/>
      <c r="P301" s="506"/>
      <c r="Q301" s="506"/>
      <c r="R301" s="506"/>
      <c r="S301" s="506"/>
      <c r="T301" s="506"/>
      <c r="U301" s="506"/>
      <c r="V301" s="506"/>
      <c r="W301" s="506"/>
      <c r="X301" s="506"/>
      <c r="Y301" s="506"/>
      <c r="Z301" s="506"/>
      <c r="AA301" s="506"/>
      <c r="AB301" s="506"/>
      <c r="AC301" s="506"/>
      <c r="AD301" s="506"/>
      <c r="AE301" s="506"/>
      <c r="AF301" s="507"/>
      <c r="AG301" s="508"/>
      <c r="AH301" s="509"/>
      <c r="AI301" s="509"/>
      <c r="AJ301" s="509"/>
      <c r="AK301" s="509"/>
      <c r="AL301" s="509"/>
      <c r="AM301" s="509"/>
    </row>
  </sheetData>
  <autoFilter ref="B2:F299" xr:uid="{B4420F47-1321-421B-B7C8-E50E9A19F5B4}"/>
  <mergeCells count="76">
    <mergeCell ref="B159:B160"/>
    <mergeCell ref="B1:E1"/>
    <mergeCell ref="B132:B140"/>
    <mergeCell ref="B141:B149"/>
    <mergeCell ref="B150:B158"/>
    <mergeCell ref="B123:B131"/>
    <mergeCell ref="B122:F122"/>
    <mergeCell ref="B87:F87"/>
    <mergeCell ref="B88:B89"/>
    <mergeCell ref="B90:B91"/>
    <mergeCell ref="B92:B93"/>
    <mergeCell ref="B94:B95"/>
    <mergeCell ref="B96:B97"/>
    <mergeCell ref="B98:B99"/>
    <mergeCell ref="B100:F100"/>
    <mergeCell ref="B101:B107"/>
    <mergeCell ref="B289:F289"/>
    <mergeCell ref="B290:B299"/>
    <mergeCell ref="B247:B260"/>
    <mergeCell ref="B261:B268"/>
    <mergeCell ref="B269:F269"/>
    <mergeCell ref="B270:B275"/>
    <mergeCell ref="B276:B281"/>
    <mergeCell ref="B282:B288"/>
    <mergeCell ref="B239:B246"/>
    <mergeCell ref="B203:B205"/>
    <mergeCell ref="B206:F206"/>
    <mergeCell ref="B207:B209"/>
    <mergeCell ref="B210:B211"/>
    <mergeCell ref="B212:B213"/>
    <mergeCell ref="B214:B216"/>
    <mergeCell ref="B218:B220"/>
    <mergeCell ref="B221:F221"/>
    <mergeCell ref="B223:B228"/>
    <mergeCell ref="B231:B232"/>
    <mergeCell ref="B233:B238"/>
    <mergeCell ref="B200:B202"/>
    <mergeCell ref="B161:B162"/>
    <mergeCell ref="B163:B169"/>
    <mergeCell ref="B170:B173"/>
    <mergeCell ref="B174:F174"/>
    <mergeCell ref="B175:B180"/>
    <mergeCell ref="B181:B184"/>
    <mergeCell ref="B185:B188"/>
    <mergeCell ref="B189:B194"/>
    <mergeCell ref="B195:B196"/>
    <mergeCell ref="B197:B199"/>
    <mergeCell ref="B108:B114"/>
    <mergeCell ref="B115:B121"/>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5">
    <cfRule type="cellIs" dxfId="950" priority="8" operator="equal">
      <formula>0</formula>
    </cfRule>
  </conditionalFormatting>
  <conditionalFormatting sqref="F123">
    <cfRule type="cellIs" dxfId="949" priority="15" operator="equal">
      <formula>0</formula>
    </cfRule>
  </conditionalFormatting>
  <conditionalFormatting sqref="D123:D158">
    <cfRule type="duplicateValues" dxfId="948" priority="10"/>
  </conditionalFormatting>
  <conditionalFormatting sqref="D123:D158">
    <cfRule type="duplicateValues" dxfId="947" priority="11"/>
  </conditionalFormatting>
  <conditionalFormatting sqref="D123:D158">
    <cfRule type="duplicateValues" dxfId="946" priority="9"/>
  </conditionalFormatting>
  <conditionalFormatting sqref="K301:AA301">
    <cfRule type="expression" dxfId="945" priority="5">
      <formula>K301&gt;K299</formula>
    </cfRule>
  </conditionalFormatting>
  <conditionalFormatting sqref="AF301">
    <cfRule type="notContainsBlanks" dxfId="944" priority="7">
      <formula>LEN(TRIM(AF301))&gt;0</formula>
    </cfRule>
  </conditionalFormatting>
  <conditionalFormatting sqref="K301:AA301">
    <cfRule type="expression" dxfId="943" priority="3">
      <formula>K299&gt;K301</formula>
    </cfRule>
  </conditionalFormatting>
  <conditionalFormatting sqref="AB301:AE301">
    <cfRule type="expression" dxfId="942" priority="2">
      <formula>AB301&gt;AB299</formula>
    </cfRule>
  </conditionalFormatting>
  <conditionalFormatting sqref="AB301:AE301">
    <cfRule type="expression" dxfId="941" priority="1">
      <formula>AB299&gt;AB301</formula>
    </cfRule>
  </conditionalFormatting>
  <dataValidations disablePrompts="1" count="2">
    <dataValidation type="whole" allowBlank="1" showInputMessage="1" showErrorMessage="1" errorTitle="Non-Numeric or abnormal value" error="Enter Numbers only between 0 and 99999" sqref="E123:F124 E256:F256 E9:F13 G301:AB301" xr:uid="{A98F9822-88B5-4A5E-BF36-2A1A3402C309}">
      <formula1>0</formula1>
      <formula2>99999</formula2>
    </dataValidation>
    <dataValidation allowBlank="1" showInputMessage="1" showErrorMessage="1" errorTitle="Non-Numeric or abnormal value" error="Enter Numbers only between 0 and 99999" sqref="E125:F158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5"/>
  <sheetViews>
    <sheetView showGridLines="0" tabSelected="1" showRuler="0" zoomScale="50" zoomScaleNormal="50" zoomScaleSheetLayoutView="68" zoomScalePageLayoutView="21" workbookViewId="0">
      <pane xSplit="3" ySplit="21" topLeftCell="D104" activePane="bottomRight" state="frozen"/>
      <selection pane="topRight" activeCell="D1" sqref="D1"/>
      <selection pane="bottomLeft" activeCell="A22" sqref="A22"/>
      <selection pane="bottomRight" activeCell="I106" sqref="I106"/>
    </sheetView>
  </sheetViews>
  <sheetFormatPr defaultColWidth="9.140625" defaultRowHeight="30.75" x14ac:dyDescent="0.55000000000000004"/>
  <cols>
    <col min="1" max="1" width="37" style="547" customWidth="1" collapsed="1"/>
    <col min="2" max="2" width="98.140625" style="210" customWidth="1" collapsed="1"/>
    <col min="3" max="3" width="11" style="1" bestFit="1" customWidth="1" collapsed="1"/>
    <col min="4" max="27" width="7.5703125" style="2" customWidth="1" collapsed="1"/>
    <col min="28" max="28" width="13" style="2" customWidth="1" collapsed="1"/>
    <col min="29" max="29" width="9.7109375" style="9" customWidth="1" collapsed="1"/>
    <col min="30" max="30" width="31.85546875" style="183" customWidth="1" collapsed="1"/>
    <col min="31" max="31" width="31.5703125" style="2" hidden="1" customWidth="1" collapsed="1"/>
    <col min="32" max="32" width="36.7109375" style="2" bestFit="1" customWidth="1" collapsed="1"/>
    <col min="33" max="34" width="9.140625" style="310" collapsed="1"/>
    <col min="35" max="16384" width="9.140625" style="2" collapsed="1"/>
  </cols>
  <sheetData>
    <row r="1" spans="1:34" s="5" customFormat="1" ht="51" customHeight="1" thickBot="1" x14ac:dyDescent="0.6">
      <c r="A1" s="537" t="s">
        <v>383</v>
      </c>
      <c r="B1" s="679" t="s">
        <v>464</v>
      </c>
      <c r="C1" s="680"/>
      <c r="D1" s="707" t="s">
        <v>143</v>
      </c>
      <c r="E1" s="708"/>
      <c r="F1" s="709" t="s">
        <v>465</v>
      </c>
      <c r="G1" s="710"/>
      <c r="H1" s="707" t="s">
        <v>382</v>
      </c>
      <c r="I1" s="708"/>
      <c r="J1" s="708"/>
      <c r="K1" s="709" t="s">
        <v>466</v>
      </c>
      <c r="L1" s="709"/>
      <c r="M1" s="709"/>
      <c r="N1" s="709"/>
      <c r="O1" s="709"/>
      <c r="P1" s="709"/>
      <c r="Q1" s="709"/>
      <c r="R1" s="708" t="s">
        <v>389</v>
      </c>
      <c r="S1" s="708"/>
      <c r="T1" s="709" t="s">
        <v>467</v>
      </c>
      <c r="U1" s="709"/>
      <c r="V1" s="710"/>
      <c r="W1" s="707" t="s">
        <v>384</v>
      </c>
      <c r="X1" s="708"/>
      <c r="Y1" s="105" t="s">
        <v>468</v>
      </c>
      <c r="Z1" s="106" t="s">
        <v>385</v>
      </c>
      <c r="AA1" s="709">
        <v>2020</v>
      </c>
      <c r="AB1" s="710"/>
      <c r="AC1" s="688" t="s">
        <v>386</v>
      </c>
      <c r="AD1" s="689"/>
      <c r="AE1" s="689"/>
      <c r="AF1" s="689"/>
      <c r="AG1" s="403">
        <v>0</v>
      </c>
      <c r="AH1" s="307"/>
    </row>
    <row r="2" spans="1:34" s="3" customFormat="1" ht="30" hidden="1" x14ac:dyDescent="0.65">
      <c r="A2" s="690" t="s">
        <v>123</v>
      </c>
      <c r="B2" s="690"/>
      <c r="C2" s="690"/>
      <c r="D2" s="690"/>
      <c r="E2" s="690"/>
      <c r="F2" s="690"/>
      <c r="G2" s="690"/>
      <c r="H2" s="690"/>
      <c r="I2" s="690"/>
      <c r="J2" s="690"/>
      <c r="K2" s="690"/>
      <c r="L2" s="690"/>
      <c r="M2" s="690"/>
      <c r="N2" s="690"/>
      <c r="O2" s="690"/>
      <c r="P2" s="690"/>
      <c r="Q2" s="690"/>
      <c r="R2" s="690"/>
      <c r="S2" s="690"/>
      <c r="T2" s="690"/>
      <c r="U2" s="690"/>
      <c r="V2" s="690"/>
      <c r="W2" s="690"/>
      <c r="X2" s="690"/>
      <c r="Y2" s="690"/>
      <c r="Z2" s="690"/>
      <c r="AA2" s="690"/>
      <c r="AB2" s="690"/>
      <c r="AC2" s="690"/>
      <c r="AD2" s="181"/>
      <c r="AG2" s="403">
        <v>1</v>
      </c>
      <c r="AH2" s="308"/>
    </row>
    <row r="3" spans="1:34" s="3" customFormat="1" ht="32.25" hidden="1" x14ac:dyDescent="0.65">
      <c r="A3" s="538" t="s">
        <v>723</v>
      </c>
      <c r="B3" s="208"/>
      <c r="C3" s="6"/>
      <c r="D3" s="10" t="s">
        <v>860</v>
      </c>
      <c r="E3" s="11">
        <v>1</v>
      </c>
      <c r="F3" s="12" t="s">
        <v>861</v>
      </c>
      <c r="G3" s="13">
        <v>1</v>
      </c>
      <c r="H3" s="12" t="s">
        <v>862</v>
      </c>
      <c r="I3" s="13">
        <v>1</v>
      </c>
      <c r="AC3" s="111"/>
      <c r="AD3" s="182"/>
      <c r="AG3" s="403">
        <v>2</v>
      </c>
      <c r="AH3" s="308"/>
    </row>
    <row r="4" spans="1:34" s="14" customFormat="1" ht="39.75" customHeight="1" thickBot="1" x14ac:dyDescent="0.9">
      <c r="A4" s="697" t="s">
        <v>1063</v>
      </c>
      <c r="B4" s="698"/>
      <c r="C4" s="698"/>
      <c r="D4" s="713" t="s">
        <v>1048</v>
      </c>
      <c r="E4" s="713"/>
      <c r="F4" s="714"/>
      <c r="G4" s="714"/>
      <c r="H4" s="714"/>
      <c r="I4" s="714"/>
      <c r="J4" s="714"/>
      <c r="K4" s="714"/>
      <c r="L4" s="714"/>
      <c r="M4" s="714"/>
      <c r="N4" s="714"/>
      <c r="O4" s="714"/>
      <c r="P4" s="714"/>
      <c r="Q4" s="714"/>
      <c r="R4" s="714"/>
      <c r="S4" s="714"/>
      <c r="T4" s="714"/>
      <c r="U4" s="714"/>
      <c r="V4" s="714"/>
      <c r="W4" s="715" t="s">
        <v>1049</v>
      </c>
      <c r="X4" s="715"/>
      <c r="Y4" s="715"/>
      <c r="Z4" s="715"/>
      <c r="AA4" s="715"/>
      <c r="AB4" s="715"/>
      <c r="AC4" s="715"/>
      <c r="AD4" s="715"/>
      <c r="AE4" s="715"/>
      <c r="AF4" s="715"/>
      <c r="AG4" s="403">
        <v>3</v>
      </c>
      <c r="AH4" s="309"/>
    </row>
    <row r="5" spans="1:34" s="7" customFormat="1" ht="26.25" hidden="1" customHeight="1" x14ac:dyDescent="0.5">
      <c r="A5" s="612" t="s">
        <v>37</v>
      </c>
      <c r="B5" s="674" t="s">
        <v>347</v>
      </c>
      <c r="C5" s="677" t="s">
        <v>328</v>
      </c>
      <c r="D5" s="623" t="s">
        <v>0</v>
      </c>
      <c r="E5" s="623"/>
      <c r="F5" s="623" t="s">
        <v>1</v>
      </c>
      <c r="G5" s="623"/>
      <c r="H5" s="623" t="s">
        <v>2</v>
      </c>
      <c r="I5" s="623"/>
      <c r="J5" s="623" t="s">
        <v>3</v>
      </c>
      <c r="K5" s="623"/>
      <c r="L5" s="623" t="s">
        <v>4</v>
      </c>
      <c r="M5" s="623"/>
      <c r="N5" s="623" t="s">
        <v>5</v>
      </c>
      <c r="O5" s="623"/>
      <c r="P5" s="623" t="s">
        <v>6</v>
      </c>
      <c r="Q5" s="623"/>
      <c r="R5" s="623" t="s">
        <v>7</v>
      </c>
      <c r="S5" s="623"/>
      <c r="T5" s="623" t="s">
        <v>8</v>
      </c>
      <c r="U5" s="623"/>
      <c r="V5" s="623" t="s">
        <v>23</v>
      </c>
      <c r="W5" s="623"/>
      <c r="X5" s="623" t="s">
        <v>24</v>
      </c>
      <c r="Y5" s="623"/>
      <c r="Z5" s="623" t="s">
        <v>9</v>
      </c>
      <c r="AA5" s="645"/>
      <c r="AB5" s="693" t="s">
        <v>19</v>
      </c>
      <c r="AC5" s="665" t="s">
        <v>381</v>
      </c>
      <c r="AD5" s="418" t="s">
        <v>381</v>
      </c>
      <c r="AE5" s="642" t="s">
        <v>388</v>
      </c>
      <c r="AF5" s="419" t="s">
        <v>1030</v>
      </c>
      <c r="AG5" s="404">
        <v>4</v>
      </c>
      <c r="AH5" s="310"/>
    </row>
    <row r="6" spans="1:34" s="7" customFormat="1" ht="27" hidden="1" customHeight="1" thickBot="1" x14ac:dyDescent="0.55000000000000004">
      <c r="A6" s="613"/>
      <c r="B6" s="675"/>
      <c r="C6" s="678"/>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694"/>
      <c r="AC6" s="692"/>
      <c r="AD6" s="420" t="str">
        <f>IF(LEN(A334)-LEN(SUBSTITUTE(A334,"*",""))&gt;0," Total Errors are "&amp;(LEN(A334)-LEN(SUBSTITUTE(A334,"*",""))),"")</f>
        <v/>
      </c>
      <c r="AE6" s="643"/>
      <c r="AF6" s="421" t="str">
        <f>IF(LEN(A356)-LEN(SUBSTITUTE(A356,"*",""))&gt;0," Total Warnings are "&amp;(LEN(A356)-LEN(SUBSTITUTE(A356,"*",""))),"")</f>
        <v/>
      </c>
      <c r="AG6" s="404">
        <v>5</v>
      </c>
      <c r="AH6" s="310"/>
    </row>
    <row r="7" spans="1:34" ht="36" hidden="1" thickBot="1" x14ac:dyDescent="0.55000000000000004">
      <c r="A7" s="711" t="s">
        <v>471</v>
      </c>
      <c r="B7" s="712"/>
      <c r="C7" s="712"/>
      <c r="D7" s="712"/>
      <c r="E7" s="712"/>
      <c r="F7" s="712"/>
      <c r="G7" s="712"/>
      <c r="H7" s="712"/>
      <c r="I7" s="712"/>
      <c r="J7" s="712"/>
      <c r="K7" s="712"/>
      <c r="L7" s="712"/>
      <c r="M7" s="712"/>
      <c r="N7" s="712"/>
      <c r="O7" s="712"/>
      <c r="P7" s="712"/>
      <c r="Q7" s="712"/>
      <c r="R7" s="712"/>
      <c r="S7" s="712"/>
      <c r="T7" s="712"/>
      <c r="U7" s="712"/>
      <c r="V7" s="712"/>
      <c r="W7" s="712"/>
      <c r="X7" s="712"/>
      <c r="Y7" s="712"/>
      <c r="Z7" s="712"/>
      <c r="AA7" s="712"/>
      <c r="AB7" s="712"/>
      <c r="AC7" s="712"/>
      <c r="AD7" s="603"/>
      <c r="AE7" s="712"/>
      <c r="AF7" s="604"/>
      <c r="AG7" s="404">
        <v>6</v>
      </c>
    </row>
    <row r="8" spans="1:34" ht="31.15" hidden="1" customHeight="1" thickBot="1" x14ac:dyDescent="0.55000000000000004">
      <c r="A8" s="627" t="s">
        <v>875</v>
      </c>
      <c r="B8" s="290" t="s">
        <v>652</v>
      </c>
      <c r="C8" s="493" t="s">
        <v>1075</v>
      </c>
      <c r="D8" s="435"/>
      <c r="E8" s="435"/>
      <c r="F8" s="435"/>
      <c r="G8" s="528"/>
      <c r="H8" s="529"/>
      <c r="I8" s="530"/>
      <c r="J8" s="530"/>
      <c r="K8" s="530"/>
      <c r="L8" s="530"/>
      <c r="M8" s="530"/>
      <c r="N8" s="530"/>
      <c r="O8" s="530"/>
      <c r="P8" s="530"/>
      <c r="Q8" s="530"/>
      <c r="R8" s="530"/>
      <c r="S8" s="531"/>
      <c r="T8" s="520"/>
      <c r="U8" s="521"/>
      <c r="V8" s="521"/>
      <c r="W8" s="521"/>
      <c r="X8" s="521"/>
      <c r="Y8" s="522"/>
      <c r="Z8" s="518"/>
      <c r="AA8" s="516"/>
      <c r="AB8" s="224">
        <f t="shared" ref="AB8:AB10" si="0">SUM(D8:AA8)</f>
        <v>0</v>
      </c>
      <c r="AC8" s="79" t="str">
        <f>CONCATENATE(IF(AB9&gt;AB8," * No Screened in OPD "&amp;$AB$20&amp;" is more than Number Seen at OPD "&amp;CHAR(10),""))</f>
        <v/>
      </c>
      <c r="AD8" s="628" t="str">
        <f>CONCATENATE(AC8,AC9,AC10,AC11,AC12,AC13,AC15,AC16,AC17,AC18,AC14)</f>
        <v/>
      </c>
      <c r="AE8" s="80"/>
      <c r="AF8" s="631" t="str">
        <f>CONCATENATE(AE8,AE9,AE10,AE11,AE12,AE13,AE14,AE15,AE16,AE17,AE18)</f>
        <v/>
      </c>
      <c r="AG8" s="404">
        <v>7</v>
      </c>
    </row>
    <row r="9" spans="1:34" ht="31.5" hidden="1" thickBot="1" x14ac:dyDescent="0.55000000000000004">
      <c r="A9" s="625"/>
      <c r="B9" s="315" t="s">
        <v>653</v>
      </c>
      <c r="C9" s="493" t="s">
        <v>1076</v>
      </c>
      <c r="D9" s="435"/>
      <c r="E9" s="435"/>
      <c r="F9" s="435"/>
      <c r="G9" s="528"/>
      <c r="H9" s="532"/>
      <c r="I9" s="516"/>
      <c r="J9" s="516"/>
      <c r="K9" s="516"/>
      <c r="L9" s="516"/>
      <c r="M9" s="516"/>
      <c r="N9" s="516"/>
      <c r="O9" s="516"/>
      <c r="P9" s="516"/>
      <c r="Q9" s="516"/>
      <c r="R9" s="516"/>
      <c r="S9" s="533"/>
      <c r="T9" s="523"/>
      <c r="U9" s="435"/>
      <c r="V9" s="435"/>
      <c r="W9" s="435"/>
      <c r="X9" s="435"/>
      <c r="Y9" s="524"/>
      <c r="Z9" s="518"/>
      <c r="AA9" s="516"/>
      <c r="AB9" s="224">
        <f t="shared" si="0"/>
        <v>0</v>
      </c>
      <c r="AC9" s="79" t="str">
        <f>CONCATENATE(IF(AB10&gt;AB9," * No Eligible for HTS Testing "&amp;$AB$20&amp;" is more than No Screened for HTS Eligibility "&amp;CHAR(10),""))</f>
        <v/>
      </c>
      <c r="AD9" s="629"/>
      <c r="AE9" s="80"/>
      <c r="AF9" s="632"/>
      <c r="AG9" s="404">
        <v>8</v>
      </c>
    </row>
    <row r="10" spans="1:34" ht="31.5" hidden="1" thickBot="1" x14ac:dyDescent="0.55000000000000004">
      <c r="A10" s="626"/>
      <c r="B10" s="292" t="s">
        <v>472</v>
      </c>
      <c r="C10" s="493" t="s">
        <v>1077</v>
      </c>
      <c r="D10" s="435"/>
      <c r="E10" s="435"/>
      <c r="F10" s="435"/>
      <c r="G10" s="528"/>
      <c r="H10" s="534"/>
      <c r="I10" s="535"/>
      <c r="J10" s="535"/>
      <c r="K10" s="535"/>
      <c r="L10" s="535"/>
      <c r="M10" s="535"/>
      <c r="N10" s="535"/>
      <c r="O10" s="535"/>
      <c r="P10" s="535"/>
      <c r="Q10" s="535"/>
      <c r="R10" s="535"/>
      <c r="S10" s="536"/>
      <c r="T10" s="525"/>
      <c r="U10" s="526"/>
      <c r="V10" s="526"/>
      <c r="W10" s="526"/>
      <c r="X10" s="526"/>
      <c r="Y10" s="527"/>
      <c r="Z10" s="519"/>
      <c r="AA10" s="517"/>
      <c r="AB10" s="224">
        <f t="shared" si="0"/>
        <v>0</v>
      </c>
      <c r="AC10" s="198"/>
      <c r="AD10" s="629"/>
      <c r="AE10" s="80"/>
      <c r="AF10" s="632"/>
      <c r="AG10" s="404">
        <v>9</v>
      </c>
    </row>
    <row r="11" spans="1:34" ht="31.5" hidden="1" thickBot="1" x14ac:dyDescent="0.55000000000000004">
      <c r="A11" s="624" t="s">
        <v>876</v>
      </c>
      <c r="B11" s="290" t="s">
        <v>885</v>
      </c>
      <c r="C11" s="493" t="s">
        <v>1078</v>
      </c>
      <c r="D11" s="434"/>
      <c r="E11" s="435"/>
      <c r="F11" s="435"/>
      <c r="G11" s="435"/>
      <c r="H11" s="435"/>
      <c r="I11" s="435"/>
      <c r="J11" s="435"/>
      <c r="K11" s="435"/>
      <c r="L11" s="435"/>
      <c r="M11" s="435"/>
      <c r="N11" s="435"/>
      <c r="O11" s="435"/>
      <c r="P11" s="435"/>
      <c r="Q11" s="435"/>
      <c r="R11" s="435"/>
      <c r="S11" s="435"/>
      <c r="T11" s="435"/>
      <c r="U11" s="435"/>
      <c r="V11" s="435"/>
      <c r="W11" s="435"/>
      <c r="X11" s="435"/>
      <c r="Y11" s="435"/>
      <c r="Z11" s="435"/>
      <c r="AA11" s="436"/>
      <c r="AB11" s="437"/>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629"/>
      <c r="AE11" s="80"/>
      <c r="AF11" s="632"/>
      <c r="AG11" s="404">
        <v>10</v>
      </c>
    </row>
    <row r="12" spans="1:34" hidden="1" x14ac:dyDescent="0.5">
      <c r="A12" s="625"/>
      <c r="B12" s="315" t="s">
        <v>653</v>
      </c>
      <c r="C12" s="200" t="s">
        <v>879</v>
      </c>
      <c r="D12" s="429"/>
      <c r="E12" s="424"/>
      <c r="F12" s="424"/>
      <c r="G12" s="424"/>
      <c r="H12" s="424"/>
      <c r="I12" s="424"/>
      <c r="J12" s="424"/>
      <c r="K12" s="424"/>
      <c r="L12" s="424"/>
      <c r="M12" s="424"/>
      <c r="N12" s="424"/>
      <c r="O12" s="424"/>
      <c r="P12" s="424"/>
      <c r="Q12" s="424"/>
      <c r="R12" s="424"/>
      <c r="S12" s="424"/>
      <c r="T12" s="424"/>
      <c r="U12" s="424"/>
      <c r="V12" s="424"/>
      <c r="W12" s="424"/>
      <c r="X12" s="424"/>
      <c r="Y12" s="424"/>
      <c r="Z12" s="424"/>
      <c r="AA12" s="430"/>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629"/>
      <c r="AE12" s="80"/>
      <c r="AF12" s="632"/>
      <c r="AG12" s="404">
        <v>11</v>
      </c>
    </row>
    <row r="13" spans="1:34" ht="31.5" hidden="1" thickBot="1" x14ac:dyDescent="0.55000000000000004">
      <c r="A13" s="626"/>
      <c r="B13" s="292" t="s">
        <v>472</v>
      </c>
      <c r="C13" s="201" t="s">
        <v>880</v>
      </c>
      <c r="D13" s="431"/>
      <c r="E13" s="432"/>
      <c r="F13" s="432"/>
      <c r="G13" s="432"/>
      <c r="H13" s="432"/>
      <c r="I13" s="432"/>
      <c r="J13" s="432"/>
      <c r="K13" s="432"/>
      <c r="L13" s="432"/>
      <c r="M13" s="432"/>
      <c r="N13" s="432"/>
      <c r="O13" s="432"/>
      <c r="P13" s="432"/>
      <c r="Q13" s="432"/>
      <c r="R13" s="432"/>
      <c r="S13" s="432"/>
      <c r="T13" s="432"/>
      <c r="U13" s="432"/>
      <c r="V13" s="432"/>
      <c r="W13" s="432"/>
      <c r="X13" s="432"/>
      <c r="Y13" s="432"/>
      <c r="Z13" s="432"/>
      <c r="AA13" s="433"/>
      <c r="AB13" s="425">
        <f t="shared" si="1"/>
        <v>0</v>
      </c>
      <c r="AC13" s="198"/>
      <c r="AD13" s="629"/>
      <c r="AE13" s="80"/>
      <c r="AF13" s="632"/>
      <c r="AG13" s="404">
        <v>12</v>
      </c>
    </row>
    <row r="14" spans="1:34" s="211" customFormat="1" ht="33" hidden="1" thickBot="1" x14ac:dyDescent="0.55000000000000004">
      <c r="A14" s="539" t="s">
        <v>942</v>
      </c>
      <c r="B14" s="319" t="s">
        <v>887</v>
      </c>
      <c r="C14" s="317" t="s">
        <v>881</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629"/>
      <c r="AE14" s="235"/>
      <c r="AF14" s="632"/>
      <c r="AG14" s="404">
        <v>13</v>
      </c>
      <c r="AH14" s="311"/>
    </row>
    <row r="15" spans="1:34" hidden="1" x14ac:dyDescent="0.5">
      <c r="A15" s="627" t="s">
        <v>877</v>
      </c>
      <c r="B15" s="290" t="s">
        <v>886</v>
      </c>
      <c r="C15" s="202" t="s">
        <v>882</v>
      </c>
      <c r="D15" s="426"/>
      <c r="E15" s="427"/>
      <c r="F15" s="427"/>
      <c r="G15" s="427"/>
      <c r="H15" s="427"/>
      <c r="I15" s="427"/>
      <c r="J15" s="427"/>
      <c r="K15" s="427"/>
      <c r="L15" s="427"/>
      <c r="M15" s="427"/>
      <c r="N15" s="427"/>
      <c r="O15" s="427"/>
      <c r="P15" s="427"/>
      <c r="Q15" s="427"/>
      <c r="R15" s="427"/>
      <c r="S15" s="427"/>
      <c r="T15" s="427"/>
      <c r="U15" s="427"/>
      <c r="V15" s="427"/>
      <c r="W15" s="427"/>
      <c r="X15" s="427"/>
      <c r="Y15" s="427"/>
      <c r="Z15" s="427"/>
      <c r="AA15" s="428"/>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629"/>
      <c r="AE15" s="80"/>
      <c r="AF15" s="632"/>
      <c r="AG15" s="404">
        <v>14</v>
      </c>
    </row>
    <row r="16" spans="1:34" hidden="1" x14ac:dyDescent="0.5">
      <c r="A16" s="625"/>
      <c r="B16" s="291" t="s">
        <v>653</v>
      </c>
      <c r="C16" s="200" t="s">
        <v>883</v>
      </c>
      <c r="D16" s="429"/>
      <c r="E16" s="424"/>
      <c r="F16" s="424"/>
      <c r="G16" s="424"/>
      <c r="H16" s="424"/>
      <c r="I16" s="424"/>
      <c r="J16" s="424"/>
      <c r="K16" s="424"/>
      <c r="L16" s="424"/>
      <c r="M16" s="424"/>
      <c r="N16" s="424"/>
      <c r="O16" s="424"/>
      <c r="P16" s="424"/>
      <c r="Q16" s="424"/>
      <c r="R16" s="424"/>
      <c r="S16" s="424"/>
      <c r="T16" s="424"/>
      <c r="U16" s="424"/>
      <c r="V16" s="424"/>
      <c r="W16" s="424"/>
      <c r="X16" s="424"/>
      <c r="Y16" s="424"/>
      <c r="Z16" s="424"/>
      <c r="AA16" s="430"/>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629"/>
      <c r="AE16" s="80"/>
      <c r="AF16" s="632"/>
      <c r="AG16" s="404">
        <v>15</v>
      </c>
    </row>
    <row r="17" spans="1:34" ht="31.5" hidden="1" thickBot="1" x14ac:dyDescent="0.55000000000000004">
      <c r="A17" s="626"/>
      <c r="B17" s="292" t="s">
        <v>472</v>
      </c>
      <c r="C17" s="201" t="s">
        <v>884</v>
      </c>
      <c r="D17" s="431"/>
      <c r="E17" s="432"/>
      <c r="F17" s="432"/>
      <c r="G17" s="432"/>
      <c r="H17" s="432"/>
      <c r="I17" s="432"/>
      <c r="J17" s="432"/>
      <c r="K17" s="432"/>
      <c r="L17" s="432"/>
      <c r="M17" s="432"/>
      <c r="N17" s="432"/>
      <c r="O17" s="432"/>
      <c r="P17" s="432"/>
      <c r="Q17" s="432"/>
      <c r="R17" s="432"/>
      <c r="S17" s="432"/>
      <c r="T17" s="432"/>
      <c r="U17" s="432"/>
      <c r="V17" s="432"/>
      <c r="W17" s="432"/>
      <c r="X17" s="432"/>
      <c r="Y17" s="432"/>
      <c r="Z17" s="432"/>
      <c r="AA17" s="433"/>
      <c r="AB17" s="349">
        <f t="shared" si="1"/>
        <v>0</v>
      </c>
      <c r="AC17" s="198"/>
      <c r="AD17" s="629"/>
      <c r="AE17" s="80"/>
      <c r="AF17" s="632"/>
      <c r="AG17" s="404">
        <v>16</v>
      </c>
    </row>
    <row r="18" spans="1:34" ht="33" hidden="1" thickBot="1" x14ac:dyDescent="0.55000000000000004">
      <c r="A18" s="540"/>
      <c r="B18" s="319" t="s">
        <v>1040</v>
      </c>
      <c r="C18" s="494" t="s">
        <v>1079</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630"/>
      <c r="AE18" s="80"/>
      <c r="AF18" s="633"/>
      <c r="AG18" s="404">
        <v>17</v>
      </c>
    </row>
    <row r="19" spans="1:34" ht="36" thickBot="1" x14ac:dyDescent="0.55000000000000004">
      <c r="A19" s="685" t="s">
        <v>12</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03"/>
      <c r="AE19" s="686"/>
      <c r="AF19" s="604"/>
      <c r="AG19" s="404">
        <v>18</v>
      </c>
    </row>
    <row r="20" spans="1:34" s="7" customFormat="1" ht="26.25" customHeight="1" x14ac:dyDescent="0.5">
      <c r="A20" s="612" t="s">
        <v>37</v>
      </c>
      <c r="B20" s="674" t="s">
        <v>347</v>
      </c>
      <c r="C20" s="677" t="s">
        <v>328</v>
      </c>
      <c r="D20" s="645" t="s">
        <v>0</v>
      </c>
      <c r="E20" s="645"/>
      <c r="F20" s="645" t="s">
        <v>1</v>
      </c>
      <c r="G20" s="645"/>
      <c r="H20" s="645" t="s">
        <v>2</v>
      </c>
      <c r="I20" s="645"/>
      <c r="J20" s="645" t="s">
        <v>3</v>
      </c>
      <c r="K20" s="645"/>
      <c r="L20" s="645" t="s">
        <v>4</v>
      </c>
      <c r="M20" s="645"/>
      <c r="N20" s="645" t="s">
        <v>5</v>
      </c>
      <c r="O20" s="645"/>
      <c r="P20" s="645" t="s">
        <v>6</v>
      </c>
      <c r="Q20" s="645"/>
      <c r="R20" s="645" t="s">
        <v>7</v>
      </c>
      <c r="S20" s="645"/>
      <c r="T20" s="645" t="s">
        <v>8</v>
      </c>
      <c r="U20" s="645"/>
      <c r="V20" s="645" t="s">
        <v>23</v>
      </c>
      <c r="W20" s="645"/>
      <c r="X20" s="645" t="s">
        <v>24</v>
      </c>
      <c r="Y20" s="645"/>
      <c r="Z20" s="645" t="s">
        <v>9</v>
      </c>
      <c r="AA20" s="645"/>
      <c r="AB20" s="693" t="s">
        <v>19</v>
      </c>
      <c r="AC20" s="665" t="s">
        <v>381</v>
      </c>
      <c r="AD20" s="609" t="s">
        <v>387</v>
      </c>
      <c r="AE20" s="642" t="s">
        <v>388</v>
      </c>
      <c r="AF20" s="683" t="s">
        <v>388</v>
      </c>
      <c r="AG20" s="404">
        <v>19</v>
      </c>
      <c r="AH20" s="310"/>
    </row>
    <row r="21" spans="1:34" s="7" customFormat="1" ht="27" customHeight="1" thickBot="1" x14ac:dyDescent="0.55000000000000004">
      <c r="A21" s="613"/>
      <c r="B21" s="675"/>
      <c r="C21" s="678"/>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694"/>
      <c r="AC21" s="692"/>
      <c r="AD21" s="608"/>
      <c r="AE21" s="643"/>
      <c r="AF21" s="684"/>
      <c r="AG21" s="404">
        <v>20</v>
      </c>
      <c r="AH21" s="310"/>
    </row>
    <row r="22" spans="1:34" x14ac:dyDescent="0.5">
      <c r="A22" s="691" t="s">
        <v>121</v>
      </c>
      <c r="B22" s="255" t="s">
        <v>642</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681"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87" t="str">
        <f>CONCATENATE(AC22,AC24,AC25,AC26,AC28,AC29,AC30,AC31,AC33,AC35,AC37,AC39,AC41,AC43,AC45,AC47,AC49)</f>
        <v/>
      </c>
      <c r="AE22" s="96"/>
      <c r="AF22" s="667" t="str">
        <f>CONCATENATE(AE22,AE23,AE24,AE25,AE26,AE27,AE28,AE29,AE30,AE31,AE32,AE33,AE34,AE35,AE36,AE37,AE38,AE39,AE40,AE41,AE42,AE43,AE44,AE45,AE46,AE47,AE48,AE49,AE50)</f>
        <v/>
      </c>
      <c r="AG22" s="404">
        <v>21</v>
      </c>
    </row>
    <row r="23" spans="1:34" x14ac:dyDescent="0.5">
      <c r="A23" s="592"/>
      <c r="B23" s="256" t="s">
        <v>643</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644"/>
      <c r="AD23" s="639"/>
      <c r="AE23" s="80"/>
      <c r="AF23" s="668"/>
      <c r="AG23" s="404">
        <v>22</v>
      </c>
    </row>
    <row r="24" spans="1:34" s="9" customFormat="1" x14ac:dyDescent="0.5">
      <c r="A24" s="592"/>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39"/>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68"/>
      <c r="AG24" s="404">
        <v>23</v>
      </c>
      <c r="AH24" s="311"/>
    </row>
    <row r="25" spans="1:34" s="8" customFormat="1" x14ac:dyDescent="0.5">
      <c r="A25" s="592"/>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39"/>
      <c r="AE25" s="80"/>
      <c r="AF25" s="668"/>
      <c r="AG25" s="404">
        <v>24</v>
      </c>
      <c r="AH25" s="312"/>
    </row>
    <row r="26" spans="1:34" s="8" customFormat="1" x14ac:dyDescent="0.5">
      <c r="A26" s="592"/>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644"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39"/>
      <c r="AE26" s="80" t="str">
        <f>CONCATENATE(IF(AND(IFERROR((AB27*100)/AB26,0)&gt;10,AB27&gt;5)," * This facility has a high positivity rate for Index Testing. Kindly confirm if this is the true reflection"&amp;CHAR(10),""),"")</f>
        <v/>
      </c>
      <c r="AF26" s="668"/>
      <c r="AG26" s="404">
        <v>25</v>
      </c>
      <c r="AH26" s="312"/>
    </row>
    <row r="27" spans="1:34" s="8" customFormat="1" ht="32.25" x14ac:dyDescent="0.5">
      <c r="A27" s="592"/>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644"/>
      <c r="AD27" s="639"/>
      <c r="AE27" s="80"/>
      <c r="AF27" s="668"/>
      <c r="AG27" s="404">
        <v>26</v>
      </c>
      <c r="AH27" s="312"/>
    </row>
    <row r="28" spans="1:34" s="8" customFormat="1" x14ac:dyDescent="0.5">
      <c r="A28" s="592"/>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39"/>
      <c r="AE28" s="80"/>
      <c r="AF28" s="668"/>
      <c r="AG28" s="404">
        <v>27</v>
      </c>
      <c r="AH28" s="312"/>
    </row>
    <row r="29" spans="1:34" s="8" customFormat="1" x14ac:dyDescent="0.5">
      <c r="A29" s="592"/>
      <c r="B29" s="256" t="s">
        <v>654</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39"/>
      <c r="AE29" s="80"/>
      <c r="AF29" s="668"/>
      <c r="AG29" s="404">
        <v>28</v>
      </c>
      <c r="AH29" s="312"/>
    </row>
    <row r="30" spans="1:34" s="8" customFormat="1" ht="31.5" thickBot="1" x14ac:dyDescent="0.55000000000000004">
      <c r="A30" s="593"/>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39"/>
      <c r="AE30" s="80"/>
      <c r="AF30" s="668"/>
      <c r="AG30" s="404">
        <v>29</v>
      </c>
      <c r="AH30" s="312"/>
    </row>
    <row r="31" spans="1:34" s="8" customFormat="1" x14ac:dyDescent="0.5">
      <c r="A31" s="591"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644"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39"/>
      <c r="AE31" s="80" t="str">
        <f>CONCATENATE(IF(AND(IFERROR((AB32*100)/AB31,0)&gt;10,AB32&gt;5)," * This facility has a high positivity rate for Index Testing. Kindly confirm if this is the true reflection"&amp;CHAR(10),""),"")</f>
        <v/>
      </c>
      <c r="AF31" s="668"/>
      <c r="AG31" s="404">
        <v>30</v>
      </c>
      <c r="AH31" s="312"/>
    </row>
    <row r="32" spans="1:34" s="8" customFormat="1" ht="33" thickBot="1" x14ac:dyDescent="0.55000000000000004">
      <c r="A32" s="593"/>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644"/>
      <c r="AD32" s="639"/>
      <c r="AE32" s="80"/>
      <c r="AF32" s="668"/>
      <c r="AG32" s="404">
        <v>31</v>
      </c>
      <c r="AH32" s="312"/>
    </row>
    <row r="33" spans="1:34" s="8" customFormat="1" x14ac:dyDescent="0.5">
      <c r="A33" s="591"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644"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39"/>
      <c r="AE33" s="80" t="str">
        <f>CONCATENATE(IF(AND(IFERROR((AB34*100)/AB33,0)&gt;10,AB34&gt;5)," * This facility has a high positivity rate for Index Testing. Kindly confirm if this is the true reflection"&amp;CHAR(10),""),"")</f>
        <v/>
      </c>
      <c r="AF33" s="668"/>
      <c r="AG33" s="404">
        <v>32</v>
      </c>
      <c r="AH33" s="312"/>
    </row>
    <row r="34" spans="1:34" s="8" customFormat="1" ht="33" thickBot="1" x14ac:dyDescent="0.55000000000000004">
      <c r="A34" s="593"/>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644"/>
      <c r="AD34" s="639"/>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68"/>
      <c r="AG34" s="404">
        <v>33</v>
      </c>
      <c r="AH34" s="312"/>
    </row>
    <row r="35" spans="1:34" x14ac:dyDescent="0.5">
      <c r="A35" s="591"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644"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39"/>
      <c r="AE35" s="80" t="str">
        <f>CONCATENATE(IF(AND(IFERROR((AB36*100)/AB35,0)&gt;10,AB36&gt;5)," * This facility has a high positivity rate for Index Testing. Kindly confirm if this is the true reflection"&amp;CHAR(10),""),"")</f>
        <v/>
      </c>
      <c r="AF35" s="668"/>
      <c r="AG35" s="404">
        <v>34</v>
      </c>
    </row>
    <row r="36" spans="1:34" ht="33" thickBot="1" x14ac:dyDescent="0.55000000000000004">
      <c r="A36" s="593"/>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644"/>
      <c r="AD36" s="639"/>
      <c r="AE36" s="80"/>
      <c r="AF36" s="668"/>
      <c r="AG36" s="404">
        <v>35</v>
      </c>
    </row>
    <row r="37" spans="1:34" x14ac:dyDescent="0.5">
      <c r="A37" s="591"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644"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39"/>
      <c r="AE37" s="80" t="str">
        <f>CONCATENATE(IF(AND(IFERROR((AB38*100)/AB37,0)&gt;10,AB38&gt;5)," * This facility has a high positivity rate for Index Testing. Kindly confirm if this is the true reflection"&amp;CHAR(10),""),"")</f>
        <v/>
      </c>
      <c r="AF37" s="668"/>
      <c r="AG37" s="404">
        <v>36</v>
      </c>
    </row>
    <row r="38" spans="1:34" ht="33" thickBot="1" x14ac:dyDescent="0.55000000000000004">
      <c r="A38" s="593"/>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644"/>
      <c r="AD38" s="639"/>
      <c r="AE38" s="80"/>
      <c r="AF38" s="668"/>
      <c r="AG38" s="404">
        <v>37</v>
      </c>
    </row>
    <row r="39" spans="1:34" x14ac:dyDescent="0.5">
      <c r="A39" s="591"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644"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39"/>
      <c r="AE39" s="80" t="str">
        <f>CONCATENATE(IF(AND(IFERROR((AB40*100)/AB39,0)&gt;10,AB40&gt;5)," * This facility has a high positivity rate for Index Testing. Kindly confirm if this is the true reflection"&amp;CHAR(10),""),"")</f>
        <v/>
      </c>
      <c r="AF39" s="668"/>
      <c r="AG39" s="404">
        <v>38</v>
      </c>
    </row>
    <row r="40" spans="1:34" ht="33" thickBot="1" x14ac:dyDescent="0.55000000000000004">
      <c r="A40" s="593"/>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644"/>
      <c r="AD40" s="639"/>
      <c r="AE40" s="80"/>
      <c r="AF40" s="668"/>
      <c r="AG40" s="404">
        <v>39</v>
      </c>
    </row>
    <row r="41" spans="1:34" x14ac:dyDescent="0.5">
      <c r="A41" s="591" t="s">
        <v>1080</v>
      </c>
      <c r="B41" s="264" t="s">
        <v>161</v>
      </c>
      <c r="C41" s="129" t="s">
        <v>349</v>
      </c>
      <c r="D41" s="134"/>
      <c r="E41" s="42"/>
      <c r="F41" s="548">
        <f>F321</f>
        <v>0</v>
      </c>
      <c r="G41" s="548">
        <f t="shared" ref="G41:AA41" si="8">G321</f>
        <v>0</v>
      </c>
      <c r="H41" s="548">
        <f t="shared" si="8"/>
        <v>0</v>
      </c>
      <c r="I41" s="548">
        <f t="shared" si="8"/>
        <v>0</v>
      </c>
      <c r="J41" s="548">
        <f t="shared" si="8"/>
        <v>0</v>
      </c>
      <c r="K41" s="548">
        <f t="shared" si="8"/>
        <v>0</v>
      </c>
      <c r="L41" s="548">
        <f t="shared" si="8"/>
        <v>0</v>
      </c>
      <c r="M41" s="548">
        <f t="shared" si="8"/>
        <v>0</v>
      </c>
      <c r="N41" s="548">
        <f t="shared" si="8"/>
        <v>0</v>
      </c>
      <c r="O41" s="548">
        <f t="shared" si="8"/>
        <v>0</v>
      </c>
      <c r="P41" s="548">
        <f t="shared" si="8"/>
        <v>0</v>
      </c>
      <c r="Q41" s="548">
        <f t="shared" si="8"/>
        <v>0</v>
      </c>
      <c r="R41" s="548">
        <f t="shared" si="8"/>
        <v>0</v>
      </c>
      <c r="S41" s="548">
        <f t="shared" si="8"/>
        <v>0</v>
      </c>
      <c r="T41" s="548">
        <f t="shared" si="8"/>
        <v>0</v>
      </c>
      <c r="U41" s="548">
        <f t="shared" si="8"/>
        <v>0</v>
      </c>
      <c r="V41" s="548">
        <f t="shared" si="8"/>
        <v>0</v>
      </c>
      <c r="W41" s="548">
        <f t="shared" si="8"/>
        <v>0</v>
      </c>
      <c r="X41" s="548">
        <f t="shared" si="8"/>
        <v>0</v>
      </c>
      <c r="Y41" s="548">
        <f t="shared" si="8"/>
        <v>0</v>
      </c>
      <c r="Z41" s="548">
        <f t="shared" si="8"/>
        <v>0</v>
      </c>
      <c r="AA41" s="548">
        <f t="shared" si="8"/>
        <v>0</v>
      </c>
      <c r="AB41" s="35">
        <f t="shared" si="7"/>
        <v>0</v>
      </c>
      <c r="AC41" s="644"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39"/>
      <c r="AE41" s="80" t="str">
        <f>CONCATENATE(IF(AND(IFERROR((AB42*100)/AB41,0)&gt;10,AB42&gt;5)," * This facility has a high positivity rate for Index Testing. Kindly confirm if this is the true reflection"&amp;CHAR(10),""),"")</f>
        <v/>
      </c>
      <c r="AF41" s="668"/>
      <c r="AG41" s="404">
        <v>40</v>
      </c>
    </row>
    <row r="42" spans="1:34" ht="33" thickBot="1" x14ac:dyDescent="0.55000000000000004">
      <c r="A42" s="593"/>
      <c r="B42" s="265" t="s">
        <v>153</v>
      </c>
      <c r="C42" s="133" t="s">
        <v>171</v>
      </c>
      <c r="D42" s="128"/>
      <c r="E42" s="41"/>
      <c r="F42" s="549">
        <f>F323</f>
        <v>0</v>
      </c>
      <c r="G42" s="549">
        <f t="shared" ref="G42:AA42" si="9">G323</f>
        <v>0</v>
      </c>
      <c r="H42" s="549">
        <f t="shared" si="9"/>
        <v>0</v>
      </c>
      <c r="I42" s="549">
        <f t="shared" si="9"/>
        <v>0</v>
      </c>
      <c r="J42" s="549">
        <f t="shared" si="9"/>
        <v>0</v>
      </c>
      <c r="K42" s="549">
        <f t="shared" si="9"/>
        <v>0</v>
      </c>
      <c r="L42" s="549">
        <f t="shared" si="9"/>
        <v>0</v>
      </c>
      <c r="M42" s="549">
        <f t="shared" si="9"/>
        <v>0</v>
      </c>
      <c r="N42" s="549">
        <f t="shared" si="9"/>
        <v>0</v>
      </c>
      <c r="O42" s="549">
        <f t="shared" si="9"/>
        <v>0</v>
      </c>
      <c r="P42" s="549">
        <f t="shared" si="9"/>
        <v>0</v>
      </c>
      <c r="Q42" s="549">
        <f t="shared" si="9"/>
        <v>0</v>
      </c>
      <c r="R42" s="549">
        <f t="shared" si="9"/>
        <v>0</v>
      </c>
      <c r="S42" s="549">
        <f t="shared" si="9"/>
        <v>0</v>
      </c>
      <c r="T42" s="549">
        <f t="shared" si="9"/>
        <v>0</v>
      </c>
      <c r="U42" s="549">
        <f t="shared" si="9"/>
        <v>0</v>
      </c>
      <c r="V42" s="549">
        <f t="shared" si="9"/>
        <v>0</v>
      </c>
      <c r="W42" s="549">
        <f t="shared" si="9"/>
        <v>0</v>
      </c>
      <c r="X42" s="549">
        <f t="shared" si="9"/>
        <v>0</v>
      </c>
      <c r="Y42" s="549">
        <f t="shared" si="9"/>
        <v>0</v>
      </c>
      <c r="Z42" s="549">
        <f t="shared" si="9"/>
        <v>0</v>
      </c>
      <c r="AA42" s="549">
        <f t="shared" si="9"/>
        <v>0</v>
      </c>
      <c r="AB42" s="45">
        <f t="shared" si="7"/>
        <v>0</v>
      </c>
      <c r="AC42" s="644"/>
      <c r="AD42" s="639"/>
      <c r="AE42" s="80"/>
      <c r="AF42" s="668"/>
      <c r="AG42" s="404">
        <v>41</v>
      </c>
    </row>
    <row r="43" spans="1:34" x14ac:dyDescent="0.5">
      <c r="A43" s="591"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644"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39"/>
      <c r="AE43" s="80" t="str">
        <f>CONCATENATE(IF(AND(IFERROR((AB44*100)/AB43,0)&gt;10,AB44&gt;5)," * This facility has a high positivity rate for Index Testing. Kindly confirm if this is the true reflection"&amp;CHAR(10),""),"")</f>
        <v/>
      </c>
      <c r="AF43" s="668"/>
      <c r="AG43" s="404">
        <v>42</v>
      </c>
    </row>
    <row r="44" spans="1:34" ht="33" thickBot="1" x14ac:dyDescent="0.55000000000000004">
      <c r="A44" s="593"/>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644"/>
      <c r="AD44" s="639"/>
      <c r="AE44" s="80"/>
      <c r="AF44" s="668"/>
      <c r="AG44" s="404">
        <v>43</v>
      </c>
    </row>
    <row r="45" spans="1:34" x14ac:dyDescent="0.5">
      <c r="A45" s="591"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644"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39"/>
      <c r="AE45" s="80" t="str">
        <f>CONCATENATE(IF(AND(IFERROR((AB46*100)/AB45,0)&gt;10,AB46&gt;5)," * This facility has a high positivity rate for Index Testing. Kindly confirm if this is the true reflection"&amp;CHAR(10),""),"")</f>
        <v/>
      </c>
      <c r="AF45" s="668"/>
      <c r="AG45" s="404">
        <v>44</v>
      </c>
    </row>
    <row r="46" spans="1:34" ht="33" thickBot="1" x14ac:dyDescent="0.55000000000000004">
      <c r="A46" s="593"/>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644"/>
      <c r="AD46" s="639"/>
      <c r="AE46" s="80"/>
      <c r="AF46" s="668"/>
      <c r="AG46" s="404">
        <v>45</v>
      </c>
    </row>
    <row r="47" spans="1:34" hidden="1" x14ac:dyDescent="0.5">
      <c r="A47" s="591"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644"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39"/>
      <c r="AE47" s="80" t="str">
        <f>CONCATENATE(IF(AND(IFERROR((AB48*100)/AB47,0)&gt;10,AB48&gt;5)," * This facility has a high positivity rate for Index Testing. Kindly confirm if this is the true reflection"&amp;CHAR(10),""),"")</f>
        <v/>
      </c>
      <c r="AF47" s="668"/>
      <c r="AG47" s="404">
        <v>46</v>
      </c>
    </row>
    <row r="48" spans="1:34" ht="33" hidden="1" thickBot="1" x14ac:dyDescent="0.55000000000000004">
      <c r="A48" s="593"/>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644"/>
      <c r="AD48" s="639"/>
      <c r="AE48" s="80"/>
      <c r="AF48" s="668"/>
      <c r="AG48" s="404">
        <v>47</v>
      </c>
    </row>
    <row r="49" spans="1:34" s="3" customFormat="1" ht="32.25" x14ac:dyDescent="0.55000000000000004">
      <c r="A49" s="672" t="s">
        <v>132</v>
      </c>
      <c r="B49" s="268" t="s">
        <v>646</v>
      </c>
      <c r="C49" s="129" t="s">
        <v>351</v>
      </c>
      <c r="D49" s="244">
        <f t="shared" ref="D49:AA49" si="10">SUM(D26+D31+D33+D35+D37+D39+D41+D43+D45+D47)</f>
        <v>0</v>
      </c>
      <c r="E49" s="244">
        <f t="shared" si="10"/>
        <v>0</v>
      </c>
      <c r="F49" s="244">
        <f t="shared" si="10"/>
        <v>0</v>
      </c>
      <c r="G49" s="244">
        <f t="shared" si="10"/>
        <v>0</v>
      </c>
      <c r="H49" s="244">
        <f t="shared" si="10"/>
        <v>0</v>
      </c>
      <c r="I49" s="244">
        <f t="shared" si="10"/>
        <v>0</v>
      </c>
      <c r="J49" s="244">
        <f t="shared" si="10"/>
        <v>0</v>
      </c>
      <c r="K49" s="244">
        <f t="shared" si="10"/>
        <v>0</v>
      </c>
      <c r="L49" s="244">
        <f t="shared" si="10"/>
        <v>0</v>
      </c>
      <c r="M49" s="244">
        <f t="shared" si="10"/>
        <v>0</v>
      </c>
      <c r="N49" s="244">
        <f t="shared" si="10"/>
        <v>0</v>
      </c>
      <c r="O49" s="244">
        <f t="shared" si="10"/>
        <v>0</v>
      </c>
      <c r="P49" s="244">
        <f t="shared" si="10"/>
        <v>0</v>
      </c>
      <c r="Q49" s="244">
        <f t="shared" si="10"/>
        <v>0</v>
      </c>
      <c r="R49" s="244">
        <f t="shared" si="10"/>
        <v>0</v>
      </c>
      <c r="S49" s="244">
        <f t="shared" si="10"/>
        <v>0</v>
      </c>
      <c r="T49" s="244">
        <f t="shared" si="10"/>
        <v>0</v>
      </c>
      <c r="U49" s="244">
        <f t="shared" si="10"/>
        <v>0</v>
      </c>
      <c r="V49" s="244">
        <f t="shared" si="10"/>
        <v>0</v>
      </c>
      <c r="W49" s="244">
        <f t="shared" si="10"/>
        <v>0</v>
      </c>
      <c r="X49" s="244">
        <f t="shared" si="10"/>
        <v>0</v>
      </c>
      <c r="Y49" s="244">
        <f t="shared" si="10"/>
        <v>0</v>
      </c>
      <c r="Z49" s="244">
        <f t="shared" si="10"/>
        <v>0</v>
      </c>
      <c r="AA49" s="244">
        <f t="shared" si="10"/>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39"/>
      <c r="AE49" s="90" t="str">
        <f>CONCATENATE(IF(AB248&gt;SUM(AB27,AB32,AB34,AB36,AB38,AB40,AB42,AB44,AB46,AB48,AB200,AB204,AB208,AB212)," * This site has more started on ART than positives"&amp;CHAR(10),""),"")</f>
        <v/>
      </c>
      <c r="AF49" s="668"/>
      <c r="AG49" s="404">
        <v>48</v>
      </c>
      <c r="AH49" s="308"/>
    </row>
    <row r="50" spans="1:34" s="111" customFormat="1" ht="36" thickBot="1" x14ac:dyDescent="0.6">
      <c r="A50" s="673"/>
      <c r="B50" s="405" t="s">
        <v>655</v>
      </c>
      <c r="C50" s="140" t="s">
        <v>352</v>
      </c>
      <c r="D50" s="139">
        <f>SUM(D27+D32+D34+D36+D38+D40+D42+D44+D46+D48)</f>
        <v>0</v>
      </c>
      <c r="E50" s="107">
        <f t="shared" ref="E50:Z50" si="11">SUM(E27+E32+E34+E36+E38+E40+E42+E44+E46+E48)</f>
        <v>0</v>
      </c>
      <c r="F50" s="108">
        <f t="shared" si="11"/>
        <v>0</v>
      </c>
      <c r="G50" s="108">
        <f t="shared" si="11"/>
        <v>0</v>
      </c>
      <c r="H50" s="108">
        <f t="shared" si="11"/>
        <v>0</v>
      </c>
      <c r="I50" s="108">
        <f t="shared" si="11"/>
        <v>0</v>
      </c>
      <c r="J50" s="108">
        <f t="shared" si="11"/>
        <v>0</v>
      </c>
      <c r="K50" s="108">
        <f t="shared" si="11"/>
        <v>0</v>
      </c>
      <c r="L50" s="108">
        <f t="shared" si="11"/>
        <v>0</v>
      </c>
      <c r="M50" s="108">
        <f t="shared" si="11"/>
        <v>0</v>
      </c>
      <c r="N50" s="108">
        <f t="shared" si="11"/>
        <v>0</v>
      </c>
      <c r="O50" s="108">
        <f t="shared" si="11"/>
        <v>0</v>
      </c>
      <c r="P50" s="108">
        <f t="shared" si="11"/>
        <v>0</v>
      </c>
      <c r="Q50" s="108">
        <f t="shared" si="11"/>
        <v>0</v>
      </c>
      <c r="R50" s="108">
        <f t="shared" si="11"/>
        <v>0</v>
      </c>
      <c r="S50" s="108">
        <f t="shared" si="11"/>
        <v>0</v>
      </c>
      <c r="T50" s="108">
        <f t="shared" si="11"/>
        <v>0</v>
      </c>
      <c r="U50" s="108">
        <f t="shared" si="11"/>
        <v>0</v>
      </c>
      <c r="V50" s="108">
        <f t="shared" si="11"/>
        <v>0</v>
      </c>
      <c r="W50" s="108">
        <f t="shared" si="11"/>
        <v>0</v>
      </c>
      <c r="X50" s="108">
        <f t="shared" si="11"/>
        <v>0</v>
      </c>
      <c r="Y50" s="108">
        <f t="shared" si="11"/>
        <v>0</v>
      </c>
      <c r="Z50" s="108">
        <f t="shared" si="11"/>
        <v>0</v>
      </c>
      <c r="AA50" s="108">
        <f>SUM(AA27+AA32+AA34+AA36+AA38+AA40+AA42+AA44+AA46+AA48)</f>
        <v>0</v>
      </c>
      <c r="AB50" s="109">
        <f t="shared" si="7"/>
        <v>0</v>
      </c>
      <c r="AC50" s="205"/>
      <c r="AD50" s="640"/>
      <c r="AE50" s="110" t="str">
        <f>CONCATENATE(IF(AND(AB248=0,SUM(AB27,AB32,AB34,AB36,AB38,AB40,AB42,AB44,AB46,AB48,AB200,AB204,AB208,AB212)&gt;0)," * This site has positives but none was started on ART"&amp;CHAR(10),""),"")</f>
        <v/>
      </c>
      <c r="AF50" s="669"/>
      <c r="AG50" s="404">
        <v>49</v>
      </c>
      <c r="AH50" s="313"/>
    </row>
    <row r="51" spans="1:34" ht="36" thickBot="1" x14ac:dyDescent="0.55000000000000004">
      <c r="A51" s="602" t="s">
        <v>112</v>
      </c>
      <c r="B51" s="603"/>
      <c r="C51" s="603"/>
      <c r="D51" s="603"/>
      <c r="E51" s="603"/>
      <c r="F51" s="603"/>
      <c r="G51" s="603"/>
      <c r="H51" s="603"/>
      <c r="I51" s="603"/>
      <c r="J51" s="603"/>
      <c r="K51" s="603"/>
      <c r="L51" s="603"/>
      <c r="M51" s="603"/>
      <c r="N51" s="603"/>
      <c r="O51" s="603"/>
      <c r="P51" s="603"/>
      <c r="Q51" s="603"/>
      <c r="R51" s="603"/>
      <c r="S51" s="603"/>
      <c r="T51" s="603"/>
      <c r="U51" s="603"/>
      <c r="V51" s="603"/>
      <c r="W51" s="603"/>
      <c r="X51" s="603"/>
      <c r="Y51" s="603"/>
      <c r="Z51" s="603"/>
      <c r="AA51" s="603"/>
      <c r="AB51" s="603"/>
      <c r="AC51" s="603"/>
      <c r="AD51" s="603"/>
      <c r="AE51" s="603"/>
      <c r="AF51" s="604"/>
      <c r="AG51" s="404">
        <v>50</v>
      </c>
    </row>
    <row r="52" spans="1:34" ht="26.25" customHeight="1" x14ac:dyDescent="0.5">
      <c r="A52" s="612" t="s">
        <v>37</v>
      </c>
      <c r="B52" s="674" t="s">
        <v>347</v>
      </c>
      <c r="C52" s="677" t="s">
        <v>328</v>
      </c>
      <c r="D52" s="670"/>
      <c r="E52" s="670"/>
      <c r="F52" s="670"/>
      <c r="G52" s="670"/>
      <c r="H52" s="670"/>
      <c r="I52" s="670"/>
      <c r="J52" s="645" t="s">
        <v>3</v>
      </c>
      <c r="K52" s="645"/>
      <c r="L52" s="645" t="s">
        <v>4</v>
      </c>
      <c r="M52" s="645"/>
      <c r="N52" s="645" t="s">
        <v>5</v>
      </c>
      <c r="O52" s="645"/>
      <c r="P52" s="645" t="s">
        <v>6</v>
      </c>
      <c r="Q52" s="645"/>
      <c r="R52" s="645" t="s">
        <v>7</v>
      </c>
      <c r="S52" s="645"/>
      <c r="T52" s="645" t="s">
        <v>8</v>
      </c>
      <c r="U52" s="645"/>
      <c r="V52" s="645" t="s">
        <v>23</v>
      </c>
      <c r="W52" s="645"/>
      <c r="X52" s="645" t="s">
        <v>24</v>
      </c>
      <c r="Y52" s="645"/>
      <c r="Z52" s="645" t="s">
        <v>9</v>
      </c>
      <c r="AA52" s="645"/>
      <c r="AB52" s="618" t="s">
        <v>19</v>
      </c>
      <c r="AC52" s="665" t="s">
        <v>381</v>
      </c>
      <c r="AD52" s="609" t="s">
        <v>387</v>
      </c>
      <c r="AE52" s="605" t="s">
        <v>388</v>
      </c>
      <c r="AF52" s="600" t="s">
        <v>388</v>
      </c>
      <c r="AG52" s="404">
        <v>51</v>
      </c>
    </row>
    <row r="53" spans="1:34" ht="27" customHeight="1" thickBot="1" x14ac:dyDescent="0.55000000000000004">
      <c r="A53" s="613"/>
      <c r="B53" s="675"/>
      <c r="C53" s="678"/>
      <c r="D53" s="671"/>
      <c r="E53" s="671"/>
      <c r="F53" s="671"/>
      <c r="G53" s="671"/>
      <c r="H53" s="671"/>
      <c r="I53" s="671"/>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19"/>
      <c r="AC53" s="666"/>
      <c r="AD53" s="608"/>
      <c r="AE53" s="606"/>
      <c r="AF53" s="601"/>
      <c r="AG53" s="404">
        <v>52</v>
      </c>
    </row>
    <row r="54" spans="1:34" x14ac:dyDescent="0.5">
      <c r="A54" s="591" t="s">
        <v>20</v>
      </c>
      <c r="B54" s="264" t="s">
        <v>656</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638" t="str">
        <f>CONCATENATE(AC54,AC55,AC56,AC57,AC58)</f>
        <v/>
      </c>
      <c r="AE54" s="80"/>
      <c r="AF54" s="682" t="str">
        <f>CONCATENATE(AE54,AE55,AE56,AE57,AE58)</f>
        <v/>
      </c>
      <c r="AG54" s="404">
        <v>53</v>
      </c>
    </row>
    <row r="55" spans="1:34" x14ac:dyDescent="0.5">
      <c r="A55" s="592"/>
      <c r="B55" s="256" t="s">
        <v>1053</v>
      </c>
      <c r="C55" s="131" t="s">
        <v>179</v>
      </c>
      <c r="D55" s="124"/>
      <c r="E55" s="18"/>
      <c r="F55" s="18"/>
      <c r="G55" s="18"/>
      <c r="H55" s="18"/>
      <c r="I55" s="18"/>
      <c r="J55" s="468">
        <f>SUM(J56:J58)</f>
        <v>0</v>
      </c>
      <c r="K55" s="468">
        <f t="shared" ref="K55:AA55" si="12">SUM(K56:K58)</f>
        <v>0</v>
      </c>
      <c r="L55" s="468">
        <f t="shared" si="12"/>
        <v>0</v>
      </c>
      <c r="M55" s="468">
        <f t="shared" si="12"/>
        <v>0</v>
      </c>
      <c r="N55" s="468">
        <f t="shared" si="12"/>
        <v>0</v>
      </c>
      <c r="O55" s="468">
        <f t="shared" si="12"/>
        <v>0</v>
      </c>
      <c r="P55" s="468">
        <f t="shared" si="12"/>
        <v>0</v>
      </c>
      <c r="Q55" s="468">
        <f t="shared" si="12"/>
        <v>0</v>
      </c>
      <c r="R55" s="468">
        <f t="shared" si="12"/>
        <v>0</v>
      </c>
      <c r="S55" s="468">
        <f t="shared" si="12"/>
        <v>0</v>
      </c>
      <c r="T55" s="468">
        <f t="shared" si="12"/>
        <v>0</v>
      </c>
      <c r="U55" s="468">
        <f t="shared" si="12"/>
        <v>0</v>
      </c>
      <c r="V55" s="468">
        <f t="shared" si="12"/>
        <v>0</v>
      </c>
      <c r="W55" s="468">
        <f t="shared" si="12"/>
        <v>0</v>
      </c>
      <c r="X55" s="468">
        <f t="shared" si="12"/>
        <v>0</v>
      </c>
      <c r="Y55" s="468">
        <f t="shared" si="12"/>
        <v>0</v>
      </c>
      <c r="Z55" s="468">
        <f t="shared" si="12"/>
        <v>0</v>
      </c>
      <c r="AA55" s="468">
        <f t="shared" si="12"/>
        <v>0</v>
      </c>
      <c r="AB55" s="36">
        <f t="shared" ref="AB55:AB57" si="13">SUM(D55:AA55)</f>
        <v>0</v>
      </c>
      <c r="AC55" s="82"/>
      <c r="AD55" s="639"/>
      <c r="AE55" s="80"/>
      <c r="AF55" s="668"/>
      <c r="AG55" s="404">
        <v>54</v>
      </c>
    </row>
    <row r="56" spans="1:34" x14ac:dyDescent="0.5">
      <c r="A56" s="592"/>
      <c r="B56" s="256" t="s">
        <v>657</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3"/>
        <v>0</v>
      </c>
      <c r="AC56" s="82"/>
      <c r="AD56" s="639"/>
      <c r="AE56" s="80"/>
      <c r="AF56" s="668"/>
      <c r="AG56" s="404">
        <v>55</v>
      </c>
    </row>
    <row r="57" spans="1:34" x14ac:dyDescent="0.5">
      <c r="A57" s="592"/>
      <c r="B57" s="256" t="s">
        <v>658</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3"/>
        <v>0</v>
      </c>
      <c r="AC57" s="82"/>
      <c r="AD57" s="639"/>
      <c r="AE57" s="80"/>
      <c r="AF57" s="668"/>
      <c r="AG57" s="404">
        <v>56</v>
      </c>
    </row>
    <row r="58" spans="1:34" ht="31.5" thickBot="1" x14ac:dyDescent="0.55000000000000004">
      <c r="A58" s="593"/>
      <c r="B58" s="257" t="s">
        <v>659</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40"/>
      <c r="AE58" s="94"/>
      <c r="AF58" s="669"/>
      <c r="AG58" s="404">
        <v>57</v>
      </c>
    </row>
    <row r="59" spans="1:34" s="207" customFormat="1" x14ac:dyDescent="0.5">
      <c r="A59" s="541" t="s">
        <v>1062</v>
      </c>
      <c r="B59" s="264" t="s">
        <v>161</v>
      </c>
      <c r="C59" s="141" t="s">
        <v>1066</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498"/>
      <c r="AC59" s="496"/>
      <c r="AD59" s="500"/>
      <c r="AE59" s="476"/>
      <c r="AF59" s="497"/>
      <c r="AG59" s="404"/>
      <c r="AH59" s="310"/>
    </row>
    <row r="60" spans="1:34" s="207" customFormat="1" ht="33" thickBot="1" x14ac:dyDescent="0.55000000000000004">
      <c r="A60" s="542"/>
      <c r="B60" s="265" t="s">
        <v>153</v>
      </c>
      <c r="C60" s="142" t="s">
        <v>1067</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499"/>
      <c r="AC60" s="496"/>
      <c r="AD60" s="501"/>
      <c r="AE60" s="476"/>
      <c r="AF60" s="497"/>
      <c r="AG60" s="404"/>
      <c r="AH60" s="310"/>
    </row>
    <row r="61" spans="1:34" ht="36" thickBot="1" x14ac:dyDescent="0.55000000000000004">
      <c r="A61" s="602" t="s">
        <v>125</v>
      </c>
      <c r="B61" s="603"/>
      <c r="C61" s="603"/>
      <c r="D61" s="603"/>
      <c r="E61" s="603"/>
      <c r="F61" s="603"/>
      <c r="G61" s="603"/>
      <c r="H61" s="603"/>
      <c r="I61" s="603"/>
      <c r="J61" s="603"/>
      <c r="K61" s="603"/>
      <c r="L61" s="603"/>
      <c r="M61" s="603"/>
      <c r="N61" s="603"/>
      <c r="O61" s="603"/>
      <c r="P61" s="603"/>
      <c r="Q61" s="603"/>
      <c r="R61" s="603"/>
      <c r="S61" s="603"/>
      <c r="T61" s="603"/>
      <c r="U61" s="603"/>
      <c r="V61" s="603"/>
      <c r="W61" s="603"/>
      <c r="X61" s="603"/>
      <c r="Y61" s="603"/>
      <c r="Z61" s="603"/>
      <c r="AA61" s="603"/>
      <c r="AB61" s="603"/>
      <c r="AC61" s="603"/>
      <c r="AD61" s="603"/>
      <c r="AE61" s="603"/>
      <c r="AF61" s="604"/>
      <c r="AG61" s="404">
        <v>58</v>
      </c>
    </row>
    <row r="62" spans="1:34" ht="26.25" customHeight="1" x14ac:dyDescent="0.5">
      <c r="A62" s="612" t="s">
        <v>37</v>
      </c>
      <c r="B62" s="674" t="s">
        <v>347</v>
      </c>
      <c r="C62" s="677" t="s">
        <v>328</v>
      </c>
      <c r="D62" s="670"/>
      <c r="E62" s="670"/>
      <c r="F62" s="670"/>
      <c r="G62" s="670"/>
      <c r="H62" s="670"/>
      <c r="I62" s="670"/>
      <c r="J62" s="623" t="s">
        <v>3</v>
      </c>
      <c r="K62" s="623"/>
      <c r="L62" s="623" t="s">
        <v>4</v>
      </c>
      <c r="M62" s="623"/>
      <c r="N62" s="623" t="s">
        <v>5</v>
      </c>
      <c r="O62" s="623"/>
      <c r="P62" s="623" t="s">
        <v>6</v>
      </c>
      <c r="Q62" s="623"/>
      <c r="R62" s="623" t="s">
        <v>7</v>
      </c>
      <c r="S62" s="623"/>
      <c r="T62" s="623" t="s">
        <v>8</v>
      </c>
      <c r="U62" s="623"/>
      <c r="V62" s="623" t="s">
        <v>23</v>
      </c>
      <c r="W62" s="623"/>
      <c r="X62" s="623" t="s">
        <v>24</v>
      </c>
      <c r="Y62" s="623"/>
      <c r="Z62" s="623" t="s">
        <v>9</v>
      </c>
      <c r="AA62" s="623"/>
      <c r="AB62" s="695" t="s">
        <v>19</v>
      </c>
      <c r="AC62" s="657" t="s">
        <v>381</v>
      </c>
      <c r="AD62" s="607" t="s">
        <v>387</v>
      </c>
      <c r="AE62" s="606" t="s">
        <v>388</v>
      </c>
      <c r="AF62" s="641" t="s">
        <v>388</v>
      </c>
      <c r="AG62" s="404">
        <v>59</v>
      </c>
    </row>
    <row r="63" spans="1:34" ht="27" customHeight="1" thickBot="1" x14ac:dyDescent="0.55000000000000004">
      <c r="A63" s="613"/>
      <c r="B63" s="675"/>
      <c r="C63" s="678"/>
      <c r="D63" s="671"/>
      <c r="E63" s="671"/>
      <c r="F63" s="671"/>
      <c r="G63" s="671"/>
      <c r="H63" s="671"/>
      <c r="I63" s="671"/>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696"/>
      <c r="AC63" s="658"/>
      <c r="AD63" s="608"/>
      <c r="AE63" s="606"/>
      <c r="AF63" s="601"/>
      <c r="AG63" s="404">
        <v>60</v>
      </c>
    </row>
    <row r="64" spans="1:34" x14ac:dyDescent="0.5">
      <c r="A64" s="660" t="s">
        <v>590</v>
      </c>
      <c r="B64" s="255" t="s">
        <v>660</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87" t="str">
        <f>CONCATENATE(AC64,AC65,AC66,AC67,AC68,AC69,AC70,AC71,AC72,AC73,AC74,AC75,AC76,AC77,AC78,AC79,AC80,AC81,AC82,AC83,AC84,AC85,AC86,AC88,AC89,AC90,AC91,AC92,AC93,AC94,AC95,AC96,AC97)</f>
        <v/>
      </c>
      <c r="AE64" s="96"/>
      <c r="AF64" s="667" t="str">
        <f>CONCATENATE(AE64,AE67,AE68,AE75,AE78,AE86,AE87,AE88,AE89,AE90,AE91,AE92,AE93,AE94,AE95,AE96,AE97)</f>
        <v/>
      </c>
      <c r="AG64" s="404">
        <v>61</v>
      </c>
    </row>
    <row r="65" spans="1:33" x14ac:dyDescent="0.5">
      <c r="A65" s="598"/>
      <c r="B65" s="256" t="s">
        <v>563</v>
      </c>
      <c r="C65" s="131" t="s">
        <v>564</v>
      </c>
      <c r="D65" s="124"/>
      <c r="E65" s="18"/>
      <c r="F65" s="18"/>
      <c r="G65" s="18"/>
      <c r="H65" s="18"/>
      <c r="I65" s="18"/>
      <c r="J65" s="23"/>
      <c r="K65" s="214"/>
      <c r="L65" s="214"/>
      <c r="M65" s="214"/>
      <c r="N65" s="214"/>
      <c r="O65" s="214"/>
      <c r="P65" s="214"/>
      <c r="Q65" s="214"/>
      <c r="R65" s="214"/>
      <c r="S65" s="214"/>
      <c r="T65" s="214"/>
      <c r="U65" s="214"/>
      <c r="V65" s="214"/>
      <c r="W65" s="214"/>
      <c r="X65" s="214"/>
      <c r="Y65" s="214"/>
      <c r="Z65" s="214"/>
      <c r="AA65" s="214"/>
      <c r="AB65" s="36">
        <f>SUM(J65:AA65)</f>
        <v>0</v>
      </c>
      <c r="AC65" s="79" t="str">
        <f>CONCATENATE(IF(D65&gt;D64," * Tested for Prep Initiation For age "&amp;$D$20&amp;" "&amp;$D$21&amp;" is more than Assessed for HIV risk"&amp;CHAR(10),""),IF(E65&gt;E64," * Tested for Prep Initiation For age "&amp;$D$20&amp;" "&amp;$E$21&amp;" is more than Assessed for HIV risk"&amp;CHAR(10),""),IF(F65&gt;F64," * Tested for Prep Initiation For age "&amp;$F$20&amp;" "&amp;$F$21&amp;" is more than Assessed for HIV risk"&amp;CHAR(10),""),IF(G65&gt;G64," * Tested for Prep Initiation For age "&amp;$F$20&amp;" "&amp;$G$21&amp;" is more than Assessed for HIV risk"&amp;CHAR(10),""),IF(H65&gt;H64," * Tested for Prep Initiation For age "&amp;$H$20&amp;" "&amp;$H$21&amp;" is more than Assessed for HIV risk"&amp;CHAR(10),""),IF(I65&gt;I64," * Tested for Prep Initiation For age "&amp;$H$20&amp;" "&amp;$I$21&amp;" is more than Assessed for HIV risk"&amp;CHAR(10),""),IF(J65&gt;J64," * Tested for Prep Initiation For age "&amp;$J$20&amp;" "&amp;$J$21&amp;" is more than Assessed for HIV risk"&amp;CHAR(10),""),IF(K65&gt;K64," * Tested for Prep Initiation For age "&amp;$J$20&amp;" "&amp;$K$21&amp;" is more than Assessed for HIV risk"&amp;CHAR(10),""),IF(L65&gt;L64," * Tested for Prep Initiation For age "&amp;$L$20&amp;" "&amp;$L$21&amp;" is more than Assessed for HIV risk"&amp;CHAR(10),""),IF(M65&gt;M64," * Tested for Prep Initiation For age "&amp;$L$20&amp;" "&amp;$M$21&amp;" is more than Assessed for HIV risk"&amp;CHAR(10),""),IF(N65&gt;N64," * Tested for Prep Initiation For age "&amp;$N$20&amp;" "&amp;$N$21&amp;" is more than Assessed for HIV risk"&amp;CHAR(10),""),IF(O65&gt;O64," * Tested for Prep Initiation For age "&amp;$N$20&amp;" "&amp;$O$21&amp;" is more than Assessed for HIV risk"&amp;CHAR(10),""),IF(P65&gt;P64," * Tested for Prep Initiation For age "&amp;$P$20&amp;" "&amp;$P$21&amp;" is more than Assessed for HIV risk"&amp;CHAR(10),""),IF(Q65&gt;Q64," * Tested for Prep Initiation For age "&amp;$P$20&amp;" "&amp;$Q$21&amp;" is more than Assessed for HIV risk"&amp;CHAR(10),""),IF(R65&gt;R64," * Tested for Prep Initiation For age "&amp;$R$20&amp;" "&amp;$R$21&amp;" is more than Assessed for HIV risk"&amp;CHAR(10),""),IF(S65&gt;S64," * Tested for Prep Initiation For age "&amp;$R$20&amp;" "&amp;$S$21&amp;" is more than Assessed for HIV risk"&amp;CHAR(10),""),IF(T65&gt;T64," * Tested for Prep Initiation For age "&amp;$T$20&amp;" "&amp;$T$21&amp;" is more than Assessed for HIV risk"&amp;CHAR(10),""),IF(U65&gt;U64," * Tested for Prep Initiation For age "&amp;$T$20&amp;" "&amp;$U$21&amp;" is more than Assessed for HIV risk"&amp;CHAR(10),""),IF(V65&gt;V64," * Tested for Prep Initiation For age "&amp;$V$20&amp;" "&amp;$V$21&amp;" is more than Assessed for HIV risk"&amp;CHAR(10),""),IF(W65&gt;W64," * Tested for Prep Initiation For age "&amp;$V$20&amp;" "&amp;$W$21&amp;" is more than Assessed for HIV risk"&amp;CHAR(10),""),IF(X65&gt;X64," * Tested for Prep Initiation For age "&amp;$X$20&amp;" "&amp;$X$21&amp;" is more than Assessed for HIV risk"&amp;CHAR(10),""),IF(Y65&gt;Y64," * Tested for Prep Initiation For age "&amp;$X$20&amp;" "&amp;$Y$21&amp;" is more than Assessed for HIV risk"&amp;CHAR(10),""),IF(Z65&gt;Z64," * Tested for Prep Initiation For age "&amp;$Z$20&amp;" "&amp;$Z$21&amp;" is more than Assessed for HIV risk"&amp;CHAR(10),""),IF(AA65&gt;AA64," * Tested for Prep Initiation For age "&amp;$Z$20&amp;" "&amp;$AA$21&amp;" is more than Assessed for HIV risk"&amp;CHAR(10),""))</f>
        <v/>
      </c>
      <c r="AD65" s="639"/>
      <c r="AE65" s="80"/>
      <c r="AF65" s="668"/>
      <c r="AG65" s="404">
        <v>62</v>
      </c>
    </row>
    <row r="66" spans="1:33" x14ac:dyDescent="0.5">
      <c r="A66" s="598"/>
      <c r="B66" s="256" t="s">
        <v>661</v>
      </c>
      <c r="C66" s="131" t="s">
        <v>565</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6" s="639"/>
      <c r="AE66" s="80"/>
      <c r="AF66" s="668"/>
      <c r="AG66" s="404">
        <v>63</v>
      </c>
    </row>
    <row r="67" spans="1:33" ht="31.5" thickBot="1" x14ac:dyDescent="0.55000000000000004">
      <c r="A67" s="599"/>
      <c r="B67" s="262" t="s">
        <v>662</v>
      </c>
      <c r="C67" s="133" t="s">
        <v>188</v>
      </c>
      <c r="D67" s="138"/>
      <c r="E67" s="37"/>
      <c r="F67" s="37"/>
      <c r="G67" s="37"/>
      <c r="H67" s="37"/>
      <c r="I67" s="37"/>
      <c r="J67" s="38"/>
      <c r="K67" s="226"/>
      <c r="L67" s="226"/>
      <c r="M67" s="226"/>
      <c r="N67" s="226"/>
      <c r="O67" s="226"/>
      <c r="P67" s="226"/>
      <c r="Q67" s="226"/>
      <c r="R67" s="226"/>
      <c r="S67" s="226"/>
      <c r="T67" s="226"/>
      <c r="U67" s="226"/>
      <c r="V67" s="226"/>
      <c r="W67" s="226"/>
      <c r="X67" s="226"/>
      <c r="Y67" s="226"/>
      <c r="Z67" s="226"/>
      <c r="AA67" s="226"/>
      <c r="AB67" s="39">
        <f t="shared" ref="AB67:AB95" si="14">SUM(D67:AA67)</f>
        <v>0</v>
      </c>
      <c r="AC67" s="91" t="str">
        <f>CONCATENATE(IF(D67&gt;(D65-D66)," * Eligible For Prep For age "&amp;$D$20&amp;" "&amp;$D$21&amp;" is more than Clients tested HIV Negative for Prep Initiation"&amp;CHAR(10),""),IF(E67&gt;(E65-E66)," * Eligible For Prep For age "&amp;$D$20&amp;" "&amp;$E$21&amp;" is more than Clients tested HIV Negative for Prep Initiation"&amp;CHAR(10),""),IF(F67&gt;(F65-F66)," * Eligible For Prep For age "&amp;$F$20&amp;" "&amp;$F$21&amp;" is more than Clients tested HIV Negative for Prep Initiation"&amp;CHAR(10),""),IF(G67&gt;(G65-G66)," * Eligible For Prep For age "&amp;$F$20&amp;" "&amp;$G$21&amp;" is more than Clients tested HIV Negative for Prep Initiation"&amp;CHAR(10),""),IF(H67&gt;(H65-H66)," * Eligible For Prep For age "&amp;$H$20&amp;" "&amp;$H$21&amp;" is more than Clients tested HIV Negative for Prep Initiation"&amp;CHAR(10),""),IF(I67&gt;(I65-I66)," * Eligible For Prep For age "&amp;$H$20&amp;" "&amp;$I$21&amp;" is more than Clients tested HIV Negative for Prep Initiation"&amp;CHAR(10),""),IF(J67&gt;(J65-J66)," * Eligible For Prep For age "&amp;$J$20&amp;" "&amp;$J$21&amp;" is more than Clients tested HIV Negative for Prep Initiation"&amp;CHAR(10),""),IF(K67&gt;(K65-K66)," * Eligible For Prep For age "&amp;$J$20&amp;" "&amp;$K$21&amp;" is more than Clients tested HIV Negative for Prep Initiation"&amp;CHAR(10),""),IF(L67&gt;(L65-L66)," * Eligible For Prep For age "&amp;$L$20&amp;" "&amp;$L$21&amp;" is more than Clients tested HIV Negative for Prep Initiation"&amp;CHAR(10),""),IF(M67&gt;(M65-M66)," * Eligible For Prep For age "&amp;$L$20&amp;" "&amp;$M$21&amp;" is more than Clients tested HIV Negative for Prep Initiation"&amp;CHAR(10),""),IF(N67&gt;(N65-N66)," * Eligible For Prep For age "&amp;$N$20&amp;" "&amp;$N$21&amp;" is more than Clients tested HIV Negative for Prep Initiation"&amp;CHAR(10),""),IF(O67&gt;(O65-O66)," * Eligible For Prep For age "&amp;$N$20&amp;" "&amp;$O$21&amp;" is more than Clients tested HIV Negative for Prep Initiation"&amp;CHAR(10),""),IF(P67&gt;(P65-P66)," * Eligible For Prep For age "&amp;$P$20&amp;" "&amp;$P$21&amp;" is more than Clients tested HIV Negative for Prep Initiation"&amp;CHAR(10),""),IF(Q67&gt;(Q65-Q66)," * Eligible For Prep For age "&amp;$P$20&amp;" "&amp;$Q$21&amp;" is more than Clients tested HIV Negative for Prep Initiation"&amp;CHAR(10),""),IF(R67&gt;(R65-R66)," * Eligible For Prep For age "&amp;$R$20&amp;" "&amp;$R$21&amp;" is more than Clients tested HIV Negative for Prep Initiation"&amp;CHAR(10),""),IF(S67&gt;(S65-S66)," * Eligible For Prep For age "&amp;$R$20&amp;" "&amp;$S$21&amp;" is more than Clients tested HIV Negative for Prep Initiation"&amp;CHAR(10),""),IF(T67&gt;(T65-T66)," * Eligible For Prep For age "&amp;$T$20&amp;" "&amp;$T$21&amp;" is more than Clients tested HIV Negative for Prep Initiation"&amp;CHAR(10),""),IF(U67&gt;(U65-U66)," * Eligible For Prep For age "&amp;$T$20&amp;" "&amp;$U$21&amp;" is more than Clients tested HIV Negative for Prep Initiation"&amp;CHAR(10),""),IF(V67&gt;(V65-V66)," * Eligible For Prep For age "&amp;$V$20&amp;" "&amp;$V$21&amp;" is more than Clients tested HIV Negative for Prep Initiation"&amp;CHAR(10),""),IF(W67&gt;(W65-W66)," * Eligible For Prep For age "&amp;$V$20&amp;" "&amp;$W$21&amp;" is more than Clients tested HIV Negative for Prep Initiation"&amp;CHAR(10),""),IF(X67&gt;(X65-X66)," * Eligible For Prep For age "&amp;$X$20&amp;" "&amp;$X$21&amp;" is more than Clients tested HIV Negative for Prep Initiation"&amp;CHAR(10),""),IF(Y67&gt;(Y65-Y66)," * Eligible For Prep For age "&amp;$X$20&amp;" "&amp;$Y$21&amp;" is more than Clients tested HIV Negative for Prep Initiation"&amp;CHAR(10),""),IF(Z67&gt;(Z65-Z66)," * Eligible For Prep For age "&amp;$Z$20&amp;" "&amp;$Z$21&amp;" is more than Clients tested HIV Negative for Prep Initiation"&amp;CHAR(10),""),IF(AA67&gt;(AA65-AA66)," * Eligible For Prep For age "&amp;$Z$20&amp;" "&amp;$AA$21&amp;" is more than Clients tested HIV Negative for Prep Initiation"&amp;CHAR(10),""))</f>
        <v/>
      </c>
      <c r="AD67" s="639"/>
      <c r="AE67" s="80"/>
      <c r="AF67" s="668"/>
      <c r="AG67" s="404">
        <v>64</v>
      </c>
    </row>
    <row r="68" spans="1:33" ht="33" thickBot="1" x14ac:dyDescent="0.55000000000000004">
      <c r="A68" s="543" t="s">
        <v>591</v>
      </c>
      <c r="B68" s="343" t="s">
        <v>645</v>
      </c>
      <c r="C68" s="129" t="s">
        <v>189</v>
      </c>
      <c r="D68" s="136"/>
      <c r="E68" s="33"/>
      <c r="F68" s="33"/>
      <c r="G68" s="33"/>
      <c r="H68" s="33"/>
      <c r="I68" s="33"/>
      <c r="J68" s="48">
        <f>SUM(J69:J74)</f>
        <v>0</v>
      </c>
      <c r="K68" s="48">
        <f t="shared" ref="K68:AA68" si="15">SUM(K69:K74)</f>
        <v>0</v>
      </c>
      <c r="L68" s="48">
        <f t="shared" si="15"/>
        <v>0</v>
      </c>
      <c r="M68" s="48">
        <f t="shared" si="15"/>
        <v>0</v>
      </c>
      <c r="N68" s="48">
        <f t="shared" si="15"/>
        <v>0</v>
      </c>
      <c r="O68" s="48">
        <f t="shared" si="15"/>
        <v>0</v>
      </c>
      <c r="P68" s="48">
        <f t="shared" si="15"/>
        <v>0</v>
      </c>
      <c r="Q68" s="48">
        <f t="shared" si="15"/>
        <v>0</v>
      </c>
      <c r="R68" s="48">
        <f t="shared" si="15"/>
        <v>0</v>
      </c>
      <c r="S68" s="48">
        <f t="shared" si="15"/>
        <v>0</v>
      </c>
      <c r="T68" s="48">
        <f t="shared" si="15"/>
        <v>0</v>
      </c>
      <c r="U68" s="48">
        <f t="shared" si="15"/>
        <v>0</v>
      </c>
      <c r="V68" s="48">
        <f t="shared" si="15"/>
        <v>0</v>
      </c>
      <c r="W68" s="48">
        <f t="shared" si="15"/>
        <v>0</v>
      </c>
      <c r="X68" s="48">
        <f t="shared" si="15"/>
        <v>0</v>
      </c>
      <c r="Y68" s="48">
        <f t="shared" si="15"/>
        <v>0</v>
      </c>
      <c r="Z68" s="48">
        <f t="shared" si="15"/>
        <v>0</v>
      </c>
      <c r="AA68" s="48">
        <f t="shared" si="15"/>
        <v>0</v>
      </c>
      <c r="AB68" s="35">
        <f t="shared" si="14"/>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39"/>
      <c r="AE68" s="80" t="str">
        <f>CONCATENATE(IF(AB68&lt;&gt;SUM(AB96,AB97)," * Total Sum of (PMTCT Discordant Couple + HTS Discordant Couple) is not equal to F02-03"&amp;CHAR(10),""))</f>
        <v/>
      </c>
      <c r="AF68" s="668"/>
      <c r="AG68" s="404">
        <v>65</v>
      </c>
    </row>
    <row r="69" spans="1:33" x14ac:dyDescent="0.5">
      <c r="A69" s="597" t="s">
        <v>583</v>
      </c>
      <c r="B69" s="256" t="s">
        <v>396</v>
      </c>
      <c r="C69" s="131" t="s">
        <v>584</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6">SUM(J69:AA69)</f>
        <v>0</v>
      </c>
      <c r="AC69" s="82"/>
      <c r="AD69" s="639"/>
      <c r="AE69" s="80"/>
      <c r="AF69" s="668"/>
      <c r="AG69" s="404">
        <v>66</v>
      </c>
    </row>
    <row r="70" spans="1:33" x14ac:dyDescent="0.5">
      <c r="A70" s="598"/>
      <c r="B70" s="256" t="s">
        <v>391</v>
      </c>
      <c r="C70" s="131" t="s">
        <v>585</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6"/>
        <v>0</v>
      </c>
      <c r="AC70" s="82"/>
      <c r="AD70" s="639"/>
      <c r="AE70" s="80"/>
      <c r="AF70" s="668"/>
      <c r="AG70" s="404">
        <v>67</v>
      </c>
    </row>
    <row r="71" spans="1:33" x14ac:dyDescent="0.5">
      <c r="A71" s="598"/>
      <c r="B71" s="256" t="s">
        <v>392</v>
      </c>
      <c r="C71" s="131" t="s">
        <v>586</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6"/>
        <v>0</v>
      </c>
      <c r="AC71" s="82"/>
      <c r="AD71" s="639"/>
      <c r="AE71" s="80"/>
      <c r="AF71" s="668"/>
      <c r="AG71" s="404">
        <v>68</v>
      </c>
    </row>
    <row r="72" spans="1:33" x14ac:dyDescent="0.5">
      <c r="A72" s="598"/>
      <c r="B72" s="256" t="s">
        <v>393</v>
      </c>
      <c r="C72" s="131" t="s">
        <v>587</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6"/>
        <v>0</v>
      </c>
      <c r="AC72" s="82"/>
      <c r="AD72" s="639"/>
      <c r="AE72" s="80"/>
      <c r="AF72" s="668"/>
      <c r="AG72" s="404">
        <v>69</v>
      </c>
    </row>
    <row r="73" spans="1:33" x14ac:dyDescent="0.5">
      <c r="A73" s="598"/>
      <c r="B73" s="256" t="s">
        <v>394</v>
      </c>
      <c r="C73" s="131" t="s">
        <v>588</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39"/>
      <c r="AE73" s="80"/>
      <c r="AF73" s="668"/>
      <c r="AG73" s="404">
        <v>70</v>
      </c>
    </row>
    <row r="74" spans="1:33" ht="31.5" thickBot="1" x14ac:dyDescent="0.55000000000000004">
      <c r="A74" s="599"/>
      <c r="B74" s="262" t="s">
        <v>395</v>
      </c>
      <c r="C74" s="133" t="s">
        <v>589</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39"/>
      <c r="AE74" s="80"/>
      <c r="AF74" s="668"/>
      <c r="AG74" s="404">
        <v>71</v>
      </c>
    </row>
    <row r="75" spans="1:33" x14ac:dyDescent="0.5">
      <c r="A75" s="597" t="s">
        <v>592</v>
      </c>
      <c r="B75" s="264" t="s">
        <v>562</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39"/>
      <c r="AE75" s="80"/>
      <c r="AF75" s="668"/>
      <c r="AG75" s="404">
        <v>72</v>
      </c>
    </row>
    <row r="76" spans="1:33" x14ac:dyDescent="0.5">
      <c r="A76" s="598"/>
      <c r="B76" s="256" t="s">
        <v>566</v>
      </c>
      <c r="C76" s="131" t="s">
        <v>568</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39"/>
      <c r="AE76" s="80"/>
      <c r="AF76" s="668"/>
      <c r="AG76" s="404">
        <v>73</v>
      </c>
    </row>
    <row r="77" spans="1:33" x14ac:dyDescent="0.5">
      <c r="A77" s="598"/>
      <c r="B77" s="256" t="s">
        <v>567</v>
      </c>
      <c r="C77" s="131" t="s">
        <v>569</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7">SUM(J77:AA77)</f>
        <v>0</v>
      </c>
      <c r="AC77" s="82"/>
      <c r="AD77" s="639"/>
      <c r="AE77" s="80"/>
      <c r="AF77" s="668"/>
      <c r="AG77" s="404">
        <v>74</v>
      </c>
    </row>
    <row r="78" spans="1:33" ht="31.5" thickBot="1" x14ac:dyDescent="0.55000000000000004">
      <c r="A78" s="599"/>
      <c r="B78" s="262" t="s">
        <v>663</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7"/>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39"/>
      <c r="AE78" s="80"/>
      <c r="AF78" s="668"/>
      <c r="AG78" s="404">
        <v>75</v>
      </c>
    </row>
    <row r="79" spans="1:33" ht="65.25" thickBot="1" x14ac:dyDescent="0.55000000000000004">
      <c r="A79" s="543" t="s">
        <v>869</v>
      </c>
      <c r="B79" s="343" t="s">
        <v>941</v>
      </c>
      <c r="C79" s="263" t="s">
        <v>571</v>
      </c>
      <c r="D79" s="136"/>
      <c r="E79" s="33"/>
      <c r="F79" s="33"/>
      <c r="G79" s="33"/>
      <c r="H79" s="33"/>
      <c r="I79" s="33"/>
      <c r="J79" s="48">
        <f>SUM(J80:J85)</f>
        <v>0</v>
      </c>
      <c r="K79" s="48">
        <f t="shared" ref="K79:AA79" si="18">SUM(K80:K85)</f>
        <v>0</v>
      </c>
      <c r="L79" s="48">
        <f t="shared" si="18"/>
        <v>0</v>
      </c>
      <c r="M79" s="48">
        <f t="shared" si="18"/>
        <v>0</v>
      </c>
      <c r="N79" s="48">
        <f t="shared" si="18"/>
        <v>0</v>
      </c>
      <c r="O79" s="48">
        <f t="shared" si="18"/>
        <v>0</v>
      </c>
      <c r="P79" s="48">
        <f t="shared" si="18"/>
        <v>0</v>
      </c>
      <c r="Q79" s="48">
        <f t="shared" si="18"/>
        <v>0</v>
      </c>
      <c r="R79" s="48">
        <f t="shared" si="18"/>
        <v>0</v>
      </c>
      <c r="S79" s="48">
        <f t="shared" si="18"/>
        <v>0</v>
      </c>
      <c r="T79" s="48">
        <f t="shared" si="18"/>
        <v>0</v>
      </c>
      <c r="U79" s="48">
        <f t="shared" si="18"/>
        <v>0</v>
      </c>
      <c r="V79" s="48">
        <f t="shared" si="18"/>
        <v>0</v>
      </c>
      <c r="W79" s="48">
        <f t="shared" si="18"/>
        <v>0</v>
      </c>
      <c r="X79" s="48">
        <f t="shared" si="18"/>
        <v>0</v>
      </c>
      <c r="Y79" s="48">
        <f t="shared" si="18"/>
        <v>0</v>
      </c>
      <c r="Z79" s="48">
        <f t="shared" si="18"/>
        <v>0</v>
      </c>
      <c r="AA79" s="48">
        <f t="shared" si="18"/>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39"/>
      <c r="AE79" s="80"/>
      <c r="AF79" s="668"/>
      <c r="AG79" s="404">
        <v>76</v>
      </c>
    </row>
    <row r="80" spans="1:33" x14ac:dyDescent="0.5">
      <c r="A80" s="597" t="s">
        <v>582</v>
      </c>
      <c r="B80" s="256" t="s">
        <v>396</v>
      </c>
      <c r="C80" s="131" t="s">
        <v>593</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39"/>
      <c r="AE80" s="80"/>
      <c r="AF80" s="668"/>
      <c r="AG80" s="404">
        <v>77</v>
      </c>
    </row>
    <row r="81" spans="1:33" x14ac:dyDescent="0.5">
      <c r="A81" s="598"/>
      <c r="B81" s="256" t="s">
        <v>391</v>
      </c>
      <c r="C81" s="131" t="s">
        <v>594</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39"/>
      <c r="AE81" s="80"/>
      <c r="AF81" s="668"/>
      <c r="AG81" s="404">
        <v>78</v>
      </c>
    </row>
    <row r="82" spans="1:33" x14ac:dyDescent="0.5">
      <c r="A82" s="598"/>
      <c r="B82" s="256" t="s">
        <v>392</v>
      </c>
      <c r="C82" s="131" t="s">
        <v>595</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9">SUM(J82:AA82)</f>
        <v>0</v>
      </c>
      <c r="AC82" s="82"/>
      <c r="AD82" s="639"/>
      <c r="AE82" s="80"/>
      <c r="AF82" s="668"/>
      <c r="AG82" s="404">
        <v>79</v>
      </c>
    </row>
    <row r="83" spans="1:33" x14ac:dyDescent="0.5">
      <c r="A83" s="598"/>
      <c r="B83" s="256" t="s">
        <v>393</v>
      </c>
      <c r="C83" s="131" t="s">
        <v>596</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9"/>
        <v>0</v>
      </c>
      <c r="AC83" s="82"/>
      <c r="AD83" s="639"/>
      <c r="AE83" s="80"/>
      <c r="AF83" s="668"/>
      <c r="AG83" s="404">
        <v>80</v>
      </c>
    </row>
    <row r="84" spans="1:33" x14ac:dyDescent="0.5">
      <c r="A84" s="598"/>
      <c r="B84" s="256" t="s">
        <v>394</v>
      </c>
      <c r="C84" s="131" t="s">
        <v>597</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9"/>
        <v>0</v>
      </c>
      <c r="AC84" s="82"/>
      <c r="AD84" s="639"/>
      <c r="AE84" s="80"/>
      <c r="AF84" s="668"/>
      <c r="AG84" s="404">
        <v>81</v>
      </c>
    </row>
    <row r="85" spans="1:33" ht="31.5" thickBot="1" x14ac:dyDescent="0.55000000000000004">
      <c r="A85" s="599"/>
      <c r="B85" s="262" t="s">
        <v>395</v>
      </c>
      <c r="C85" s="133" t="s">
        <v>598</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9"/>
        <v>0</v>
      </c>
      <c r="AC85" s="82"/>
      <c r="AD85" s="639"/>
      <c r="AE85" s="80"/>
      <c r="AF85" s="668"/>
      <c r="AG85" s="404">
        <v>82</v>
      </c>
    </row>
    <row r="86" spans="1:33" x14ac:dyDescent="0.5">
      <c r="A86" s="591" t="s">
        <v>28</v>
      </c>
      <c r="B86" s="255" t="s">
        <v>664</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4"/>
        <v>0</v>
      </c>
      <c r="AC86" s="664"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39"/>
      <c r="AE86" s="80"/>
      <c r="AF86" s="668"/>
      <c r="AG86" s="404">
        <v>83</v>
      </c>
    </row>
    <row r="87" spans="1:33" x14ac:dyDescent="0.5">
      <c r="A87" s="592"/>
      <c r="B87" s="256" t="s">
        <v>665</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4"/>
        <v>0</v>
      </c>
      <c r="AC87" s="664"/>
      <c r="AD87" s="639"/>
      <c r="AE87" s="80"/>
      <c r="AF87" s="668"/>
      <c r="AG87" s="404">
        <v>84</v>
      </c>
    </row>
    <row r="88" spans="1:33" ht="31.5" thickBot="1" x14ac:dyDescent="0.55000000000000004">
      <c r="A88" s="593"/>
      <c r="B88" s="257" t="s">
        <v>666</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4"/>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39"/>
      <c r="AE88" s="80"/>
      <c r="AF88" s="668"/>
      <c r="AG88" s="404">
        <v>85</v>
      </c>
    </row>
    <row r="89" spans="1:33" x14ac:dyDescent="0.5">
      <c r="A89" s="591" t="s">
        <v>21</v>
      </c>
      <c r="B89" s="264" t="s">
        <v>667</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4"/>
        <v>0</v>
      </c>
      <c r="AC89" s="82"/>
      <c r="AD89" s="639"/>
      <c r="AE89" s="80"/>
      <c r="AF89" s="668"/>
      <c r="AG89" s="404">
        <v>86</v>
      </c>
    </row>
    <row r="90" spans="1:33" x14ac:dyDescent="0.5">
      <c r="A90" s="592"/>
      <c r="B90" s="256" t="s">
        <v>668</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4"/>
        <v>0</v>
      </c>
      <c r="AC90" s="82"/>
      <c r="AD90" s="639"/>
      <c r="AE90" s="80"/>
      <c r="AF90" s="668"/>
      <c r="AG90" s="404">
        <v>87</v>
      </c>
    </row>
    <row r="91" spans="1:33" x14ac:dyDescent="0.5">
      <c r="A91" s="592"/>
      <c r="B91" s="256" t="s">
        <v>669</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4"/>
        <v>0</v>
      </c>
      <c r="AC91" s="82"/>
      <c r="AD91" s="639"/>
      <c r="AE91" s="80"/>
      <c r="AF91" s="668"/>
      <c r="AG91" s="404">
        <v>88</v>
      </c>
    </row>
    <row r="92" spans="1:33" x14ac:dyDescent="0.5">
      <c r="A92" s="592"/>
      <c r="B92" s="256" t="s">
        <v>670</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4"/>
        <v>0</v>
      </c>
      <c r="AC92" s="82"/>
      <c r="AD92" s="639"/>
      <c r="AE92" s="80"/>
      <c r="AF92" s="668"/>
      <c r="AG92" s="404">
        <v>89</v>
      </c>
    </row>
    <row r="93" spans="1:33" x14ac:dyDescent="0.5">
      <c r="A93" s="592"/>
      <c r="B93" s="256" t="s">
        <v>671</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4"/>
        <v>0</v>
      </c>
      <c r="AC93" s="82"/>
      <c r="AD93" s="639"/>
      <c r="AE93" s="80"/>
      <c r="AF93" s="668"/>
      <c r="AG93" s="404">
        <v>90</v>
      </c>
    </row>
    <row r="94" spans="1:33" x14ac:dyDescent="0.5">
      <c r="A94" s="592"/>
      <c r="B94" s="256" t="s">
        <v>672</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4"/>
        <v>0</v>
      </c>
      <c r="AC94" s="82"/>
      <c r="AD94" s="639"/>
      <c r="AE94" s="80"/>
      <c r="AF94" s="668"/>
      <c r="AG94" s="404">
        <v>91</v>
      </c>
    </row>
    <row r="95" spans="1:33" ht="31.5" thickBot="1" x14ac:dyDescent="0.55000000000000004">
      <c r="A95" s="593"/>
      <c r="B95" s="262" t="s">
        <v>673</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4"/>
        <v>0</v>
      </c>
      <c r="AC95" s="82"/>
      <c r="AD95" s="639"/>
      <c r="AE95" s="80"/>
      <c r="AF95" s="668"/>
      <c r="AG95" s="404">
        <v>92</v>
      </c>
    </row>
    <row r="96" spans="1:33" x14ac:dyDescent="0.5">
      <c r="A96" s="591" t="s">
        <v>114</v>
      </c>
      <c r="B96" s="269" t="s">
        <v>674</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39"/>
      <c r="AE96" s="80"/>
      <c r="AF96" s="668"/>
      <c r="AG96" s="404">
        <v>93</v>
      </c>
    </row>
    <row r="97" spans="1:34" ht="31.5" thickBot="1" x14ac:dyDescent="0.55000000000000004">
      <c r="A97" s="676"/>
      <c r="B97" s="270" t="s">
        <v>675</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40"/>
      <c r="AE97" s="94"/>
      <c r="AF97" s="669"/>
      <c r="AG97" s="404">
        <v>94</v>
      </c>
    </row>
    <row r="98" spans="1:34" ht="36" thickBot="1" x14ac:dyDescent="0.55000000000000004">
      <c r="A98" s="602" t="s">
        <v>1051</v>
      </c>
      <c r="B98" s="603"/>
      <c r="C98" s="603"/>
      <c r="D98" s="603"/>
      <c r="E98" s="603"/>
      <c r="F98" s="603"/>
      <c r="G98" s="603"/>
      <c r="H98" s="603"/>
      <c r="I98" s="603"/>
      <c r="J98" s="603"/>
      <c r="K98" s="603"/>
      <c r="L98" s="603"/>
      <c r="M98" s="603"/>
      <c r="N98" s="603"/>
      <c r="O98" s="603"/>
      <c r="P98" s="603"/>
      <c r="Q98" s="603"/>
      <c r="R98" s="603"/>
      <c r="S98" s="603"/>
      <c r="T98" s="603"/>
      <c r="U98" s="603"/>
      <c r="V98" s="603"/>
      <c r="W98" s="603"/>
      <c r="X98" s="603"/>
      <c r="Y98" s="603"/>
      <c r="Z98" s="603"/>
      <c r="AA98" s="603"/>
      <c r="AB98" s="603"/>
      <c r="AC98" s="603"/>
      <c r="AD98" s="603"/>
      <c r="AE98" s="603"/>
      <c r="AF98" s="604"/>
      <c r="AG98" s="404">
        <v>95</v>
      </c>
    </row>
    <row r="99" spans="1:34" ht="26.25" customHeight="1" x14ac:dyDescent="0.5">
      <c r="A99" s="612" t="s">
        <v>37</v>
      </c>
      <c r="B99" s="674" t="s">
        <v>347</v>
      </c>
      <c r="C99" s="677" t="s">
        <v>328</v>
      </c>
      <c r="D99" s="623" t="s">
        <v>0</v>
      </c>
      <c r="E99" s="623"/>
      <c r="F99" s="623" t="s">
        <v>1</v>
      </c>
      <c r="G99" s="623"/>
      <c r="H99" s="623" t="s">
        <v>2</v>
      </c>
      <c r="I99" s="623"/>
      <c r="J99" s="623" t="s">
        <v>3</v>
      </c>
      <c r="K99" s="623"/>
      <c r="L99" s="623" t="s">
        <v>4</v>
      </c>
      <c r="M99" s="623"/>
      <c r="N99" s="623" t="s">
        <v>5</v>
      </c>
      <c r="O99" s="623"/>
      <c r="P99" s="623" t="s">
        <v>6</v>
      </c>
      <c r="Q99" s="623"/>
      <c r="R99" s="623" t="s">
        <v>7</v>
      </c>
      <c r="S99" s="623"/>
      <c r="T99" s="623" t="s">
        <v>8</v>
      </c>
      <c r="U99" s="623"/>
      <c r="V99" s="623" t="s">
        <v>23</v>
      </c>
      <c r="W99" s="623"/>
      <c r="X99" s="623" t="s">
        <v>24</v>
      </c>
      <c r="Y99" s="623"/>
      <c r="Z99" s="623" t="s">
        <v>9</v>
      </c>
      <c r="AA99" s="623"/>
      <c r="AB99" s="695" t="s">
        <v>19</v>
      </c>
      <c r="AC99" s="657" t="s">
        <v>381</v>
      </c>
      <c r="AD99" s="607" t="s">
        <v>387</v>
      </c>
      <c r="AE99" s="606" t="s">
        <v>388</v>
      </c>
      <c r="AF99" s="641" t="s">
        <v>388</v>
      </c>
      <c r="AG99" s="404">
        <v>96</v>
      </c>
    </row>
    <row r="100" spans="1:34" ht="27" customHeight="1" thickBot="1" x14ac:dyDescent="0.55000000000000004">
      <c r="A100" s="613"/>
      <c r="B100" s="675"/>
      <c r="C100" s="678"/>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696"/>
      <c r="AC100" s="658"/>
      <c r="AD100" s="608"/>
      <c r="AE100" s="606"/>
      <c r="AF100" s="601"/>
      <c r="AG100" s="404">
        <v>97</v>
      </c>
    </row>
    <row r="101" spans="1:34" s="9" customFormat="1" x14ac:dyDescent="0.5">
      <c r="A101" s="691" t="s">
        <v>1050</v>
      </c>
      <c r="B101" s="255" t="s">
        <v>676</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34" t="str">
        <f>CONCATENATE(AC101,AC102,AC103,AC104,AC105,AC106,AC107,AC108,AC109,AC110,AC111,AC112)</f>
        <v/>
      </c>
      <c r="AE101" s="100"/>
      <c r="AF101" s="667" t="str">
        <f>CONCATENATE(AE101,AE102,AE103,AE104,AE105,AE106,AE107,AE108,AE109,AE110,AE111,AE112)</f>
        <v/>
      </c>
      <c r="AG101" s="404">
        <v>98</v>
      </c>
      <c r="AH101" s="311"/>
    </row>
    <row r="102" spans="1:34" s="9" customFormat="1" ht="31.5" thickBot="1" x14ac:dyDescent="0.55000000000000004">
      <c r="A102" s="593"/>
      <c r="B102" s="262" t="s">
        <v>677</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20">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35"/>
      <c r="AE102" s="81"/>
      <c r="AF102" s="668"/>
      <c r="AG102" s="404">
        <v>99</v>
      </c>
      <c r="AH102" s="311"/>
    </row>
    <row r="103" spans="1:34" x14ac:dyDescent="0.5">
      <c r="A103" s="591" t="s">
        <v>1036</v>
      </c>
      <c r="B103" s="264" t="s">
        <v>678</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20"/>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35"/>
      <c r="AE103" s="80"/>
      <c r="AF103" s="668"/>
      <c r="AG103" s="404">
        <v>100</v>
      </c>
    </row>
    <row r="104" spans="1:34" ht="31.5" thickBot="1" x14ac:dyDescent="0.55000000000000004">
      <c r="A104" s="593"/>
      <c r="B104" s="262" t="s">
        <v>677</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20"/>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35"/>
      <c r="AE104" s="80"/>
      <c r="AF104" s="668"/>
      <c r="AG104" s="404">
        <v>101</v>
      </c>
    </row>
    <row r="105" spans="1:34" s="7" customFormat="1" x14ac:dyDescent="0.5">
      <c r="A105" s="610" t="s">
        <v>29</v>
      </c>
      <c r="B105" s="272" t="s">
        <v>679</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20"/>
        <v>0</v>
      </c>
      <c r="AC105" s="82" t="str">
        <f>CONCATENATE(IF(D258&lt;SUM(D101,D102)," * Total Initiated on IPT for Age "&amp;D20&amp;" "&amp;D21&amp;" is More than Current ON ART "&amp;CHAR(10),""),IF(E258&lt;SUM(E101,E102)," * Total Initiated on IPT for Age "&amp;D20&amp;" "&amp;E21&amp;" is More than Current ON ART"&amp;CHAR(10),""),IF(F258&lt;SUM(F101,F102)," * Total Initiated on IPT for Age "&amp;F20&amp;" "&amp;F21&amp;" is More than Current ON ART "&amp;CHAR(10),""),IF(G258&lt;SUM(G101,G102)," * Total Initiated on IPT for Age "&amp;F20&amp;" "&amp;G21&amp;" is More than Current ON ART"&amp;CHAR(10),""),IF(H258&lt;SUM(H101,H102)," * Total Initiated on IPT for Age "&amp;H20&amp;" "&amp;H21&amp;" is More than Current ON ART "&amp;CHAR(10),""),IF(I258&lt;SUM(I101,I102)," * Total Initiated on IPT for Age "&amp;H20&amp;" "&amp;I21&amp;" is More than Current ON ART"&amp;CHAR(10),""),IF(J258&lt;SUM(J101,J102)," * Total Initiated on IPT for Age "&amp;J20&amp;" "&amp;J21&amp;" is More than Current ON ART "&amp;CHAR(10),""),IF(K258&lt;SUM(K101,K102)," * Total Initiated on IPT for Age "&amp;J20&amp;" "&amp;K21&amp;" is More than Current ON ART"&amp;CHAR(10),""),IF(L258&lt;SUM(L101,L102)," * Total Initiated on IPT for Age "&amp;L20&amp;" "&amp;L21&amp;" is More than Current ON ART "&amp;CHAR(10),""),IF(M258&lt;SUM(M101,M102)," * Total Initiated on IPT for Age "&amp;L20&amp;" "&amp;M21&amp;" is More than Current ON ART"&amp;CHAR(10),""),IF(N258&lt;SUM(N101,N102)," * Total Initiated on IPT for Age "&amp;N20&amp;" "&amp;N21&amp;" is More than Current ON ART "&amp;CHAR(10),""),IF(O258&lt;SUM(O101,O102)," * Total Initiated on IPT for Age "&amp;N20&amp;" "&amp;O21&amp;" is More than Current ON ART"&amp;CHAR(10),""),IF(P258&lt;SUM(P101,P102)," * Total Initiated on IPT for Age "&amp;P20&amp;" "&amp;P21&amp;" is More than Current ON ART "&amp;CHAR(10),""),IF(Q258&lt;SUM(Q101,Q102)," * Total Initiated on IPT for Age "&amp;P20&amp;" "&amp;Q21&amp;" is More than Current ON ART"&amp;CHAR(10),""),IF(R258&lt;SUM(R101,R102)," * Total Initiated on IPT for Age "&amp;R20&amp;" "&amp;R21&amp;" is More than Current ON ART "&amp;CHAR(10),""),IF(S258&lt;SUM(S101,S102)," * Total Initiated on IPT for Age "&amp;R20&amp;" "&amp;S21&amp;" is More than Current ON ART"&amp;CHAR(10),""),IF(T258&lt;SUM(T101,T102)," * Total Initiated on IPT for Age "&amp;T20&amp;" "&amp;T21&amp;" is More than Current ON ART "&amp;CHAR(10),""),IF(U258&lt;SUM(U101,U102)," * Total Initiated on IPT for Age "&amp;T20&amp;" "&amp;U21&amp;" is More than Current ON ART"&amp;CHAR(10),""),IF(V258&lt;SUM(V101,V102)," * Total Initiated on IPT for Age "&amp;V20&amp;" "&amp;V21&amp;" is More than Current ON ART "&amp;CHAR(10),""),IF(W258&lt;SUM(W101,W102)," * Total Initiated on IPT for Age "&amp;V20&amp;" "&amp;W21&amp;" is More than Current ON ART"&amp;CHAR(10),""),IF(X258&lt;SUM(X101,X102)," * Total Initiated on IPT for Age "&amp;X20&amp;" "&amp;X21&amp;" is More than Current ON ART "&amp;CHAR(10),""),IF(Y258&lt;SUM(Y101,Y102)," * Total Initiated on IPT for Age "&amp;X20&amp;" "&amp;Y21&amp;" is More than Current ON ART"&amp;CHAR(10),""),IF(Z258&lt;SUM(Z101,Z102)," * Total Initiated on IPT for Age "&amp;Z20&amp;" "&amp;Z21&amp;" is More than Current ON ART "&amp;CHAR(10),""),IF(AA258&lt;SUM(AA101,AA102)," * Total Initiated on IPT for Age "&amp;Z20&amp;" "&amp;AA21&amp;" is More than Current ON ART "&amp;CHAR(10),""))</f>
        <v/>
      </c>
      <c r="AD105" s="635"/>
      <c r="AE105" s="80"/>
      <c r="AF105" s="668"/>
      <c r="AG105" s="404">
        <v>102</v>
      </c>
      <c r="AH105" s="310"/>
    </row>
    <row r="106" spans="1:34" s="7" customFormat="1" ht="31.5" thickBot="1" x14ac:dyDescent="0.55000000000000004">
      <c r="A106" s="611"/>
      <c r="B106" s="273" t="s">
        <v>680</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20"/>
        <v>0</v>
      </c>
      <c r="AC106" s="82"/>
      <c r="AD106" s="635"/>
      <c r="AE106" s="80"/>
      <c r="AF106" s="668"/>
      <c r="AG106" s="404">
        <v>103</v>
      </c>
      <c r="AH106" s="310"/>
    </row>
    <row r="107" spans="1:34" s="7" customFormat="1" x14ac:dyDescent="0.5">
      <c r="A107" s="610" t="s">
        <v>30</v>
      </c>
      <c r="B107" s="272" t="s">
        <v>679</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20"/>
        <v>0</v>
      </c>
      <c r="AC107" s="82"/>
      <c r="AD107" s="635"/>
      <c r="AE107" s="80"/>
      <c r="AF107" s="668"/>
      <c r="AG107" s="404">
        <v>104</v>
      </c>
      <c r="AH107" s="310"/>
    </row>
    <row r="108" spans="1:34" s="7" customFormat="1" ht="31.5" thickBot="1" x14ac:dyDescent="0.55000000000000004">
      <c r="A108" s="611"/>
      <c r="B108" s="273" t="s">
        <v>680</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20"/>
        <v>0</v>
      </c>
      <c r="AC108" s="82"/>
      <c r="AD108" s="635"/>
      <c r="AE108" s="80"/>
      <c r="AF108" s="668"/>
      <c r="AG108" s="404">
        <v>105</v>
      </c>
      <c r="AH108" s="310"/>
    </row>
    <row r="109" spans="1:34" s="7" customFormat="1" x14ac:dyDescent="0.5">
      <c r="A109" s="610" t="s">
        <v>31</v>
      </c>
      <c r="B109" s="272" t="s">
        <v>679</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20"/>
        <v>0</v>
      </c>
      <c r="AC109" s="82"/>
      <c r="AD109" s="635"/>
      <c r="AE109" s="80"/>
      <c r="AF109" s="668"/>
      <c r="AG109" s="404">
        <v>106</v>
      </c>
      <c r="AH109" s="310"/>
    </row>
    <row r="110" spans="1:34" s="7" customFormat="1" ht="31.5" thickBot="1" x14ac:dyDescent="0.55000000000000004">
      <c r="A110" s="611"/>
      <c r="B110" s="273" t="s">
        <v>680</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20"/>
        <v>0</v>
      </c>
      <c r="AC110" s="82"/>
      <c r="AD110" s="635"/>
      <c r="AE110" s="80"/>
      <c r="AF110" s="668"/>
      <c r="AG110" s="404">
        <v>107</v>
      </c>
      <c r="AH110" s="310"/>
    </row>
    <row r="111" spans="1:34" s="7" customFormat="1" x14ac:dyDescent="0.5">
      <c r="A111" s="610" t="s">
        <v>32</v>
      </c>
      <c r="B111" s="274" t="s">
        <v>679</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20"/>
        <v>0</v>
      </c>
      <c r="AC111" s="82"/>
      <c r="AD111" s="635"/>
      <c r="AE111" s="80"/>
      <c r="AF111" s="668"/>
      <c r="AG111" s="404">
        <v>108</v>
      </c>
      <c r="AH111" s="310"/>
    </row>
    <row r="112" spans="1:34" s="7" customFormat="1" ht="31.5" thickBot="1" x14ac:dyDescent="0.55000000000000004">
      <c r="A112" s="617"/>
      <c r="B112" s="275" t="s">
        <v>680</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20"/>
        <v>0</v>
      </c>
      <c r="AC112" s="178"/>
      <c r="AD112" s="636"/>
      <c r="AE112" s="94"/>
      <c r="AF112" s="669"/>
      <c r="AG112" s="404">
        <v>109</v>
      </c>
      <c r="AH112" s="310"/>
    </row>
    <row r="113" spans="1:34" ht="36" thickBot="1" x14ac:dyDescent="0.55000000000000004">
      <c r="A113" s="602" t="s">
        <v>127</v>
      </c>
      <c r="B113" s="603"/>
      <c r="C113" s="603"/>
      <c r="D113" s="603"/>
      <c r="E113" s="603"/>
      <c r="F113" s="603"/>
      <c r="G113" s="603"/>
      <c r="H113" s="603"/>
      <c r="I113" s="603"/>
      <c r="J113" s="603"/>
      <c r="K113" s="603"/>
      <c r="L113" s="603"/>
      <c r="M113" s="603"/>
      <c r="N113" s="603"/>
      <c r="O113" s="603"/>
      <c r="P113" s="603"/>
      <c r="Q113" s="603"/>
      <c r="R113" s="603"/>
      <c r="S113" s="603"/>
      <c r="T113" s="603"/>
      <c r="U113" s="603"/>
      <c r="V113" s="603"/>
      <c r="W113" s="603"/>
      <c r="X113" s="603"/>
      <c r="Y113" s="603"/>
      <c r="Z113" s="603"/>
      <c r="AA113" s="603"/>
      <c r="AB113" s="603"/>
      <c r="AC113" s="603"/>
      <c r="AD113" s="603"/>
      <c r="AE113" s="603"/>
      <c r="AF113" s="604"/>
      <c r="AG113" s="404">
        <v>110</v>
      </c>
    </row>
    <row r="114" spans="1:34" ht="26.25" customHeight="1" x14ac:dyDescent="0.5">
      <c r="A114" s="612" t="s">
        <v>37</v>
      </c>
      <c r="B114" s="614" t="s">
        <v>347</v>
      </c>
      <c r="C114" s="677" t="s">
        <v>328</v>
      </c>
      <c r="D114" s="728"/>
      <c r="E114" s="729"/>
      <c r="F114" s="729"/>
      <c r="G114" s="729"/>
      <c r="H114" s="729"/>
      <c r="I114" s="729"/>
      <c r="J114" s="729"/>
      <c r="K114" s="730"/>
      <c r="L114" s="623" t="s">
        <v>4</v>
      </c>
      <c r="M114" s="623"/>
      <c r="N114" s="623" t="s">
        <v>5</v>
      </c>
      <c r="O114" s="623"/>
      <c r="P114" s="623" t="s">
        <v>6</v>
      </c>
      <c r="Q114" s="623"/>
      <c r="R114" s="623" t="s">
        <v>7</v>
      </c>
      <c r="S114" s="623"/>
      <c r="T114" s="623" t="s">
        <v>8</v>
      </c>
      <c r="U114" s="623"/>
      <c r="V114" s="623" t="s">
        <v>23</v>
      </c>
      <c r="W114" s="623"/>
      <c r="X114" s="623" t="s">
        <v>24</v>
      </c>
      <c r="Y114" s="623"/>
      <c r="Z114" s="623" t="s">
        <v>9</v>
      </c>
      <c r="AA114" s="623"/>
      <c r="AB114" s="695" t="s">
        <v>19</v>
      </c>
      <c r="AC114" s="657" t="s">
        <v>381</v>
      </c>
      <c r="AD114" s="607" t="s">
        <v>387</v>
      </c>
      <c r="AE114" s="606" t="s">
        <v>388</v>
      </c>
      <c r="AF114" s="641" t="s">
        <v>388</v>
      </c>
      <c r="AG114" s="404">
        <v>111</v>
      </c>
    </row>
    <row r="115" spans="1:34" ht="27" customHeight="1" thickBot="1" x14ac:dyDescent="0.55000000000000004">
      <c r="A115" s="613"/>
      <c r="B115" s="615"/>
      <c r="C115" s="678"/>
      <c r="D115" s="731"/>
      <c r="E115" s="732"/>
      <c r="F115" s="732"/>
      <c r="G115" s="732"/>
      <c r="H115" s="732"/>
      <c r="I115" s="732"/>
      <c r="J115" s="732"/>
      <c r="K115" s="733"/>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696"/>
      <c r="AC115" s="658"/>
      <c r="AD115" s="608"/>
      <c r="AE115" s="606"/>
      <c r="AF115" s="601"/>
      <c r="AG115" s="404">
        <v>112</v>
      </c>
    </row>
    <row r="116" spans="1:34" x14ac:dyDescent="0.5">
      <c r="A116" s="691" t="s">
        <v>33</v>
      </c>
      <c r="B116" s="255" t="s">
        <v>681</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87" t="str">
        <f>CONCATENATE(AC116,AC117,AC118,AC121,AC122,AC123,AC124,AC125,AC126,AC129,AC130,AC131,AC132,AC133,AC134,AC137,AC138,AC139)</f>
        <v/>
      </c>
      <c r="AE116" s="96"/>
      <c r="AF116" s="667" t="str">
        <f>CONCATENATE(AE116,AE117,AE118,AE121,AE122,AE123,AE124,AE125,AE126,AE129,AE130,AE131,AE132,AE133,AE134,AE137,AE138,AE139)</f>
        <v/>
      </c>
      <c r="AG116" s="404">
        <v>113</v>
      </c>
    </row>
    <row r="117" spans="1:34" x14ac:dyDescent="0.5">
      <c r="A117" s="592"/>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9" si="21">SUM(D117:AA117)</f>
        <v>0</v>
      </c>
      <c r="AC117" s="82" t="str">
        <f>CONCATENATE(IF(D119&lt;&gt;SUM(D121,D122,D123)," * Total CXCA Screening positive for Age "&amp;D20&amp;" "&amp;D21&amp;" is Not equal to  the sum of (Cryotherapy and Leep and Thermocoagulation)"&amp;CHAR(10),""),IF(E119&lt;&gt;SUM(E121,E122,E123)," * Total CXCA Screening positive for Age "&amp;D20&amp;" "&amp;E21&amp;" is Not equal to  the sum of (Cryotherapy and Leep and Thermocoagulation)"&amp;CHAR(10),""),IF(F119&lt;&gt;SUM(F121,F122,F123)," * Total CXCA Screening positive for Age "&amp;F20&amp;" "&amp;F21&amp;" is Not equal to  the sum of (Cryotherapy and Leep and Thermocoagulation)"&amp;CHAR(10),""),IF(G119&lt;&gt;SUM(G121,G122,G123)," * Total CXCA Screening positive for Age "&amp;F20&amp;" "&amp;G21&amp;" is Not equal to  the sum of (Cryotherapy and Leep and Thermocoagulation)"&amp;CHAR(10),""),IF(H119&lt;&gt;SUM(H121,H122,H123)," * Total CXCA Screening positive for Age "&amp;H20&amp;" "&amp;H21&amp;" is Not equal to  the sum of (Cryotherapy and Leep and Thermocoagulation)"&amp;CHAR(10),""),IF(I119&lt;&gt;SUM(I121,I122,I123)," * Total CXCA Screening positive for Age "&amp;H20&amp;" "&amp;I21&amp;" is Not equal to  the sum of (Cryotherapy and Leep and Thermocoagulation)"&amp;CHAR(10),""),IF(J119&lt;&gt;SUM(J121,J122,J123)," * Total CXCA Screening positive for Age "&amp;J20&amp;" "&amp;J21&amp;" is Not equal to  the sum of (Cryotherapy and Leep and Thermocoagulation)"&amp;CHAR(10),""),IF(K119&lt;&gt;SUM(K121,K122,K123)," * Total CXCA Screening positive for Age "&amp;J20&amp;" "&amp;K21&amp;" is Not equal to  the sum of (Cryotherapy and Leep and Thermocoagulation)"&amp;CHAR(10),""),IF(L119&lt;&gt;SUM(L121,L122,L123)," * Total CXCA Screening positive for Age "&amp;L20&amp;" "&amp;L21&amp;" is Not equal to  the sum of (Cryotherapy and Leep and Thermocoagulation)"&amp;CHAR(10),""),IF(M119&lt;&gt;SUM(M121,M122,M123)," * Total CXCA Screening positive for Age "&amp;L20&amp;" "&amp;M21&amp;" is Not equal to  the sum of (Cryotherapy and Leep and Thermocoagulation)"&amp;CHAR(10),""),IF(N119&lt;&gt;SUM(N121,N122,N123)," * Total CXCA Screening positive for Age "&amp;N20&amp;" "&amp;N21&amp;" is Not equal to  the sum of (Cryotherapy and Leep and Thermocoagulation)"&amp;CHAR(10),""),IF(O119&lt;&gt;SUM(O121,O122,O123)," * Total CXCA Screening positive for Age "&amp;N20&amp;" "&amp;O21&amp;" is Not equal to  the sum of (Cryotherapy and Leep and Thermocoagulation)"&amp;CHAR(10),""),IF(P119&lt;&gt;SUM(P121,P122,P123)," * Total CXCA Screening positive for Age "&amp;P20&amp;" "&amp;P21&amp;" is Not equal to  the sum of (Cryotherapy and Leep and Thermocoagulation)"&amp;CHAR(10),""),IF(Q119&lt;&gt;SUM(Q121,Q122,Q123)," * Total CXCA Screening positive for Age "&amp;P20&amp;" "&amp;Q21&amp;" is Not equal to  the sum of (Cryotherapy and Leep and Thermocoagulation)"&amp;CHAR(10),""),IF(R119&lt;&gt;SUM(R121,R122,R123)," * Total CXCA Screening positive for Age "&amp;R20&amp;" "&amp;R21&amp;" is Not equal to  the sum of (Cryotherapy and Leep and Thermocoagulation)"&amp;CHAR(10),""),IF(S119&lt;&gt;SUM(S121,S122,S123)," * Total CXCA Screening positive for Age "&amp;R20&amp;" "&amp;S21&amp;" is Not equal to  the sum of (Cryotherapy and Leep and Thermocoagulation)"&amp;CHAR(10),""),IF(T119&lt;&gt;SUM(T121,T122,T123)," * Total CXCA Screening positive for Age "&amp;T20&amp;" "&amp;T21&amp;" is Not equal to  the sum of (Cryotherapy and Leep and Thermocoagulation)"&amp;CHAR(10),""),IF(U119&lt;&gt;SUM(U121,U122,U123)," * Total CXCA Screening positive for Age "&amp;T20&amp;" "&amp;U21&amp;" is Not equal to  the sum of (Cryotherapy and Leep and Thermocoagulation)"&amp;CHAR(10),""),IF(V119&lt;&gt;SUM(V121,V122,V123)," * Total CXCA Screening positive for Age "&amp;V20&amp;" "&amp;V21&amp;" is Not equal to  the sum of (Cryotherapy and Leep and Thermocoagulation)"&amp;CHAR(10),""),IF(W119&lt;&gt;SUM(W121,W122,W123)," * Total CXCA Screening positive for Age "&amp;V20&amp;" "&amp;W21&amp;" is Not equal to  the sum of (Cryotherapy and Leep and Thermocoagulation)"&amp;CHAR(10),""),IF(X119&lt;&gt;SUM(X121,X122,X123)," * Total CXCA Screening positive for Age "&amp;X20&amp;" "&amp;X21&amp;" is Not equal to  the sum of (Cryotherapy and Leep and Thermocoagulation)"&amp;CHAR(10),""),IF(Y119&lt;&gt;SUM(Y121,Y122,Y123)," * Total CXCA Screening positive for Age "&amp;X20&amp;" "&amp;Y21&amp;" is Not equal to  the sum of (Cryotherapy and Leep and Thermocoagulation)"&amp;CHAR(10),""),IF(Z119&lt;&gt;SUM(Z121,Z122,Z123)," * Total CXCA Screening positive for Age "&amp;Z20&amp;" "&amp;Z21&amp;" is Not equal to  the sum of (Cryotherapy and Leep and Thermocoagulation)"&amp;CHAR(10),""),IF(AA119&lt;&gt;SUM(AA121,AA122,AA123)," * Total CXCA Screening positive for Age "&amp;Z20&amp;" "&amp;AA21&amp;" is Not equal to  the sum of (Cryotherapy and Leep and Thermocoagulation)"&amp;CHAR(10),""))</f>
        <v/>
      </c>
      <c r="AD117" s="639"/>
      <c r="AE117" s="80"/>
      <c r="AF117" s="668"/>
      <c r="AG117" s="404">
        <v>114</v>
      </c>
    </row>
    <row r="118" spans="1:34" x14ac:dyDescent="0.5">
      <c r="A118" s="592"/>
      <c r="B118" s="256" t="s">
        <v>682</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21"/>
        <v>0</v>
      </c>
      <c r="AC118" s="82"/>
      <c r="AD118" s="639"/>
      <c r="AE118" s="80"/>
      <c r="AF118" s="668"/>
      <c r="AG118" s="404">
        <v>115</v>
      </c>
    </row>
    <row r="119" spans="1:34" ht="32.25" x14ac:dyDescent="0.5">
      <c r="A119" s="592"/>
      <c r="B119" s="342" t="s">
        <v>888</v>
      </c>
      <c r="C119" s="131" t="s">
        <v>889</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21"/>
        <v>0</v>
      </c>
      <c r="AC119" s="199"/>
      <c r="AD119" s="639"/>
      <c r="AE119" s="80"/>
      <c r="AF119" s="668"/>
      <c r="AG119" s="404">
        <v>116</v>
      </c>
    </row>
    <row r="120" spans="1:34" s="207" customFormat="1" ht="32.25" x14ac:dyDescent="0.5">
      <c r="A120" s="592"/>
      <c r="B120" s="304" t="s">
        <v>1085</v>
      </c>
      <c r="C120" s="131" t="s">
        <v>1082</v>
      </c>
      <c r="D120" s="124"/>
      <c r="E120" s="212"/>
      <c r="F120" s="212"/>
      <c r="G120" s="212"/>
      <c r="H120" s="212"/>
      <c r="I120" s="212"/>
      <c r="J120" s="212"/>
      <c r="K120" s="212"/>
      <c r="L120" s="212"/>
      <c r="M120" s="806"/>
      <c r="N120" s="320"/>
      <c r="O120" s="806"/>
      <c r="P120" s="212"/>
      <c r="Q120" s="806"/>
      <c r="R120" s="212"/>
      <c r="S120" s="806"/>
      <c r="T120" s="212"/>
      <c r="U120" s="806"/>
      <c r="V120" s="212"/>
      <c r="W120" s="806"/>
      <c r="X120" s="216"/>
      <c r="Y120" s="806"/>
      <c r="Z120" s="216"/>
      <c r="AA120" s="806"/>
      <c r="AB120" s="224"/>
      <c r="AC120" s="550"/>
      <c r="AD120" s="639"/>
      <c r="AE120" s="234"/>
      <c r="AF120" s="668"/>
      <c r="AG120" s="404"/>
      <c r="AH120" s="310"/>
    </row>
    <row r="121" spans="1:34" x14ac:dyDescent="0.5">
      <c r="A121" s="592"/>
      <c r="B121" s="256" t="s">
        <v>683</v>
      </c>
      <c r="C121" s="131" t="s">
        <v>230</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21"/>
        <v>0</v>
      </c>
      <c r="AC121" s="82"/>
      <c r="AD121" s="639"/>
      <c r="AE121" s="80"/>
      <c r="AF121" s="668"/>
      <c r="AG121" s="404">
        <v>117</v>
      </c>
    </row>
    <row r="122" spans="1:34" x14ac:dyDescent="0.5">
      <c r="A122" s="592"/>
      <c r="B122" s="256" t="s">
        <v>684</v>
      </c>
      <c r="C122" s="131" t="s">
        <v>231</v>
      </c>
      <c r="D122" s="124"/>
      <c r="E122" s="18"/>
      <c r="F122" s="18"/>
      <c r="G122" s="18"/>
      <c r="H122" s="18"/>
      <c r="I122" s="18"/>
      <c r="J122" s="18"/>
      <c r="K122" s="18"/>
      <c r="L122" s="18"/>
      <c r="M122" s="213"/>
      <c r="N122" s="212"/>
      <c r="O122" s="213"/>
      <c r="P122" s="212"/>
      <c r="Q122" s="213"/>
      <c r="R122" s="212"/>
      <c r="S122" s="213"/>
      <c r="T122" s="212"/>
      <c r="U122" s="213"/>
      <c r="V122" s="212"/>
      <c r="W122" s="213"/>
      <c r="X122" s="216"/>
      <c r="Y122" s="213"/>
      <c r="Z122" s="216"/>
      <c r="AA122" s="213"/>
      <c r="AB122" s="36">
        <f t="shared" si="21"/>
        <v>0</v>
      </c>
      <c r="AC122" s="82"/>
      <c r="AD122" s="639"/>
      <c r="AE122" s="80"/>
      <c r="AF122" s="668"/>
      <c r="AG122" s="404">
        <v>118</v>
      </c>
    </row>
    <row r="123" spans="1:34" ht="31.5" thickBot="1" x14ac:dyDescent="0.55000000000000004">
      <c r="A123" s="593"/>
      <c r="B123" s="262" t="s">
        <v>685</v>
      </c>
      <c r="C123" s="133" t="s">
        <v>232</v>
      </c>
      <c r="D123" s="138"/>
      <c r="E123" s="37"/>
      <c r="F123" s="37"/>
      <c r="G123" s="37"/>
      <c r="H123" s="37"/>
      <c r="I123" s="37"/>
      <c r="J123" s="37"/>
      <c r="K123" s="37"/>
      <c r="L123" s="37"/>
      <c r="M123" s="226"/>
      <c r="N123" s="225"/>
      <c r="O123" s="226"/>
      <c r="P123" s="225"/>
      <c r="Q123" s="226"/>
      <c r="R123" s="225"/>
      <c r="S123" s="226"/>
      <c r="T123" s="225"/>
      <c r="U123" s="226"/>
      <c r="V123" s="225"/>
      <c r="W123" s="226"/>
      <c r="X123" s="230"/>
      <c r="Y123" s="226"/>
      <c r="Z123" s="230"/>
      <c r="AA123" s="226"/>
      <c r="AB123" s="39">
        <f t="shared" si="21"/>
        <v>0</v>
      </c>
      <c r="AC123" s="82"/>
      <c r="AD123" s="639"/>
      <c r="AE123" s="80"/>
      <c r="AF123" s="668"/>
      <c r="AG123" s="404">
        <v>119</v>
      </c>
    </row>
    <row r="124" spans="1:34" x14ac:dyDescent="0.5">
      <c r="A124" s="591" t="s">
        <v>469</v>
      </c>
      <c r="B124" s="264" t="s">
        <v>681</v>
      </c>
      <c r="C124" s="129" t="s">
        <v>361</v>
      </c>
      <c r="D124" s="136"/>
      <c r="E124" s="33"/>
      <c r="F124" s="33"/>
      <c r="G124" s="33"/>
      <c r="H124" s="33"/>
      <c r="I124" s="33"/>
      <c r="J124" s="33"/>
      <c r="K124" s="33"/>
      <c r="L124" s="33"/>
      <c r="M124" s="34"/>
      <c r="N124" s="33"/>
      <c r="O124" s="34"/>
      <c r="P124" s="33"/>
      <c r="Q124" s="34"/>
      <c r="R124" s="33"/>
      <c r="S124" s="34"/>
      <c r="T124" s="33"/>
      <c r="U124" s="34"/>
      <c r="V124" s="33"/>
      <c r="W124" s="34"/>
      <c r="X124" s="56"/>
      <c r="Y124" s="34"/>
      <c r="Z124" s="56"/>
      <c r="AA124" s="34"/>
      <c r="AB124" s="35">
        <f t="shared" si="21"/>
        <v>0</v>
      </c>
      <c r="AC124" s="82"/>
      <c r="AD124" s="639"/>
      <c r="AE124" s="80"/>
      <c r="AF124" s="668"/>
      <c r="AG124" s="404">
        <v>120</v>
      </c>
    </row>
    <row r="125" spans="1:34" x14ac:dyDescent="0.5">
      <c r="A125" s="592"/>
      <c r="B125" s="256" t="s">
        <v>153</v>
      </c>
      <c r="C125" s="131" t="s">
        <v>362</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21"/>
        <v>0</v>
      </c>
      <c r="AC125" s="236" t="str">
        <f>CONCATENATE(IF(D127&lt;&gt;SUM(D129,D130,D131)," * Total CXCA Screening positive for Age "&amp;D20&amp;" "&amp;D21&amp;" is Not equal to  the sum of (Cryotherapy and Leep and Thermocoagulation)"&amp;CHAR(10),""),IF(E127&lt;&gt;SUM(E129,E130,E131)," * Total CXCA Screening positive for Age "&amp;D20&amp;" "&amp;E21&amp;" is Not equal to  the sum of (Cryotherapy and Leep and Thermocoagulation)"&amp;CHAR(10),""),IF(F127&lt;&gt;SUM(F129,F130,F131)," * Total CXCA Screening positive for Age "&amp;F20&amp;" "&amp;F21&amp;" is Not equal to  the sum of (Cryotherapy and Leep and Thermocoagulation)"&amp;CHAR(10),""),IF(G127&lt;&gt;SUM(G129,G130,G131)," * Total CXCA Screening positive for Age "&amp;F20&amp;" "&amp;G21&amp;" is Not equal to  the sum of (Cryotherapy and Leep and Thermocoagulation)"&amp;CHAR(10),""),IF(H127&lt;&gt;SUM(H129,H130,H131)," * Total CXCA Screening positive for Age "&amp;H20&amp;" "&amp;H21&amp;" is Not equal to  the sum of (Cryotherapy and Leep and Thermocoagulation)"&amp;CHAR(10),""),IF(I127&lt;&gt;SUM(I129,I130,I131)," * Total CXCA Screening positive for Age "&amp;H20&amp;" "&amp;I21&amp;" is Not equal to  the sum of (Cryotherapy and Leep and Thermocoagulation)"&amp;CHAR(10),""),IF(J127&lt;&gt;SUM(J129,J130,J131)," * Total CXCA Screening positive for Age "&amp;J20&amp;" "&amp;J21&amp;" is Not equal to  the sum of (Cryotherapy and Leep and Thermocoagulation)"&amp;CHAR(10),""),IF(K127&lt;&gt;SUM(K129,K130,K131)," * Total CXCA Screening positive for Age "&amp;J20&amp;" "&amp;K21&amp;" is Not equal to  the sum of (Cryotherapy and Leep and Thermocoagulation)"&amp;CHAR(10),""),IF(L127&lt;&gt;SUM(L129,L130,L131)," * Total CXCA Screening positive for Age "&amp;L20&amp;" "&amp;L21&amp;" is Not equal to  the sum of (Cryotherapy and Leep and Thermocoagulation)"&amp;CHAR(10),""),IF(M127&lt;&gt;SUM(M129,M130,M131)," * Total CXCA Screening positive for Age "&amp;L20&amp;" "&amp;M21&amp;" is Not equal to  the sum of (Cryotherapy and Leep and Thermocoagulation)"&amp;CHAR(10),""),IF(N127&lt;&gt;SUM(N129,N130,N131)," * Total CXCA Screening positive for Age "&amp;N20&amp;" "&amp;N21&amp;" is Not equal to  the sum of (Cryotherapy and Leep and Thermocoagulation)"&amp;CHAR(10),""),IF(O127&lt;&gt;SUM(O129,O130,O131)," * Total CXCA Screening positive for Age "&amp;N20&amp;" "&amp;O21&amp;" is Not equal to  the sum of (Cryotherapy and Leep and Thermocoagulation)"&amp;CHAR(10),""),IF(P127&lt;&gt;SUM(P129,P130,P131)," * Total CXCA Screening positive for Age "&amp;P20&amp;" "&amp;P21&amp;" is Not equal to  the sum of (Cryotherapy and Leep and Thermocoagulation)"&amp;CHAR(10),""),IF(Q127&lt;&gt;SUM(Q129,Q130,Q131)," * Total CXCA Screening positive for Age "&amp;P20&amp;" "&amp;Q21&amp;" is Not equal to  the sum of (Cryotherapy and Leep and Thermocoagulation)"&amp;CHAR(10),""),IF(R127&lt;&gt;SUM(R129,R130,R131)," * Total CXCA Screening positive for Age "&amp;R20&amp;" "&amp;R21&amp;" is Not equal to  the sum of (Cryotherapy and Leep and Thermocoagulation)"&amp;CHAR(10),""),IF(S127&lt;&gt;SUM(S129,S130,S131)," * Total CXCA Screening positive for Age "&amp;R20&amp;" "&amp;S21&amp;" is Not equal to  the sum of (Cryotherapy and Leep and Thermocoagulation)"&amp;CHAR(10),""),IF(T127&lt;&gt;SUM(T129,T130,T131)," * Total CXCA Screening positive for Age "&amp;T20&amp;" "&amp;T21&amp;" is Not equal to  the sum of (Cryotherapy and Leep and Thermocoagulation)"&amp;CHAR(10),""),IF(U127&lt;&gt;SUM(U129,U130,U131)," * Total CXCA Screening positive for Age "&amp;T20&amp;" "&amp;U21&amp;" is Not equal to  the sum of (Cryotherapy and Leep and Thermocoagulation)"&amp;CHAR(10),""),IF(V127&lt;&gt;SUM(V129,V130,V131)," * Total CXCA Screening positive for Age "&amp;V20&amp;" "&amp;V21&amp;" is Not equal to  the sum of (Cryotherapy and Leep and Thermocoagulation)"&amp;CHAR(10),""),IF(W127&lt;&gt;SUM(W129,W130,W131)," * Total CXCA Screening positive for Age "&amp;V20&amp;" "&amp;W21&amp;" is Not equal to  the sum of (Cryotherapy and Leep and Thermocoagulation)"&amp;CHAR(10),""),IF(X127&lt;&gt;SUM(X129,X130,X131)," * Total CXCA Screening positive for Age "&amp;X20&amp;" "&amp;X21&amp;" is Not equal to  the sum of (Cryotherapy and Leep and Thermocoagulation)"&amp;CHAR(10),""),IF(Y127&lt;&gt;SUM(Y129,Y130,Y131)," * Total CXCA Screening positive for Age "&amp;X20&amp;" "&amp;Y21&amp;" is Not equal to  the sum of (Cryotherapy and Leep and Thermocoagulation)"&amp;CHAR(10),""),IF(Z127&lt;&gt;SUM(Z129,Z130,Z131)," * Total CXCA Screening positive for Age "&amp;Z20&amp;" "&amp;Z21&amp;" is Not equal to  the sum of (Cryotherapy and Leep and Thermocoagulation)"&amp;CHAR(10),""),IF(AA127&lt;&gt;SUM(AA129,AA130,AA131)," * Total CXCA Screening positive for Age "&amp;Z20&amp;" "&amp;AA21&amp;" is Not equal to  the sum of (Cryotherapy and Leep and Thermocoagulation)"&amp;CHAR(10),""))</f>
        <v/>
      </c>
      <c r="AD125" s="639"/>
      <c r="AE125" s="80"/>
      <c r="AF125" s="668"/>
      <c r="AG125" s="404">
        <v>121</v>
      </c>
    </row>
    <row r="126" spans="1:34" x14ac:dyDescent="0.5">
      <c r="A126" s="592"/>
      <c r="B126" s="256" t="s">
        <v>682</v>
      </c>
      <c r="C126" s="131" t="s">
        <v>240</v>
      </c>
      <c r="D126" s="124"/>
      <c r="E126" s="18"/>
      <c r="F126" s="18"/>
      <c r="G126" s="18"/>
      <c r="H126" s="18"/>
      <c r="I126" s="18"/>
      <c r="J126" s="18"/>
      <c r="K126" s="18"/>
      <c r="L126" s="18"/>
      <c r="M126" s="19"/>
      <c r="N126" s="18"/>
      <c r="O126" s="19"/>
      <c r="P126" s="18"/>
      <c r="Q126" s="19"/>
      <c r="R126" s="18"/>
      <c r="S126" s="19"/>
      <c r="T126" s="18"/>
      <c r="U126" s="19"/>
      <c r="V126" s="18"/>
      <c r="W126" s="19"/>
      <c r="X126" s="25"/>
      <c r="Y126" s="19"/>
      <c r="Z126" s="25"/>
      <c r="AA126" s="19"/>
      <c r="AB126" s="36">
        <f t="shared" si="21"/>
        <v>0</v>
      </c>
      <c r="AC126" s="82"/>
      <c r="AD126" s="639"/>
      <c r="AE126" s="80"/>
      <c r="AF126" s="668"/>
      <c r="AG126" s="404">
        <v>122</v>
      </c>
    </row>
    <row r="127" spans="1:34" ht="32.25" x14ac:dyDescent="0.5">
      <c r="A127" s="592"/>
      <c r="B127" s="342" t="s">
        <v>888</v>
      </c>
      <c r="C127" s="131" t="s">
        <v>890</v>
      </c>
      <c r="D127" s="124"/>
      <c r="E127" s="18"/>
      <c r="F127" s="18"/>
      <c r="G127" s="18"/>
      <c r="H127" s="18"/>
      <c r="I127" s="18"/>
      <c r="J127" s="18"/>
      <c r="K127" s="18"/>
      <c r="L127" s="18"/>
      <c r="M127" s="28">
        <f>M126+M125</f>
        <v>0</v>
      </c>
      <c r="N127" s="206"/>
      <c r="O127" s="28">
        <f>O126+O125</f>
        <v>0</v>
      </c>
      <c r="P127" s="18"/>
      <c r="Q127" s="28">
        <f>Q126+Q125</f>
        <v>0</v>
      </c>
      <c r="R127" s="18"/>
      <c r="S127" s="28">
        <f>S126+S125</f>
        <v>0</v>
      </c>
      <c r="T127" s="18"/>
      <c r="U127" s="28">
        <f>U126+U125</f>
        <v>0</v>
      </c>
      <c r="V127" s="18"/>
      <c r="W127" s="28">
        <f>W126+W125</f>
        <v>0</v>
      </c>
      <c r="X127" s="25"/>
      <c r="Y127" s="28">
        <f>Y126+Y125</f>
        <v>0</v>
      </c>
      <c r="Z127" s="25"/>
      <c r="AA127" s="28">
        <f>AA126+AA125</f>
        <v>0</v>
      </c>
      <c r="AB127" s="36">
        <f t="shared" si="21"/>
        <v>0</v>
      </c>
      <c r="AC127" s="199"/>
      <c r="AD127" s="639"/>
      <c r="AE127" s="80"/>
      <c r="AF127" s="668"/>
      <c r="AG127" s="404">
        <v>123</v>
      </c>
    </row>
    <row r="128" spans="1:34" s="207" customFormat="1" ht="32.25" x14ac:dyDescent="0.5">
      <c r="A128" s="592"/>
      <c r="B128" s="304" t="s">
        <v>1085</v>
      </c>
      <c r="C128" s="131" t="s">
        <v>1084</v>
      </c>
      <c r="D128" s="124"/>
      <c r="E128" s="212"/>
      <c r="F128" s="212"/>
      <c r="G128" s="212"/>
      <c r="H128" s="212"/>
      <c r="I128" s="212"/>
      <c r="J128" s="212"/>
      <c r="K128" s="212"/>
      <c r="L128" s="212"/>
      <c r="M128" s="217"/>
      <c r="N128" s="320"/>
      <c r="O128" s="217"/>
      <c r="P128" s="212"/>
      <c r="Q128" s="217"/>
      <c r="R128" s="212"/>
      <c r="S128" s="217"/>
      <c r="T128" s="212"/>
      <c r="U128" s="217"/>
      <c r="V128" s="212"/>
      <c r="W128" s="217"/>
      <c r="X128" s="216"/>
      <c r="Y128" s="217"/>
      <c r="Z128" s="216"/>
      <c r="AA128" s="217"/>
      <c r="AB128" s="224"/>
      <c r="AC128" s="550"/>
      <c r="AD128" s="639"/>
      <c r="AE128" s="234"/>
      <c r="AF128" s="668"/>
      <c r="AG128" s="404"/>
      <c r="AH128" s="310"/>
    </row>
    <row r="129" spans="1:34" x14ac:dyDescent="0.5">
      <c r="A129" s="592"/>
      <c r="B129" s="256" t="s">
        <v>683</v>
      </c>
      <c r="C129" s="131" t="s">
        <v>241</v>
      </c>
      <c r="D129" s="124"/>
      <c r="E129" s="18"/>
      <c r="F129" s="18"/>
      <c r="G129" s="18"/>
      <c r="H129" s="18"/>
      <c r="I129" s="18"/>
      <c r="J129" s="18"/>
      <c r="K129" s="18"/>
      <c r="L129" s="18"/>
      <c r="M129" s="19"/>
      <c r="N129" s="18"/>
      <c r="O129" s="19"/>
      <c r="P129" s="18"/>
      <c r="Q129" s="19"/>
      <c r="R129" s="18"/>
      <c r="S129" s="19"/>
      <c r="T129" s="18"/>
      <c r="U129" s="19"/>
      <c r="V129" s="18"/>
      <c r="W129" s="19"/>
      <c r="X129" s="25"/>
      <c r="Y129" s="19"/>
      <c r="Z129" s="25"/>
      <c r="AA129" s="19"/>
      <c r="AB129" s="36">
        <f t="shared" si="21"/>
        <v>0</v>
      </c>
      <c r="AC129" s="82"/>
      <c r="AD129" s="639"/>
      <c r="AE129" s="80"/>
      <c r="AF129" s="668"/>
      <c r="AG129" s="404">
        <v>124</v>
      </c>
    </row>
    <row r="130" spans="1:34" x14ac:dyDescent="0.5">
      <c r="A130" s="592"/>
      <c r="B130" s="256" t="s">
        <v>684</v>
      </c>
      <c r="C130" s="131" t="s">
        <v>363</v>
      </c>
      <c r="D130" s="124"/>
      <c r="E130" s="18"/>
      <c r="F130" s="18"/>
      <c r="G130" s="18"/>
      <c r="H130" s="18"/>
      <c r="I130" s="18"/>
      <c r="J130" s="18"/>
      <c r="K130" s="18"/>
      <c r="L130" s="18"/>
      <c r="M130" s="19"/>
      <c r="N130" s="18"/>
      <c r="O130" s="19"/>
      <c r="P130" s="18"/>
      <c r="Q130" s="19"/>
      <c r="R130" s="18"/>
      <c r="S130" s="19"/>
      <c r="T130" s="18"/>
      <c r="U130" s="19"/>
      <c r="V130" s="18"/>
      <c r="W130" s="19"/>
      <c r="X130" s="25"/>
      <c r="Y130" s="19"/>
      <c r="Z130" s="25"/>
      <c r="AA130" s="19"/>
      <c r="AB130" s="36">
        <f t="shared" si="21"/>
        <v>0</v>
      </c>
      <c r="AC130" s="82"/>
      <c r="AD130" s="639"/>
      <c r="AE130" s="80"/>
      <c r="AF130" s="668"/>
      <c r="AG130" s="404">
        <v>125</v>
      </c>
    </row>
    <row r="131" spans="1:34" ht="31.5" thickBot="1" x14ac:dyDescent="0.55000000000000004">
      <c r="A131" s="593"/>
      <c r="B131" s="262" t="s">
        <v>685</v>
      </c>
      <c r="C131" s="133" t="s">
        <v>243</v>
      </c>
      <c r="D131" s="138"/>
      <c r="E131" s="37"/>
      <c r="F131" s="37"/>
      <c r="G131" s="37"/>
      <c r="H131" s="37"/>
      <c r="I131" s="37"/>
      <c r="J131" s="37"/>
      <c r="K131" s="37"/>
      <c r="L131" s="37"/>
      <c r="M131" s="38"/>
      <c r="N131" s="37"/>
      <c r="O131" s="38"/>
      <c r="P131" s="37"/>
      <c r="Q131" s="38"/>
      <c r="R131" s="37"/>
      <c r="S131" s="38"/>
      <c r="T131" s="37"/>
      <c r="U131" s="38"/>
      <c r="V131" s="37"/>
      <c r="W131" s="38"/>
      <c r="X131" s="57"/>
      <c r="Y131" s="38"/>
      <c r="Z131" s="57"/>
      <c r="AA131" s="38"/>
      <c r="AB131" s="39">
        <f t="shared" si="21"/>
        <v>0</v>
      </c>
      <c r="AC131" s="236"/>
      <c r="AD131" s="639"/>
      <c r="AE131" s="80"/>
      <c r="AF131" s="668"/>
      <c r="AG131" s="404">
        <v>126</v>
      </c>
    </row>
    <row r="132" spans="1:34" x14ac:dyDescent="0.5">
      <c r="A132" s="591" t="s">
        <v>25</v>
      </c>
      <c r="B132" s="264" t="s">
        <v>681</v>
      </c>
      <c r="C132" s="129" t="s">
        <v>364</v>
      </c>
      <c r="D132" s="136"/>
      <c r="E132" s="33"/>
      <c r="F132" s="33"/>
      <c r="G132" s="33"/>
      <c r="H132" s="33"/>
      <c r="I132" s="33"/>
      <c r="J132" s="33"/>
      <c r="K132" s="33"/>
      <c r="L132" s="33"/>
      <c r="M132" s="34"/>
      <c r="N132" s="33"/>
      <c r="O132" s="34"/>
      <c r="P132" s="33"/>
      <c r="Q132" s="34"/>
      <c r="R132" s="33"/>
      <c r="S132" s="34"/>
      <c r="T132" s="33"/>
      <c r="U132" s="34"/>
      <c r="V132" s="33"/>
      <c r="W132" s="34"/>
      <c r="X132" s="56"/>
      <c r="Y132" s="34"/>
      <c r="Z132" s="56"/>
      <c r="AA132" s="34"/>
      <c r="AB132" s="35">
        <f t="shared" si="21"/>
        <v>0</v>
      </c>
      <c r="AC132" s="82"/>
      <c r="AD132" s="639"/>
      <c r="AE132" s="80"/>
      <c r="AF132" s="668"/>
      <c r="AG132" s="404">
        <v>127</v>
      </c>
    </row>
    <row r="133" spans="1:34" x14ac:dyDescent="0.5">
      <c r="A133" s="592"/>
      <c r="B133" s="256" t="s">
        <v>153</v>
      </c>
      <c r="C133" s="131" t="s">
        <v>365</v>
      </c>
      <c r="D133" s="124"/>
      <c r="E133" s="18"/>
      <c r="F133" s="18"/>
      <c r="G133" s="18"/>
      <c r="H133" s="18"/>
      <c r="I133" s="18"/>
      <c r="J133" s="18"/>
      <c r="K133" s="18"/>
      <c r="L133" s="18"/>
      <c r="M133" s="19"/>
      <c r="N133" s="18"/>
      <c r="O133" s="19"/>
      <c r="P133" s="18"/>
      <c r="Q133" s="19"/>
      <c r="R133" s="18"/>
      <c r="S133" s="19"/>
      <c r="T133" s="18"/>
      <c r="U133" s="19"/>
      <c r="V133" s="18"/>
      <c r="W133" s="19"/>
      <c r="X133" s="25"/>
      <c r="Y133" s="19"/>
      <c r="Z133" s="25"/>
      <c r="AA133" s="19"/>
      <c r="AB133" s="36">
        <f t="shared" si="21"/>
        <v>0</v>
      </c>
      <c r="AC133" s="236" t="str">
        <f>CONCATENATE(IF(D135&lt;&gt;SUM(D137,D138,D139)," Total CXCA Screening positive for Age "&amp;D20&amp;" "&amp;D21&amp;" is not equal to the sum of (Cryotherapy and Leep and Thermocoagulation)"&amp;CHAR(10),""),IF(E135&lt;&gt;SUM(E137,E138,E139)," Total CXCA Screening positive for Age "&amp;D20&amp;" "&amp;E21&amp;" is not equal to the sum of (Cryotherapy and Leep and Thermocoagulation)"&amp;CHAR(10),""),IF(F135&lt;&gt;SUM(F137,F138,F139)," Total CXCA Screening positive for Age "&amp;F20&amp;" "&amp;F21&amp;" is not equal to the sum of (Cryotherapy and Leep and Thermocoagulation)"&amp;CHAR(10),""),IF(G135&lt;&gt;SUM(G137,G138,G139)," Total CXCA Screening positive for Age "&amp;F20&amp;" "&amp;G21&amp;" is not equal to the sum of (Cryotherapy and Leep and Thermocoagulation)"&amp;CHAR(10),""),IF(H135&lt;&gt;SUM(H137,H138,H139)," Total CXCA Screening positive for Age "&amp;H20&amp;" "&amp;H21&amp;" is not equal to the sum of (Cryotherapy and Leep and Thermocoagulation)"&amp;CHAR(10),""),IF(I135&lt;&gt;SUM(I137,I138,I139)," Total CXCA Screening positive for Age "&amp;H20&amp;" "&amp;I21&amp;" is not equal to the sum of (Cryotherapy and Leep and Thermocoagulation)"&amp;CHAR(10),""),IF(J135&lt;&gt;SUM(J137,J138,J139)," Total CXCA Screening positive for Age "&amp;J20&amp;" "&amp;J21&amp;" is not equal to the sum of (Cryotherapy and Leep and Thermocoagulation)"&amp;CHAR(10),""),IF(K135&lt;&gt;SUM(K137,K138,K139)," Total CXCA Screening positive for Age "&amp;J20&amp;" "&amp;K21&amp;" is not equal to the sum of (Cryotherapy and Leep and Thermocoagulation)"&amp;CHAR(10),""),IF(L135&lt;&gt;SUM(L137,L138,L139)," Total CXCA Screening positive for Age "&amp;L20&amp;" "&amp;L21&amp;" is not equal to the sum of (Cryotherapy and Leep and Thermocoagulation)"&amp;CHAR(10),""),IF(M135&lt;&gt;SUM(M137,M138,M139)," Total CXCA Screening positive for Age "&amp;L20&amp;" "&amp;M21&amp;" is not equal to the sum of (Cryotherapy and Leep and Thermocoagulation)"&amp;CHAR(10),""),IF(N135&lt;&gt;SUM(N137,N138,N139)," Total CXCA Screening positive for Age "&amp;N20&amp;" "&amp;N21&amp;" is not equal to the sum of (Cryotherapy and Leep and Thermocoagulation)"&amp;CHAR(10),""),IF(O135&lt;&gt;SUM(O137,O138,O139)," Total CXCA Screening positive for Age "&amp;N20&amp;" "&amp;O21&amp;" is not equal to the sum of (Cryotherapy and Leep and Thermocoagulation)"&amp;CHAR(10),""),IF(P135&lt;&gt;SUM(P137,P138,P139)," Total CXCA Screening positive for Age "&amp;P20&amp;" "&amp;P21&amp;" is not equal to the sum of (Cryotherapy and Leep and Thermocoagulation)"&amp;CHAR(10),""),IF(Q135&lt;&gt;SUM(Q137,Q138,Q139)," Total CXCA Screening positive for Age "&amp;P20&amp;" "&amp;Q21&amp;" is not equal to the sum of (Cryotherapy and Leep and Thermocoagulation)"&amp;CHAR(10),""),IF(R135&lt;&gt;SUM(R137,R138,R139)," Total CXCA Screening positive for Age "&amp;R20&amp;" "&amp;R21&amp;" is not equal to the sum of (Cryotherapy and Leep and Thermocoagulation)"&amp;CHAR(10),""),IF(S135&lt;&gt;SUM(S137,S138,S139)," Total CXCA Screening positive for Age "&amp;R20&amp;" "&amp;S21&amp;" is not equal to the sum of (Cryotherapy and Leep and Thermocoagulation)"&amp;CHAR(10),""),IF(T135&lt;&gt;SUM(T137,T138,T139)," Total CXCA Screening positive for Age "&amp;T20&amp;" "&amp;T21&amp;" is not equal to the sum of (Cryotherapy and Leep and Thermocoagulation)"&amp;CHAR(10),""),IF(U135&lt;&gt;SUM(U137,U138,U139)," Total CXCA Screening positive for Age "&amp;T20&amp;" "&amp;U21&amp;" is not equal to the sum of (Cryotherapy and Leep and Thermocoagulation)"&amp;CHAR(10),""),IF(V135&lt;&gt;SUM(V137,V138,V139)," Total CXCA Screening positive for Age "&amp;V20&amp;" "&amp;V21&amp;" is not equal to the sum of (Cryotherapy and Leep and Thermocoagulation)"&amp;CHAR(10),""),IF(W135&lt;&gt;SUM(W137,W138,W139)," Total CXCA Screening positive for Age "&amp;V20&amp;" "&amp;W21&amp;" is not equal to the sum of (Cryotherapy and Leep and Thermocoagulation)"&amp;CHAR(10),""),IF(X135&lt;&gt;SUM(X137,X138,X139)," Total CXCA Screening positive for Age "&amp;X20&amp;" "&amp;X21&amp;" is not equal to the sum of (Cryotherapy and Leep and Thermocoagulation)"&amp;CHAR(10),""),IF(Y135&lt;&gt;SUM(Y137,Y138,Y139)," Total CXCA Screening positive for Age "&amp;X20&amp;" "&amp;Y21&amp;" is not equal to the sum of (Cryotherapy and Leep and Thermocoagulation)"&amp;CHAR(10),""),IF(Z135&lt;&gt;SUM(Z137,Z138,Z139)," Total CXCA Screening positive for Age "&amp;Z20&amp;" "&amp;Z21&amp;" is not equal to the sum of (Cryotherapy and Leep and Thermocoagulation)"&amp;CHAR(10),""),IF(AA135&lt;&gt;SUM(AA137,AA138,AA139)," Total CXCA Screening positive for Age "&amp;Z20&amp;" "&amp;AA21&amp;" is not equal to the sum of (Cryotherapy and Leep and Thermocoagulation)"&amp;CHAR(10),""))</f>
        <v/>
      </c>
      <c r="AD133" s="639"/>
      <c r="AE133" s="80"/>
      <c r="AF133" s="668"/>
      <c r="AG133" s="404">
        <v>128</v>
      </c>
    </row>
    <row r="134" spans="1:34" x14ac:dyDescent="0.5">
      <c r="A134" s="592"/>
      <c r="B134" s="256" t="s">
        <v>682</v>
      </c>
      <c r="C134" s="131" t="s">
        <v>366</v>
      </c>
      <c r="D134" s="124"/>
      <c r="E134" s="18"/>
      <c r="F134" s="18"/>
      <c r="G134" s="18"/>
      <c r="H134" s="18"/>
      <c r="I134" s="18"/>
      <c r="J134" s="18"/>
      <c r="K134" s="18"/>
      <c r="L134" s="18"/>
      <c r="M134" s="19"/>
      <c r="N134" s="18"/>
      <c r="O134" s="19"/>
      <c r="P134" s="18"/>
      <c r="Q134" s="19"/>
      <c r="R134" s="18"/>
      <c r="S134" s="19"/>
      <c r="T134" s="18"/>
      <c r="U134" s="19"/>
      <c r="V134" s="18"/>
      <c r="W134" s="19"/>
      <c r="X134" s="25"/>
      <c r="Y134" s="19"/>
      <c r="Z134" s="25"/>
      <c r="AA134" s="19"/>
      <c r="AB134" s="36">
        <f t="shared" si="21"/>
        <v>0</v>
      </c>
      <c r="AC134" s="82"/>
      <c r="AD134" s="639"/>
      <c r="AE134" s="80"/>
      <c r="AF134" s="668"/>
      <c r="AG134" s="404">
        <v>129</v>
      </c>
    </row>
    <row r="135" spans="1:34" ht="32.25" x14ac:dyDescent="0.5">
      <c r="A135" s="592"/>
      <c r="B135" s="342" t="s">
        <v>888</v>
      </c>
      <c r="C135" s="131" t="s">
        <v>891</v>
      </c>
      <c r="D135" s="124"/>
      <c r="E135" s="18"/>
      <c r="F135" s="18"/>
      <c r="G135" s="18"/>
      <c r="H135" s="18"/>
      <c r="I135" s="18"/>
      <c r="J135" s="18"/>
      <c r="K135" s="18"/>
      <c r="L135" s="18"/>
      <c r="M135" s="217">
        <f>M134+M133</f>
        <v>0</v>
      </c>
      <c r="N135" s="320"/>
      <c r="O135" s="217">
        <f>O134+O133</f>
        <v>0</v>
      </c>
      <c r="P135" s="212"/>
      <c r="Q135" s="217">
        <f>Q134+Q133</f>
        <v>0</v>
      </c>
      <c r="R135" s="212"/>
      <c r="S135" s="217">
        <f>S134+S133</f>
        <v>0</v>
      </c>
      <c r="T135" s="212"/>
      <c r="U135" s="217">
        <f>U134+U133</f>
        <v>0</v>
      </c>
      <c r="V135" s="212"/>
      <c r="W135" s="217">
        <f>W134+W133</f>
        <v>0</v>
      </c>
      <c r="X135" s="216"/>
      <c r="Y135" s="217">
        <f>Y134+Y133</f>
        <v>0</v>
      </c>
      <c r="Z135" s="216"/>
      <c r="AA135" s="217">
        <f>AA134+AA133</f>
        <v>0</v>
      </c>
      <c r="AB135" s="36">
        <f t="shared" si="21"/>
        <v>0</v>
      </c>
      <c r="AC135" s="199"/>
      <c r="AD135" s="639"/>
      <c r="AE135" s="80"/>
      <c r="AF135" s="668"/>
      <c r="AG135" s="404">
        <v>130</v>
      </c>
    </row>
    <row r="136" spans="1:34" s="207" customFormat="1" ht="32.25" x14ac:dyDescent="0.5">
      <c r="A136" s="592"/>
      <c r="B136" s="304" t="s">
        <v>1085</v>
      </c>
      <c r="C136" s="131" t="s">
        <v>1083</v>
      </c>
      <c r="D136" s="124"/>
      <c r="E136" s="212"/>
      <c r="F136" s="212"/>
      <c r="G136" s="212"/>
      <c r="H136" s="212"/>
      <c r="I136" s="212"/>
      <c r="J136" s="212"/>
      <c r="K136" s="212"/>
      <c r="L136" s="212"/>
      <c r="M136" s="217"/>
      <c r="N136" s="320"/>
      <c r="O136" s="217"/>
      <c r="P136" s="212"/>
      <c r="Q136" s="217"/>
      <c r="R136" s="212"/>
      <c r="S136" s="217"/>
      <c r="T136" s="212"/>
      <c r="U136" s="217"/>
      <c r="V136" s="212"/>
      <c r="W136" s="217"/>
      <c r="X136" s="216"/>
      <c r="Y136" s="217"/>
      <c r="Z136" s="216"/>
      <c r="AA136" s="217"/>
      <c r="AB136" s="224"/>
      <c r="AC136" s="550"/>
      <c r="AD136" s="639"/>
      <c r="AE136" s="234"/>
      <c r="AF136" s="668"/>
      <c r="AG136" s="404"/>
      <c r="AH136" s="310"/>
    </row>
    <row r="137" spans="1:34" x14ac:dyDescent="0.5">
      <c r="A137" s="592"/>
      <c r="B137" s="256" t="s">
        <v>683</v>
      </c>
      <c r="C137" s="131" t="s">
        <v>251</v>
      </c>
      <c r="D137" s="124"/>
      <c r="E137" s="18"/>
      <c r="F137" s="18"/>
      <c r="G137" s="18"/>
      <c r="H137" s="18"/>
      <c r="I137" s="18"/>
      <c r="J137" s="18"/>
      <c r="K137" s="18"/>
      <c r="L137" s="18"/>
      <c r="M137" s="213"/>
      <c r="N137" s="212"/>
      <c r="O137" s="213"/>
      <c r="P137" s="212"/>
      <c r="Q137" s="213"/>
      <c r="R137" s="212"/>
      <c r="S137" s="213"/>
      <c r="T137" s="212"/>
      <c r="U137" s="213"/>
      <c r="V137" s="212"/>
      <c r="W137" s="213"/>
      <c r="X137" s="216"/>
      <c r="Y137" s="213"/>
      <c r="Z137" s="216"/>
      <c r="AA137" s="213"/>
      <c r="AB137" s="36">
        <f t="shared" si="21"/>
        <v>0</v>
      </c>
      <c r="AC137" s="82"/>
      <c r="AD137" s="639"/>
      <c r="AE137" s="80"/>
      <c r="AF137" s="668"/>
      <c r="AG137" s="404">
        <v>131</v>
      </c>
    </row>
    <row r="138" spans="1:34" x14ac:dyDescent="0.5">
      <c r="A138" s="592"/>
      <c r="B138" s="256" t="s">
        <v>684</v>
      </c>
      <c r="C138" s="131" t="s">
        <v>367</v>
      </c>
      <c r="D138" s="124"/>
      <c r="E138" s="18"/>
      <c r="F138" s="18"/>
      <c r="G138" s="18"/>
      <c r="H138" s="18"/>
      <c r="I138" s="18"/>
      <c r="J138" s="18"/>
      <c r="K138" s="18"/>
      <c r="L138" s="18"/>
      <c r="M138" s="213"/>
      <c r="N138" s="212"/>
      <c r="O138" s="213"/>
      <c r="P138" s="212"/>
      <c r="Q138" s="213"/>
      <c r="R138" s="212"/>
      <c r="S138" s="213"/>
      <c r="T138" s="212"/>
      <c r="U138" s="213"/>
      <c r="V138" s="212"/>
      <c r="W138" s="213"/>
      <c r="X138" s="216"/>
      <c r="Y138" s="213"/>
      <c r="Z138" s="216"/>
      <c r="AA138" s="213"/>
      <c r="AB138" s="36">
        <f t="shared" si="21"/>
        <v>0</v>
      </c>
      <c r="AC138" s="82"/>
      <c r="AD138" s="639"/>
      <c r="AE138" s="80"/>
      <c r="AF138" s="668"/>
      <c r="AG138" s="404">
        <v>132</v>
      </c>
    </row>
    <row r="139" spans="1:34" ht="31.5" thickBot="1" x14ac:dyDescent="0.55000000000000004">
      <c r="A139" s="676"/>
      <c r="B139" s="257" t="s">
        <v>685</v>
      </c>
      <c r="C139" s="133" t="s">
        <v>368</v>
      </c>
      <c r="D139" s="125"/>
      <c r="E139" s="49"/>
      <c r="F139" s="49"/>
      <c r="G139" s="49"/>
      <c r="H139" s="49"/>
      <c r="I139" s="49"/>
      <c r="J139" s="49"/>
      <c r="K139" s="49"/>
      <c r="L139" s="49"/>
      <c r="M139" s="226"/>
      <c r="N139" s="225"/>
      <c r="O139" s="226"/>
      <c r="P139" s="225"/>
      <c r="Q139" s="226"/>
      <c r="R139" s="225"/>
      <c r="S139" s="226"/>
      <c r="T139" s="225"/>
      <c r="U139" s="226"/>
      <c r="V139" s="225"/>
      <c r="W139" s="226"/>
      <c r="X139" s="230"/>
      <c r="Y139" s="226"/>
      <c r="Z139" s="230"/>
      <c r="AA139" s="226"/>
      <c r="AB139" s="88">
        <f t="shared" si="21"/>
        <v>0</v>
      </c>
      <c r="AC139" s="178"/>
      <c r="AD139" s="640"/>
      <c r="AE139" s="94"/>
      <c r="AF139" s="669"/>
      <c r="AG139" s="404">
        <v>133</v>
      </c>
    </row>
    <row r="140" spans="1:34" ht="36" thickBot="1" x14ac:dyDescent="0.55000000000000004">
      <c r="A140" s="602" t="s">
        <v>128</v>
      </c>
      <c r="B140" s="603"/>
      <c r="C140" s="603"/>
      <c r="D140" s="603"/>
      <c r="E140" s="603"/>
      <c r="F140" s="603"/>
      <c r="G140" s="603"/>
      <c r="H140" s="603"/>
      <c r="I140" s="603"/>
      <c r="J140" s="603"/>
      <c r="K140" s="603"/>
      <c r="L140" s="603"/>
      <c r="M140" s="603"/>
      <c r="N140" s="603"/>
      <c r="O140" s="603"/>
      <c r="P140" s="603"/>
      <c r="Q140" s="603"/>
      <c r="R140" s="603"/>
      <c r="S140" s="603"/>
      <c r="T140" s="603"/>
      <c r="U140" s="603"/>
      <c r="V140" s="603"/>
      <c r="W140" s="603"/>
      <c r="X140" s="603"/>
      <c r="Y140" s="603"/>
      <c r="Z140" s="603"/>
      <c r="AA140" s="603"/>
      <c r="AB140" s="603"/>
      <c r="AC140" s="603"/>
      <c r="AD140" s="603"/>
      <c r="AE140" s="603"/>
      <c r="AF140" s="604"/>
      <c r="AG140" s="404">
        <v>134</v>
      </c>
    </row>
    <row r="141" spans="1:34" ht="26.25" customHeight="1" x14ac:dyDescent="0.5">
      <c r="A141" s="612" t="s">
        <v>37</v>
      </c>
      <c r="B141" s="674" t="s">
        <v>347</v>
      </c>
      <c r="C141" s="677" t="s">
        <v>328</v>
      </c>
      <c r="D141" s="623" t="s">
        <v>0</v>
      </c>
      <c r="E141" s="623"/>
      <c r="F141" s="623" t="s">
        <v>1</v>
      </c>
      <c r="G141" s="623"/>
      <c r="H141" s="623" t="s">
        <v>2</v>
      </c>
      <c r="I141" s="623"/>
      <c r="J141" s="623" t="s">
        <v>3</v>
      </c>
      <c r="K141" s="623"/>
      <c r="L141" s="623" t="s">
        <v>4</v>
      </c>
      <c r="M141" s="623"/>
      <c r="N141" s="623" t="s">
        <v>5</v>
      </c>
      <c r="O141" s="623"/>
      <c r="P141" s="623" t="s">
        <v>6</v>
      </c>
      <c r="Q141" s="623"/>
      <c r="R141" s="623" t="s">
        <v>7</v>
      </c>
      <c r="S141" s="623"/>
      <c r="T141" s="623" t="s">
        <v>8</v>
      </c>
      <c r="U141" s="623"/>
      <c r="V141" s="623" t="s">
        <v>23</v>
      </c>
      <c r="W141" s="623"/>
      <c r="X141" s="623" t="s">
        <v>24</v>
      </c>
      <c r="Y141" s="623"/>
      <c r="Z141" s="623" t="s">
        <v>9</v>
      </c>
      <c r="AA141" s="623"/>
      <c r="AB141" s="695" t="s">
        <v>19</v>
      </c>
      <c r="AC141" s="657" t="s">
        <v>381</v>
      </c>
      <c r="AD141" s="607" t="s">
        <v>387</v>
      </c>
      <c r="AE141" s="606" t="s">
        <v>388</v>
      </c>
      <c r="AF141" s="641" t="s">
        <v>388</v>
      </c>
      <c r="AG141" s="404">
        <v>135</v>
      </c>
    </row>
    <row r="142" spans="1:34" ht="27" customHeight="1" thickBot="1" x14ac:dyDescent="0.55000000000000004">
      <c r="A142" s="616"/>
      <c r="B142" s="726"/>
      <c r="C142" s="699"/>
      <c r="D142" s="218" t="s">
        <v>10</v>
      </c>
      <c r="E142" s="218" t="s">
        <v>11</v>
      </c>
      <c r="F142" s="218" t="s">
        <v>10</v>
      </c>
      <c r="G142" s="218" t="s">
        <v>11</v>
      </c>
      <c r="H142" s="218" t="s">
        <v>10</v>
      </c>
      <c r="I142" s="218" t="s">
        <v>11</v>
      </c>
      <c r="J142" s="218" t="s">
        <v>10</v>
      </c>
      <c r="K142" s="218" t="s">
        <v>11</v>
      </c>
      <c r="L142" s="218" t="s">
        <v>10</v>
      </c>
      <c r="M142" s="218" t="s">
        <v>11</v>
      </c>
      <c r="N142" s="218" t="s">
        <v>10</v>
      </c>
      <c r="O142" s="218" t="s">
        <v>11</v>
      </c>
      <c r="P142" s="218" t="s">
        <v>10</v>
      </c>
      <c r="Q142" s="218" t="s">
        <v>11</v>
      </c>
      <c r="R142" s="218" t="s">
        <v>10</v>
      </c>
      <c r="S142" s="218" t="s">
        <v>11</v>
      </c>
      <c r="T142" s="218" t="s">
        <v>10</v>
      </c>
      <c r="U142" s="218" t="s">
        <v>11</v>
      </c>
      <c r="V142" s="218" t="s">
        <v>10</v>
      </c>
      <c r="W142" s="218" t="s">
        <v>11</v>
      </c>
      <c r="X142" s="218" t="s">
        <v>10</v>
      </c>
      <c r="Y142" s="218" t="s">
        <v>11</v>
      </c>
      <c r="Z142" s="218" t="s">
        <v>10</v>
      </c>
      <c r="AA142" s="218" t="s">
        <v>11</v>
      </c>
      <c r="AB142" s="619"/>
      <c r="AC142" s="658"/>
      <c r="AD142" s="608"/>
      <c r="AE142" s="606"/>
      <c r="AF142" s="601"/>
      <c r="AG142" s="404">
        <v>136</v>
      </c>
    </row>
    <row r="143" spans="1:34" ht="30.75" hidden="1" customHeight="1" x14ac:dyDescent="0.5">
      <c r="A143" s="700" t="s">
        <v>1032</v>
      </c>
      <c r="B143" s="335" t="s">
        <v>686</v>
      </c>
      <c r="C143" s="316" t="s">
        <v>523</v>
      </c>
      <c r="D143" s="348">
        <f>D8</f>
        <v>0</v>
      </c>
      <c r="E143" s="348">
        <f t="shared" ref="E143:AA143" si="22">E8</f>
        <v>0</v>
      </c>
      <c r="F143" s="348">
        <f t="shared" si="22"/>
        <v>0</v>
      </c>
      <c r="G143" s="348">
        <f t="shared" si="22"/>
        <v>0</v>
      </c>
      <c r="H143" s="348">
        <f t="shared" si="22"/>
        <v>0</v>
      </c>
      <c r="I143" s="348">
        <f t="shared" si="22"/>
        <v>0</v>
      </c>
      <c r="J143" s="348">
        <f t="shared" si="22"/>
        <v>0</v>
      </c>
      <c r="K143" s="348">
        <f t="shared" si="22"/>
        <v>0</v>
      </c>
      <c r="L143" s="348">
        <f t="shared" si="22"/>
        <v>0</v>
      </c>
      <c r="M143" s="348">
        <f t="shared" si="22"/>
        <v>0</v>
      </c>
      <c r="N143" s="348">
        <f t="shared" si="22"/>
        <v>0</v>
      </c>
      <c r="O143" s="348">
        <f t="shared" si="22"/>
        <v>0</v>
      </c>
      <c r="P143" s="348">
        <f t="shared" si="22"/>
        <v>0</v>
      </c>
      <c r="Q143" s="348">
        <f t="shared" si="22"/>
        <v>0</v>
      </c>
      <c r="R143" s="348">
        <f t="shared" si="22"/>
        <v>0</v>
      </c>
      <c r="S143" s="348">
        <f t="shared" si="22"/>
        <v>0</v>
      </c>
      <c r="T143" s="348">
        <f t="shared" si="22"/>
        <v>0</v>
      </c>
      <c r="U143" s="348">
        <f t="shared" si="22"/>
        <v>0</v>
      </c>
      <c r="V143" s="348">
        <f t="shared" si="22"/>
        <v>0</v>
      </c>
      <c r="W143" s="348">
        <f t="shared" si="22"/>
        <v>0</v>
      </c>
      <c r="X143" s="348">
        <f t="shared" si="22"/>
        <v>0</v>
      </c>
      <c r="Y143" s="348">
        <f t="shared" si="22"/>
        <v>0</v>
      </c>
      <c r="Z143" s="348">
        <f t="shared" si="22"/>
        <v>0</v>
      </c>
      <c r="AA143" s="348">
        <f t="shared" si="22"/>
        <v>0</v>
      </c>
      <c r="AB143" s="348">
        <f t="shared" ref="AB143" si="23">AB8</f>
        <v>0</v>
      </c>
      <c r="AC143" s="233" t="str">
        <f>CONCATENATE(IF(D144&gt;D143," * No Screened for GBV "&amp;$D$20&amp;" "&amp;$D$21&amp;" is more than Clients Seen at OPD"&amp;CHAR(10),""),IF(E144&gt;E143," * No Screened For GBV "&amp;$D$20&amp;" "&amp;$E$21&amp;" is more than Clients Seen at OPD"&amp;CHAR(10),""),IF(F144&gt;F143," * No Screened For GBV "&amp;$F$20&amp;" "&amp;$F$21&amp;" is more than Clients Seen at OPD"&amp;CHAR(10),""),IF(G144&gt;G143," * No Screened For GBV "&amp;$F$20&amp;" "&amp;$G$21&amp;" is more than Clients Seen at OPD"&amp;CHAR(10),""),IF(H144&gt;H143," * No Screened For GBV "&amp;$H$20&amp;" "&amp;$H$21&amp;" is more than Clients Seen at OPD"&amp;CHAR(10),""),IF(I144&gt;I143," * No Screened For GBV "&amp;$H$20&amp;" "&amp;$I$21&amp;" is more than Clients Seen at OPD"&amp;CHAR(10),""),IF(J144&gt;J143," * No Screened For GBV "&amp;$J$20&amp;" "&amp;$J$21&amp;" is more than Clients Seen at OPD"&amp;CHAR(10),""),IF(K144&gt;K143," * No Screened For GBV "&amp;$J$20&amp;" "&amp;$K$21&amp;" is more than Clients Seen at OPD"&amp;CHAR(10),""),IF(L144&gt;L143," * No Screened For GBV "&amp;$L$20&amp;" "&amp;$L$21&amp;" is more than Clients Seen at OPD"&amp;CHAR(10),""),IF(M144&gt;M143," * No Screened For GBV "&amp;$L$20&amp;" "&amp;$M$21&amp;" is more than Clients Seen at OPD"&amp;CHAR(10),""),IF(N144&gt;N143," * No Screened For GBV "&amp;$N$20&amp;" "&amp;$N$21&amp;" is more than Clients Seen at OPD"&amp;CHAR(10),""),IF(O144&gt;O143," * No Screened For GBV "&amp;$N$20&amp;" "&amp;$O$21&amp;" is more than Clients Seen at OPD"&amp;CHAR(10),""),IF(P144&gt;P143," * No Screened For GBV "&amp;$P$20&amp;" "&amp;$P$21&amp;" is more than Clients Seen at OPD"&amp;CHAR(10),""),IF(Q144&gt;Q143," * No Screened For GBV "&amp;$P$20&amp;" "&amp;$Q$21&amp;" is more than Clients Seen at OPD"&amp;CHAR(10),""),IF(R144&gt;R143," * No Screened For GBV "&amp;$R$20&amp;" "&amp;$R$21&amp;" is more than Clients Seen at OPD"&amp;CHAR(10),""),IF(S144&gt;S143," * No Screened For GBV "&amp;$R$20&amp;" "&amp;$S$21&amp;" is more than Clients Seen at OPD"&amp;CHAR(10),""),IF(T144&gt;T143," * No Screened For GBV "&amp;$T$20&amp;" "&amp;$T$21&amp;" is more than Clients Seen at OPD"&amp;CHAR(10),""),IF(U144&gt;U143," * No Screened For GBV "&amp;$T$20&amp;" "&amp;$U$21&amp;" is more than Clients Seen at OPD"&amp;CHAR(10),""),IF(V144&gt;V143," * No Screened For GBV "&amp;$V$20&amp;" "&amp;$V$21&amp;" is more than Clients Seen at OPD"&amp;CHAR(10),""),IF(W144&gt;W143," * No Screened For GBV "&amp;$V$20&amp;" "&amp;$W$21&amp;" is more than Clients Seen at OPD"&amp;CHAR(10),""),IF(X144&gt;X143," * No Screened For GBV "&amp;$X$20&amp;" "&amp;$X$21&amp;" is more than Clients Seen at OPD"&amp;CHAR(10),""),IF(Y144&gt;Y143," * No Screened For GBV "&amp;$X$20&amp;" "&amp;$Y$21&amp;" is more than Clients Seen at OPD"&amp;CHAR(10),""),IF(Z144&gt;Z143," * No Screened For GBV "&amp;$Z$20&amp;" "&amp;$Z$21&amp;" is more than Clients Seen at OPD"&amp;CHAR(10),""),IF(AA144&gt;AA143," * No Screened For GBV "&amp;$Z$20&amp;" "&amp;$AA$21&amp;" is more than Clients Seen at OPD"&amp;CHAR(10),""))</f>
        <v/>
      </c>
      <c r="AD143" s="739" t="str">
        <f>CONCATENATE(AC143,AC144,AC145,AC146,AC147,AC148,AC149,AC150,AC151)</f>
        <v/>
      </c>
      <c r="AE143" s="96"/>
      <c r="AF143" s="661" t="str">
        <f>CONCATENATE(AE143,AE180,AE181,AE182,AE183,AE184,AE185,AE186,AE187,AE188,AE189,AE190,AE191,AE192,AE193)</f>
        <v/>
      </c>
      <c r="AG143" s="404">
        <v>137</v>
      </c>
    </row>
    <row r="144" spans="1:34" hidden="1" x14ac:dyDescent="0.5">
      <c r="A144" s="701"/>
      <c r="B144" s="336" t="s">
        <v>936</v>
      </c>
      <c r="C144" s="325" t="s">
        <v>524</v>
      </c>
      <c r="D144" s="327"/>
      <c r="E144" s="327"/>
      <c r="F144" s="327"/>
      <c r="G144" s="327"/>
      <c r="H144" s="327"/>
      <c r="I144" s="327"/>
      <c r="J144" s="327"/>
      <c r="K144" s="327"/>
      <c r="L144" s="327"/>
      <c r="M144" s="327"/>
      <c r="N144" s="327"/>
      <c r="O144" s="327"/>
      <c r="P144" s="327"/>
      <c r="Q144" s="327"/>
      <c r="R144" s="327"/>
      <c r="S144" s="327"/>
      <c r="T144" s="327"/>
      <c r="U144" s="327"/>
      <c r="V144" s="327"/>
      <c r="W144" s="327"/>
      <c r="X144" s="327"/>
      <c r="Y144" s="327"/>
      <c r="Z144" s="327"/>
      <c r="AA144" s="327"/>
      <c r="AB144" s="224">
        <f>SUM(D144:AA144)</f>
        <v>0</v>
      </c>
      <c r="AC144" s="241"/>
      <c r="AD144" s="740"/>
      <c r="AE144" s="80"/>
      <c r="AF144" s="662"/>
      <c r="AG144" s="404">
        <v>138</v>
      </c>
    </row>
    <row r="145" spans="1:34" s="207" customFormat="1" ht="32.25" hidden="1" x14ac:dyDescent="0.5">
      <c r="A145" s="701"/>
      <c r="B145" s="341" t="s">
        <v>940</v>
      </c>
      <c r="C145" s="325" t="s">
        <v>901</v>
      </c>
      <c r="D145" s="347">
        <f>D146+D148+D150+D151</f>
        <v>0</v>
      </c>
      <c r="E145" s="347">
        <f t="shared" ref="E145:AA145" si="24">E146+E148+E150+E151</f>
        <v>0</v>
      </c>
      <c r="F145" s="347">
        <f t="shared" si="24"/>
        <v>0</v>
      </c>
      <c r="G145" s="347">
        <f t="shared" si="24"/>
        <v>0</v>
      </c>
      <c r="H145" s="347">
        <f t="shared" si="24"/>
        <v>0</v>
      </c>
      <c r="I145" s="347">
        <f t="shared" si="24"/>
        <v>0</v>
      </c>
      <c r="J145" s="347">
        <f t="shared" si="24"/>
        <v>0</v>
      </c>
      <c r="K145" s="347">
        <f t="shared" si="24"/>
        <v>0</v>
      </c>
      <c r="L145" s="347">
        <f t="shared" si="24"/>
        <v>0</v>
      </c>
      <c r="M145" s="347">
        <f t="shared" si="24"/>
        <v>0</v>
      </c>
      <c r="N145" s="347">
        <f t="shared" si="24"/>
        <v>0</v>
      </c>
      <c r="O145" s="347">
        <f t="shared" si="24"/>
        <v>0</v>
      </c>
      <c r="P145" s="347">
        <f t="shared" si="24"/>
        <v>0</v>
      </c>
      <c r="Q145" s="347">
        <f t="shared" si="24"/>
        <v>0</v>
      </c>
      <c r="R145" s="347">
        <f t="shared" si="24"/>
        <v>0</v>
      </c>
      <c r="S145" s="347">
        <f t="shared" si="24"/>
        <v>0</v>
      </c>
      <c r="T145" s="347">
        <f t="shared" si="24"/>
        <v>0</v>
      </c>
      <c r="U145" s="347">
        <f t="shared" si="24"/>
        <v>0</v>
      </c>
      <c r="V145" s="347">
        <f t="shared" si="24"/>
        <v>0</v>
      </c>
      <c r="W145" s="347">
        <f t="shared" si="24"/>
        <v>0</v>
      </c>
      <c r="X145" s="347">
        <f t="shared" si="24"/>
        <v>0</v>
      </c>
      <c r="Y145" s="347">
        <f t="shared" si="24"/>
        <v>0</v>
      </c>
      <c r="Z145" s="347">
        <f t="shared" si="24"/>
        <v>0</v>
      </c>
      <c r="AA145" s="347">
        <f t="shared" si="24"/>
        <v>0</v>
      </c>
      <c r="AB145" s="345">
        <f t="shared" ref="AB145:AB151" si="25">SUM(D145:AA145)</f>
        <v>0</v>
      </c>
      <c r="AC145" s="241"/>
      <c r="AD145" s="740"/>
      <c r="AE145" s="234"/>
      <c r="AF145" s="662"/>
      <c r="AG145" s="404">
        <v>139</v>
      </c>
      <c r="AH145" s="310"/>
    </row>
    <row r="146" spans="1:34" s="207" customFormat="1" hidden="1" x14ac:dyDescent="0.5">
      <c r="A146" s="701"/>
      <c r="B146" s="336" t="s">
        <v>892</v>
      </c>
      <c r="C146" s="325" t="s">
        <v>902</v>
      </c>
      <c r="D146" s="346"/>
      <c r="E146" s="346"/>
      <c r="F146" s="346"/>
      <c r="G146" s="346"/>
      <c r="H146" s="346"/>
      <c r="I146" s="346"/>
      <c r="J146" s="346"/>
      <c r="K146" s="346"/>
      <c r="L146" s="346"/>
      <c r="M146" s="346"/>
      <c r="N146" s="346"/>
      <c r="O146" s="346"/>
      <c r="P146" s="346"/>
      <c r="Q146" s="346"/>
      <c r="R146" s="346"/>
      <c r="S146" s="346"/>
      <c r="T146" s="346"/>
      <c r="U146" s="346"/>
      <c r="V146" s="346"/>
      <c r="W146" s="346"/>
      <c r="X146" s="346"/>
      <c r="Y146" s="346"/>
      <c r="Z146" s="346"/>
      <c r="AA146" s="346"/>
      <c r="AB146" s="224">
        <f t="shared" si="25"/>
        <v>0</v>
      </c>
      <c r="AC146" s="233" t="str">
        <f>CONCATENATE(IF(D147&gt;D146," * OPD Sexual Violence Initiated Pep "&amp;$D$20&amp;" "&amp;$D$21&amp;" is more than OPD Sexual Violence Rape Survivors"&amp;CHAR(10),""),IF(E147&gt;E146," * OPD Sexual Violence Initiated Pep "&amp;$D$20&amp;" "&amp;$E$21&amp;" is more than OPD Sexual Violence Rape Survivors"&amp;CHAR(10),""),IF(F147&gt;F146," * OPD Sexual Violence Initiated Pep "&amp;$F$20&amp;" "&amp;$F$21&amp;" is more than OPD Sexual Violence Rape Survivors"&amp;CHAR(10),""),IF(G147&gt;G146," * OPD Sexual Violence Initiated Pep "&amp;$F$20&amp;" "&amp;$G$21&amp;" is more than OPD Sexual Violence Rape Survivors"&amp;CHAR(10),""),IF(H147&gt;H146," * OPD Sexual Violence Initiated Pep "&amp;$H$20&amp;" "&amp;$H$21&amp;" is more than OPD Sexual Violence Rape Survivors"&amp;CHAR(10),""),IF(I147&gt;I146," * OPD Sexual Violence Initiated Pep "&amp;$H$20&amp;" "&amp;$I$21&amp;" is more than OPD Sexual Violence Rape Survivors"&amp;CHAR(10),""),IF(J147&gt;J146," * OPD Sexual Violence Initiated Pep "&amp;$J$20&amp;" "&amp;$J$21&amp;" is more than OPD Sexual Violence Rape Survivors"&amp;CHAR(10),""),IF(K147&gt;K146," * OPD Sexual Violence Initiated Pep "&amp;$J$20&amp;" "&amp;$K$21&amp;" is more than OPD Sexual Violence Rape Survivors"&amp;CHAR(10),""),IF(L147&gt;L146," * OPD Sexual Violence Initiated Pep "&amp;$L$20&amp;" "&amp;$L$21&amp;" is more than OPD Sexual Violence Rape Survivors"&amp;CHAR(10),""),IF(M147&gt;M146," * OPD Sexual Violence Initiated Pep "&amp;$L$20&amp;" "&amp;$M$21&amp;" is more than OPD Sexual Violence Rape Survivors"&amp;CHAR(10),""),IF(N147&gt;N146," * OPD Sexual Violence Initiated Pep "&amp;$N$20&amp;" "&amp;$N$21&amp;" is more than OPD Sexual Violence Rape Survivors"&amp;CHAR(10),""),IF(O147&gt;O146," * OPD Sexual Violence Initiated Pep "&amp;$N$20&amp;" "&amp;$O$21&amp;" is more than OPD Sexual Violence Rape Survivors"&amp;CHAR(10),""),IF(P147&gt;P146," * OPD Sexual Violence Initiated Pep "&amp;$P$20&amp;" "&amp;$P$21&amp;" is more than OPD Sexual Violence Rape Survivors"&amp;CHAR(10),""),IF(Q147&gt;Q146," * OPD Sexual Violence Initiated Pep "&amp;$P$20&amp;" "&amp;$Q$21&amp;" is more than OPD Sexual Violence Rape Survivors"&amp;CHAR(10),""),IF(R147&gt;R146," * OPD Sexual Violence Initiated Pep "&amp;$R$20&amp;" "&amp;$R$21&amp;" is more than OPD Sexual Violence Rape Survivors"&amp;CHAR(10),""),IF(S147&gt;S146," * OPD Sexual Violence Initiated Pep "&amp;$R$20&amp;" "&amp;$S$21&amp;" is more than OPD Sexual Violence Rape Survivors"&amp;CHAR(10),""),IF(T147&gt;T146," * OPD Sexual Violence Initiated Pep "&amp;$T$20&amp;" "&amp;$T$21&amp;" is more than OPD Sexual Violence Rape Survivors"&amp;CHAR(10),""),IF(U147&gt;U146," * OPD Sexual Violence Initiated Pep "&amp;$T$20&amp;" "&amp;$U$21&amp;" is more than OPD Sexual Violence Rape Survivors"&amp;CHAR(10),""),IF(V147&gt;V146," * OPD Sexual Violence Initiated Pep "&amp;$V$20&amp;" "&amp;$V$21&amp;" is more than OPD Sexual Violence Rape Survivors"&amp;CHAR(10),""),IF(W147&gt;W146," * OPD Sexual Violence Initiated Pep "&amp;$V$20&amp;" "&amp;$W$21&amp;" is more than OPD Sexual Violence Rape Survivors"&amp;CHAR(10),""),IF(X147&gt;X146," * OPD Sexual Violence Initiated Pep "&amp;$X$20&amp;" "&amp;$X$21&amp;" is more than OPD Sexual Violence Rape Survivors"&amp;CHAR(10),""),IF(Y147&gt;Y146," * OPD Sexual Violence Initiated Pep "&amp;$X$20&amp;" "&amp;$Y$21&amp;" is more than OPD Sexual Violence Rape Survivors"&amp;CHAR(10),""),IF(Z147&gt;Z146," * OPD Sexual Violence Initiated Pep "&amp;$Z$20&amp;" "&amp;$Z$21&amp;" is more than OPD Sexual Violence Rape Survivors"&amp;CHAR(10),""),IF(AA147&gt;AA146," * OPD Sexual Violence Initiated Pep "&amp;$Z$20&amp;" "&amp;$AA$21&amp;" is more than OPD Sexual Violence Rape Survivors"&amp;CHAR(10),""))</f>
        <v/>
      </c>
      <c r="AD146" s="740"/>
      <c r="AE146" s="234"/>
      <c r="AF146" s="662"/>
      <c r="AG146" s="404">
        <v>140</v>
      </c>
      <c r="AH146" s="310"/>
    </row>
    <row r="147" spans="1:34" s="207" customFormat="1" hidden="1" x14ac:dyDescent="0.5">
      <c r="A147" s="701"/>
      <c r="B147" s="336" t="s">
        <v>893</v>
      </c>
      <c r="C147" s="325" t="s">
        <v>903</v>
      </c>
      <c r="D147" s="329"/>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29"/>
      <c r="AB147" s="224">
        <f t="shared" si="25"/>
        <v>0</v>
      </c>
      <c r="AC147" s="241"/>
      <c r="AD147" s="740"/>
      <c r="AE147" s="234"/>
      <c r="AF147" s="662"/>
      <c r="AG147" s="404">
        <v>141</v>
      </c>
      <c r="AH147" s="310"/>
    </row>
    <row r="148" spans="1:34" s="207" customFormat="1" hidden="1" x14ac:dyDescent="0.5">
      <c r="A148" s="701"/>
      <c r="B148" s="336" t="s">
        <v>894</v>
      </c>
      <c r="C148" s="325" t="s">
        <v>904</v>
      </c>
      <c r="D148" s="346"/>
      <c r="E148" s="346"/>
      <c r="F148" s="346"/>
      <c r="G148" s="346"/>
      <c r="H148" s="346"/>
      <c r="I148" s="346"/>
      <c r="J148" s="346"/>
      <c r="K148" s="346"/>
      <c r="L148" s="346"/>
      <c r="M148" s="346"/>
      <c r="N148" s="346"/>
      <c r="O148" s="346"/>
      <c r="P148" s="346"/>
      <c r="Q148" s="346"/>
      <c r="R148" s="346"/>
      <c r="S148" s="346"/>
      <c r="T148" s="346"/>
      <c r="U148" s="346"/>
      <c r="V148" s="346"/>
      <c r="W148" s="346"/>
      <c r="X148" s="346"/>
      <c r="Y148" s="346"/>
      <c r="Z148" s="346"/>
      <c r="AA148" s="346"/>
      <c r="AB148" s="224">
        <f t="shared" si="25"/>
        <v>0</v>
      </c>
      <c r="AC148" s="233" t="str">
        <f>CONCATENATE(IF(D149&gt;D148," * OPD  Physical Violence Initiated Pep "&amp;$D$20&amp;" "&amp;$D$21&amp;" is more than OPD Physical Violence Rape Survivors"&amp;CHAR(10),""),IF(E149&gt;E148," * OPD  Physical Violence Initiated Pep "&amp;$D$20&amp;" "&amp;$E$21&amp;" is more than OPD Physical Violence Rape Survivors"&amp;CHAR(10),""),IF(F149&gt;F148," * OPD  Physical Violence Initiated Pep "&amp;$F$20&amp;" "&amp;$F$21&amp;" is more than OPD Physical Violence Rape Survivors"&amp;CHAR(10),""),IF(G149&gt;G148," * OPD  Physical Violence Initiated Pep "&amp;$F$20&amp;" "&amp;$G$21&amp;" is more than OPD Physical Violence Rape Survivors"&amp;CHAR(10),""),IF(H149&gt;H148," * OPD  Physical Violence Initiated Pep "&amp;$H$20&amp;" "&amp;$H$21&amp;" is more than OPD Physical Violence Rape Survivors"&amp;CHAR(10),""),IF(I149&gt;I148," * OPD  Physical Violence Initiated Pep "&amp;$H$20&amp;" "&amp;$I$21&amp;" is more than OPD Physical Violence Rape Survivors"&amp;CHAR(10),""),IF(J149&gt;J148," * OPD  Physical Violence Initiated Pep "&amp;$J$20&amp;" "&amp;$J$21&amp;" is more than OPD Physical Violence Rape Survivors"&amp;CHAR(10),""),IF(K149&gt;K148," * OPD  Physical Violence Initiated Pep "&amp;$J$20&amp;" "&amp;$K$21&amp;" is more than OPD Physical Violence Rape Survivors"&amp;CHAR(10),""),IF(L149&gt;L148," * OPD  Physical Violence Initiated Pep "&amp;$L$20&amp;" "&amp;$L$21&amp;" is more than OPD Physical Violence Rape Survivors"&amp;CHAR(10),""),IF(M149&gt;M148," * OPD  Physical Violence Initiated Pep "&amp;$L$20&amp;" "&amp;$M$21&amp;" is more than OPD Physical Violence Rape Survivors"&amp;CHAR(10),""),IF(N149&gt;N148," * OPD  Physical Violence Initiated Pep "&amp;$N$20&amp;" "&amp;$N$21&amp;" is more than OPD Physical Violence Rape Survivors"&amp;CHAR(10),""),IF(O149&gt;O148," * OPD  Physical Violence Initiated Pep "&amp;$N$20&amp;" "&amp;$O$21&amp;" is more than OPD Physical Violence Rape Survivors"&amp;CHAR(10),""),IF(P149&gt;P148," * OPD  Physical Violence Initiated Pep "&amp;$P$20&amp;" "&amp;$P$21&amp;" is more than OPD Physical Violence Rape Survivors"&amp;CHAR(10),""),IF(Q149&gt;Q148," * OPD  Physical Violence Initiated Pep "&amp;$P$20&amp;" "&amp;$Q$21&amp;" is more than OPD Physical Violence Rape Survivors"&amp;CHAR(10),""),IF(R149&gt;R148," * OPD  Physical Violence Initiated Pep "&amp;$R$20&amp;" "&amp;$R$21&amp;" is more than OPD Physical Violence Rape Survivors"&amp;CHAR(10),""),IF(S149&gt;S148," * OPD  Physical Violence Initiated Pep "&amp;$R$20&amp;" "&amp;$S$21&amp;" is more than OPD Physical Violence Rape Survivors"&amp;CHAR(10),""),IF(T149&gt;T148," * OPD  Physical Violence Initiated Pep "&amp;$T$20&amp;" "&amp;$T$21&amp;" is more than OPD Physical Violence Rape Survivors"&amp;CHAR(10),""),IF(U149&gt;U148," * OPD  Physical Violence Initiated Pep "&amp;$T$20&amp;" "&amp;$U$21&amp;" is more than OPD Physical Violence Rape Survivors"&amp;CHAR(10),""),IF(V149&gt;V148," * OPD  Physical Violence Initiated Pep "&amp;$V$20&amp;" "&amp;$V$21&amp;" is more than OPD Physical Violence Rape Survivors"&amp;CHAR(10),""),IF(W149&gt;W148," * OPD  Physical Violence Initiated Pep "&amp;$V$20&amp;" "&amp;$W$21&amp;" is more than OPD Physical Violence Rape Survivors"&amp;CHAR(10),""),IF(X149&gt;X148," * OPD  Physical Violence Initiated Pep "&amp;$X$20&amp;" "&amp;$X$21&amp;" is more than OPD Physical Violence Rape Survivors"&amp;CHAR(10),""),IF(Y149&gt;Y148," * OPD  Physical Violence Initiated Pep "&amp;$X$20&amp;" "&amp;$Y$21&amp;" is more than OPD Physical Violence Rape Survivors"&amp;CHAR(10),""),IF(Z149&gt;Z148," * OPD  Physical Violence Initiated Pep "&amp;$Z$20&amp;" "&amp;$Z$21&amp;" is more than OPD Physical Violence Rape Survivors"&amp;CHAR(10),""),IF(AA149&gt;AA148," * OPD  Physical Violence Initiated Pep "&amp;$Z$20&amp;" "&amp;$AA$21&amp;" is more than OPD Physical Violence Rape Survivors"&amp;CHAR(10),""))</f>
        <v/>
      </c>
      <c r="AD148" s="740"/>
      <c r="AE148" s="234"/>
      <c r="AF148" s="662"/>
      <c r="AG148" s="404">
        <v>142</v>
      </c>
      <c r="AH148" s="310"/>
    </row>
    <row r="149" spans="1:34" s="207" customFormat="1" hidden="1" x14ac:dyDescent="0.5">
      <c r="A149" s="701"/>
      <c r="B149" s="336" t="s">
        <v>895</v>
      </c>
      <c r="C149" s="325" t="s">
        <v>905</v>
      </c>
      <c r="D149" s="329"/>
      <c r="E149" s="329"/>
      <c r="F149" s="329"/>
      <c r="G149" s="329"/>
      <c r="H149" s="329"/>
      <c r="I149" s="329"/>
      <c r="J149" s="329"/>
      <c r="K149" s="329"/>
      <c r="L149" s="329"/>
      <c r="M149" s="329"/>
      <c r="N149" s="329"/>
      <c r="O149" s="329"/>
      <c r="P149" s="329"/>
      <c r="Q149" s="329"/>
      <c r="R149" s="329"/>
      <c r="S149" s="329"/>
      <c r="T149" s="329"/>
      <c r="U149" s="329"/>
      <c r="V149" s="329"/>
      <c r="W149" s="329"/>
      <c r="X149" s="329"/>
      <c r="Y149" s="329"/>
      <c r="Z149" s="329"/>
      <c r="AA149" s="329"/>
      <c r="AB149" s="224">
        <f t="shared" si="25"/>
        <v>0</v>
      </c>
      <c r="AC149" s="241"/>
      <c r="AD149" s="740"/>
      <c r="AE149" s="234"/>
      <c r="AF149" s="662"/>
      <c r="AG149" s="404">
        <v>143</v>
      </c>
      <c r="AH149" s="310"/>
    </row>
    <row r="150" spans="1:34" s="207" customFormat="1" hidden="1" x14ac:dyDescent="0.5">
      <c r="A150" s="701"/>
      <c r="B150" s="336" t="s">
        <v>896</v>
      </c>
      <c r="C150" s="325" t="s">
        <v>906</v>
      </c>
      <c r="D150" s="330"/>
      <c r="E150" s="329"/>
      <c r="F150" s="329"/>
      <c r="G150" s="329"/>
      <c r="H150" s="329"/>
      <c r="I150" s="329"/>
      <c r="J150" s="329"/>
      <c r="K150" s="329"/>
      <c r="L150" s="329"/>
      <c r="M150" s="329"/>
      <c r="N150" s="329"/>
      <c r="O150" s="329"/>
      <c r="P150" s="329"/>
      <c r="Q150" s="329"/>
      <c r="R150" s="329"/>
      <c r="S150" s="329"/>
      <c r="T150" s="329"/>
      <c r="U150" s="329"/>
      <c r="V150" s="329"/>
      <c r="W150" s="329"/>
      <c r="X150" s="329"/>
      <c r="Y150" s="329"/>
      <c r="Z150" s="329"/>
      <c r="AA150" s="338"/>
      <c r="AB150" s="224">
        <f t="shared" si="25"/>
        <v>0</v>
      </c>
      <c r="AC150" s="241"/>
      <c r="AD150" s="740"/>
      <c r="AE150" s="234"/>
      <c r="AF150" s="662"/>
      <c r="AG150" s="404">
        <v>144</v>
      </c>
      <c r="AH150" s="310"/>
    </row>
    <row r="151" spans="1:34" s="207" customFormat="1" ht="31.5" hidden="1" thickBot="1" x14ac:dyDescent="0.55000000000000004">
      <c r="A151" s="702"/>
      <c r="B151" s="337" t="s">
        <v>931</v>
      </c>
      <c r="C151" s="333" t="s">
        <v>907</v>
      </c>
      <c r="D151" s="331"/>
      <c r="E151" s="332"/>
      <c r="F151" s="332"/>
      <c r="G151" s="332"/>
      <c r="H151" s="332"/>
      <c r="I151" s="332"/>
      <c r="J151" s="332"/>
      <c r="K151" s="332"/>
      <c r="L151" s="332"/>
      <c r="M151" s="332"/>
      <c r="N151" s="332"/>
      <c r="O151" s="332"/>
      <c r="P151" s="332"/>
      <c r="Q151" s="332"/>
      <c r="R151" s="332"/>
      <c r="S151" s="332"/>
      <c r="T151" s="332"/>
      <c r="U151" s="332"/>
      <c r="V151" s="332"/>
      <c r="W151" s="332"/>
      <c r="X151" s="332"/>
      <c r="Y151" s="332"/>
      <c r="Z151" s="332"/>
      <c r="AA151" s="339"/>
      <c r="AB151" s="224">
        <f t="shared" si="25"/>
        <v>0</v>
      </c>
      <c r="AC151" s="241"/>
      <c r="AD151" s="741"/>
      <c r="AE151" s="242"/>
      <c r="AF151" s="662"/>
      <c r="AG151" s="404">
        <v>145</v>
      </c>
      <c r="AH151" s="310"/>
    </row>
    <row r="152" spans="1:34" s="207" customFormat="1" hidden="1" x14ac:dyDescent="0.5">
      <c r="A152" s="700" t="s">
        <v>898</v>
      </c>
      <c r="B152" s="335" t="s">
        <v>943</v>
      </c>
      <c r="C152" s="316" t="s">
        <v>908</v>
      </c>
      <c r="D152" s="348">
        <f>D11</f>
        <v>0</v>
      </c>
      <c r="E152" s="348">
        <f t="shared" ref="E152:AA152" si="26">E11</f>
        <v>0</v>
      </c>
      <c r="F152" s="348">
        <f t="shared" si="26"/>
        <v>0</v>
      </c>
      <c r="G152" s="348">
        <f t="shared" si="26"/>
        <v>0</v>
      </c>
      <c r="H152" s="348">
        <f t="shared" si="26"/>
        <v>0</v>
      </c>
      <c r="I152" s="348">
        <f t="shared" si="26"/>
        <v>0</v>
      </c>
      <c r="J152" s="348">
        <f t="shared" si="26"/>
        <v>0</v>
      </c>
      <c r="K152" s="348">
        <f t="shared" si="26"/>
        <v>0</v>
      </c>
      <c r="L152" s="348">
        <f t="shared" si="26"/>
        <v>0</v>
      </c>
      <c r="M152" s="348">
        <f t="shared" si="26"/>
        <v>0</v>
      </c>
      <c r="N152" s="348">
        <f t="shared" si="26"/>
        <v>0</v>
      </c>
      <c r="O152" s="348">
        <f t="shared" si="26"/>
        <v>0</v>
      </c>
      <c r="P152" s="348">
        <f t="shared" si="26"/>
        <v>0</v>
      </c>
      <c r="Q152" s="348">
        <f t="shared" si="26"/>
        <v>0</v>
      </c>
      <c r="R152" s="348">
        <f t="shared" si="26"/>
        <v>0</v>
      </c>
      <c r="S152" s="348">
        <f t="shared" si="26"/>
        <v>0</v>
      </c>
      <c r="T152" s="348">
        <f t="shared" si="26"/>
        <v>0</v>
      </c>
      <c r="U152" s="348">
        <f t="shared" si="26"/>
        <v>0</v>
      </c>
      <c r="V152" s="348">
        <f t="shared" si="26"/>
        <v>0</v>
      </c>
      <c r="W152" s="348">
        <f t="shared" si="26"/>
        <v>0</v>
      </c>
      <c r="X152" s="348">
        <f t="shared" si="26"/>
        <v>0</v>
      </c>
      <c r="Y152" s="348">
        <f t="shared" si="26"/>
        <v>0</v>
      </c>
      <c r="Z152" s="348">
        <f t="shared" si="26"/>
        <v>0</v>
      </c>
      <c r="AA152" s="348">
        <f t="shared" si="26"/>
        <v>0</v>
      </c>
      <c r="AB152" s="348">
        <f t="shared" ref="AB152" si="27">AB11</f>
        <v>0</v>
      </c>
      <c r="AC152" s="233" t="str">
        <f>CONCATENATE(IF(D153&gt;D152," * No Screened for GBV "&amp;$D$20&amp;" "&amp;$D$21&amp;" is more than Clients Seen at IPD"&amp;CHAR(10),""),IF(E153&gt;E152," * No Screened For GBV "&amp;$D$20&amp;" "&amp;$E$21&amp;" is more than Clients Seen at IPD"&amp;CHAR(10),""),IF(F153&gt;F152," * No Screened For GBV "&amp;$F$20&amp;" "&amp;$F$21&amp;" is more than Clients Seen at IPD"&amp;CHAR(10),""),IF(G153&gt;G152," * No Screened For GBV "&amp;$F$20&amp;" "&amp;$G$21&amp;" is more than Clients Seen at IPD"&amp;CHAR(10),""),IF(H153&gt;H152," * No Screened For GBV "&amp;$H$20&amp;" "&amp;$H$21&amp;" is more than Clients Seen at IPD"&amp;CHAR(10),""),IF(I153&gt;I152," * No Screened For GBV "&amp;$H$20&amp;" "&amp;$I$21&amp;" is more than Clients Seen at IPD"&amp;CHAR(10),""),IF(J153&gt;J152," * No Screened For GBV "&amp;$J$20&amp;" "&amp;$J$21&amp;" is more than Clients Seen at IPD"&amp;CHAR(10),""),IF(K153&gt;K152," * No Screened For GBV "&amp;$J$20&amp;" "&amp;$K$21&amp;" is more than Clients Seen at IPD"&amp;CHAR(10),""),IF(L153&gt;L152," * No Screened For GBV "&amp;$L$20&amp;" "&amp;$L$21&amp;" is more than Clients Seen at IPD"&amp;CHAR(10),""),IF(M153&gt;M152," * No Screened For GBV "&amp;$L$20&amp;" "&amp;$M$21&amp;" is more than Clients Seen at IPD"&amp;CHAR(10),""),IF(N153&gt;N152," * No Screened For GBV "&amp;$N$20&amp;" "&amp;$N$21&amp;" is more than Clients Seen at IPD"&amp;CHAR(10),""),IF(O153&gt;O152," * No Screened For GBV "&amp;$N$20&amp;" "&amp;$O$21&amp;" is more than Clients Seen at IPD"&amp;CHAR(10),""),IF(P153&gt;P152," * No Screened For GBV "&amp;$P$20&amp;" "&amp;$P$21&amp;" is more than Clients Seen at IPD"&amp;CHAR(10),""),IF(Q153&gt;Q152," * No Screened For GBV "&amp;$P$20&amp;" "&amp;$Q$21&amp;" is more than Clients Seen at IPD"&amp;CHAR(10),""),IF(R153&gt;R152," * No Screened For GBV "&amp;$R$20&amp;" "&amp;$R$21&amp;" is more than Clients Seen at IPD"&amp;CHAR(10),""),IF(S153&gt;S152," * No Screened For GBV "&amp;$R$20&amp;" "&amp;$S$21&amp;" is more than Clients Seen at IPD"&amp;CHAR(10),""),IF(T153&gt;T152," * No Screened For GBV "&amp;$T$20&amp;" "&amp;$T$21&amp;" is more than Clients Seen at IPD"&amp;CHAR(10),""),IF(U153&gt;U152," * No Screened For GBV "&amp;$T$20&amp;" "&amp;$U$21&amp;" is more than Clients Seen at IPD"&amp;CHAR(10),""),IF(V153&gt;V152," * No Screened For GBV "&amp;$V$20&amp;" "&amp;$V$21&amp;" is more than Clients Seen at IPD"&amp;CHAR(10),""),IF(W153&gt;W152," * No Screened For GBV "&amp;$V$20&amp;" "&amp;$W$21&amp;" is more than Clients Seen at IPD"&amp;CHAR(10),""),IF(X153&gt;X152," * No Screened For GBV "&amp;$X$20&amp;" "&amp;$X$21&amp;" is more than Clients Seen at IPD"&amp;CHAR(10),""),IF(Y153&gt;Y152," * No Screened For GBV "&amp;$X$20&amp;" "&amp;$Y$21&amp;" is more than Clients Seen at IPD"&amp;CHAR(10),""),IF(Z153&gt;Z152," * No Screened For GBV "&amp;$Z$20&amp;" "&amp;$Z$21&amp;" is more than Clients Seen at IPD"&amp;CHAR(10),""),IF(AA153&gt;AA152," * No Screened For GBV "&amp;$Z$20&amp;" "&amp;$AA$21&amp;" is more than Clients Seen at IPD"&amp;CHAR(10),""))</f>
        <v/>
      </c>
      <c r="AD152" s="742" t="str">
        <f>CONCATENATE(AC152,AC153,AC154,AC155,AC156,AC157,AC158,AC159,AC160)</f>
        <v/>
      </c>
      <c r="AE152" s="242"/>
      <c r="AF152" s="662"/>
      <c r="AG152" s="404">
        <v>146</v>
      </c>
      <c r="AH152" s="310"/>
    </row>
    <row r="153" spans="1:34" s="207" customFormat="1" hidden="1" x14ac:dyDescent="0.5">
      <c r="A153" s="701"/>
      <c r="B153" s="336" t="s">
        <v>937</v>
      </c>
      <c r="C153" s="325" t="s">
        <v>909</v>
      </c>
      <c r="D153" s="327"/>
      <c r="E153" s="327"/>
      <c r="F153" s="327"/>
      <c r="G153" s="327"/>
      <c r="H153" s="327"/>
      <c r="I153" s="327"/>
      <c r="J153" s="327"/>
      <c r="K153" s="327"/>
      <c r="L153" s="327"/>
      <c r="M153" s="327"/>
      <c r="N153" s="327"/>
      <c r="O153" s="327"/>
      <c r="P153" s="327"/>
      <c r="Q153" s="327"/>
      <c r="R153" s="327"/>
      <c r="S153" s="327"/>
      <c r="T153" s="327"/>
      <c r="U153" s="327"/>
      <c r="V153" s="327"/>
      <c r="W153" s="327"/>
      <c r="X153" s="327"/>
      <c r="Y153" s="327"/>
      <c r="Z153" s="327"/>
      <c r="AA153" s="327"/>
      <c r="AB153" s="238">
        <f t="shared" ref="AB153:AB178" si="28">SUM(D153:AA153)</f>
        <v>0</v>
      </c>
      <c r="AC153" s="241"/>
      <c r="AD153" s="743"/>
      <c r="AE153" s="234"/>
      <c r="AF153" s="662"/>
      <c r="AG153" s="404">
        <v>147</v>
      </c>
      <c r="AH153" s="310"/>
    </row>
    <row r="154" spans="1:34" s="207" customFormat="1" ht="32.25" hidden="1" x14ac:dyDescent="0.5">
      <c r="A154" s="701"/>
      <c r="B154" s="341" t="s">
        <v>946</v>
      </c>
      <c r="C154" s="325" t="s">
        <v>910</v>
      </c>
      <c r="D154" s="347">
        <f>D155+D157+D159+D160</f>
        <v>0</v>
      </c>
      <c r="E154" s="347">
        <f t="shared" ref="E154" si="29">E155+E157+E159+E160</f>
        <v>0</v>
      </c>
      <c r="F154" s="347">
        <f t="shared" ref="F154" si="30">F155+F157+F159+F160</f>
        <v>0</v>
      </c>
      <c r="G154" s="347">
        <f t="shared" ref="G154" si="31">G155+G157+G159+G160</f>
        <v>0</v>
      </c>
      <c r="H154" s="347">
        <f t="shared" ref="H154" si="32">H155+H157+H159+H160</f>
        <v>0</v>
      </c>
      <c r="I154" s="347">
        <f t="shared" ref="I154" si="33">I155+I157+I159+I160</f>
        <v>0</v>
      </c>
      <c r="J154" s="347">
        <f t="shared" ref="J154" si="34">J155+J157+J159+J160</f>
        <v>0</v>
      </c>
      <c r="K154" s="347">
        <f t="shared" ref="K154" si="35">K155+K157+K159+K160</f>
        <v>0</v>
      </c>
      <c r="L154" s="347">
        <f t="shared" ref="L154" si="36">L155+L157+L159+L160</f>
        <v>0</v>
      </c>
      <c r="M154" s="347">
        <f t="shared" ref="M154" si="37">M155+M157+M159+M160</f>
        <v>0</v>
      </c>
      <c r="N154" s="347">
        <f t="shared" ref="N154" si="38">N155+N157+N159+N160</f>
        <v>0</v>
      </c>
      <c r="O154" s="347">
        <f t="shared" ref="O154" si="39">O155+O157+O159+O160</f>
        <v>0</v>
      </c>
      <c r="P154" s="347">
        <f t="shared" ref="P154" si="40">P155+P157+P159+P160</f>
        <v>0</v>
      </c>
      <c r="Q154" s="347">
        <f t="shared" ref="Q154" si="41">Q155+Q157+Q159+Q160</f>
        <v>0</v>
      </c>
      <c r="R154" s="347">
        <f t="shared" ref="R154" si="42">R155+R157+R159+R160</f>
        <v>0</v>
      </c>
      <c r="S154" s="347">
        <f t="shared" ref="S154" si="43">S155+S157+S159+S160</f>
        <v>0</v>
      </c>
      <c r="T154" s="347">
        <f t="shared" ref="T154" si="44">T155+T157+T159+T160</f>
        <v>0</v>
      </c>
      <c r="U154" s="347">
        <f t="shared" ref="U154" si="45">U155+U157+U159+U160</f>
        <v>0</v>
      </c>
      <c r="V154" s="347">
        <f t="shared" ref="V154" si="46">V155+V157+V159+V160</f>
        <v>0</v>
      </c>
      <c r="W154" s="347">
        <f t="shared" ref="W154" si="47">W155+W157+W159+W160</f>
        <v>0</v>
      </c>
      <c r="X154" s="347">
        <f t="shared" ref="X154" si="48">X155+X157+X159+X160</f>
        <v>0</v>
      </c>
      <c r="Y154" s="347">
        <f t="shared" ref="Y154" si="49">Y155+Y157+Y159+Y160</f>
        <v>0</v>
      </c>
      <c r="Z154" s="347">
        <f t="shared" ref="Z154" si="50">Z155+Z157+Z159+Z160</f>
        <v>0</v>
      </c>
      <c r="AA154" s="347">
        <f t="shared" ref="AA154" si="51">AA155+AA157+AA159+AA160</f>
        <v>0</v>
      </c>
      <c r="AB154" s="238">
        <f t="shared" si="28"/>
        <v>0</v>
      </c>
      <c r="AC154" s="241"/>
      <c r="AD154" s="743"/>
      <c r="AE154" s="234"/>
      <c r="AF154" s="662"/>
      <c r="AG154" s="404">
        <v>148</v>
      </c>
      <c r="AH154" s="310"/>
    </row>
    <row r="155" spans="1:34" s="207" customFormat="1" hidden="1" x14ac:dyDescent="0.5">
      <c r="A155" s="701"/>
      <c r="B155" s="336" t="s">
        <v>892</v>
      </c>
      <c r="C155" s="325" t="s">
        <v>911</v>
      </c>
      <c r="D155" s="346"/>
      <c r="E155" s="346"/>
      <c r="F155" s="346"/>
      <c r="G155" s="346"/>
      <c r="H155" s="346"/>
      <c r="I155" s="346"/>
      <c r="J155" s="346"/>
      <c r="K155" s="346"/>
      <c r="L155" s="346"/>
      <c r="M155" s="346"/>
      <c r="N155" s="346"/>
      <c r="O155" s="346"/>
      <c r="P155" s="346"/>
      <c r="Q155" s="346"/>
      <c r="R155" s="346"/>
      <c r="S155" s="346"/>
      <c r="T155" s="346"/>
      <c r="U155" s="346"/>
      <c r="V155" s="346"/>
      <c r="W155" s="346"/>
      <c r="X155" s="346"/>
      <c r="Y155" s="346"/>
      <c r="Z155" s="346"/>
      <c r="AA155" s="346"/>
      <c r="AB155" s="238">
        <f t="shared" si="28"/>
        <v>0</v>
      </c>
      <c r="AC155" s="233" t="str">
        <f>CONCATENATE(IF(D156&gt;D155," * IPD Sexual Violence Initiated Pep "&amp;$D$20&amp;" "&amp;$D$21&amp;" is more than IPD Sexual Violence Rape Survivors"&amp;CHAR(10),""),IF(E156&gt;E155," * IPD Sexual Violence Initiated Pep "&amp;$D$20&amp;" "&amp;$E$21&amp;" is more than IPD Sexual Violence Rape Survivors"&amp;CHAR(10),""),IF(F156&gt;F155," * IPD Sexual Violence Initiated Pep "&amp;$F$20&amp;" "&amp;$F$21&amp;" is more than IPD Sexual Violence Rape Survivors"&amp;CHAR(10),""),IF(G156&gt;G155," * IPD Sexual Violence Initiated Pep "&amp;$F$20&amp;" "&amp;$G$21&amp;" is more than IPD Sexual Violence Rape Survivors"&amp;CHAR(10),""),IF(H156&gt;H155," * IPD Sexual Violence Initiated Pep "&amp;$H$20&amp;" "&amp;$H$21&amp;" is more than IPD Sexual Violence Rape Survivors"&amp;CHAR(10),""),IF(I156&gt;I155," * IPD Sexual Violence Initiated Pep "&amp;$H$20&amp;" "&amp;$I$21&amp;" is more than IPD Sexual Violence Rape Survivors"&amp;CHAR(10),""),IF(J156&gt;J155," * IPD Sexual Violence Initiated Pep "&amp;$J$20&amp;" "&amp;$J$21&amp;" is more than IPD Sexual Violence Rape Survivors"&amp;CHAR(10),""),IF(K156&gt;K155," * IPD Sexual Violence Initiated Pep "&amp;$J$20&amp;" "&amp;$K$21&amp;" is more than IPD Sexual Violence Rape Survivors"&amp;CHAR(10),""),IF(L156&gt;L155," * IPD Sexual Violence Initiated Pep "&amp;$L$20&amp;" "&amp;$L$21&amp;" is more than IPD Sexual Violence Rape Survivors"&amp;CHAR(10),""),IF(M156&gt;M155," * IPD Sexual Violence Initiated Pep "&amp;$L$20&amp;" "&amp;$M$21&amp;" is more than IPD Sexual Violence Rape Survivors"&amp;CHAR(10),""),IF(N156&gt;N155," * IPD Sexual Violence Initiated Pep "&amp;$N$20&amp;" "&amp;$N$21&amp;" is more than IPD Sexual Violence Rape Survivors"&amp;CHAR(10),""),IF(O156&gt;O155," * IPD Sexual Violence Initiated Pep "&amp;$N$20&amp;" "&amp;$O$21&amp;" is more than IPD Sexual Violence Rape Survivors"&amp;CHAR(10),""),IF(P156&gt;P155," * IPD Sexual Violence Initiated Pep "&amp;$P$20&amp;" "&amp;$P$21&amp;" is more than IPD Sexual Violence Rape Survivors"&amp;CHAR(10),""),IF(Q156&gt;Q155," * IPD Sexual Violence Initiated Pep "&amp;$P$20&amp;" "&amp;$Q$21&amp;" is more than IPD Sexual Violence Rape Survivors"&amp;CHAR(10),""),IF(R156&gt;R155," * IPD Sexual Violence Initiated Pep "&amp;$R$20&amp;" "&amp;$R$21&amp;" is more than IPD Sexual Violence Rape Survivors"&amp;CHAR(10),""),IF(S156&gt;S155," * IPD Sexual Violence Initiated Pep "&amp;$R$20&amp;" "&amp;$S$21&amp;" is more than IPD Sexual Violence Rape Survivors"&amp;CHAR(10),""),IF(T156&gt;T155," * IPD Sexual Violence Initiated Pep "&amp;$T$20&amp;" "&amp;$T$21&amp;" is more than IPD Sexual Violence Rape Survivors"&amp;CHAR(10),""),IF(U156&gt;U155," * IPD Sexual Violence Initiated Pep "&amp;$T$20&amp;" "&amp;$U$21&amp;" is more than IPD Sexual Violence Rape Survivors"&amp;CHAR(10),""),IF(V156&gt;V155," * IPD Sexual Violence Initiated Pep "&amp;$V$20&amp;" "&amp;$V$21&amp;" is more than IPD Sexual Violence Rape Survivors"&amp;CHAR(10),""),IF(W156&gt;W155," * IPD Sexual Violence Initiated Pep "&amp;$V$20&amp;" "&amp;$W$21&amp;" is more than IPD Sexual Violence Rape Survivors"&amp;CHAR(10),""),IF(X156&gt;X155," * IPD Sexual Violence Initiated Pep "&amp;$X$20&amp;" "&amp;$X$21&amp;" is more than IPD Sexual Violence Rape Survivors"&amp;CHAR(10),""),IF(Y156&gt;Y155," * IPD Sexual Violence Initiated Pep "&amp;$X$20&amp;" "&amp;$Y$21&amp;" is more than IPD Sexual Violence Rape Survivors"&amp;CHAR(10),""),IF(Z156&gt;Z155," * IPD Sexual Violence Initiated Pep "&amp;$Z$20&amp;" "&amp;$Z$21&amp;" is more than IPD Sexual Violence Rape Survivors"&amp;CHAR(10),""),IF(AA156&gt;AA155," * IPD Sexual Violence Initiated Pep "&amp;$Z$20&amp;" "&amp;$AA$21&amp;" is more than IPD Sexual Violence Rape Survivors"&amp;CHAR(10),""))</f>
        <v/>
      </c>
      <c r="AD155" s="743"/>
      <c r="AE155" s="234"/>
      <c r="AF155" s="662"/>
      <c r="AG155" s="404">
        <v>149</v>
      </c>
      <c r="AH155" s="310"/>
    </row>
    <row r="156" spans="1:34" s="207" customFormat="1" hidden="1" x14ac:dyDescent="0.5">
      <c r="A156" s="701"/>
      <c r="B156" s="336" t="s">
        <v>893</v>
      </c>
      <c r="C156" s="325" t="s">
        <v>912</v>
      </c>
      <c r="D156" s="329"/>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29"/>
      <c r="AB156" s="238">
        <f t="shared" si="28"/>
        <v>0</v>
      </c>
      <c r="AC156" s="241"/>
      <c r="AD156" s="743"/>
      <c r="AE156" s="234"/>
      <c r="AF156" s="662"/>
      <c r="AG156" s="404">
        <v>150</v>
      </c>
      <c r="AH156" s="310"/>
    </row>
    <row r="157" spans="1:34" s="207" customFormat="1" hidden="1" x14ac:dyDescent="0.5">
      <c r="A157" s="701"/>
      <c r="B157" s="336" t="s">
        <v>894</v>
      </c>
      <c r="C157" s="325" t="s">
        <v>913</v>
      </c>
      <c r="D157" s="346"/>
      <c r="E157" s="346"/>
      <c r="F157" s="346"/>
      <c r="G157" s="346"/>
      <c r="H157" s="346"/>
      <c r="I157" s="346"/>
      <c r="J157" s="346"/>
      <c r="K157" s="346"/>
      <c r="L157" s="346"/>
      <c r="M157" s="346"/>
      <c r="N157" s="346"/>
      <c r="O157" s="346"/>
      <c r="P157" s="346"/>
      <c r="Q157" s="346"/>
      <c r="R157" s="346"/>
      <c r="S157" s="346"/>
      <c r="T157" s="346"/>
      <c r="U157" s="346"/>
      <c r="V157" s="346"/>
      <c r="W157" s="346"/>
      <c r="X157" s="346"/>
      <c r="Y157" s="346"/>
      <c r="Z157" s="346"/>
      <c r="AA157" s="346"/>
      <c r="AB157" s="238">
        <f t="shared" si="28"/>
        <v>0</v>
      </c>
      <c r="AC157" s="233" t="str">
        <f>CONCATENATE(IF(D158&gt;D157," * IPD  Physical Violence Initiated Pep "&amp;$D$20&amp;" "&amp;$D$21&amp;" is more than IPD Physical Violence Rape Survivors"&amp;CHAR(10),""),IF(E158&gt;E157," * IPD  Physical Violence Initiated Pep "&amp;$D$20&amp;" "&amp;$E$21&amp;" is more than IPD Physical Violence Rape Survivors"&amp;CHAR(10),""),IF(F158&gt;F157," * IPD  Physical Violence Initiated Pep "&amp;$F$20&amp;" "&amp;$F$21&amp;" is more than IPD Physical Violence Rape Survivors"&amp;CHAR(10),""),IF(G158&gt;G157," * IPD  Physical Violence Initiated Pep "&amp;$F$20&amp;" "&amp;$G$21&amp;" is more than IPD Physical Violence Rape Survivors"&amp;CHAR(10),""),IF(H158&gt;H157," * IPD  Physical Violence Initiated Pep "&amp;$H$20&amp;" "&amp;$H$21&amp;" is more than IPD Physical Violence Rape Survivors"&amp;CHAR(10),""),IF(I158&gt;I157," * IPD  Physical Violence Initiated Pep "&amp;$H$20&amp;" "&amp;$I$21&amp;" is more than IPD Physical Violence Rape Survivors"&amp;CHAR(10),""),IF(J158&gt;J157," * IPD  Physical Violence Initiated Pep "&amp;$J$20&amp;" "&amp;$J$21&amp;" is more than IPD Physical Violence Rape Survivors"&amp;CHAR(10),""),IF(K158&gt;K157," * IPD  Physical Violence Initiated Pep "&amp;$J$20&amp;" "&amp;$K$21&amp;" is more than IPD Physical Violence Rape Survivors"&amp;CHAR(10),""),IF(L158&gt;L157," * IPD  Physical Violence Initiated Pep "&amp;$L$20&amp;" "&amp;$L$21&amp;" is more than IPD Physical Violence Rape Survivors"&amp;CHAR(10),""),IF(M158&gt;M157," * IPD  Physical Violence Initiated Pep "&amp;$L$20&amp;" "&amp;$M$21&amp;" is more than IPD Physical Violence Rape Survivors"&amp;CHAR(10),""),IF(N158&gt;N157," * IPD  Physical Violence Initiated Pep "&amp;$N$20&amp;" "&amp;$N$21&amp;" is more than IPD Physical Violence Rape Survivors"&amp;CHAR(10),""),IF(O158&gt;O157," * IPD  Physical Violence Initiated Pep "&amp;$N$20&amp;" "&amp;$O$21&amp;" is more than IPD Physical Violence Rape Survivors"&amp;CHAR(10),""),IF(P158&gt;P157," * IPD  Physical Violence Initiated Pep "&amp;$P$20&amp;" "&amp;$P$21&amp;" is more than IPD Physical Violence Rape Survivors"&amp;CHAR(10),""),IF(Q158&gt;Q157," * IPD  Physical Violence Initiated Pep "&amp;$P$20&amp;" "&amp;$Q$21&amp;" is more than IPD Physical Violence Rape Survivors"&amp;CHAR(10),""),IF(R158&gt;R157," * IPD  Physical Violence Initiated Pep "&amp;$R$20&amp;" "&amp;$R$21&amp;" is more than IPD Physical Violence Rape Survivors"&amp;CHAR(10),""),IF(S158&gt;S157," * IPD  Physical Violence Initiated Pep "&amp;$R$20&amp;" "&amp;$S$21&amp;" is more than IPD Physical Violence Rape Survivors"&amp;CHAR(10),""),IF(T158&gt;T157," * IPD  Physical Violence Initiated Pep "&amp;$T$20&amp;" "&amp;$T$21&amp;" is more than IPD Physical Violence Rape Survivors"&amp;CHAR(10),""),IF(U158&gt;U157," * IPD  Physical Violence Initiated Pep "&amp;$T$20&amp;" "&amp;$U$21&amp;" is more than IPD Physical Violence Rape Survivors"&amp;CHAR(10),""),IF(V158&gt;V157," * IPD  Physical Violence Initiated Pep "&amp;$V$20&amp;" "&amp;$V$21&amp;" is more than IPD Physical Violence Rape Survivors"&amp;CHAR(10),""),IF(W158&gt;W157," * IPD  Physical Violence Initiated Pep "&amp;$V$20&amp;" "&amp;$W$21&amp;" is more than IPD Physical Violence Rape Survivors"&amp;CHAR(10),""),IF(X158&gt;X157," * IPD  Physical Violence Initiated Pep "&amp;$X$20&amp;" "&amp;$X$21&amp;" is more than IPD Physical Violence Rape Survivors"&amp;CHAR(10),""),IF(Y158&gt;Y157," * IPD  Physical Violence Initiated Pep "&amp;$X$20&amp;" "&amp;$Y$21&amp;" is more than IPD Physical Violence Rape Survivors"&amp;CHAR(10),""),IF(Z158&gt;Z157," * IPD  Physical Violence Initiated Pep "&amp;$Z$20&amp;" "&amp;$Z$21&amp;" is more than IPD Physical Violence Rape Survivors"&amp;CHAR(10),""),IF(AA158&gt;AA157," * IPD  Physical Violence Initiated Pep "&amp;$Z$20&amp;" "&amp;$AA$21&amp;" is more than IPD Physical Violence Rape Survivors"&amp;CHAR(10),""))</f>
        <v/>
      </c>
      <c r="AD157" s="743"/>
      <c r="AE157" s="234"/>
      <c r="AF157" s="662"/>
      <c r="AG157" s="404">
        <v>151</v>
      </c>
      <c r="AH157" s="310"/>
    </row>
    <row r="158" spans="1:34" s="207" customFormat="1" hidden="1" x14ac:dyDescent="0.5">
      <c r="A158" s="701"/>
      <c r="B158" s="336" t="s">
        <v>895</v>
      </c>
      <c r="C158" s="325" t="s">
        <v>914</v>
      </c>
      <c r="D158" s="329"/>
      <c r="E158" s="329"/>
      <c r="F158" s="329"/>
      <c r="G158" s="329"/>
      <c r="H158" s="329"/>
      <c r="I158" s="329"/>
      <c r="J158" s="329"/>
      <c r="K158" s="329"/>
      <c r="L158" s="329"/>
      <c r="M158" s="329"/>
      <c r="N158" s="329"/>
      <c r="O158" s="329"/>
      <c r="P158" s="329"/>
      <c r="Q158" s="329"/>
      <c r="R158" s="329"/>
      <c r="S158" s="329"/>
      <c r="T158" s="329"/>
      <c r="U158" s="329"/>
      <c r="V158" s="329"/>
      <c r="W158" s="329"/>
      <c r="X158" s="329"/>
      <c r="Y158" s="329"/>
      <c r="Z158" s="329"/>
      <c r="AA158" s="329"/>
      <c r="AB158" s="238">
        <f t="shared" si="28"/>
        <v>0</v>
      </c>
      <c r="AC158" s="241"/>
      <c r="AD158" s="743"/>
      <c r="AE158" s="234"/>
      <c r="AF158" s="662"/>
      <c r="AG158" s="404">
        <v>152</v>
      </c>
      <c r="AH158" s="310"/>
    </row>
    <row r="159" spans="1:34" s="207" customFormat="1" hidden="1" x14ac:dyDescent="0.5">
      <c r="A159" s="701"/>
      <c r="B159" s="336" t="s">
        <v>896</v>
      </c>
      <c r="C159" s="325" t="s">
        <v>915</v>
      </c>
      <c r="D159" s="330"/>
      <c r="E159" s="329"/>
      <c r="F159" s="329"/>
      <c r="G159" s="329"/>
      <c r="H159" s="329"/>
      <c r="I159" s="329"/>
      <c r="J159" s="329"/>
      <c r="K159" s="329"/>
      <c r="L159" s="329"/>
      <c r="M159" s="329"/>
      <c r="N159" s="329"/>
      <c r="O159" s="329"/>
      <c r="P159" s="329"/>
      <c r="Q159" s="329"/>
      <c r="R159" s="329"/>
      <c r="S159" s="329"/>
      <c r="T159" s="329"/>
      <c r="U159" s="329"/>
      <c r="V159" s="329"/>
      <c r="W159" s="329"/>
      <c r="X159" s="329"/>
      <c r="Y159" s="329"/>
      <c r="Z159" s="329"/>
      <c r="AA159" s="338"/>
      <c r="AB159" s="340">
        <f t="shared" si="28"/>
        <v>0</v>
      </c>
      <c r="AC159" s="241"/>
      <c r="AD159" s="743"/>
      <c r="AE159" s="234"/>
      <c r="AF159" s="662"/>
      <c r="AG159" s="404">
        <v>153</v>
      </c>
      <c r="AH159" s="310"/>
    </row>
    <row r="160" spans="1:34" s="207" customFormat="1" ht="31.5" hidden="1" thickBot="1" x14ac:dyDescent="0.55000000000000004">
      <c r="A160" s="702"/>
      <c r="B160" s="337" t="s">
        <v>931</v>
      </c>
      <c r="C160" s="333" t="s">
        <v>916</v>
      </c>
      <c r="D160" s="331"/>
      <c r="E160" s="332"/>
      <c r="F160" s="332"/>
      <c r="G160" s="332"/>
      <c r="H160" s="332"/>
      <c r="I160" s="332"/>
      <c r="J160" s="332"/>
      <c r="K160" s="332"/>
      <c r="L160" s="332"/>
      <c r="M160" s="332"/>
      <c r="N160" s="332"/>
      <c r="O160" s="332"/>
      <c r="P160" s="332"/>
      <c r="Q160" s="332"/>
      <c r="R160" s="332"/>
      <c r="S160" s="332"/>
      <c r="T160" s="332"/>
      <c r="U160" s="332"/>
      <c r="V160" s="332"/>
      <c r="W160" s="332"/>
      <c r="X160" s="332"/>
      <c r="Y160" s="332"/>
      <c r="Z160" s="332"/>
      <c r="AA160" s="339"/>
      <c r="AB160" s="340">
        <f t="shared" si="28"/>
        <v>0</v>
      </c>
      <c r="AC160" s="241"/>
      <c r="AD160" s="744"/>
      <c r="AE160" s="242"/>
      <c r="AF160" s="662"/>
      <c r="AG160" s="404">
        <v>154</v>
      </c>
      <c r="AH160" s="310"/>
    </row>
    <row r="161" spans="1:34" s="207" customFormat="1" hidden="1" x14ac:dyDescent="0.5">
      <c r="A161" s="700" t="s">
        <v>900</v>
      </c>
      <c r="B161" s="335" t="s">
        <v>944</v>
      </c>
      <c r="C161" s="316" t="s">
        <v>917</v>
      </c>
      <c r="D161" s="351"/>
      <c r="E161" s="351"/>
      <c r="F161" s="351"/>
      <c r="G161" s="351"/>
      <c r="H161" s="351"/>
      <c r="I161" s="351"/>
      <c r="J161" s="351"/>
      <c r="K161" s="351"/>
      <c r="L161" s="351"/>
      <c r="M161" s="351"/>
      <c r="N161" s="351"/>
      <c r="O161" s="351"/>
      <c r="P161" s="351"/>
      <c r="Q161" s="351"/>
      <c r="R161" s="351"/>
      <c r="S161" s="351"/>
      <c r="T161" s="351"/>
      <c r="U161" s="351"/>
      <c r="V161" s="351"/>
      <c r="W161" s="351"/>
      <c r="X161" s="351"/>
      <c r="Y161" s="351"/>
      <c r="Z161" s="351"/>
      <c r="AA161" s="351"/>
      <c r="AB161" s="340">
        <f t="shared" si="28"/>
        <v>0</v>
      </c>
      <c r="AC161" s="233" t="str">
        <f>CONCATENATE(IF(D162&gt;D161," * No Screened for GBV "&amp;$D$20&amp;" "&amp;$D$21&amp;" is more than Clients Seen at CCC"&amp;CHAR(10),""),IF(E162&gt;E161," * No Screened For GBV "&amp;$D$20&amp;" "&amp;$E$21&amp;" is more than Clients Seen at CCC"&amp;CHAR(10),""),IF(F162&gt;F161," * No Screened For GBV "&amp;$F$20&amp;" "&amp;$F$21&amp;" is more than Clients Seen at CCC"&amp;CHAR(10),""),IF(G162&gt;G161," * No Screened For GBV "&amp;$F$20&amp;" "&amp;$G$21&amp;" is more than Clients Seen at CCC"&amp;CHAR(10),""),IF(H162&gt;H161," * No Screened For GBV "&amp;$H$20&amp;" "&amp;$H$21&amp;" is more than Clients Seen at CCC"&amp;CHAR(10),""),IF(I162&gt;I161," * No Screened For GBV "&amp;$H$20&amp;" "&amp;$I$21&amp;" is more than Clients Seen at CCC"&amp;CHAR(10),""),IF(J162&gt;J161," * No Screened For GBV "&amp;$J$20&amp;" "&amp;$J$21&amp;" is more than Clients Seen at CCC"&amp;CHAR(10),""),IF(K162&gt;K161," * No Screened For GBV "&amp;$J$20&amp;" "&amp;$K$21&amp;" is more than Clients Seen at CCC"&amp;CHAR(10),""),IF(L162&gt;L161," * No Screened For GBV "&amp;$L$20&amp;" "&amp;$L$21&amp;" is more than Clients Seen at CCC"&amp;CHAR(10),""),IF(M162&gt;M161," * No Screened For GBV "&amp;$L$20&amp;" "&amp;$M$21&amp;" is more than Clients Seen at CCC"&amp;CHAR(10),""),IF(N162&gt;N161," * No Screened For GBV "&amp;$N$20&amp;" "&amp;$N$21&amp;" is more than Clients Seen at CCC"&amp;CHAR(10),""),IF(O162&gt;O161," * No Screened For GBV "&amp;$N$20&amp;" "&amp;$O$21&amp;" is more than Clients Seen at CCC"&amp;CHAR(10),""),IF(P162&gt;P161," * No Screened For GBV "&amp;$P$20&amp;" "&amp;$P$21&amp;" is more than Clients Seen at CCC"&amp;CHAR(10),""),IF(Q162&gt;Q161," * No Screened For GBV "&amp;$P$20&amp;" "&amp;$Q$21&amp;" is more than Clients Seen at CCC"&amp;CHAR(10),""),IF(R162&gt;R161," * No Screened For GBV "&amp;$R$20&amp;" "&amp;$R$21&amp;" is more than Clients Seen at CCC"&amp;CHAR(10),""),IF(S162&gt;S161," * No Screened For GBV "&amp;$R$20&amp;" "&amp;$S$21&amp;" is more than Clients Seen at CCC"&amp;CHAR(10),""),IF(T162&gt;T161," * No Screened For GBV "&amp;$T$20&amp;" "&amp;$T$21&amp;" is more than Clients Seen at CCC"&amp;CHAR(10),""),IF(U162&gt;U161," * No Screened For GBV "&amp;$T$20&amp;" "&amp;$U$21&amp;" is more than Clients Seen at CCC"&amp;CHAR(10),""),IF(V162&gt;V161," * No Screened For GBV "&amp;$V$20&amp;" "&amp;$V$21&amp;" is more than Clients Seen at CCC"&amp;CHAR(10),""),IF(W162&gt;W161," * No Screened For GBV "&amp;$V$20&amp;" "&amp;$W$21&amp;" is more than Clients Seen at CCC"&amp;CHAR(10),""),IF(X162&gt;X161," * No Screened For GBV "&amp;$X$20&amp;" "&amp;$X$21&amp;" is more than Clients Seen at CCC"&amp;CHAR(10),""),IF(Y162&gt;Y161," * No Screened For GBV "&amp;$X$20&amp;" "&amp;$Y$21&amp;" is more than Clients Seen at CCC"&amp;CHAR(10),""),IF(Z162&gt;Z161," * No Screened For GBV "&amp;$Z$20&amp;" "&amp;$Z$21&amp;" is more than Clients Seen at CCC"&amp;CHAR(10),""),IF(AA162&gt;AA161," * No Screened For GBV "&amp;$Z$20&amp;" "&amp;$AA$21&amp;" is more than Clients Seen at CCC"&amp;CHAR(10),""))</f>
        <v/>
      </c>
      <c r="AD161" s="742" t="str">
        <f>CONCATENATE(AC161,AC162,AC163,AC164,AC165,AC166,AC167,AC168,AC169)</f>
        <v/>
      </c>
      <c r="AE161" s="242"/>
      <c r="AF161" s="662"/>
      <c r="AG161" s="404">
        <v>155</v>
      </c>
      <c r="AH161" s="310"/>
    </row>
    <row r="162" spans="1:34" s="207" customFormat="1" hidden="1" x14ac:dyDescent="0.5">
      <c r="A162" s="701"/>
      <c r="B162" s="336" t="s">
        <v>938</v>
      </c>
      <c r="C162" s="325" t="s">
        <v>918</v>
      </c>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c r="AA162" s="327"/>
      <c r="AB162" s="340">
        <f t="shared" si="28"/>
        <v>0</v>
      </c>
      <c r="AC162" s="241"/>
      <c r="AD162" s="743"/>
      <c r="AE162" s="234"/>
      <c r="AF162" s="662"/>
      <c r="AG162" s="404">
        <v>156</v>
      </c>
      <c r="AH162" s="310"/>
    </row>
    <row r="163" spans="1:34" s="207" customFormat="1" ht="32.25" hidden="1" x14ac:dyDescent="0.5">
      <c r="A163" s="701"/>
      <c r="B163" s="341" t="s">
        <v>947</v>
      </c>
      <c r="C163" s="325" t="s">
        <v>919</v>
      </c>
      <c r="D163" s="347">
        <f>D164+D166+D168+D169</f>
        <v>0</v>
      </c>
      <c r="E163" s="347">
        <f t="shared" ref="E163" si="52">E164+E166+E168+E169</f>
        <v>0</v>
      </c>
      <c r="F163" s="347">
        <f t="shared" ref="F163" si="53">F164+F166+F168+F169</f>
        <v>0</v>
      </c>
      <c r="G163" s="347">
        <f t="shared" ref="G163" si="54">G164+G166+G168+G169</f>
        <v>0</v>
      </c>
      <c r="H163" s="347">
        <f t="shared" ref="H163" si="55">H164+H166+H168+H169</f>
        <v>0</v>
      </c>
      <c r="I163" s="347">
        <f t="shared" ref="I163" si="56">I164+I166+I168+I169</f>
        <v>0</v>
      </c>
      <c r="J163" s="347">
        <f t="shared" ref="J163" si="57">J164+J166+J168+J169</f>
        <v>0</v>
      </c>
      <c r="K163" s="347">
        <f t="shared" ref="K163" si="58">K164+K166+K168+K169</f>
        <v>0</v>
      </c>
      <c r="L163" s="347">
        <f t="shared" ref="L163" si="59">L164+L166+L168+L169</f>
        <v>0</v>
      </c>
      <c r="M163" s="347">
        <f t="shared" ref="M163" si="60">M164+M166+M168+M169</f>
        <v>0</v>
      </c>
      <c r="N163" s="347">
        <f t="shared" ref="N163" si="61">N164+N166+N168+N169</f>
        <v>0</v>
      </c>
      <c r="O163" s="347">
        <f t="shared" ref="O163" si="62">O164+O166+O168+O169</f>
        <v>0</v>
      </c>
      <c r="P163" s="347">
        <f t="shared" ref="P163" si="63">P164+P166+P168+P169</f>
        <v>0</v>
      </c>
      <c r="Q163" s="347">
        <f t="shared" ref="Q163" si="64">Q164+Q166+Q168+Q169</f>
        <v>0</v>
      </c>
      <c r="R163" s="347">
        <f t="shared" ref="R163" si="65">R164+R166+R168+R169</f>
        <v>0</v>
      </c>
      <c r="S163" s="347">
        <f t="shared" ref="S163" si="66">S164+S166+S168+S169</f>
        <v>0</v>
      </c>
      <c r="T163" s="347">
        <f t="shared" ref="T163" si="67">T164+T166+T168+T169</f>
        <v>0</v>
      </c>
      <c r="U163" s="347">
        <f t="shared" ref="U163" si="68">U164+U166+U168+U169</f>
        <v>0</v>
      </c>
      <c r="V163" s="347">
        <f t="shared" ref="V163" si="69">V164+V166+V168+V169</f>
        <v>0</v>
      </c>
      <c r="W163" s="347">
        <f t="shared" ref="W163" si="70">W164+W166+W168+W169</f>
        <v>0</v>
      </c>
      <c r="X163" s="347">
        <f t="shared" ref="X163" si="71">X164+X166+X168+X169</f>
        <v>0</v>
      </c>
      <c r="Y163" s="347">
        <f t="shared" ref="Y163" si="72">Y164+Y166+Y168+Y169</f>
        <v>0</v>
      </c>
      <c r="Z163" s="347">
        <f t="shared" ref="Z163" si="73">Z164+Z166+Z168+Z169</f>
        <v>0</v>
      </c>
      <c r="AA163" s="347">
        <f t="shared" ref="AA163" si="74">AA164+AA166+AA168+AA169</f>
        <v>0</v>
      </c>
      <c r="AB163" s="340">
        <f t="shared" si="28"/>
        <v>0</v>
      </c>
      <c r="AC163" s="241"/>
      <c r="AD163" s="743"/>
      <c r="AE163" s="234"/>
      <c r="AF163" s="662"/>
      <c r="AG163" s="404">
        <v>157</v>
      </c>
      <c r="AH163" s="310"/>
    </row>
    <row r="164" spans="1:34" s="207" customFormat="1" hidden="1" x14ac:dyDescent="0.5">
      <c r="A164" s="701"/>
      <c r="B164" s="336" t="s">
        <v>892</v>
      </c>
      <c r="C164" s="325" t="s">
        <v>920</v>
      </c>
      <c r="D164" s="346"/>
      <c r="E164" s="346"/>
      <c r="F164" s="346"/>
      <c r="G164" s="346"/>
      <c r="H164" s="346"/>
      <c r="I164" s="346"/>
      <c r="J164" s="346"/>
      <c r="K164" s="346"/>
      <c r="L164" s="346"/>
      <c r="M164" s="346"/>
      <c r="N164" s="346"/>
      <c r="O164" s="346"/>
      <c r="P164" s="346"/>
      <c r="Q164" s="346"/>
      <c r="R164" s="346"/>
      <c r="S164" s="346"/>
      <c r="T164" s="346"/>
      <c r="U164" s="346"/>
      <c r="V164" s="346"/>
      <c r="W164" s="346"/>
      <c r="X164" s="346"/>
      <c r="Y164" s="346"/>
      <c r="Z164" s="346"/>
      <c r="AA164" s="346"/>
      <c r="AB164" s="340">
        <f t="shared" si="28"/>
        <v>0</v>
      </c>
      <c r="AC164" s="233" t="str">
        <f>CONCATENATE(IF(D165&gt;D164," * CCC Sexual Violence Initiated Pep "&amp;$D$20&amp;" "&amp;$D$21&amp;" is more than CCC Sexual Violence Rape Survivors"&amp;CHAR(10),""),IF(E165&gt;E164," * CCC Sexual Violence Initiated Pep "&amp;$D$20&amp;" "&amp;$E$21&amp;" is more than CCC Sexual Violence Rape Survivors"&amp;CHAR(10),""),IF(F165&gt;F164," * CCC Sexual Violence Initiated Pep "&amp;$F$20&amp;" "&amp;$F$21&amp;" is more than CCC Sexual Violence Rape Survivors"&amp;CHAR(10),""),IF(G165&gt;G164," * CCC Sexual Violence Initiated Pep "&amp;$F$20&amp;" "&amp;$G$21&amp;" is more than CCC Sexual Violence Rape Survivors"&amp;CHAR(10),""),IF(H165&gt;H164," * CCC Sexual Violence Initiated Pep "&amp;$H$20&amp;" "&amp;$H$21&amp;" is more than CCC Sexual Violence Rape Survivors"&amp;CHAR(10),""),IF(I165&gt;I164," * CCC Sexual Violence Initiated Pep "&amp;$H$20&amp;" "&amp;$I$21&amp;" is more than CCC Sexual Violence Rape Survivors"&amp;CHAR(10),""),IF(J165&gt;J164," * CCC Sexual Violence Initiated Pep "&amp;$J$20&amp;" "&amp;$J$21&amp;" is more than CCC Sexual Violence Rape Survivors"&amp;CHAR(10),""),IF(K165&gt;K164," * CCC Sexual Violence Initiated Pep "&amp;$J$20&amp;" "&amp;$K$21&amp;" is more than CCC Sexual Violence Rape Survivors"&amp;CHAR(10),""),IF(L165&gt;L164," * CCC Sexual Violence Initiated Pep "&amp;$L$20&amp;" "&amp;$L$21&amp;" is more than CCC Sexual Violence Rape Survivors"&amp;CHAR(10),""),IF(M165&gt;M164," * CCC Sexual Violence Initiated Pep "&amp;$L$20&amp;" "&amp;$M$21&amp;" is more than CCC Sexual Violence Rape Survivors"&amp;CHAR(10),""),IF(N165&gt;N164," * CCC Sexual Violence Initiated Pep "&amp;$N$20&amp;" "&amp;$N$21&amp;" is more than CCC Sexual Violence Rape Survivors"&amp;CHAR(10),""),IF(O165&gt;O164," * CCC Sexual Violence Initiated Pep "&amp;$N$20&amp;" "&amp;$O$21&amp;" is more than CCC Sexual Violence Rape Survivors"&amp;CHAR(10),""),IF(P165&gt;P164," * CCC Sexual Violence Initiated Pep "&amp;$P$20&amp;" "&amp;$P$21&amp;" is more than CCC Sexual Violence Rape Survivors"&amp;CHAR(10),""),IF(Q165&gt;Q164," * CCC Sexual Violence Initiated Pep "&amp;$P$20&amp;" "&amp;$Q$21&amp;" is more than CCC Sexual Violence Rape Survivors"&amp;CHAR(10),""),IF(R165&gt;R164," * CCC Sexual Violence Initiated Pep "&amp;$R$20&amp;" "&amp;$R$21&amp;" is more than CCC Sexual Violence Rape Survivors"&amp;CHAR(10),""),IF(S165&gt;S164," * CCC Sexual Violence Initiated Pep "&amp;$R$20&amp;" "&amp;$S$21&amp;" is more than CCC Sexual Violence Rape Survivors"&amp;CHAR(10),""),IF(T165&gt;T164," * CCC Sexual Violence Initiated Pep "&amp;$T$20&amp;" "&amp;$T$21&amp;" is more than CCC Sexual Violence Rape Survivors"&amp;CHAR(10),""),IF(U165&gt;U164," * CCC Sexual Violence Initiated Pep "&amp;$T$20&amp;" "&amp;$U$21&amp;" is more than CCC Sexual Violence Rape Survivors"&amp;CHAR(10),""),IF(V165&gt;V164," * CCC Sexual Violence Initiated Pep "&amp;$V$20&amp;" "&amp;$V$21&amp;" is more than CCC Sexual Violence Rape Survivors"&amp;CHAR(10),""),IF(W165&gt;W164," * CCC Sexual Violence Initiated Pep "&amp;$V$20&amp;" "&amp;$W$21&amp;" is more than CCC Sexual Violence Rape Survivors"&amp;CHAR(10),""),IF(X165&gt;X164," * CCC Sexual Violence Initiated Pep "&amp;$X$20&amp;" "&amp;$X$21&amp;" is more than CCC Sexual Violence Rape Survivors"&amp;CHAR(10),""),IF(Y165&gt;Y164," * CCC Sexual Violence Initiated Pep "&amp;$X$20&amp;" "&amp;$Y$21&amp;" is more than CCC Sexual Violence Rape Survivors"&amp;CHAR(10),""),IF(Z165&gt;Z164," * CCC Sexual Violence Initiated Pep "&amp;$Z$20&amp;" "&amp;$Z$21&amp;" is more than CCC Sexual Violence Rape Survivors"&amp;CHAR(10),""),IF(AA165&gt;AA164," * CCC Sexual Violence Initiated Pep "&amp;$Z$20&amp;" "&amp;$AA$21&amp;" is more than CCC Sexual Violence Rape Survivors"&amp;CHAR(10),""))</f>
        <v/>
      </c>
      <c r="AD164" s="743"/>
      <c r="AE164" s="234"/>
      <c r="AF164" s="662"/>
      <c r="AG164" s="404">
        <v>158</v>
      </c>
      <c r="AH164" s="310"/>
    </row>
    <row r="165" spans="1:34" s="207" customFormat="1" hidden="1" x14ac:dyDescent="0.5">
      <c r="A165" s="701"/>
      <c r="B165" s="336" t="s">
        <v>893</v>
      </c>
      <c r="C165" s="325" t="s">
        <v>921</v>
      </c>
      <c r="D165" s="329"/>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29"/>
      <c r="AB165" s="340">
        <f t="shared" si="28"/>
        <v>0</v>
      </c>
      <c r="AC165" s="241"/>
      <c r="AD165" s="743"/>
      <c r="AE165" s="234"/>
      <c r="AF165" s="662"/>
      <c r="AG165" s="404">
        <v>159</v>
      </c>
      <c r="AH165" s="310"/>
    </row>
    <row r="166" spans="1:34" s="207" customFormat="1" hidden="1" x14ac:dyDescent="0.5">
      <c r="A166" s="701"/>
      <c r="B166" s="336" t="s">
        <v>894</v>
      </c>
      <c r="C166" s="325" t="s">
        <v>922</v>
      </c>
      <c r="D166" s="346"/>
      <c r="E166" s="346"/>
      <c r="F166" s="346"/>
      <c r="G166" s="346"/>
      <c r="H166" s="346"/>
      <c r="I166" s="346"/>
      <c r="J166" s="346"/>
      <c r="K166" s="346"/>
      <c r="L166" s="346"/>
      <c r="M166" s="346"/>
      <c r="N166" s="346"/>
      <c r="O166" s="346"/>
      <c r="P166" s="346"/>
      <c r="Q166" s="346"/>
      <c r="R166" s="346"/>
      <c r="S166" s="346"/>
      <c r="T166" s="346"/>
      <c r="U166" s="346"/>
      <c r="V166" s="346"/>
      <c r="W166" s="346"/>
      <c r="X166" s="346"/>
      <c r="Y166" s="346"/>
      <c r="Z166" s="346"/>
      <c r="AA166" s="346"/>
      <c r="AB166" s="340">
        <f t="shared" si="28"/>
        <v>0</v>
      </c>
      <c r="AC166" s="233" t="str">
        <f>CONCATENATE(IF(D167&gt;D166," * CCC  Physical Violence Initiated Pep "&amp;$D$20&amp;" "&amp;$D$21&amp;" is more than CCC Physical Violence Rape Survivors"&amp;CHAR(10),""),IF(E167&gt;E166," * CCC  Physical Violence Initiated Pep "&amp;$D$20&amp;" "&amp;$E$21&amp;" is more than CCC Physical Violence Rape Survivors"&amp;CHAR(10),""),IF(F167&gt;F166," * CCC  Physical Violence Initiated Pep "&amp;$F$20&amp;" "&amp;$F$21&amp;" is more than CCC Physical Violence Rape Survivors"&amp;CHAR(10),""),IF(G167&gt;G166," * CCC  Physical Violence Initiated Pep "&amp;$F$20&amp;" "&amp;$G$21&amp;" is more than CCC Physical Violence Rape Survivors"&amp;CHAR(10),""),IF(H167&gt;H166," * CCC  Physical Violence Initiated Pep "&amp;$H$20&amp;" "&amp;$H$21&amp;" is more than CCC Physical Violence Rape Survivors"&amp;CHAR(10),""),IF(I167&gt;I166," * CCC  Physical Violence Initiated Pep "&amp;$H$20&amp;" "&amp;$I$21&amp;" is more than CCC Physical Violence Rape Survivors"&amp;CHAR(10),""),IF(J167&gt;J166," * CCC  Physical Violence Initiated Pep "&amp;$J$20&amp;" "&amp;$J$21&amp;" is more than CCC Physical Violence Rape Survivors"&amp;CHAR(10),""),IF(K167&gt;K166," * CCC  Physical Violence Initiated Pep "&amp;$J$20&amp;" "&amp;$K$21&amp;" is more than CCC Physical Violence Rape Survivors"&amp;CHAR(10),""),IF(L167&gt;L166," * CCC  Physical Violence Initiated Pep "&amp;$L$20&amp;" "&amp;$L$21&amp;" is more than CCC Physical Violence Rape Survivors"&amp;CHAR(10),""),IF(M167&gt;M166," * CCC  Physical Violence Initiated Pep "&amp;$L$20&amp;" "&amp;$M$21&amp;" is more than CCC Physical Violence Rape Survivors"&amp;CHAR(10),""),IF(N167&gt;N166," * CCC  Physical Violence Initiated Pep "&amp;$N$20&amp;" "&amp;$N$21&amp;" is more than CCC Physical Violence Rape Survivors"&amp;CHAR(10),""),IF(O167&gt;O166," * CCC  Physical Violence Initiated Pep "&amp;$N$20&amp;" "&amp;$O$21&amp;" is more than CCC Physical Violence Rape Survivors"&amp;CHAR(10),""),IF(P167&gt;P166," * CCC  Physical Violence Initiated Pep "&amp;$P$20&amp;" "&amp;$P$21&amp;" is more than CCC Physical Violence Rape Survivors"&amp;CHAR(10),""),IF(Q167&gt;Q166," * CCC  Physical Violence Initiated Pep "&amp;$P$20&amp;" "&amp;$Q$21&amp;" is more than CCC Physical Violence Rape Survivors"&amp;CHAR(10),""),IF(R167&gt;R166," * CCC  Physical Violence Initiated Pep "&amp;$R$20&amp;" "&amp;$R$21&amp;" is more than CCC Physical Violence Rape Survivors"&amp;CHAR(10),""),IF(S167&gt;S166," * CCC  Physical Violence Initiated Pep "&amp;$R$20&amp;" "&amp;$S$21&amp;" is more than CCC Physical Violence Rape Survivors"&amp;CHAR(10),""),IF(T167&gt;T166," * CCC  Physical Violence Initiated Pep "&amp;$T$20&amp;" "&amp;$T$21&amp;" is more than CCC Physical Violence Rape Survivors"&amp;CHAR(10),""),IF(U167&gt;U166," * CCC  Physical Violence Initiated Pep "&amp;$T$20&amp;" "&amp;$U$21&amp;" is more than CCC Physical Violence Rape Survivors"&amp;CHAR(10),""),IF(V167&gt;V166," * CCC  Physical Violence Initiated Pep "&amp;$V$20&amp;" "&amp;$V$21&amp;" is more than CCC Physical Violence Rape Survivors"&amp;CHAR(10),""),IF(W167&gt;W166," * CCC  Physical Violence Initiated Pep "&amp;$V$20&amp;" "&amp;$W$21&amp;" is more than CCC Physical Violence Rape Survivors"&amp;CHAR(10),""),IF(X167&gt;X166," * CCC  Physical Violence Initiated Pep "&amp;$X$20&amp;" "&amp;$X$21&amp;" is more than CCC Physical Violence Rape Survivors"&amp;CHAR(10),""),IF(Y167&gt;Y166," * CCC  Physical Violence Initiated Pep "&amp;$X$20&amp;" "&amp;$Y$21&amp;" is more than CCC Physical Violence Rape Survivors"&amp;CHAR(10),""),IF(Z167&gt;Z166," * CCC  Physical Violence Initiated Pep "&amp;$Z$20&amp;" "&amp;$Z$21&amp;" is more than CCC Physical Violence Rape Survivors"&amp;CHAR(10),""),IF(AA167&gt;AA166," * CCC  Physical Violence Initiated Pep "&amp;$Z$20&amp;" "&amp;$AA$21&amp;" is more than CCC Physical Violence Rape Survivors"&amp;CHAR(10),""))</f>
        <v/>
      </c>
      <c r="AD166" s="743"/>
      <c r="AE166" s="234"/>
      <c r="AF166" s="662"/>
      <c r="AG166" s="404">
        <v>160</v>
      </c>
      <c r="AH166" s="310"/>
    </row>
    <row r="167" spans="1:34" s="207" customFormat="1" hidden="1" x14ac:dyDescent="0.5">
      <c r="A167" s="701"/>
      <c r="B167" s="336" t="s">
        <v>895</v>
      </c>
      <c r="C167" s="325" t="s">
        <v>923</v>
      </c>
      <c r="D167" s="329"/>
      <c r="E167" s="329"/>
      <c r="F167" s="329"/>
      <c r="G167" s="329"/>
      <c r="H167" s="329"/>
      <c r="I167" s="329"/>
      <c r="J167" s="329"/>
      <c r="K167" s="329"/>
      <c r="L167" s="329"/>
      <c r="M167" s="329"/>
      <c r="N167" s="329"/>
      <c r="O167" s="329"/>
      <c r="P167" s="329"/>
      <c r="Q167" s="329"/>
      <c r="R167" s="329"/>
      <c r="S167" s="329"/>
      <c r="T167" s="329"/>
      <c r="U167" s="329"/>
      <c r="V167" s="329"/>
      <c r="W167" s="329"/>
      <c r="X167" s="329"/>
      <c r="Y167" s="329"/>
      <c r="Z167" s="329"/>
      <c r="AA167" s="329"/>
      <c r="AB167" s="340">
        <f t="shared" si="28"/>
        <v>0</v>
      </c>
      <c r="AC167" s="241"/>
      <c r="AD167" s="743"/>
      <c r="AE167" s="234"/>
      <c r="AF167" s="662"/>
      <c r="AG167" s="404">
        <v>161</v>
      </c>
      <c r="AH167" s="310"/>
    </row>
    <row r="168" spans="1:34" s="207" customFormat="1" hidden="1" x14ac:dyDescent="0.5">
      <c r="A168" s="701"/>
      <c r="B168" s="336" t="s">
        <v>896</v>
      </c>
      <c r="C168" s="325" t="s">
        <v>924</v>
      </c>
      <c r="D168" s="330"/>
      <c r="E168" s="329"/>
      <c r="F168" s="329"/>
      <c r="G168" s="329"/>
      <c r="H168" s="329"/>
      <c r="I168" s="329"/>
      <c r="J168" s="329"/>
      <c r="K168" s="329"/>
      <c r="L168" s="329"/>
      <c r="M168" s="329"/>
      <c r="N168" s="329"/>
      <c r="O168" s="329"/>
      <c r="P168" s="329"/>
      <c r="Q168" s="329"/>
      <c r="R168" s="329"/>
      <c r="S168" s="329"/>
      <c r="T168" s="329"/>
      <c r="U168" s="329"/>
      <c r="V168" s="329"/>
      <c r="W168" s="329"/>
      <c r="X168" s="329"/>
      <c r="Y168" s="329"/>
      <c r="Z168" s="329"/>
      <c r="AA168" s="338"/>
      <c r="AB168" s="340">
        <f t="shared" si="28"/>
        <v>0</v>
      </c>
      <c r="AC168" s="241"/>
      <c r="AD168" s="743"/>
      <c r="AE168" s="234"/>
      <c r="AF168" s="662"/>
      <c r="AG168" s="404">
        <v>162</v>
      </c>
      <c r="AH168" s="310"/>
    </row>
    <row r="169" spans="1:34" s="207" customFormat="1" ht="31.5" hidden="1" thickBot="1" x14ac:dyDescent="0.55000000000000004">
      <c r="A169" s="702"/>
      <c r="B169" s="337" t="s">
        <v>931</v>
      </c>
      <c r="C169" s="333" t="s">
        <v>925</v>
      </c>
      <c r="D169" s="331"/>
      <c r="E169" s="332"/>
      <c r="F169" s="332"/>
      <c r="G169" s="332"/>
      <c r="H169" s="332"/>
      <c r="I169" s="332"/>
      <c r="J169" s="332"/>
      <c r="K169" s="332"/>
      <c r="L169" s="332"/>
      <c r="M169" s="332"/>
      <c r="N169" s="332"/>
      <c r="O169" s="332"/>
      <c r="P169" s="332"/>
      <c r="Q169" s="332"/>
      <c r="R169" s="332"/>
      <c r="S169" s="332"/>
      <c r="T169" s="332"/>
      <c r="U169" s="332"/>
      <c r="V169" s="332"/>
      <c r="W169" s="332"/>
      <c r="X169" s="332"/>
      <c r="Y169" s="332"/>
      <c r="Z169" s="332"/>
      <c r="AA169" s="339"/>
      <c r="AB169" s="340">
        <f t="shared" si="28"/>
        <v>0</v>
      </c>
      <c r="AC169" s="241"/>
      <c r="AD169" s="744"/>
      <c r="AE169" s="242"/>
      <c r="AF169" s="662"/>
      <c r="AG169" s="404">
        <v>163</v>
      </c>
      <c r="AH169" s="310"/>
    </row>
    <row r="170" spans="1:34" s="207" customFormat="1" hidden="1" x14ac:dyDescent="0.5">
      <c r="A170" s="700" t="s">
        <v>899</v>
      </c>
      <c r="B170" s="335" t="s">
        <v>945</v>
      </c>
      <c r="C170" s="316" t="s">
        <v>926</v>
      </c>
      <c r="D170" s="348">
        <f>D15</f>
        <v>0</v>
      </c>
      <c r="E170" s="348">
        <f t="shared" ref="E170:AA170" si="75">E15</f>
        <v>0</v>
      </c>
      <c r="F170" s="348">
        <f t="shared" si="75"/>
        <v>0</v>
      </c>
      <c r="G170" s="348">
        <f t="shared" si="75"/>
        <v>0</v>
      </c>
      <c r="H170" s="348">
        <f t="shared" si="75"/>
        <v>0</v>
      </c>
      <c r="I170" s="348">
        <f t="shared" si="75"/>
        <v>0</v>
      </c>
      <c r="J170" s="348">
        <f t="shared" si="75"/>
        <v>0</v>
      </c>
      <c r="K170" s="348">
        <f t="shared" si="75"/>
        <v>0</v>
      </c>
      <c r="L170" s="348">
        <f t="shared" si="75"/>
        <v>0</v>
      </c>
      <c r="M170" s="348">
        <f t="shared" si="75"/>
        <v>0</v>
      </c>
      <c r="N170" s="348">
        <f t="shared" si="75"/>
        <v>0</v>
      </c>
      <c r="O170" s="348">
        <f t="shared" si="75"/>
        <v>0</v>
      </c>
      <c r="P170" s="348">
        <f t="shared" si="75"/>
        <v>0</v>
      </c>
      <c r="Q170" s="348">
        <f t="shared" si="75"/>
        <v>0</v>
      </c>
      <c r="R170" s="348">
        <f t="shared" si="75"/>
        <v>0</v>
      </c>
      <c r="S170" s="348">
        <f t="shared" si="75"/>
        <v>0</v>
      </c>
      <c r="T170" s="348">
        <f t="shared" si="75"/>
        <v>0</v>
      </c>
      <c r="U170" s="348">
        <f t="shared" si="75"/>
        <v>0</v>
      </c>
      <c r="V170" s="348">
        <f t="shared" si="75"/>
        <v>0</v>
      </c>
      <c r="W170" s="348">
        <f t="shared" si="75"/>
        <v>0</v>
      </c>
      <c r="X170" s="348">
        <f t="shared" si="75"/>
        <v>0</v>
      </c>
      <c r="Y170" s="348">
        <f t="shared" si="75"/>
        <v>0</v>
      </c>
      <c r="Z170" s="348">
        <f t="shared" si="75"/>
        <v>0</v>
      </c>
      <c r="AA170" s="348">
        <f t="shared" si="75"/>
        <v>0</v>
      </c>
      <c r="AB170" s="340">
        <f t="shared" si="28"/>
        <v>0</v>
      </c>
      <c r="AC170" s="233" t="str">
        <f>CONCATENATE(IF(D171&gt;D170," * No Screened for GBV "&amp;$D$20&amp;" "&amp;$D$21&amp;" is more than Clients Seen at MCH"&amp;CHAR(10),""),IF(E171&gt;E170," * No Screened For GBV "&amp;$D$20&amp;" "&amp;$E$21&amp;" is more than Clients Seen at MCH"&amp;CHAR(10),""),IF(F171&gt;F170," * No Screened For GBV "&amp;$F$20&amp;" "&amp;$F$21&amp;" is more than Clients Seen at MCH"&amp;CHAR(10),""),IF(G171&gt;G170," * No Screened For GBV "&amp;$F$20&amp;" "&amp;$G$21&amp;" is more than Clients Seen at MCH"&amp;CHAR(10),""),IF(H171&gt;H170," * No Screened For GBV "&amp;$H$20&amp;" "&amp;$H$21&amp;" is more than Clients Seen at MCH"&amp;CHAR(10),""),IF(I171&gt;I170," * No Screened For GBV "&amp;$H$20&amp;" "&amp;$I$21&amp;" is more than Clients Seen at MCH"&amp;CHAR(10),""),IF(J171&gt;J170," * No Screened For GBV "&amp;$J$20&amp;" "&amp;$J$21&amp;" is more than Clients Seen at MCH"&amp;CHAR(10),""),IF(K171&gt;K170," * No Screened For GBV "&amp;$J$20&amp;" "&amp;$K$21&amp;" is more than Clients Seen at MCH"&amp;CHAR(10),""),IF(L171&gt;L170," * No Screened For GBV "&amp;$L$20&amp;" "&amp;$L$21&amp;" is more than Clients Seen at MCH"&amp;CHAR(10),""),IF(M171&gt;M170," * No Screened For GBV "&amp;$L$20&amp;" "&amp;$M$21&amp;" is more than Clients Seen at MCH"&amp;CHAR(10),""),IF(N171&gt;N170," * No Screened For GBV "&amp;$N$20&amp;" "&amp;$N$21&amp;" is more than Clients Seen at MCH"&amp;CHAR(10),""),IF(O171&gt;O170," * No Screened For GBV "&amp;$N$20&amp;" "&amp;$O$21&amp;" is more than Clients Seen at MCH"&amp;CHAR(10),""),IF(P171&gt;P170," * No Screened For GBV "&amp;$P$20&amp;" "&amp;$P$21&amp;" is more than Clients Seen at MCH"&amp;CHAR(10),""),IF(Q171&gt;Q170," * No Screened For GBV "&amp;$P$20&amp;" "&amp;$Q$21&amp;" is more than Clients Seen at MCH"&amp;CHAR(10),""),IF(R171&gt;R170," * No Screened For GBV "&amp;$R$20&amp;" "&amp;$R$21&amp;" is more than Clients Seen at MCH"&amp;CHAR(10),""),IF(S171&gt;S170," * No Screened For GBV "&amp;$R$20&amp;" "&amp;$S$21&amp;" is more than Clients Seen at MCH"&amp;CHAR(10),""),IF(T171&gt;T170," * No Screened For GBV "&amp;$T$20&amp;" "&amp;$T$21&amp;" is more than Clients Seen at MCH"&amp;CHAR(10),""),IF(U171&gt;U170," * No Screened For GBV "&amp;$T$20&amp;" "&amp;$U$21&amp;" is more than Clients Seen at MCH"&amp;CHAR(10),""),IF(V171&gt;V170," * No Screened For GBV "&amp;$V$20&amp;" "&amp;$V$21&amp;" is more than Clients Seen at MCH"&amp;CHAR(10),""),IF(W171&gt;W170," * No Screened For GBV "&amp;$V$20&amp;" "&amp;$W$21&amp;" is more than Clients Seen at MCH"&amp;CHAR(10),""),IF(X171&gt;X170," * No Screened For GBV "&amp;$X$20&amp;" "&amp;$X$21&amp;" is more than Clients Seen at MCH"&amp;CHAR(10),""),IF(Y171&gt;Y170," * No Screened For GBV "&amp;$X$20&amp;" "&amp;$Y$21&amp;" is more than Clients Seen at MCH"&amp;CHAR(10),""),IF(Z171&gt;Z170," * No Screened For GBV "&amp;$Z$20&amp;" "&amp;$Z$21&amp;" is more than Clients Seen at MCH"&amp;CHAR(10),""),IF(AA171&gt;AA170," * No Screened For GBV "&amp;$Z$20&amp;" "&amp;$AA$21&amp;" is more than Clients Seen at MCH"&amp;CHAR(10),""))</f>
        <v/>
      </c>
      <c r="AD170" s="742" t="str">
        <f>CONCATENATE(AC170,AC171,AC172,AC173,AC174,AC175,AC176,AC177,AC178)</f>
        <v/>
      </c>
      <c r="AE170" s="242"/>
      <c r="AF170" s="662"/>
      <c r="AG170" s="404">
        <v>164</v>
      </c>
      <c r="AH170" s="310"/>
    </row>
    <row r="171" spans="1:34" s="207" customFormat="1" hidden="1" x14ac:dyDescent="0.5">
      <c r="A171" s="701"/>
      <c r="B171" s="336" t="s">
        <v>939</v>
      </c>
      <c r="C171" s="325" t="s">
        <v>927</v>
      </c>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40">
        <f t="shared" si="28"/>
        <v>0</v>
      </c>
      <c r="AC171" s="241"/>
      <c r="AD171" s="743"/>
      <c r="AE171" s="234"/>
      <c r="AF171" s="662"/>
      <c r="AG171" s="404">
        <v>165</v>
      </c>
      <c r="AH171" s="310"/>
    </row>
    <row r="172" spans="1:34" s="207" customFormat="1" ht="32.25" hidden="1" x14ac:dyDescent="0.5">
      <c r="A172" s="701"/>
      <c r="B172" s="341" t="s">
        <v>948</v>
      </c>
      <c r="C172" s="325" t="s">
        <v>928</v>
      </c>
      <c r="D172" s="347">
        <f>D173+D175+D177+D178</f>
        <v>0</v>
      </c>
      <c r="E172" s="347">
        <f t="shared" ref="E172" si="76">E173+E175+E177+E178</f>
        <v>0</v>
      </c>
      <c r="F172" s="347">
        <f t="shared" ref="F172" si="77">F173+F175+F177+F178</f>
        <v>0</v>
      </c>
      <c r="G172" s="347">
        <f t="shared" ref="G172" si="78">G173+G175+G177+G178</f>
        <v>0</v>
      </c>
      <c r="H172" s="347">
        <f t="shared" ref="H172" si="79">H173+H175+H177+H178</f>
        <v>0</v>
      </c>
      <c r="I172" s="347">
        <f t="shared" ref="I172" si="80">I173+I175+I177+I178</f>
        <v>0</v>
      </c>
      <c r="J172" s="347">
        <f t="shared" ref="J172" si="81">J173+J175+J177+J178</f>
        <v>0</v>
      </c>
      <c r="K172" s="347">
        <f t="shared" ref="K172" si="82">K173+K175+K177+K178</f>
        <v>0</v>
      </c>
      <c r="L172" s="347">
        <f t="shared" ref="L172" si="83">L173+L175+L177+L178</f>
        <v>0</v>
      </c>
      <c r="M172" s="347">
        <f t="shared" ref="M172" si="84">M173+M175+M177+M178</f>
        <v>0</v>
      </c>
      <c r="N172" s="347">
        <f t="shared" ref="N172" si="85">N173+N175+N177+N178</f>
        <v>0</v>
      </c>
      <c r="O172" s="347">
        <f t="shared" ref="O172" si="86">O173+O175+O177+O178</f>
        <v>0</v>
      </c>
      <c r="P172" s="347">
        <f t="shared" ref="P172" si="87">P173+P175+P177+P178</f>
        <v>0</v>
      </c>
      <c r="Q172" s="347">
        <f t="shared" ref="Q172" si="88">Q173+Q175+Q177+Q178</f>
        <v>0</v>
      </c>
      <c r="R172" s="347">
        <f t="shared" ref="R172" si="89">R173+R175+R177+R178</f>
        <v>0</v>
      </c>
      <c r="S172" s="347">
        <f t="shared" ref="S172" si="90">S173+S175+S177+S178</f>
        <v>0</v>
      </c>
      <c r="T172" s="347">
        <f t="shared" ref="T172" si="91">T173+T175+T177+T178</f>
        <v>0</v>
      </c>
      <c r="U172" s="347">
        <f t="shared" ref="U172" si="92">U173+U175+U177+U178</f>
        <v>0</v>
      </c>
      <c r="V172" s="347">
        <f t="shared" ref="V172" si="93">V173+V175+V177+V178</f>
        <v>0</v>
      </c>
      <c r="W172" s="347">
        <f t="shared" ref="W172" si="94">W173+W175+W177+W178</f>
        <v>0</v>
      </c>
      <c r="X172" s="347">
        <f t="shared" ref="X172" si="95">X173+X175+X177+X178</f>
        <v>0</v>
      </c>
      <c r="Y172" s="347">
        <f t="shared" ref="Y172" si="96">Y173+Y175+Y177+Y178</f>
        <v>0</v>
      </c>
      <c r="Z172" s="347">
        <f t="shared" ref="Z172" si="97">Z173+Z175+Z177+Z178</f>
        <v>0</v>
      </c>
      <c r="AA172" s="347">
        <f t="shared" ref="AA172" si="98">AA173+AA175+AA177+AA178</f>
        <v>0</v>
      </c>
      <c r="AB172" s="340">
        <f t="shared" si="28"/>
        <v>0</v>
      </c>
      <c r="AC172" s="241"/>
      <c r="AD172" s="743"/>
      <c r="AE172" s="234"/>
      <c r="AF172" s="662"/>
      <c r="AG172" s="404">
        <v>166</v>
      </c>
      <c r="AH172" s="310"/>
    </row>
    <row r="173" spans="1:34" s="207" customFormat="1" hidden="1" x14ac:dyDescent="0.5">
      <c r="A173" s="701"/>
      <c r="B173" s="336" t="s">
        <v>892</v>
      </c>
      <c r="C173" s="325" t="s">
        <v>929</v>
      </c>
      <c r="D173" s="346"/>
      <c r="E173" s="346"/>
      <c r="F173" s="346"/>
      <c r="G173" s="346"/>
      <c r="H173" s="346"/>
      <c r="I173" s="346"/>
      <c r="J173" s="346"/>
      <c r="K173" s="346"/>
      <c r="L173" s="346"/>
      <c r="M173" s="346"/>
      <c r="N173" s="346"/>
      <c r="O173" s="346"/>
      <c r="P173" s="346"/>
      <c r="Q173" s="346"/>
      <c r="R173" s="346"/>
      <c r="S173" s="346"/>
      <c r="T173" s="346"/>
      <c r="U173" s="346"/>
      <c r="V173" s="346"/>
      <c r="W173" s="346"/>
      <c r="X173" s="346"/>
      <c r="Y173" s="346"/>
      <c r="Z173" s="346"/>
      <c r="AA173" s="346"/>
      <c r="AB173" s="340">
        <f t="shared" si="28"/>
        <v>0</v>
      </c>
      <c r="AC173" s="233" t="str">
        <f>CONCATENATE(IF(D174&gt;D173," * OPD Sexual Violence Initiated Pep "&amp;$D$20&amp;" "&amp;$D$21&amp;" is more than OPD Sexual Violence Rape Survivors"&amp;CHAR(10),""),IF(E174&gt;E173," * OPD Sexual Violence Initiated Pep "&amp;$D$20&amp;" "&amp;$E$21&amp;" is more than OPD Sexual Violence Rape Survivors"&amp;CHAR(10),""),IF(F174&gt;F173," * OPD Sexual Violence Initiated Pep "&amp;$F$20&amp;" "&amp;$F$21&amp;" is more than OPD Sexual Violence Rape Survivors"&amp;CHAR(10),""),IF(G174&gt;G173," * OPD Sexual Violence Initiated Pep "&amp;$F$20&amp;" "&amp;$G$21&amp;" is more than OPD Sexual Violence Rape Survivors"&amp;CHAR(10),""),IF(H174&gt;H173," * OPD Sexual Violence Initiated Pep "&amp;$H$20&amp;" "&amp;$H$21&amp;" is more than OPD Sexual Violence Rape Survivors"&amp;CHAR(10),""),IF(I174&gt;I173," * OPD Sexual Violence Initiated Pep "&amp;$H$20&amp;" "&amp;$I$21&amp;" is more than OPD Sexual Violence Rape Survivors"&amp;CHAR(10),""),IF(J174&gt;J173," * OPD Sexual Violence Initiated Pep "&amp;$J$20&amp;" "&amp;$J$21&amp;" is more than OPD Sexual Violence Rape Survivors"&amp;CHAR(10),""),IF(K174&gt;K173," * OPD Sexual Violence Initiated Pep "&amp;$J$20&amp;" "&amp;$K$21&amp;" is more than OPD Sexual Violence Rape Survivors"&amp;CHAR(10),""),IF(L174&gt;L173," * OPD Sexual Violence Initiated Pep "&amp;$L$20&amp;" "&amp;$L$21&amp;" is more than OPD Sexual Violence Rape Survivors"&amp;CHAR(10),""),IF(M174&gt;M173," * OPD Sexual Violence Initiated Pep "&amp;$L$20&amp;" "&amp;$M$21&amp;" is more than OPD Sexual Violence Rape Survivors"&amp;CHAR(10),""),IF(N174&gt;N173," * OPD Sexual Violence Initiated Pep "&amp;$N$20&amp;" "&amp;$N$21&amp;" is more than OPD Sexual Violence Rape Survivors"&amp;CHAR(10),""),IF(O174&gt;O173," * OPD Sexual Violence Initiated Pep "&amp;$N$20&amp;" "&amp;$O$21&amp;" is more than OPD Sexual Violence Rape Survivors"&amp;CHAR(10),""),IF(P174&gt;P173," * OPD Sexual Violence Initiated Pep "&amp;$P$20&amp;" "&amp;$P$21&amp;" is more than OPD Sexual Violence Rape Survivors"&amp;CHAR(10),""),IF(Q174&gt;Q173," * OPD Sexual Violence Initiated Pep "&amp;$P$20&amp;" "&amp;$Q$21&amp;" is more than OPD Sexual Violence Rape Survivors"&amp;CHAR(10),""),IF(R174&gt;R173," * OPD Sexual Violence Initiated Pep "&amp;$R$20&amp;" "&amp;$R$21&amp;" is more than OPD Sexual Violence Rape Survivors"&amp;CHAR(10),""),IF(S174&gt;S173," * OPD Sexual Violence Initiated Pep "&amp;$R$20&amp;" "&amp;$S$21&amp;" is more than OPD Sexual Violence Rape Survivors"&amp;CHAR(10),""),IF(T174&gt;T173," * OPD Sexual Violence Initiated Pep "&amp;$T$20&amp;" "&amp;$T$21&amp;" is more than OPD Sexual Violence Rape Survivors"&amp;CHAR(10),""),IF(U174&gt;U173," * OPD Sexual Violence Initiated Pep "&amp;$T$20&amp;" "&amp;$U$21&amp;" is more than OPD Sexual Violence Rape Survivors"&amp;CHAR(10),""),IF(V174&gt;V173," * OPD Sexual Violence Initiated Pep "&amp;$V$20&amp;" "&amp;$V$21&amp;" is more than OPD Sexual Violence Rape Survivors"&amp;CHAR(10),""),IF(W174&gt;W173," * OPD Sexual Violence Initiated Pep "&amp;$V$20&amp;" "&amp;$W$21&amp;" is more than OPD Sexual Violence Rape Survivors"&amp;CHAR(10),""),IF(X174&gt;X173," * OPD Sexual Violence Initiated Pep "&amp;$X$20&amp;" "&amp;$X$21&amp;" is more than OPD Sexual Violence Rape Survivors"&amp;CHAR(10),""),IF(Y174&gt;Y173," * OPD Sexual Violence Initiated Pep "&amp;$X$20&amp;" "&amp;$Y$21&amp;" is more than OPD Sexual Violence Rape Survivors"&amp;CHAR(10),""),IF(Z174&gt;Z173," * OPD Sexual Violence Initiated Pep "&amp;$Z$20&amp;" "&amp;$Z$21&amp;" is more than OPD Sexual Violence Rape Survivors"&amp;CHAR(10),""),IF(AA174&gt;AA173," * OPD Sexual Violence Initiated Pep "&amp;$Z$20&amp;" "&amp;$AA$21&amp;" is more than OPD Sexual Violence Rape Survivors"&amp;CHAR(10),""))</f>
        <v/>
      </c>
      <c r="AD173" s="743"/>
      <c r="AE173" s="234"/>
      <c r="AF173" s="662"/>
      <c r="AG173" s="404">
        <v>167</v>
      </c>
      <c r="AH173" s="310"/>
    </row>
    <row r="174" spans="1:34" s="207" customFormat="1" hidden="1" x14ac:dyDescent="0.5">
      <c r="A174" s="701"/>
      <c r="B174" s="336" t="s">
        <v>893</v>
      </c>
      <c r="C174" s="325" t="s">
        <v>930</v>
      </c>
      <c r="D174" s="329"/>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29"/>
      <c r="AB174" s="340">
        <f t="shared" si="28"/>
        <v>0</v>
      </c>
      <c r="AC174" s="241"/>
      <c r="AD174" s="743"/>
      <c r="AE174" s="234"/>
      <c r="AF174" s="662"/>
      <c r="AG174" s="404">
        <v>168</v>
      </c>
      <c r="AH174" s="310"/>
    </row>
    <row r="175" spans="1:34" s="207" customFormat="1" hidden="1" x14ac:dyDescent="0.5">
      <c r="A175" s="701"/>
      <c r="B175" s="336" t="s">
        <v>894</v>
      </c>
      <c r="C175" s="325" t="s">
        <v>932</v>
      </c>
      <c r="D175" s="346"/>
      <c r="E175" s="346"/>
      <c r="F175" s="346"/>
      <c r="G175" s="346"/>
      <c r="H175" s="346"/>
      <c r="I175" s="346"/>
      <c r="J175" s="346"/>
      <c r="K175" s="346"/>
      <c r="L175" s="346"/>
      <c r="M175" s="346"/>
      <c r="N175" s="346"/>
      <c r="O175" s="346"/>
      <c r="P175" s="346"/>
      <c r="Q175" s="346"/>
      <c r="R175" s="346"/>
      <c r="S175" s="346"/>
      <c r="T175" s="346"/>
      <c r="U175" s="346"/>
      <c r="V175" s="346"/>
      <c r="W175" s="346"/>
      <c r="X175" s="346"/>
      <c r="Y175" s="346"/>
      <c r="Z175" s="346"/>
      <c r="AA175" s="346"/>
      <c r="AB175" s="340">
        <f t="shared" si="28"/>
        <v>0</v>
      </c>
      <c r="AC175" s="233" t="str">
        <f>CONCATENATE(IF(D176&gt;D175," * MCH  Physical Violence Initiated Pep "&amp;$D$20&amp;" "&amp;$D$21&amp;" is more than MCH Physical Violence Rape Survivors"&amp;CHAR(10),""),IF(E176&gt;E175," * MCH  Physical Violence Initiated Pep "&amp;$D$20&amp;" "&amp;$E$21&amp;" is more than MCH Physical Violence Rape Survivors"&amp;CHAR(10),""),IF(F176&gt;F175," * MCH  Physical Violence Initiated Pep "&amp;$F$20&amp;" "&amp;$F$21&amp;" is more than MCH Physical Violence Rape Survivors"&amp;CHAR(10),""),IF(G176&gt;G175," * MCH  Physical Violence Initiated Pep "&amp;$F$20&amp;" "&amp;$G$21&amp;" is more than MCH Physical Violence Rape Survivors"&amp;CHAR(10),""),IF(H176&gt;H175," * MCH  Physical Violence Initiated Pep "&amp;$H$20&amp;" "&amp;$H$21&amp;" is more than MCH Physical Violence Rape Survivors"&amp;CHAR(10),""),IF(I176&gt;I175," * MCH  Physical Violence Initiated Pep "&amp;$H$20&amp;" "&amp;$I$21&amp;" is more than MCH Physical Violence Rape Survivors"&amp;CHAR(10),""),IF(J176&gt;J175," * MCH  Physical Violence Initiated Pep "&amp;$J$20&amp;" "&amp;$J$21&amp;" is more than MCH Physical Violence Rape Survivors"&amp;CHAR(10),""),IF(K176&gt;K175," * MCH  Physical Violence Initiated Pep "&amp;$J$20&amp;" "&amp;$K$21&amp;" is more than MCH Physical Violence Rape Survivors"&amp;CHAR(10),""),IF(L176&gt;L175," * MCH  Physical Violence Initiated Pep "&amp;$L$20&amp;" "&amp;$L$21&amp;" is more than MCH Physical Violence Rape Survivors"&amp;CHAR(10),""),IF(M176&gt;M175," * MCH  Physical Violence Initiated Pep "&amp;$L$20&amp;" "&amp;$M$21&amp;" is more than MCH Physical Violence Rape Survivors"&amp;CHAR(10),""),IF(N176&gt;N175," * MCH  Physical Violence Initiated Pep "&amp;$N$20&amp;" "&amp;$N$21&amp;" is more than MCH Physical Violence Rape Survivors"&amp;CHAR(10),""),IF(O176&gt;O175," * MCH  Physical Violence Initiated Pep "&amp;$N$20&amp;" "&amp;$O$21&amp;" is more than MCH Physical Violence Rape Survivors"&amp;CHAR(10),""),IF(P176&gt;P175," * MCH  Physical Violence Initiated Pep "&amp;$P$20&amp;" "&amp;$P$21&amp;" is more than MCH Physical Violence Rape Survivors"&amp;CHAR(10),""),IF(Q176&gt;Q175," * MCH  Physical Violence Initiated Pep "&amp;$P$20&amp;" "&amp;$Q$21&amp;" is more than MCH Physical Violence Rape Survivors"&amp;CHAR(10),""),IF(R176&gt;R175," * MCH  Physical Violence Initiated Pep "&amp;$R$20&amp;" "&amp;$R$21&amp;" is more than MCH Physical Violence Rape Survivors"&amp;CHAR(10),""),IF(S176&gt;S175," * MCH  Physical Violence Initiated Pep "&amp;$R$20&amp;" "&amp;$S$21&amp;" is more than MCH Physical Violence Rape Survivors"&amp;CHAR(10),""),IF(T176&gt;T175," * MCH  Physical Violence Initiated Pep "&amp;$T$20&amp;" "&amp;$T$21&amp;" is more than MCH Physical Violence Rape Survivors"&amp;CHAR(10),""),IF(U176&gt;U175," * MCH  Physical Violence Initiated Pep "&amp;$T$20&amp;" "&amp;$U$21&amp;" is more than MCH Physical Violence Rape Survivors"&amp;CHAR(10),""),IF(V176&gt;V175," * MCH  Physical Violence Initiated Pep "&amp;$V$20&amp;" "&amp;$V$21&amp;" is more than MCH Physical Violence Rape Survivors"&amp;CHAR(10),""),IF(W176&gt;W175," * MCH  Physical Violence Initiated Pep "&amp;$V$20&amp;" "&amp;$W$21&amp;" is more than MCH Physical Violence Rape Survivors"&amp;CHAR(10),""),IF(X176&gt;X175," * MCH  Physical Violence Initiated Pep "&amp;$X$20&amp;" "&amp;$X$21&amp;" is more than MCH Physical Violence Rape Survivors"&amp;CHAR(10),""),IF(Y176&gt;Y175," * MCH  Physical Violence Initiated Pep "&amp;$X$20&amp;" "&amp;$Y$21&amp;" is more than MCH Physical Violence Rape Survivors"&amp;CHAR(10),""),IF(Z176&gt;Z175," * MCH  Physical Violence Initiated Pep "&amp;$Z$20&amp;" "&amp;$Z$21&amp;" is more than MCH Physical Violence Rape Survivors"&amp;CHAR(10),""),IF(AA176&gt;AA175," * MCH  Physical Violence Initiated Pep "&amp;$Z$20&amp;" "&amp;$AA$21&amp;" is more than MCH Physical Violence Rape Survivors"&amp;CHAR(10),""))</f>
        <v/>
      </c>
      <c r="AD175" s="743"/>
      <c r="AE175" s="234"/>
      <c r="AF175" s="662"/>
      <c r="AG175" s="404">
        <v>169</v>
      </c>
      <c r="AH175" s="310"/>
    </row>
    <row r="176" spans="1:34" s="207" customFormat="1" hidden="1" x14ac:dyDescent="0.5">
      <c r="A176" s="701"/>
      <c r="B176" s="336" t="s">
        <v>895</v>
      </c>
      <c r="C176" s="325" t="s">
        <v>933</v>
      </c>
      <c r="D176" s="329"/>
      <c r="E176" s="329"/>
      <c r="F176" s="329"/>
      <c r="G176" s="329"/>
      <c r="H176" s="329"/>
      <c r="I176" s="329"/>
      <c r="J176" s="329"/>
      <c r="K176" s="329"/>
      <c r="L176" s="329"/>
      <c r="M176" s="329"/>
      <c r="N176" s="329"/>
      <c r="O176" s="329"/>
      <c r="P176" s="329"/>
      <c r="Q176" s="329"/>
      <c r="R176" s="329"/>
      <c r="S176" s="329"/>
      <c r="T176" s="329"/>
      <c r="U176" s="329"/>
      <c r="V176" s="329"/>
      <c r="W176" s="329"/>
      <c r="X176" s="329"/>
      <c r="Y176" s="329"/>
      <c r="Z176" s="329"/>
      <c r="AA176" s="329"/>
      <c r="AB176" s="340">
        <f t="shared" si="28"/>
        <v>0</v>
      </c>
      <c r="AC176" s="241"/>
      <c r="AD176" s="743"/>
      <c r="AE176" s="234"/>
      <c r="AF176" s="662"/>
      <c r="AG176" s="404">
        <v>170</v>
      </c>
      <c r="AH176" s="310"/>
    </row>
    <row r="177" spans="1:34" s="207" customFormat="1" hidden="1" x14ac:dyDescent="0.5">
      <c r="A177" s="701"/>
      <c r="B177" s="336" t="s">
        <v>896</v>
      </c>
      <c r="C177" s="325" t="s">
        <v>934</v>
      </c>
      <c r="D177" s="330"/>
      <c r="E177" s="329"/>
      <c r="F177" s="329"/>
      <c r="G177" s="329"/>
      <c r="H177" s="329"/>
      <c r="I177" s="329"/>
      <c r="J177" s="329"/>
      <c r="K177" s="329"/>
      <c r="L177" s="329"/>
      <c r="M177" s="329"/>
      <c r="N177" s="329"/>
      <c r="O177" s="329"/>
      <c r="P177" s="329"/>
      <c r="Q177" s="329"/>
      <c r="R177" s="329"/>
      <c r="S177" s="329"/>
      <c r="T177" s="329"/>
      <c r="U177" s="329"/>
      <c r="V177" s="329"/>
      <c r="W177" s="329"/>
      <c r="X177" s="329"/>
      <c r="Y177" s="329"/>
      <c r="Z177" s="329"/>
      <c r="AA177" s="338"/>
      <c r="AB177" s="340">
        <f t="shared" si="28"/>
        <v>0</v>
      </c>
      <c r="AC177" s="241"/>
      <c r="AD177" s="743"/>
      <c r="AE177" s="234"/>
      <c r="AF177" s="662"/>
      <c r="AG177" s="404">
        <v>171</v>
      </c>
      <c r="AH177" s="310"/>
    </row>
    <row r="178" spans="1:34" s="207" customFormat="1" ht="31.5" hidden="1" thickBot="1" x14ac:dyDescent="0.55000000000000004">
      <c r="A178" s="702"/>
      <c r="B178" s="344" t="s">
        <v>931</v>
      </c>
      <c r="C178" s="325" t="s">
        <v>935</v>
      </c>
      <c r="D178" s="331"/>
      <c r="E178" s="332"/>
      <c r="F178" s="332"/>
      <c r="G178" s="332"/>
      <c r="H178" s="332"/>
      <c r="I178" s="332"/>
      <c r="J178" s="332"/>
      <c r="K178" s="332"/>
      <c r="L178" s="332"/>
      <c r="M178" s="332"/>
      <c r="N178" s="332"/>
      <c r="O178" s="332"/>
      <c r="P178" s="332"/>
      <c r="Q178" s="332"/>
      <c r="R178" s="332"/>
      <c r="S178" s="332"/>
      <c r="T178" s="332"/>
      <c r="U178" s="332"/>
      <c r="V178" s="332"/>
      <c r="W178" s="332"/>
      <c r="X178" s="332"/>
      <c r="Y178" s="332"/>
      <c r="Z178" s="332"/>
      <c r="AA178" s="339"/>
      <c r="AB178" s="203">
        <f t="shared" si="28"/>
        <v>0</v>
      </c>
      <c r="AC178" s="241"/>
      <c r="AD178" s="744"/>
      <c r="AE178" s="234"/>
      <c r="AF178" s="662"/>
      <c r="AG178" s="404">
        <v>172</v>
      </c>
      <c r="AH178" s="310"/>
    </row>
    <row r="179" spans="1:34" ht="32.25" x14ac:dyDescent="0.5">
      <c r="A179" s="727" t="s">
        <v>1042</v>
      </c>
      <c r="B179" s="464" t="s">
        <v>1041</v>
      </c>
      <c r="C179" s="263" t="s">
        <v>186</v>
      </c>
      <c r="D179" s="439"/>
      <c r="E179" s="440"/>
      <c r="F179" s="440"/>
      <c r="G179" s="440"/>
      <c r="H179" s="440"/>
      <c r="I179" s="440"/>
      <c r="J179" s="440"/>
      <c r="K179" s="440"/>
      <c r="L179" s="440"/>
      <c r="M179" s="440"/>
      <c r="N179" s="440"/>
      <c r="O179" s="440">
        <v>0</v>
      </c>
      <c r="P179" s="440"/>
      <c r="Q179" s="440"/>
      <c r="R179" s="440"/>
      <c r="S179" s="440"/>
      <c r="T179" s="440"/>
      <c r="U179" s="440"/>
      <c r="V179" s="440"/>
      <c r="W179" s="440"/>
      <c r="X179" s="440"/>
      <c r="Y179" s="440"/>
      <c r="Z179" s="440"/>
      <c r="AA179" s="440"/>
      <c r="AB179" s="318">
        <f>SUM(D179:AA179)</f>
        <v>0</v>
      </c>
      <c r="AC179" s="241" t="str">
        <f>CONCATENATE(IF(D180&gt;D179," * Initiated Pep for Age "&amp;D20&amp;" "&amp;D21&amp;" is more than Rape survivors"&amp;CHAR(10),""),IF(E180&gt;E179," * Initiated Pep for Age "&amp;D20&amp;" "&amp;E21&amp;" is more than Rape survivors"&amp;CHAR(10),""),IF(F180&gt;F179," * Initiated Pep for Age "&amp;F20&amp;" "&amp;F21&amp;" is more than Rape survivors"&amp;CHAR(10),""),IF(G180&gt;G179," * Initiated Pep for Age "&amp;F20&amp;" "&amp;G21&amp;" is more than Rape survivors"&amp;CHAR(10),""),IF(H180&gt;H179," * Initiated Pep for Age "&amp;H20&amp;" "&amp;H21&amp;" is more than Rape survivors"&amp;CHAR(10),""),IF(I180&gt;I179," * Initiated Pep for Age "&amp;H20&amp;" "&amp;I21&amp;" is more than Rape survivors"&amp;CHAR(10),""),IF(J180&gt;J179," * Initiated Pep for Age "&amp;J20&amp;" "&amp;J21&amp;" is more than Rape survivors"&amp;CHAR(10),""),IF(K180&gt;K179," * Initiated Pep for Age "&amp;J20&amp;" "&amp;K21&amp;" is more than Rape survivors"&amp;CHAR(10),""),IF(L180&gt;L179," * Initiated Pep for Age "&amp;L20&amp;" "&amp;L21&amp;" is more than Rape survivors"&amp;CHAR(10),""),IF(M180&gt;M179," * Initiated Pep for Age "&amp;L20&amp;" "&amp;M21&amp;" is more than Rape survivors"&amp;CHAR(10),""),IF(N180&gt;N179," * Initiated Pep for Age "&amp;N20&amp;" "&amp;N21&amp;" is more than Rape survivors"&amp;CHAR(10),""),IF(O180&gt;O179," * Initiated Pep for Age "&amp;N20&amp;" "&amp;O21&amp;" is more than Rape survivors"&amp;CHAR(10),""),IF(P180&gt;P179," * Initiated Pep for Age "&amp;P20&amp;" "&amp;P21&amp;" is more than Rape survivors"&amp;CHAR(10),""),IF(Q180&gt;Q179," * Initiated Pep for Age "&amp;P20&amp;" "&amp;Q21&amp;" is more than Rape survivors"&amp;CHAR(10),""),IF(R180&gt;R179," * Initiated Pep for Age "&amp;R20&amp;" "&amp;R21&amp;" is more than Rape survivors"&amp;CHAR(10),""),IF(S180&gt;S179," * Initiated Pep for Age "&amp;R20&amp;" "&amp;S21&amp;" is more than Rape survivors"&amp;CHAR(10),""),IF(T180&gt;T179," * Initiated Pep for Age "&amp;T20&amp;" "&amp;T21&amp;" is more than Rape survivors"&amp;CHAR(10),""),IF(U180&gt;U179," * Initiated Pep for Age "&amp;T20&amp;" "&amp;U21&amp;" is more than Rape survivors"&amp;CHAR(10),""),IF(V180&gt;V179," * Initiated Pep for Age "&amp;V20&amp;" "&amp;V21&amp;" is more than Rape survivors"&amp;CHAR(10),""),IF(W180&gt;W179," * Initiated Pep for Age "&amp;V20&amp;" "&amp;W21&amp;" is more than Rape survivors"&amp;CHAR(10),""),IF(X180&gt;X179," * Initiated Pep for Age "&amp;X20&amp;" "&amp;X21&amp;" is more than Rape survivors"&amp;CHAR(10),""),IF(Y180&gt;Y179," * Initiated Pep for Age "&amp;X20&amp;" "&amp;Y21&amp;" is more than Rape survivors"&amp;CHAR(10),""),IF(Z180&gt;Z179," * Initiated Pep for Age "&amp;Z20&amp;" "&amp;Z21&amp;" is more than Rape survivors"&amp;CHAR(10),""),IF(AA180&gt;AA179," * Initiated Pep for Age "&amp;Z20&amp;" "&amp;AA21&amp;" is more than Rape survivors"&amp;CHAR(10),""))</f>
        <v/>
      </c>
      <c r="AD179" s="745" t="str">
        <f>CONCATENATE(AC143,AC181,AC182,AC183,AC184,AC186,AC188,AC190,AC192,AC193,AC180,AC185,AC179)</f>
        <v/>
      </c>
      <c r="AE179" s="80"/>
      <c r="AF179" s="662"/>
      <c r="AG179" s="404">
        <v>173</v>
      </c>
    </row>
    <row r="180" spans="1:34" ht="33" thickBot="1" x14ac:dyDescent="0.55000000000000004">
      <c r="A180" s="596"/>
      <c r="B180" s="465" t="s">
        <v>949</v>
      </c>
      <c r="C180" s="271" t="s">
        <v>185</v>
      </c>
      <c r="D180" s="441"/>
      <c r="E180" s="438"/>
      <c r="F180" s="438"/>
      <c r="G180" s="438"/>
      <c r="H180" s="438"/>
      <c r="I180" s="438"/>
      <c r="J180" s="438"/>
      <c r="K180" s="438"/>
      <c r="L180" s="438"/>
      <c r="M180" s="438"/>
      <c r="N180" s="438"/>
      <c r="O180" s="438"/>
      <c r="P180" s="438"/>
      <c r="Q180" s="438"/>
      <c r="R180" s="438"/>
      <c r="S180" s="438"/>
      <c r="T180" s="438"/>
      <c r="U180" s="438"/>
      <c r="V180" s="438"/>
      <c r="W180" s="438"/>
      <c r="X180" s="438"/>
      <c r="Y180" s="438"/>
      <c r="Z180" s="438"/>
      <c r="AA180" s="438"/>
      <c r="AB180" s="204">
        <f t="shared" ref="AB180:AB193" si="99">SUM(D180:AA180)</f>
        <v>0</v>
      </c>
      <c r="AC180" s="241"/>
      <c r="AD180" s="746"/>
      <c r="AE180" s="80"/>
      <c r="AF180" s="662"/>
      <c r="AG180" s="404">
        <v>174</v>
      </c>
    </row>
    <row r="181" spans="1:34" ht="33" thickBot="1" x14ac:dyDescent="0.55000000000000004">
      <c r="A181" s="591" t="s">
        <v>1043</v>
      </c>
      <c r="B181" s="464" t="s">
        <v>688</v>
      </c>
      <c r="C181" s="271" t="s">
        <v>252</v>
      </c>
      <c r="D181" s="482"/>
      <c r="E181" s="483"/>
      <c r="F181" s="483"/>
      <c r="G181" s="483"/>
      <c r="H181" s="483"/>
      <c r="I181" s="483"/>
      <c r="J181" s="483"/>
      <c r="K181" s="483"/>
      <c r="L181" s="483"/>
      <c r="M181" s="483"/>
      <c r="N181" s="483"/>
      <c r="O181" s="483"/>
      <c r="P181" s="483"/>
      <c r="Q181" s="483"/>
      <c r="R181" s="483"/>
      <c r="S181" s="483"/>
      <c r="T181" s="483"/>
      <c r="U181" s="483"/>
      <c r="V181" s="483"/>
      <c r="W181" s="483"/>
      <c r="X181" s="483"/>
      <c r="Y181" s="483"/>
      <c r="Z181" s="483"/>
      <c r="AA181" s="483"/>
      <c r="AB181" s="484">
        <f>SUM(D181:AA181)</f>
        <v>0</v>
      </c>
      <c r="AC181" s="82" t="str">
        <f>CONCATENATE(IF(D182&gt;D181," * Initiated Pep for Age "&amp;D19&amp;" "&amp;D20&amp;" is more than No of Clients"&amp;CHAR(10),""),IF(E182&gt;E181," * Initiated Pep for Age "&amp;D19&amp;" "&amp;E20&amp;" is more than No of Clients"&amp;CHAR(10),""),IF(F182&gt;F181," * Initiated Pep for Age "&amp;F19&amp;" "&amp;F20&amp;" is more than No of Clients"&amp;CHAR(10),""),IF(G182&gt;G181," * Initiated Pep for Age "&amp;F19&amp;" "&amp;G20&amp;" is more than No of Clients"&amp;CHAR(10),""),IF(H182&gt;H181," * Initiated Pep for Age "&amp;H19&amp;" "&amp;H20&amp;" is more than No of Clients"&amp;CHAR(10),""),IF(I182&gt;I181," * Initiated Pep for Age "&amp;H19&amp;" "&amp;I20&amp;" is more than No of Clients"&amp;CHAR(10),""),IF(J182&gt;J181," * Initiated Pep for Age "&amp;J19&amp;" "&amp;J20&amp;" is more than No of Clients"&amp;CHAR(10),""),IF(K182&gt;K181," * Initiated Pep for Age "&amp;J19&amp;" "&amp;K20&amp;" is more than No of Clients"&amp;CHAR(10),""),IF(L182&gt;L181," * Initiated Pep for Age "&amp;L19&amp;" "&amp;L20&amp;" is more than No of Clients"&amp;CHAR(10),""),IF(M182&gt;M181," * Initiated Pep for Age "&amp;L19&amp;" "&amp;M20&amp;" is more than No of Clients"&amp;CHAR(10),""),IF(N182&gt;N181," * Initiated Pep for Age "&amp;N19&amp;" "&amp;N20&amp;" is more than No of Clients"&amp;CHAR(10),""),IF(O182&gt;O181," * Initiated Pep for Age "&amp;N19&amp;" "&amp;O20&amp;" is more than No of Clients"&amp;CHAR(10),""),IF(P182&gt;P181," * Initiated Pep for Age "&amp;P19&amp;" "&amp;P20&amp;" is more than No of Clients"&amp;CHAR(10),""),IF(Q182&gt;Q181," * Initiated Pep for Age "&amp;P19&amp;" "&amp;Q20&amp;" is more than No of Clients"&amp;CHAR(10),""),IF(R182&gt;R181," * Initiated Pep for Age "&amp;R19&amp;" "&amp;R20&amp;" is more than No of Clients"&amp;CHAR(10),""),IF(S182&gt;S181," * Initiated Pep for Age "&amp;R19&amp;" "&amp;S20&amp;" is more than No of Clients"&amp;CHAR(10),""),IF(T182&gt;T181," * Initiated Pep for Age "&amp;T19&amp;" "&amp;T20&amp;" is more than No of Clients"&amp;CHAR(10),""),IF(U182&gt;U181," * Initiated Pep for Age "&amp;T19&amp;" "&amp;U20&amp;" is more than No of Clients"&amp;CHAR(10),""),IF(V182&gt;V181," * Initiated Pep for Age "&amp;V19&amp;" "&amp;V20&amp;" is more than No of Clients"&amp;CHAR(10),""),IF(W182&gt;W181," * Initiated Pep for Age "&amp;V19&amp;" "&amp;W20&amp;" is more than No of Clients"&amp;CHAR(10),""),IF(X182&gt;X181," * Initiated Pep for Age "&amp;X19&amp;" "&amp;X20&amp;" is more than No of Clients"&amp;CHAR(10),""),IF(Y182&gt;Y181," * Initiated Pep for Age "&amp;X19&amp;" "&amp;Y20&amp;" is more than No of Clients"&amp;CHAR(10),""),IF(Z182&gt;Z181," * Initiated Pep for Age "&amp;Z19&amp;" "&amp;Z20&amp;" is more than No of Clients"&amp;CHAR(10),""),IF(AA182&gt;AA181," * Initiated Pep for Age "&amp;Z19&amp;" "&amp;AA20&amp;" is more than No of Clients"&amp;CHAR(10),""))</f>
        <v/>
      </c>
      <c r="AD181" s="746"/>
      <c r="AE181" s="80"/>
      <c r="AF181" s="662"/>
      <c r="AG181" s="404">
        <v>175</v>
      </c>
    </row>
    <row r="182" spans="1:34" ht="33" hidden="1" thickBot="1" x14ac:dyDescent="0.55000000000000004">
      <c r="A182" s="593"/>
      <c r="B182" s="465" t="s">
        <v>687</v>
      </c>
      <c r="C182" s="334" t="s">
        <v>256</v>
      </c>
      <c r="D182" s="480"/>
      <c r="E182" s="481"/>
      <c r="F182" s="481"/>
      <c r="G182" s="481"/>
      <c r="H182" s="481"/>
      <c r="I182" s="481"/>
      <c r="J182" s="481"/>
      <c r="K182" s="481"/>
      <c r="L182" s="481"/>
      <c r="M182" s="481"/>
      <c r="N182" s="481"/>
      <c r="O182" s="481"/>
      <c r="P182" s="481"/>
      <c r="Q182" s="481"/>
      <c r="R182" s="481"/>
      <c r="S182" s="481"/>
      <c r="T182" s="481"/>
      <c r="U182" s="481"/>
      <c r="V182" s="481"/>
      <c r="W182" s="481"/>
      <c r="X182" s="481"/>
      <c r="Y182" s="481"/>
      <c r="Z182" s="481"/>
      <c r="AA182" s="481"/>
      <c r="AB182" s="425">
        <f t="shared" si="99"/>
        <v>0</v>
      </c>
      <c r="AC182" s="82"/>
      <c r="AD182" s="746"/>
      <c r="AE182" s="80"/>
      <c r="AF182" s="662"/>
      <c r="AG182" s="404">
        <v>176</v>
      </c>
    </row>
    <row r="183" spans="1:34" s="7" customFormat="1" x14ac:dyDescent="0.5">
      <c r="A183" s="597" t="s">
        <v>26</v>
      </c>
      <c r="B183" s="269" t="s">
        <v>689</v>
      </c>
      <c r="C183" s="271" t="s">
        <v>257</v>
      </c>
      <c r="D183" s="328"/>
      <c r="E183" s="328"/>
      <c r="F183" s="328"/>
      <c r="G183" s="328"/>
      <c r="H183" s="328"/>
      <c r="I183" s="328"/>
      <c r="J183" s="328"/>
      <c r="K183" s="328"/>
      <c r="L183" s="328"/>
      <c r="M183" s="328"/>
      <c r="N183" s="328"/>
      <c r="O183" s="328"/>
      <c r="P183" s="328"/>
      <c r="Q183" s="328"/>
      <c r="R183" s="328"/>
      <c r="S183" s="328"/>
      <c r="T183" s="328"/>
      <c r="U183" s="328"/>
      <c r="V183" s="328"/>
      <c r="W183" s="328"/>
      <c r="X183" s="328"/>
      <c r="Y183" s="328"/>
      <c r="Z183" s="328"/>
      <c r="AA183" s="328"/>
      <c r="AB183" s="238">
        <f t="shared" si="99"/>
        <v>0</v>
      </c>
      <c r="AC183" s="82" t="str">
        <f>CONCATENATE(IF(D183&gt;D179," * Total Rape Survivors for Age "&amp;D20&amp;" "&amp;D21&amp;" is less than Screened For STI"&amp;CHAR(10),""),IF(E183&gt;E179," * Total Rape Survivors for Age "&amp;D20&amp;" "&amp;E21&amp;" is less than Screened For STI"&amp;CHAR(10),""),IF(F183&gt;F179," * Total Rape Survivors for Age "&amp;F20&amp;" "&amp;F21&amp;" is less than Screened For STI"&amp;CHAR(10),""),IF(G183&gt;G179," * Total Rape Survivors for Age "&amp;F20&amp;" "&amp;G21&amp;" is less than Screened For STI"&amp;CHAR(10),""),IF(H183&gt;H179," * Total Rape Survivors for Age "&amp;H20&amp;" "&amp;H21&amp;" is less than Screened For STI"&amp;CHAR(10),""),IF(I183&gt;I179," * Total Rape Survivors for Age "&amp;H20&amp;" "&amp;I21&amp;" is less than Screened For STI"&amp;CHAR(10),""),IF(J183&gt;J179," * Total Rape Survivors for Age "&amp;J20&amp;" "&amp;J21&amp;" is less than Screened For STI"&amp;CHAR(10),""),IF(K183&gt;K179," * Total Rape Survivors for Age "&amp;J20&amp;" "&amp;K21&amp;" is less than Screened For STI"&amp;CHAR(10),""),IF(L183&gt;L179," * Total Rape Survivors for Age "&amp;L20&amp;" "&amp;L21&amp;" is less than Screened For STI"&amp;CHAR(10),""),IF(M183&gt;M179," * Total Rape Survivors for Age "&amp;L20&amp;" "&amp;M21&amp;" is less than Screened For STI"&amp;CHAR(10),""),IF(N183&gt;N179," * Total Rape Survivors for Age "&amp;N20&amp;" "&amp;N21&amp;" is less than Screened For STI"&amp;CHAR(10),""),IF(O183&gt;O179," * Total Rape Survivors for Age "&amp;N20&amp;" "&amp;O21&amp;" is less than Screened For STI"&amp;CHAR(10),""),IF(P183&gt;P179," * Total Rape Survivors for Age "&amp;P20&amp;" "&amp;P21&amp;" is less than Screened For STI"&amp;CHAR(10),""),IF(Q183&gt;Q179," * Total Rape Survivors for Age "&amp;P20&amp;" "&amp;Q21&amp;" is less than Screened For STI"&amp;CHAR(10),""),IF(R183&gt;R179," * Total Rape Survivors for Age "&amp;R20&amp;" "&amp;R21&amp;" is less than Screened For STI"&amp;CHAR(10),""),IF(S183&gt;S179," * Total Rape Survivors for Age "&amp;R20&amp;" "&amp;S21&amp;" is less than Screened For STI"&amp;CHAR(10),""),IF(T183&gt;T179," * Total Rape Survivors for Age "&amp;T20&amp;" "&amp;T21&amp;" is less than Screened For STI"&amp;CHAR(10),""),IF(U183&gt;U179," * Total Rape Survivors for Age "&amp;T20&amp;" "&amp;U21&amp;" is less than Screened For STI"&amp;CHAR(10),""),IF(V183&gt;V179," * Total Rape Survivors for Age "&amp;V20&amp;" "&amp;V21&amp;" is less than Screened For STI"&amp;CHAR(10),""),IF(W183&gt;W179," * Total Rape Survivors for Age "&amp;V20&amp;" "&amp;W21&amp;" is less than Screened For STI"&amp;CHAR(10),""),IF(X183&gt;X179," * Total Rape Survivors for Age "&amp;X20&amp;" "&amp;X21&amp;" is less than Screened For STI"&amp;CHAR(10),""),IF(Y183&gt;Y179," * Total Rape Survivors for Age "&amp;X20&amp;" "&amp;Y21&amp;" is less than Screened For STI"&amp;CHAR(10),""),IF(Z183&gt;Z179," * Total Rape Survivors for Age "&amp;Z20&amp;" "&amp;Z21&amp;" is less than Screened For STI"&amp;CHAR(10),""),IF(AA183&gt;AA179," * Total Rape Survivors for Age "&amp;Z20&amp;" "&amp;AA21&amp;" is less than Screened For STI"&amp;CHAR(10),""),IF(AB183&gt;AB179," * Total Total Rape Survivors is less than Total Screened For STI"&amp;CHAR(10),""))</f>
        <v/>
      </c>
      <c r="AD183" s="746"/>
      <c r="AE183" s="80"/>
      <c r="AF183" s="662"/>
      <c r="AG183" s="404">
        <v>177</v>
      </c>
      <c r="AH183" s="310"/>
    </row>
    <row r="184" spans="1:34" s="7" customFormat="1" x14ac:dyDescent="0.5">
      <c r="A184" s="598"/>
      <c r="B184" s="277" t="s">
        <v>690</v>
      </c>
      <c r="C184" s="131" t="s">
        <v>258</v>
      </c>
      <c r="D184" s="157"/>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36">
        <f t="shared" si="99"/>
        <v>0</v>
      </c>
      <c r="AC184" s="241" t="str">
        <f>CONCATENATE(IF(D184&gt;D183," * Screened For STI for Age "&amp;D20&amp;" "&amp;D21&amp;" is more than Tested For STI"&amp;CHAR(10),""),IF(E184&gt;E183," * Screened For STI for Age "&amp;D20&amp;" "&amp;E21&amp;" is more than Tested For STI"&amp;CHAR(10),""),IF(F184&gt;F183," * Screened For STI for Age "&amp;F20&amp;" "&amp;F21&amp;" is more than Tested For STI"&amp;CHAR(10),""),IF(G184&gt;G183," * Screened For STI for Age "&amp;F20&amp;" "&amp;G21&amp;" is more than Tested For STI"&amp;CHAR(10),""),IF(H184&gt;H183," * Screened For STI for Age "&amp;H20&amp;" "&amp;H21&amp;" is more than Tested For STI"&amp;CHAR(10),""),IF(I184&gt;I183," * Screened For STI for Age "&amp;H20&amp;" "&amp;I21&amp;" is more than Tested For STI"&amp;CHAR(10),""),IF(J184&gt;J183," * Screened For STI for Age "&amp;J20&amp;" "&amp;J21&amp;" is more than Tested For STI"&amp;CHAR(10),""),IF(K184&gt;K183," * Screened For STI for Age "&amp;J20&amp;" "&amp;K21&amp;" is more than Tested For STI"&amp;CHAR(10),""),IF(L184&gt;L183," * Screened For STI for Age "&amp;L20&amp;" "&amp;L21&amp;" is more than Tested For STI"&amp;CHAR(10),""),IF(M184&gt;M183," * Screened For STI for Age "&amp;L20&amp;" "&amp;M21&amp;" is more than Tested For STI"&amp;CHAR(10),""),IF(N184&gt;N183," * Screened For STI for Age "&amp;N20&amp;" "&amp;N21&amp;" is more than Tested For STI"&amp;CHAR(10),""),IF(O184&gt;O183," * Screened For STI for Age "&amp;N20&amp;" "&amp;O21&amp;" is more than Tested For STI"&amp;CHAR(10),""),IF(P184&gt;P183," * Screened For STI for Age "&amp;P20&amp;" "&amp;P21&amp;" is more than Tested For STI"&amp;CHAR(10),""),IF(Q184&gt;Q183," * Screened For STI for Age "&amp;P20&amp;" "&amp;Q21&amp;" is more than Tested For STI"&amp;CHAR(10),""),IF(R184&gt;R183," * Screened For STI for Age "&amp;R20&amp;" "&amp;R21&amp;" is more than Tested For STI"&amp;CHAR(10),""),IF(S184&gt;S183," * Screened For STI for Age "&amp;R20&amp;" "&amp;S21&amp;" is more than Tested For STI"&amp;CHAR(10),""),IF(T184&gt;T183," * Screened For STI for Age "&amp;T20&amp;" "&amp;T21&amp;" is more than Tested For STI"&amp;CHAR(10),""),IF(U184&gt;U183," * Screened For STI for Age "&amp;T20&amp;" "&amp;U21&amp;" is more than Tested For STI"&amp;CHAR(10),""),IF(V184&gt;V183," * Screened For STI for Age "&amp;V20&amp;" "&amp;V21&amp;" is more than Tested For STI"&amp;CHAR(10),""),IF(W184&gt;W183," * Screened For STI for Age "&amp;V20&amp;" "&amp;W21&amp;" is more than Tested For STI"&amp;CHAR(10),""),IF(X184&gt;X183," * Screened For STI for Age "&amp;X20&amp;" "&amp;X21&amp;" is more than Tested For STI"&amp;CHAR(10),""),IF(Y184&gt;Y183," * Screened For STI for Age "&amp;X20&amp;" "&amp;Y21&amp;" is more than Tested For STI"&amp;CHAR(10),""),IF(Z184&gt;Z183," * Screened For STI for Age "&amp;Z20&amp;" "&amp;Z21&amp;" is more than Tested For STI"&amp;CHAR(10),""),IF(AA184&gt;AA183," * Screened For STI for Age "&amp;AA20&amp;" "&amp;AA21&amp;" is more than Tested For STI"&amp;CHAR(10),""))</f>
        <v/>
      </c>
      <c r="AD184" s="746"/>
      <c r="AE184" s="80"/>
      <c r="AF184" s="662"/>
      <c r="AG184" s="404">
        <v>178</v>
      </c>
      <c r="AH184" s="310"/>
    </row>
    <row r="185" spans="1:34" s="7" customFormat="1" x14ac:dyDescent="0.5">
      <c r="A185" s="598"/>
      <c r="B185" s="277" t="s">
        <v>691</v>
      </c>
      <c r="C185" s="131" t="s">
        <v>259</v>
      </c>
      <c r="D185" s="158"/>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36">
        <f t="shared" si="99"/>
        <v>0</v>
      </c>
      <c r="AC185" s="241" t="str">
        <f>CONCATENATE(IF(D185&gt;D184," * F05-07 for Age "&amp;D20&amp;" "&amp;D21&amp;" is more than F05-06"&amp;CHAR(10),""),IF(E185&gt;E184," * F05-07 for Age "&amp;D20&amp;" "&amp;E21&amp;" is more than F05-06"&amp;CHAR(10),""),IF(F185&gt;F184," * F05-07 for Age "&amp;F20&amp;" "&amp;F21&amp;" is more than F05-06"&amp;CHAR(10),""),IF(G185&gt;G184," * F05-07 for Age "&amp;F20&amp;" "&amp;G21&amp;" is more than F05-06"&amp;CHAR(10),""),IF(H185&gt;H184," * F05-07 for Age "&amp;H20&amp;" "&amp;H21&amp;" is more than F05-06"&amp;CHAR(10),""),IF(I185&gt;I184," * F05-07 for Age "&amp;H20&amp;" "&amp;I21&amp;" is more than F05-06"&amp;CHAR(10),""),IF(J185&gt;J184," * F05-07 for Age "&amp;J20&amp;" "&amp;J21&amp;" is more than F05-06"&amp;CHAR(10),""),IF(K185&gt;K184," * F05-07 for Age "&amp;J20&amp;" "&amp;K21&amp;" is more than F05-06"&amp;CHAR(10),""),IF(L185&gt;L184," * F05-07 for Age "&amp;L20&amp;" "&amp;L21&amp;" is more than F05-06"&amp;CHAR(10),""),IF(M185&gt;M184," * F05-07 for Age "&amp;L20&amp;" "&amp;M21&amp;" is more than F05-06"&amp;CHAR(10),""),IF(N185&gt;N184," * F05-07 for Age "&amp;N20&amp;" "&amp;N21&amp;" is more than F05-06"&amp;CHAR(10),""),IF(O185&gt;O184," * F05-07 for Age "&amp;N20&amp;" "&amp;O21&amp;" is more than F05-06"&amp;CHAR(10),""),IF(P185&gt;P184," * F05-07 for Age "&amp;P20&amp;" "&amp;P21&amp;" is more than F05-06"&amp;CHAR(10),""),IF(Q185&gt;Q184," * F05-07 for Age "&amp;P20&amp;" "&amp;Q21&amp;" is more than F05-06"&amp;CHAR(10),""),IF(R185&gt;R184," * F05-07 for Age "&amp;R20&amp;" "&amp;R21&amp;" is more than F05-06"&amp;CHAR(10),""),IF(S185&gt;S184," * F05-07 for Age "&amp;R20&amp;" "&amp;S21&amp;" is more than F05-06"&amp;CHAR(10),""),IF(T185&gt;T184," * F05-07 for Age "&amp;T20&amp;" "&amp;T21&amp;" is more than F05-06"&amp;CHAR(10),""),IF(U185&gt;U184," * F05-07 for Age "&amp;T20&amp;" "&amp;U21&amp;" is more than F05-06"&amp;CHAR(10),""),IF(V185&gt;V184," * F05-07 for Age "&amp;V20&amp;" "&amp;V21&amp;" is more than F05-06"&amp;CHAR(10),""),IF(W185&gt;W184," * F05-07 for Age "&amp;V20&amp;" "&amp;W21&amp;" is more than F05-06"&amp;CHAR(10),""),IF(X185&gt;X184," * F05-07 for Age "&amp;X20&amp;" "&amp;X21&amp;" is more than F05-06"&amp;CHAR(10),""),IF(Y185&gt;Y184," * F05-07 for Age "&amp;X20&amp;" "&amp;Y21&amp;" is more than F05-06"&amp;CHAR(10),""),IF(Z185&gt;Z184," * F05-07 for Age "&amp;Z20&amp;" "&amp;Z21&amp;" is more than F05-06"&amp;CHAR(10),""),IF(AA185&gt;AA184," * F05-07 for Age "&amp;Z20&amp;" "&amp;AA21&amp;" is more than F05-06"&amp;CHAR(10),""),IF(AB185&gt;AB184," * Total F05-07 is more than Total F05-06"&amp;CHAR(10),""))</f>
        <v/>
      </c>
      <c r="AD185" s="746"/>
      <c r="AE185" s="80"/>
      <c r="AF185" s="662"/>
      <c r="AG185" s="404">
        <v>179</v>
      </c>
      <c r="AH185" s="310"/>
    </row>
    <row r="186" spans="1:34" s="7" customFormat="1" x14ac:dyDescent="0.5">
      <c r="A186" s="598"/>
      <c r="B186" s="277" t="s">
        <v>692</v>
      </c>
      <c r="C186" s="131" t="s">
        <v>260</v>
      </c>
      <c r="D186" s="228"/>
      <c r="E186" s="228"/>
      <c r="F186" s="228"/>
      <c r="G186" s="228"/>
      <c r="H186" s="228"/>
      <c r="I186" s="228"/>
      <c r="J186" s="228"/>
      <c r="K186" s="215"/>
      <c r="L186" s="228"/>
      <c r="M186" s="215"/>
      <c r="N186" s="228"/>
      <c r="O186" s="215"/>
      <c r="P186" s="228"/>
      <c r="Q186" s="215"/>
      <c r="R186" s="228"/>
      <c r="S186" s="215"/>
      <c r="T186" s="228"/>
      <c r="U186" s="215"/>
      <c r="V186" s="228"/>
      <c r="W186" s="215"/>
      <c r="X186" s="228"/>
      <c r="Y186" s="215"/>
      <c r="Z186" s="228"/>
      <c r="AA186" s="215"/>
      <c r="AB186" s="36">
        <f t="shared" si="99"/>
        <v>0</v>
      </c>
      <c r="AC186" s="241" t="str">
        <f>CONCATENATE(IF(D186&gt;D179," * Given Emergency Contraceptive Pill for Age "&amp;D20&amp;" "&amp;D21&amp;" is more than Sexual Violence Rape Survivors"&amp;CHAR(10),""),IF(E186&gt;E179," * Given Emergency Contraceptive Pill for Age "&amp;D20&amp;" "&amp;E21&amp;" is more than Sexual Violence Rape Survivors"&amp;CHAR(10),""),IF(F186&gt;F179," * Given Emergency Contraceptive Pill for Age "&amp;F20&amp;" "&amp;F21&amp;" is more than Sexual Violence Rape Survivors"&amp;CHAR(10),""),IF(G186&gt;G179," * Given Emergency Contraceptive Pill for Age "&amp;F20&amp;" "&amp;G21&amp;" is more than Sexual Violence Rape Survivors"&amp;CHAR(10),""),IF(H186&gt;H179," * Given Emergency Contraceptive Pill for Age "&amp;H20&amp;" "&amp;H21&amp;" is more than Sexual Violence Rape Survivors"&amp;CHAR(10),""),IF(I186&gt;I179," * Given Emergency Contraceptive Pill for Age "&amp;H20&amp;" "&amp;I21&amp;" is more than Sexual Violence Rape Survivors"&amp;CHAR(10),""),IF(J186&gt;J179," * Given Emergency Contraceptive Pill for Age "&amp;J20&amp;" "&amp;J21&amp;" is more than Sexual Violence Rape Survivors"&amp;CHAR(10),""),IF(K186&gt;K179," * Given Emergency Contraceptive Pill for Age "&amp;J20&amp;" "&amp;K21&amp;" is more than Sexual Violence Rape Survivors"&amp;CHAR(10),""),IF(L186&gt;L179," * Given Emergency Contraceptive Pill for Age "&amp;L20&amp;" "&amp;L21&amp;" is more than Sexual Violence Rape Survivors"&amp;CHAR(10),""),IF(M186&gt;M179," * Given Emergency Contraceptive Pill for Age "&amp;L20&amp;" "&amp;M21&amp;" is more than Sexual Violence Rape Survivors"&amp;CHAR(10),""),IF(N186&gt;N179," * Given Emergency Contraceptive Pill for Age "&amp;N20&amp;" "&amp;N21&amp;" is more than Sexual Violence Rape Survivors"&amp;CHAR(10),""),IF(O186&gt;O179," * Given Emergency Contraceptive Pill for Age "&amp;N20&amp;" "&amp;O21&amp;" is more than Sexual Violence Rape Survivors"&amp;CHAR(10),""),IF(P186&gt;P179," * Given Emergency Contraceptive Pill for Age "&amp;P20&amp;" "&amp;P21&amp;" is more than Sexual Violence Rape Survivors"&amp;CHAR(10),""),IF(Q186&gt;Q179," * Given Emergency Contraceptive Pill for Age "&amp;P20&amp;" "&amp;Q21&amp;" is more than Sexual Violence Rape Survivors"&amp;CHAR(10),""),IF(R186&gt;R179," * Given Emergency Contraceptive Pill for Age "&amp;R20&amp;" "&amp;R21&amp;" is more than Sexual Violence Rape Survivors"&amp;CHAR(10),""),IF(S186&gt;S179," * Given Emergency Contraceptive Pill for Age "&amp;R20&amp;" "&amp;S21&amp;" is more than Sexual Violence Rape Survivors"&amp;CHAR(10),""),IF(T186&gt;T179," * Given Emergency Contraceptive Pill for Age "&amp;T20&amp;" "&amp;T21&amp;" is more than Sexual Violence Rape Survivors"&amp;CHAR(10),""),IF(U186&gt;U179," * Given Emergency Contraceptive Pill for Age "&amp;T20&amp;" "&amp;U21&amp;" is more than Sexual Violence Rape Survivors"&amp;CHAR(10),""),IF(V186&gt;V179," * Given Emergency Contraceptive Pill for Age "&amp;V20&amp;" "&amp;V21&amp;" is more than Sexual Violence Rape Survivors"&amp;CHAR(10),""),IF(W186&gt;W179," * Given Emergency Contraceptive Pill for Age "&amp;V20&amp;" "&amp;W21&amp;" is more than Sexual Violence Rape Survivors"&amp;CHAR(10),""),IF(X186&gt;X179," * Given Emergency Contraceptive Pill for Age "&amp;X20&amp;" "&amp;X21&amp;" is more than Sexual Violence Rape Survivors"&amp;CHAR(10),""),IF(Y186&gt;Y179," * Given Emergency Contraceptive Pill for Age "&amp;X20&amp;" "&amp;Y21&amp;" is more than Sexual Violence Rape Survivors"&amp;CHAR(10),""),IF(Z186&gt;Z179," * Given Emergency Contraceptive Pill for Age "&amp;Z20&amp;" "&amp;Z21&amp;" is more than Sexual Violence Rape Survivors"&amp;CHAR(10),""),IF(AA186&gt;AA179," * Given Emergency Contraceptive Pill for Age "&amp;Z20&amp;" "&amp;AA21&amp;" is more than Sexual Violence Rape Survivors"&amp;CHAR(10),""))</f>
        <v/>
      </c>
      <c r="AD186" s="746"/>
      <c r="AE186" s="80"/>
      <c r="AF186" s="662"/>
      <c r="AG186" s="404">
        <v>180</v>
      </c>
      <c r="AH186" s="310"/>
    </row>
    <row r="187" spans="1:34" s="7" customFormat="1" x14ac:dyDescent="0.5">
      <c r="A187" s="598"/>
      <c r="B187" s="277" t="s">
        <v>693</v>
      </c>
      <c r="C187" s="131" t="s">
        <v>261</v>
      </c>
      <c r="D187" s="228"/>
      <c r="E187" s="228"/>
      <c r="F187" s="228"/>
      <c r="G187" s="228"/>
      <c r="H187" s="228"/>
      <c r="I187" s="228"/>
      <c r="J187" s="228"/>
      <c r="K187" s="279"/>
      <c r="L187" s="228"/>
      <c r="M187" s="279"/>
      <c r="N187" s="228"/>
      <c r="O187" s="279"/>
      <c r="P187" s="228"/>
      <c r="Q187" s="279"/>
      <c r="R187" s="228"/>
      <c r="S187" s="279"/>
      <c r="T187" s="228"/>
      <c r="U187" s="279"/>
      <c r="V187" s="228"/>
      <c r="W187" s="279"/>
      <c r="X187" s="228"/>
      <c r="Y187" s="279"/>
      <c r="Z187" s="228"/>
      <c r="AA187" s="279"/>
      <c r="AB187" s="36">
        <f t="shared" si="99"/>
        <v>0</v>
      </c>
      <c r="AC187" s="241" t="str">
        <f>CONCATENATE(IF(D187&gt;D186," * Given Emergency Contraceptive Pill for Age "&amp;D20&amp;" "&amp;D21&amp;" is more than Eligible for Emergency Contraceptive Pill"&amp;CHAR(10),""),IF(E187&gt;E186," * Given Emergency Contraceptive Pill for Age "&amp;D20&amp;" "&amp;E21&amp;" is more than Eligible for Emergency Contraceptive Pill"&amp;CHAR(10),""),IF(F187&gt;F186," * Given Emergency Contraceptive Pill for Age "&amp;F20&amp;" "&amp;F21&amp;" is more than Eligible for Emergency Contraceptive Pill"&amp;CHAR(10),""),IF(G187&gt;G186," * Given Emergency Contraceptive Pill for Age "&amp;F20&amp;" "&amp;G21&amp;" is more than Eligible for Emergency Contraceptive Pill"&amp;CHAR(10),""),IF(H187&gt;H186," * Given Emergency Contraceptive Pill for Age "&amp;H20&amp;" "&amp;H21&amp;" is more than Eligible for Emergency Contraceptive Pill"&amp;CHAR(10),""),IF(I187&gt;I186," * Given Emergency Contraceptive Pill for Age "&amp;H20&amp;" "&amp;I21&amp;" is more than Eligible for Emergency Contraceptive Pill"&amp;CHAR(10),""),IF(J187&gt;J186," * Given Emergency Contraceptive Pill for Age "&amp;J20&amp;" "&amp;J21&amp;" is more than Eligible for Emergency Contraceptive Pill"&amp;CHAR(10),""),IF(K187&gt;K186," * Given Emergency Contraceptive Pill for Age "&amp;J20&amp;" "&amp;K21&amp;" is more than Eligible for Emergency Contraceptive Pill"&amp;CHAR(10),""),IF(L187&gt;L186," * Given Emergency Contraceptive Pill for Age "&amp;L20&amp;" "&amp;L21&amp;" is more than Eligible for Emergency Contraceptive Pill"&amp;CHAR(10),""),IF(M187&gt;M186," * Given Emergency Contraceptive Pill for Age "&amp;L20&amp;" "&amp;M21&amp;" is more than Eligible for Emergency Contraceptive Pill"&amp;CHAR(10),""),IF(N187&gt;N186," * Given Emergency Contraceptive Pill for Age "&amp;N20&amp;" "&amp;N21&amp;" is more than Eligible for Emergency Contraceptive Pill"&amp;CHAR(10),""),IF(O187&gt;O186," * Given Emergency Contraceptive Pill for Age "&amp;N20&amp;" "&amp;O21&amp;" is more than Eligible for Emergency Contraceptive Pill"&amp;CHAR(10),""),IF(P187&gt;P186," * Given Emergency Contraceptive Pill for Age "&amp;P20&amp;" "&amp;P21&amp;" is more than Eligible for Emergency Contraceptive Pill"&amp;CHAR(10),""),IF(Q187&gt;Q186," * Given Emergency Contraceptive Pill for Age "&amp;P20&amp;" "&amp;Q21&amp;" is more than Eligible for Emergency Contraceptive Pill"&amp;CHAR(10),""),IF(R187&gt;R186," * Given Emergency Contraceptive Pill for Age "&amp;R20&amp;" "&amp;R21&amp;" is more than Eligible for Emergency Contraceptive Pill"&amp;CHAR(10),""),IF(S187&gt;S186," * Given Emergency Contraceptive Pill for Age "&amp;R20&amp;" "&amp;S21&amp;" is more than Eligible for Emergency Contraceptive Pill"&amp;CHAR(10),""),IF(T187&gt;T186," * Given Emergency Contraceptive Pill for Age "&amp;T20&amp;" "&amp;T21&amp;" is more than Eligible for Emergency Contraceptive Pill"&amp;CHAR(10),""),IF(U187&gt;U186," * Given Emergency Contraceptive Pill for Age "&amp;T20&amp;" "&amp;U21&amp;" is more than Eligible for Emergency Contraceptive Pill"&amp;CHAR(10),""),IF(V187&gt;V186," * Given Emergency Contraceptive Pill for Age "&amp;V20&amp;" "&amp;V21&amp;" is more than Eligible for Emergency Contraceptive Pill"&amp;CHAR(10),""),IF(W187&gt;W186," * Given Emergency Contraceptive Pill for Age "&amp;V20&amp;" "&amp;W21&amp;" is more than Eligible for Emergency Contraceptive Pill"&amp;CHAR(10),""),IF(X187&gt;X186," * Given Emergency Contraceptive Pill for Age "&amp;X20&amp;" "&amp;X21&amp;" is more than Eligible for Emergency Contraceptive Pill"&amp;CHAR(10),""),IF(Y187&gt;Y186," * Given Emergency Contraceptive Pill for Age "&amp;X20&amp;" "&amp;Y21&amp;" is more than Eligible for Emergency Contraceptive Pill"&amp;CHAR(10),""),IF(Z187&gt;Z186," * Given Emergency Contraceptive Pill for Age "&amp;Z20&amp;" "&amp;Z21&amp;" is more than Eligible for Emergency Contraceptive Pill"&amp;CHAR(10),""),IF(AA187&gt;AA186," * Given Emergency Contraceptive Pill for Age "&amp;Z20&amp;" "&amp;AA21&amp;" is more than Eligible for Emergency Contraceptive Pill"&amp;CHAR(10),""))</f>
        <v/>
      </c>
      <c r="AD187" s="746"/>
      <c r="AE187" s="80"/>
      <c r="AF187" s="662"/>
      <c r="AG187" s="404">
        <v>181</v>
      </c>
      <c r="AH187" s="310"/>
    </row>
    <row r="188" spans="1:34" s="7" customFormat="1" x14ac:dyDescent="0.5">
      <c r="A188" s="598"/>
      <c r="B188" s="277" t="s">
        <v>694</v>
      </c>
      <c r="C188" s="131" t="s">
        <v>262</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9"/>
        <v>0</v>
      </c>
      <c r="AC188" s="664" t="str">
        <f>CONCATENATE(IF(D189&gt;D188," * F05-11 for Age "&amp;D20&amp;" "&amp;D21&amp;" is more than F05-10"&amp;CHAR(10),""),IF(E189&gt;E188," * F05-11 for Age "&amp;D20&amp;" "&amp;E21&amp;" is more than F05-10"&amp;CHAR(10),""),IF(F189&gt;F188," * F05-11 for Age "&amp;F20&amp;" "&amp;F21&amp;" is more than F05-10"&amp;CHAR(10),""),IF(G189&gt;G188," * F05-11 for Age "&amp;F20&amp;" "&amp;G21&amp;" is more than F05-10"&amp;CHAR(10),""),IF(H189&gt;H188," * F05-11 for Age "&amp;H20&amp;" "&amp;H21&amp;" is more than F05-10"&amp;CHAR(10),""),IF(I189&gt;I188," * F05-11 for Age "&amp;H20&amp;" "&amp;I21&amp;" is more than F05-10"&amp;CHAR(10),""),IF(J189&gt;J188," * F05-11 for Age "&amp;J20&amp;" "&amp;J21&amp;" is more than F05-10"&amp;CHAR(10),""),IF(K189&gt;K188," * F05-11 for Age "&amp;J20&amp;" "&amp;K21&amp;" is more than F05-10"&amp;CHAR(10),""),IF(L189&gt;L188," * F05-11 for Age "&amp;L20&amp;" "&amp;L21&amp;" is more than F05-10"&amp;CHAR(10),""),IF(M189&gt;M188," * F05-11 for Age "&amp;L20&amp;" "&amp;M21&amp;" is more than F05-10"&amp;CHAR(10),""),IF(N189&gt;N188," * F05-11 for Age "&amp;N20&amp;" "&amp;N21&amp;" is more than F05-10"&amp;CHAR(10),""),IF(O189&gt;O188," * F05-11 for Age "&amp;N20&amp;" "&amp;O21&amp;" is more than F05-10"&amp;CHAR(10),""),IF(P189&gt;P188," * F05-11 for Age "&amp;P20&amp;" "&amp;P21&amp;" is more than F05-10"&amp;CHAR(10),""),IF(Q189&gt;Q188," * F05-11 for Age "&amp;P20&amp;" "&amp;Q21&amp;" is more than F05-10"&amp;CHAR(10),""),IF(R189&gt;R188," * F05-11 for Age "&amp;R20&amp;" "&amp;R21&amp;" is more than F05-10"&amp;CHAR(10),""),IF(S189&gt;S188," * F05-11 for Age "&amp;R20&amp;" "&amp;S21&amp;" is more than F05-10"&amp;CHAR(10),""),IF(T189&gt;T188," * F05-11 for Age "&amp;T20&amp;" "&amp;T21&amp;" is more than F05-10"&amp;CHAR(10),""),IF(U189&gt;U188," * F05-11 for Age "&amp;T20&amp;" "&amp;U21&amp;" is more than F05-10"&amp;CHAR(10),""),IF(V189&gt;V188," * F05-11 for Age "&amp;V20&amp;" "&amp;V21&amp;" is more than F05-10"&amp;CHAR(10),""),IF(W189&gt;W188," * F05-11 for Age "&amp;V20&amp;" "&amp;W21&amp;" is more than F05-10"&amp;CHAR(10),""),IF(X189&gt;X188," * F05-11 for Age "&amp;X20&amp;" "&amp;X21&amp;" is more than F05-10"&amp;CHAR(10),""),IF(Y189&gt;Y188," * F05-11 for Age "&amp;X20&amp;" "&amp;Y21&amp;" is more than F05-10"&amp;CHAR(10),""),IF(Z189&gt;Z188," * F05-11 for Age "&amp;Z20&amp;" "&amp;Z21&amp;" is more than F05-10"&amp;CHAR(10),""),IF(AA189&gt;AA188," * F05-11 for Age "&amp;Z20&amp;" "&amp;AA21&amp;" is more than F05-10"&amp;CHAR(10),""),IF(AB189&gt;AB188," * Total F05-11 is more than Total F05-10"&amp;CHAR(10),""))</f>
        <v/>
      </c>
      <c r="AD188" s="746"/>
      <c r="AE188" s="80"/>
      <c r="AF188" s="662"/>
      <c r="AG188" s="404">
        <v>182</v>
      </c>
      <c r="AH188" s="310"/>
    </row>
    <row r="189" spans="1:34" s="7" customFormat="1" ht="35.25" thickBot="1" x14ac:dyDescent="0.55000000000000004">
      <c r="A189" s="599"/>
      <c r="B189" s="278" t="s">
        <v>695</v>
      </c>
      <c r="C189" s="133" t="s">
        <v>263</v>
      </c>
      <c r="D189" s="150"/>
      <c r="E189" s="276"/>
      <c r="F189" s="276"/>
      <c r="G189" s="276"/>
      <c r="H189" s="276"/>
      <c r="I189" s="276"/>
      <c r="J189" s="276"/>
      <c r="K189" s="276"/>
      <c r="L189" s="276"/>
      <c r="M189" s="276"/>
      <c r="N189" s="276"/>
      <c r="O189" s="276"/>
      <c r="P189" s="276"/>
      <c r="Q189" s="276"/>
      <c r="R189" s="276"/>
      <c r="S189" s="276"/>
      <c r="T189" s="276"/>
      <c r="U189" s="276"/>
      <c r="V189" s="276"/>
      <c r="W189" s="276"/>
      <c r="X189" s="276"/>
      <c r="Y189" s="276"/>
      <c r="Z189" s="276"/>
      <c r="AA189" s="276"/>
      <c r="AB189" s="39">
        <f t="shared" si="99"/>
        <v>0</v>
      </c>
      <c r="AC189" s="664"/>
      <c r="AD189" s="746"/>
      <c r="AE189" s="80"/>
      <c r="AF189" s="662"/>
      <c r="AG189" s="404">
        <v>183</v>
      </c>
      <c r="AH189" s="310"/>
    </row>
    <row r="190" spans="1:34" s="7" customFormat="1" x14ac:dyDescent="0.5">
      <c r="A190" s="597" t="s">
        <v>111</v>
      </c>
      <c r="B190" s="269" t="s">
        <v>696</v>
      </c>
      <c r="C190" s="129" t="s">
        <v>264</v>
      </c>
      <c r="D190" s="147"/>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35">
        <f t="shared" si="99"/>
        <v>0</v>
      </c>
      <c r="AC190" s="664" t="str">
        <f>CONCATENATE(IF(D191&gt;D190," * F05-13 for Age "&amp;D20&amp;" "&amp;D21&amp;" is more than F05-12"&amp;CHAR(10),""),IF(E191&gt;E190," * F05-13 for Age "&amp;D20&amp;" "&amp;E21&amp;" is more than F05-12"&amp;CHAR(10),""),IF(F191&gt;F190," * F05-13 for Age "&amp;F20&amp;" "&amp;F21&amp;" is more than F05-12"&amp;CHAR(10),""),IF(G191&gt;G190," * F05-13 for Age "&amp;F20&amp;" "&amp;G21&amp;" is more than F05-12"&amp;CHAR(10),""),IF(H191&gt;H190," * F05-13 for Age "&amp;H20&amp;" "&amp;H21&amp;" is more than F05-12"&amp;CHAR(10),""),IF(I191&gt;I190," * F05-13 for Age "&amp;H20&amp;" "&amp;I21&amp;" is more than F05-12"&amp;CHAR(10),""),IF(J191&gt;J190," * F05-13 for Age "&amp;J20&amp;" "&amp;J21&amp;" is more than F05-12"&amp;CHAR(10),""),IF(K191&gt;K190," * F05-13 for Age "&amp;J20&amp;" "&amp;K21&amp;" is more than F05-12"&amp;CHAR(10),""),IF(L191&gt;L190," * F05-13 for Age "&amp;L20&amp;" "&amp;L21&amp;" is more than F05-12"&amp;CHAR(10),""),IF(M191&gt;M190," * F05-13 for Age "&amp;L20&amp;" "&amp;M21&amp;" is more than F05-12"&amp;CHAR(10),""),IF(N191&gt;N190," * F05-13 for Age "&amp;N20&amp;" "&amp;N21&amp;" is more than F05-12"&amp;CHAR(10),""),IF(O191&gt;O190," * F05-13 for Age "&amp;N20&amp;" "&amp;O21&amp;" is more than F05-12"&amp;CHAR(10),""),IF(P191&gt;P190," * F05-13 for Age "&amp;P20&amp;" "&amp;P21&amp;" is more than F05-12"&amp;CHAR(10),""),IF(Q191&gt;Q190," * F05-13 for Age "&amp;P20&amp;" "&amp;Q21&amp;" is more than F05-12"&amp;CHAR(10),""),IF(R191&gt;R190," * F05-13 for Age "&amp;R20&amp;" "&amp;R21&amp;" is more than F05-12"&amp;CHAR(10),""),IF(S191&gt;S190," * F05-13 for Age "&amp;R20&amp;" "&amp;S21&amp;" is more than F05-12"&amp;CHAR(10),""),IF(T191&gt;T190," * F05-13 for Age "&amp;T20&amp;" "&amp;T21&amp;" is more than F05-12"&amp;CHAR(10),""),IF(U191&gt;U190," * F05-13 for Age "&amp;T20&amp;" "&amp;U21&amp;" is more than F05-12"&amp;CHAR(10),""),IF(V191&gt;V190," * F05-13 for Age "&amp;V20&amp;" "&amp;V21&amp;" is more than F05-12"&amp;CHAR(10),""),IF(W191&gt;W190," * F05-13 for Age "&amp;V20&amp;" "&amp;W21&amp;" is more than F05-12"&amp;CHAR(10),""),IF(X191&gt;X190," * F05-13 for Age "&amp;X20&amp;" "&amp;X21&amp;" is more than F05-12"&amp;CHAR(10),""),IF(Y191&gt;Y190," * F05-13 for Age "&amp;X20&amp;" "&amp;Y21&amp;" is more than F05-12"&amp;CHAR(10),""),IF(Z191&gt;Z190," * F05-13 for Age "&amp;Z20&amp;" "&amp;Z21&amp;" is more than F05-12"&amp;CHAR(10),""),IF(AA191&gt;AA190," * F05-13 for Age "&amp;Z20&amp;" "&amp;AA21&amp;" is more than F05-12"&amp;CHAR(10),""),IF(AB191&gt;AB190," * Total F05-13 is more than Total F05-12"&amp;CHAR(10),""))</f>
        <v/>
      </c>
      <c r="AD190" s="746"/>
      <c r="AE190" s="80"/>
      <c r="AF190" s="662"/>
      <c r="AG190" s="404">
        <v>184</v>
      </c>
      <c r="AH190" s="310"/>
    </row>
    <row r="191" spans="1:34" s="7" customFormat="1" x14ac:dyDescent="0.5">
      <c r="A191" s="598"/>
      <c r="B191" s="277" t="s">
        <v>697</v>
      </c>
      <c r="C191" s="131" t="s">
        <v>265</v>
      </c>
      <c r="D191" s="157"/>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36">
        <f t="shared" si="99"/>
        <v>0</v>
      </c>
      <c r="AC191" s="664"/>
      <c r="AD191" s="746"/>
      <c r="AE191" s="80"/>
      <c r="AF191" s="662"/>
      <c r="AG191" s="404">
        <v>185</v>
      </c>
      <c r="AH191" s="310"/>
    </row>
    <row r="192" spans="1:34" s="7" customFormat="1" x14ac:dyDescent="0.5">
      <c r="A192" s="598"/>
      <c r="B192" s="277" t="s">
        <v>698</v>
      </c>
      <c r="C192" s="131" t="s">
        <v>322</v>
      </c>
      <c r="D192" s="158"/>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36">
        <f t="shared" si="99"/>
        <v>0</v>
      </c>
      <c r="AC192" s="82" t="str">
        <f>CONCATENATE(IF(D192&gt;D190," * F05-14 for Age "&amp;D20&amp;" "&amp;D21&amp;" is more than F05-12"&amp;CHAR(10),""),IF(E192&gt;E190," * F05-14 for Age "&amp;D20&amp;" "&amp;E21&amp;" is more than F05-12"&amp;CHAR(10),""),IF(F192&gt;F190," * F05-14 for Age "&amp;F20&amp;" "&amp;F21&amp;" is more than F05-12"&amp;CHAR(10),""),IF(G192&gt;G190," * F05-14 for Age "&amp;F20&amp;" "&amp;G21&amp;" is more than F05-12"&amp;CHAR(10),""),IF(H192&gt;H190," * F05-14 for Age "&amp;H20&amp;" "&amp;H21&amp;" is more than F05-12"&amp;CHAR(10),""),IF(I192&gt;I190," * F05-14 for Age "&amp;H20&amp;" "&amp;I21&amp;" is more than F05-12"&amp;CHAR(10),""),IF(J192&gt;J190," * F05-14 for Age "&amp;J20&amp;" "&amp;J21&amp;" is more than F05-12"&amp;CHAR(10),""),IF(K192&gt;K190," * F05-14 for Age "&amp;J20&amp;" "&amp;K21&amp;" is more than F05-12"&amp;CHAR(10),""),IF(L192&gt;L190," * F05-14 for Age "&amp;L20&amp;" "&amp;L21&amp;" is more than F05-12"&amp;CHAR(10),""),IF(M192&gt;M190," * F05-14 for Age "&amp;L20&amp;" "&amp;M21&amp;" is more than F05-12"&amp;CHAR(10),""),IF(N192&gt;N190," * F05-14 for Age "&amp;N20&amp;" "&amp;N21&amp;" is more than F05-12"&amp;CHAR(10),""),IF(O192&gt;O190," * F05-14 for Age "&amp;N20&amp;" "&amp;O21&amp;" is more than F05-12"&amp;CHAR(10),""),IF(P192&gt;P190," * F05-14 for Age "&amp;P20&amp;" "&amp;P21&amp;" is more than F05-12"&amp;CHAR(10),""),IF(Q192&gt;Q190," * F05-14 for Age "&amp;P20&amp;" "&amp;Q21&amp;" is more than F05-12"&amp;CHAR(10),""),IF(R192&gt;R190," * F05-14 for Age "&amp;R20&amp;" "&amp;R21&amp;" is more than F05-12"&amp;CHAR(10),""),IF(S192&gt;S190," * F05-14 for Age "&amp;R20&amp;" "&amp;S21&amp;" is more than F05-12"&amp;CHAR(10),""),IF(T192&gt;T190," * F05-14 for Age "&amp;T20&amp;" "&amp;T21&amp;" is more than F05-12"&amp;CHAR(10),""),IF(U192&gt;U190," * F05-14 for Age "&amp;T20&amp;" "&amp;U21&amp;" is more than F05-12"&amp;CHAR(10),""),IF(V192&gt;V190," * F05-14 for Age "&amp;V20&amp;" "&amp;V21&amp;" is more than F05-12"&amp;CHAR(10),""),IF(W192&gt;W190," * F05-14 for Age "&amp;V20&amp;" "&amp;W21&amp;" is more than F05-12"&amp;CHAR(10),""),IF(X192&gt;X190," * F05-14 for Age "&amp;X20&amp;" "&amp;X21&amp;" is more than F05-12"&amp;CHAR(10),""),IF(Y192&gt;Y190," * F05-14 for Age "&amp;X20&amp;" "&amp;Y21&amp;" is more than F05-12"&amp;CHAR(10),""),IF(Z192&gt;Z190," * F05-14 for Age "&amp;Z20&amp;" "&amp;Z21&amp;" is more than F05-12"&amp;CHAR(10),""),IF(AA192&gt;AA190," * F05-14 for Age "&amp;Z20&amp;" "&amp;AA21&amp;" is more than F05-12"&amp;CHAR(10),""),IF(AB192&gt;AB190," * Total F05-14 is more than Total F05-12"&amp;CHAR(10),""))</f>
        <v/>
      </c>
      <c r="AD192" s="746"/>
      <c r="AE192" s="80"/>
      <c r="AF192" s="662"/>
      <c r="AG192" s="404">
        <v>186</v>
      </c>
      <c r="AH192" s="310"/>
    </row>
    <row r="193" spans="1:34" s="7" customFormat="1" ht="31.5" thickBot="1" x14ac:dyDescent="0.55000000000000004">
      <c r="A193" s="734"/>
      <c r="B193" s="270" t="s">
        <v>699</v>
      </c>
      <c r="C193" s="133" t="s">
        <v>323</v>
      </c>
      <c r="D193" s="259"/>
      <c r="E193" s="228"/>
      <c r="F193" s="228"/>
      <c r="G193" s="228"/>
      <c r="H193" s="228"/>
      <c r="I193" s="228"/>
      <c r="J193" s="228"/>
      <c r="K193" s="214"/>
      <c r="L193" s="228"/>
      <c r="M193" s="214"/>
      <c r="N193" s="228"/>
      <c r="O193" s="214"/>
      <c r="P193" s="228"/>
      <c r="Q193" s="214"/>
      <c r="R193" s="228"/>
      <c r="S193" s="214"/>
      <c r="T193" s="228"/>
      <c r="U193" s="214"/>
      <c r="V193" s="228"/>
      <c r="W193" s="214"/>
      <c r="X193" s="228"/>
      <c r="Y193" s="214"/>
      <c r="Z193" s="228"/>
      <c r="AA193" s="214"/>
      <c r="AB193" s="88">
        <f t="shared" si="99"/>
        <v>0</v>
      </c>
      <c r="AC193" s="178" t="str">
        <f>CONCATENATE(IF(D193&gt;D190," * F05-15 for Age "&amp;D20&amp;" "&amp;D21&amp;" is more than F05-12"&amp;CHAR(10),""),IF(E193&gt;E190," * F05-15 for Age "&amp;D20&amp;" "&amp;E21&amp;" is more than F05-12"&amp;CHAR(10),""),IF(F193&gt;F190," * F05-15 for Age "&amp;F20&amp;" "&amp;F21&amp;" is more than F05-12"&amp;CHAR(10),""),IF(G193&gt;G190," * F05-15 for Age "&amp;F20&amp;" "&amp;G21&amp;" is more than F05-12"&amp;CHAR(10),""),IF(H193&gt;H190," * F05-15 for Age "&amp;H20&amp;" "&amp;H21&amp;" is more than F05-12"&amp;CHAR(10),""),IF(I193&gt;I190," * F05-15 for Age "&amp;H20&amp;" "&amp;I21&amp;" is more than F05-12"&amp;CHAR(10),""),IF(J193&gt;J190," * F05-15 for Age "&amp;J20&amp;" "&amp;J21&amp;" is more than F05-12"&amp;CHAR(10),""),IF(K193&gt;K190," * F05-15 for Age "&amp;J20&amp;" "&amp;K21&amp;" is more than F05-12"&amp;CHAR(10),""),IF(L193&gt;L190," * F05-15 for Age "&amp;L20&amp;" "&amp;L21&amp;" is more than F05-12"&amp;CHAR(10),""),IF(M193&gt;M190," * F05-15 for Age "&amp;L20&amp;" "&amp;M21&amp;" is more than F05-12"&amp;CHAR(10),""),IF(N193&gt;N190," * F05-15 for Age "&amp;N20&amp;" "&amp;N21&amp;" is more than F05-12"&amp;CHAR(10),""),IF(O193&gt;O190," * F05-15 for Age "&amp;N20&amp;" "&amp;O21&amp;" is more than F05-12"&amp;CHAR(10),""),IF(P193&gt;P190," * F05-15 for Age "&amp;P20&amp;" "&amp;P21&amp;" is more than F05-12"&amp;CHAR(10),""),IF(Q193&gt;Q190," * F05-15 for Age "&amp;P20&amp;" "&amp;Q21&amp;" is more than F05-12"&amp;CHAR(10),""),IF(R193&gt;R190," * F05-15 for Age "&amp;R20&amp;" "&amp;R21&amp;" is more than F05-12"&amp;CHAR(10),""),IF(S193&gt;S190," * F05-15 for Age "&amp;R20&amp;" "&amp;S21&amp;" is more than F05-12"&amp;CHAR(10),""),IF(T193&gt;T190," * F05-15 for Age "&amp;T20&amp;" "&amp;T21&amp;" is more than F05-12"&amp;CHAR(10),""),IF(U193&gt;U190," * F05-15 for Age "&amp;T20&amp;" "&amp;U21&amp;" is more than F05-12"&amp;CHAR(10),""),IF(V193&gt;V190," * F05-15 for Age "&amp;V20&amp;" "&amp;V21&amp;" is more than F05-12"&amp;CHAR(10),""),IF(W193&gt;W190," * F05-15 for Age "&amp;V20&amp;" "&amp;W21&amp;" is more than F05-12"&amp;CHAR(10),""),IF(X193&gt;X190," * F05-15 for Age "&amp;X20&amp;" "&amp;X21&amp;" is more than F05-12"&amp;CHAR(10),""),IF(Y193&gt;Y190," * F05-15 for Age "&amp;X20&amp;" "&amp;Y21&amp;" is more than F05-12"&amp;CHAR(10),""),IF(Z193&gt;Z190," * F05-15 for Age "&amp;Z20&amp;" "&amp;Z21&amp;" is more than F05-12"&amp;CHAR(10),""),IF(AA193&gt;AA190," * F05-15 for Age "&amp;Z20&amp;" "&amp;AA21&amp;" is more than F05-12"&amp;CHAR(10),""),IF(AB193&gt;AB190," * Total F05-12 is more than Total F05-12"&amp;CHAR(10),""))</f>
        <v/>
      </c>
      <c r="AD193" s="747"/>
      <c r="AE193" s="94"/>
      <c r="AF193" s="663"/>
      <c r="AG193" s="404">
        <v>187</v>
      </c>
      <c r="AH193" s="310"/>
    </row>
    <row r="194" spans="1:34" ht="36" thickBot="1" x14ac:dyDescent="0.55000000000000004">
      <c r="A194" s="602" t="s">
        <v>130</v>
      </c>
      <c r="B194" s="603"/>
      <c r="C194" s="603"/>
      <c r="D194" s="603"/>
      <c r="E194" s="603"/>
      <c r="F194" s="603"/>
      <c r="G194" s="603"/>
      <c r="H194" s="603"/>
      <c r="I194" s="603"/>
      <c r="J194" s="603"/>
      <c r="K194" s="603"/>
      <c r="L194" s="603"/>
      <c r="M194" s="603"/>
      <c r="N194" s="603"/>
      <c r="O194" s="603"/>
      <c r="P194" s="603"/>
      <c r="Q194" s="603"/>
      <c r="R194" s="603"/>
      <c r="S194" s="603"/>
      <c r="T194" s="603"/>
      <c r="U194" s="603"/>
      <c r="V194" s="603"/>
      <c r="W194" s="603"/>
      <c r="X194" s="603"/>
      <c r="Y194" s="603"/>
      <c r="Z194" s="603"/>
      <c r="AA194" s="603"/>
      <c r="AB194" s="603"/>
      <c r="AC194" s="603"/>
      <c r="AD194" s="603"/>
      <c r="AE194" s="603"/>
      <c r="AF194" s="604"/>
      <c r="AG194" s="404">
        <v>188</v>
      </c>
    </row>
    <row r="195" spans="1:34" ht="26.25" customHeight="1" x14ac:dyDescent="0.5">
      <c r="A195" s="612" t="s">
        <v>37</v>
      </c>
      <c r="B195" s="614" t="s">
        <v>347</v>
      </c>
      <c r="C195" s="677" t="s">
        <v>328</v>
      </c>
      <c r="D195" s="637" t="s">
        <v>0</v>
      </c>
      <c r="E195" s="623"/>
      <c r="F195" s="623" t="s">
        <v>1</v>
      </c>
      <c r="G195" s="623"/>
      <c r="H195" s="623" t="s">
        <v>2</v>
      </c>
      <c r="I195" s="623"/>
      <c r="J195" s="623" t="s">
        <v>3</v>
      </c>
      <c r="K195" s="623"/>
      <c r="L195" s="623" t="s">
        <v>4</v>
      </c>
      <c r="M195" s="623"/>
      <c r="N195" s="623" t="s">
        <v>5</v>
      </c>
      <c r="O195" s="623"/>
      <c r="P195" s="623" t="s">
        <v>6</v>
      </c>
      <c r="Q195" s="623"/>
      <c r="R195" s="623" t="s">
        <v>7</v>
      </c>
      <c r="S195" s="623"/>
      <c r="T195" s="623" t="s">
        <v>8</v>
      </c>
      <c r="U195" s="623"/>
      <c r="V195" s="623" t="s">
        <v>23</v>
      </c>
      <c r="W195" s="623"/>
      <c r="X195" s="623" t="s">
        <v>24</v>
      </c>
      <c r="Y195" s="623"/>
      <c r="Z195" s="623" t="s">
        <v>9</v>
      </c>
      <c r="AA195" s="623"/>
      <c r="AB195" s="695" t="s">
        <v>19</v>
      </c>
      <c r="AC195" s="657" t="s">
        <v>381</v>
      </c>
      <c r="AD195" s="607" t="s">
        <v>387</v>
      </c>
      <c r="AE195" s="606" t="s">
        <v>388</v>
      </c>
      <c r="AF195" s="641" t="s">
        <v>388</v>
      </c>
      <c r="AG195" s="404">
        <v>189</v>
      </c>
    </row>
    <row r="196" spans="1:34" ht="27" customHeight="1" thickBot="1" x14ac:dyDescent="0.55000000000000004">
      <c r="A196" s="613"/>
      <c r="B196" s="615"/>
      <c r="C196" s="678"/>
      <c r="D196" s="113" t="s">
        <v>10</v>
      </c>
      <c r="E196" s="78" t="s">
        <v>11</v>
      </c>
      <c r="F196" s="78" t="s">
        <v>10</v>
      </c>
      <c r="G196" s="78" t="s">
        <v>11</v>
      </c>
      <c r="H196" s="78" t="s">
        <v>10</v>
      </c>
      <c r="I196" s="78" t="s">
        <v>11</v>
      </c>
      <c r="J196" s="78" t="s">
        <v>10</v>
      </c>
      <c r="K196" s="78" t="s">
        <v>11</v>
      </c>
      <c r="L196" s="78" t="s">
        <v>10</v>
      </c>
      <c r="M196" s="78" t="s">
        <v>11</v>
      </c>
      <c r="N196" s="78" t="s">
        <v>10</v>
      </c>
      <c r="O196" s="78" t="s">
        <v>11</v>
      </c>
      <c r="P196" s="78" t="s">
        <v>10</v>
      </c>
      <c r="Q196" s="78" t="s">
        <v>11</v>
      </c>
      <c r="R196" s="78" t="s">
        <v>10</v>
      </c>
      <c r="S196" s="78" t="s">
        <v>11</v>
      </c>
      <c r="T196" s="78" t="s">
        <v>10</v>
      </c>
      <c r="U196" s="78" t="s">
        <v>11</v>
      </c>
      <c r="V196" s="78" t="s">
        <v>10</v>
      </c>
      <c r="W196" s="78" t="s">
        <v>11</v>
      </c>
      <c r="X196" s="78" t="s">
        <v>10</v>
      </c>
      <c r="Y196" s="78" t="s">
        <v>11</v>
      </c>
      <c r="Z196" s="78" t="s">
        <v>10</v>
      </c>
      <c r="AA196" s="78" t="s">
        <v>11</v>
      </c>
      <c r="AB196" s="696"/>
      <c r="AC196" s="658"/>
      <c r="AD196" s="608"/>
      <c r="AE196" s="606"/>
      <c r="AF196" s="601"/>
      <c r="AG196" s="404">
        <v>190</v>
      </c>
    </row>
    <row r="197" spans="1:34" ht="31.15" customHeight="1" x14ac:dyDescent="0.5">
      <c r="A197" s="659" t="s">
        <v>115</v>
      </c>
      <c r="B197" s="280" t="s">
        <v>700</v>
      </c>
      <c r="C197" s="271" t="s">
        <v>369</v>
      </c>
      <c r="D197" s="123"/>
      <c r="E197" s="31"/>
      <c r="F197" s="31"/>
      <c r="G197" s="31"/>
      <c r="H197" s="31"/>
      <c r="I197" s="31"/>
      <c r="J197" s="31"/>
      <c r="K197" s="32"/>
      <c r="L197" s="31"/>
      <c r="M197" s="32"/>
      <c r="N197" s="31"/>
      <c r="O197" s="32"/>
      <c r="P197" s="31"/>
      <c r="Q197" s="32"/>
      <c r="R197" s="31"/>
      <c r="S197" s="32"/>
      <c r="T197" s="31"/>
      <c r="U197" s="32"/>
      <c r="V197" s="31"/>
      <c r="W197" s="32"/>
      <c r="X197" s="31"/>
      <c r="Y197" s="32"/>
      <c r="Z197" s="31"/>
      <c r="AA197" s="31"/>
      <c r="AB197" s="102">
        <f>SUM(D197:AA197)</f>
        <v>0</v>
      </c>
      <c r="AC197" s="99" t="str">
        <f>CONCATENATE(IF(D197&lt;SUM(D198,D199)," * Sum of (KP at ANC1 and initial test at ANC1) for Age "&amp;D20&amp;" "&amp;D21&amp;" is more than New 1st ANC Clients"&amp;CHAR(10),""),IF(E197&lt;SUM(E198,E199,E139)," * Sum of (KP at ANC1 and initial test at ANC1) for Age "&amp;D20&amp;" "&amp;E21&amp;" is more than New 1st ANC Clients"&amp;CHAR(10),""),IF(F197&lt;SUM(F198,F199)," * Sum of (KP at ANC1 and initial test at ANC1) for Age "&amp;F20&amp;" "&amp;F21&amp;" is more than New 1st ANC Clients"&amp;CHAR(10),""),IF(G197&lt;SUM(G198,G199,G139)," * Sum of (KP at ANC1 and initial test at ANC1) for Age "&amp;F20&amp;" "&amp;G21&amp;" is more than New 1st ANC Clients"&amp;CHAR(10),""),IF(H197&lt;SUM(H198,H199)," * Sum of (KP at ANC1 and initial test at ANC1) for Age "&amp;H20&amp;" "&amp;H21&amp;" is more than New 1st ANC Clients"&amp;CHAR(10),""),IF(I197&lt;SUM(I198,I199,I139)," * Sum of (KP at ANC1 and initial test at ANC1) for Age "&amp;H20&amp;" "&amp;I21&amp;" is more than New 1st ANC Clients"&amp;CHAR(10),""),IF(J197&lt;SUM(J198,J199)," * Sum of (KP at ANC1 and initial test at ANC1) for Age "&amp;J20&amp;" "&amp;J21&amp;" is more than New 1st ANC Clients"&amp;CHAR(10),""),IF(K197&lt;SUM(K198,K199,K139)," * Sum of (KP at ANC1 and initial test at ANC1) for Age "&amp;J20&amp;" "&amp;K21&amp;" is more than New 1st ANC Clients"&amp;CHAR(10),""),IF(L197&lt;SUM(L198,L199)," * Sum of (KP at ANC1 and initial test at ANC1) for Age "&amp;L20&amp;" "&amp;L21&amp;" is more than New 1st ANC Clients"&amp;CHAR(10),""),IF(M197&lt;SUM(M198,M199,M139)," * Sum of (KP at ANC1 and initial test at ANC1) for Age "&amp;L20&amp;" "&amp;M21&amp;" is more than New 1st ANC Clients"&amp;CHAR(10),""),IF(N197&lt;SUM(N198,N199)," * Sum of (KP at ANC1 and initial test at ANC1) for Age "&amp;N20&amp;" "&amp;N21&amp;" is more than New 1st ANC Clients"&amp;CHAR(10),""),IF(O197&lt;SUM(O198,O199,O139)," * Sum of (KP at ANC1 and initial test at ANC1) for Age "&amp;N20&amp;" "&amp;O21&amp;" is more than New 1st ANC Clients"&amp;CHAR(10),""),IF(P197&lt;SUM(P198,P199)," * Sum of (KP at ANC1 and initial test at ANC1) for Age "&amp;P20&amp;" "&amp;P21&amp;" is more than New 1st ANC Clients"&amp;CHAR(10),""),IF(Q197&lt;SUM(Q198,Q199,Q139)," * Sum of (KP at ANC1 and initial test at ANC1) for Age "&amp;P20&amp;" "&amp;Q21&amp;" is more than New 1st ANC Clients"&amp;CHAR(10),""),IF(R197&lt;SUM(R198,R199)," * Sum of (KP at ANC1 and initial test at ANC1) for Age "&amp;R20&amp;" "&amp;R21&amp;" is more than New 1st ANC Clients"&amp;CHAR(10),""),IF(S197&lt;SUM(S198,S199,S139)," * Sum of (KP at ANC1 and initial test at ANC1) for Age "&amp;R20&amp;" "&amp;S21&amp;" is more than New 1st ANC Clients"&amp;CHAR(10),""),IF(T197&lt;SUM(T198,T199)," * Sum of (KP at ANC1 and initial test at ANC1) for Age "&amp;T20&amp;" "&amp;T21&amp;" is more than New 1st ANC Clients"&amp;CHAR(10),""),IF(U197&lt;SUM(U198,U199,U139)," * Sum of (KP at ANC1 and initial test at ANC1) for Age "&amp;T20&amp;" "&amp;U21&amp;" is more than New 1st ANC Clients"&amp;CHAR(10),""),IF(V197&lt;SUM(V198,V199)," * Sum of (KP at ANC1 and initial test at ANC1) for Age "&amp;V20&amp;" "&amp;V21&amp;" is more than New 1st ANC Clients"&amp;CHAR(10),""),IF(W197&lt;SUM(W198,W199,W139)," * Sum of (KP at ANC1 and initial test at ANC1) for Age "&amp;V20&amp;" "&amp;W21&amp;" is more than New 1st ANC Clients"&amp;CHAR(10),""),IF(X197&lt;SUM(X198,X199)," * Sum of (KP at ANC1 and initial test at ANC1) for Age "&amp;X20&amp;" "&amp;X21&amp;" is more than New 1st ANC Clients"&amp;CHAR(10),""),IF(Y197&lt;SUM(Y198,Y199,Y139)," * Sum of (KP at ANC1 and initial test at ANC1) for Age "&amp;X20&amp;" "&amp;Y21&amp;" is more than New 1st ANC Clients"&amp;CHAR(10),""),IF(Z197&lt;SUM(Z198,Z199)," * Sum of (KP at ANC1 and initial test at ANC1) for Age "&amp;Z20&amp;" "&amp;Z21&amp;" is more than New 1st ANC Clients"&amp;CHAR(10),""),IF(AA197&lt;SUM(AA198,AA199,AA139)," * Sum of (KP at ANC1 and initial test at ANC1) for Age "&amp;Z20&amp;" "&amp;AA21&amp;" is more than New 1st ANC Clients"&amp;CHAR(10),""),IF(AB197&lt;SUM(AB198,AB199)," * Total Sum of (KP at ANC1 and initial test at ANC1) is more than New 1st ANC Clients"&amp;CHAR(10),""))</f>
        <v/>
      </c>
      <c r="AD197" s="755" t="str">
        <f>CONCATENATE(AC197,AC198,AC199,AC200,AC203,AC207,AC211,AC217,AC210,AC209,AC201,AC202,AC206,AC213,AC214,AC215,AC216)</f>
        <v/>
      </c>
      <c r="AE197" s="103"/>
      <c r="AF197" s="750" t="str">
        <f>CONCATENATE(AE197,AE198,AE199,AE200,AE203,AE204,AE207,AE208,AE211,AE212,AE217,AE218,AE201,AE202,AE205,AE206,AE209,AE210,AE213,AE214,AE215,AE216)</f>
        <v/>
      </c>
      <c r="AG197" s="404">
        <v>191</v>
      </c>
    </row>
    <row r="198" spans="1:34" ht="31.15" customHeight="1" x14ac:dyDescent="0.5">
      <c r="A198" s="647"/>
      <c r="B198" s="281" t="s">
        <v>701</v>
      </c>
      <c r="C198" s="131" t="s">
        <v>276</v>
      </c>
      <c r="D198" s="124"/>
      <c r="E198" s="18"/>
      <c r="F198" s="18"/>
      <c r="G198" s="18"/>
      <c r="H198" s="18"/>
      <c r="I198" s="18"/>
      <c r="J198" s="18"/>
      <c r="K198" s="185"/>
      <c r="L198" s="187"/>
      <c r="M198" s="185"/>
      <c r="N198" s="187"/>
      <c r="O198" s="185"/>
      <c r="P198" s="187"/>
      <c r="Q198" s="185"/>
      <c r="R198" s="187"/>
      <c r="S198" s="185"/>
      <c r="T198" s="187"/>
      <c r="U198" s="185"/>
      <c r="V198" s="187"/>
      <c r="W198" s="185"/>
      <c r="X198" s="187"/>
      <c r="Y198" s="185"/>
      <c r="Z198" s="18"/>
      <c r="AA198" s="18"/>
      <c r="AB198" s="58">
        <f t="shared" ref="AB198:AB226" si="100">SUM(D198:AA198)</f>
        <v>0</v>
      </c>
      <c r="AC198" s="82" t="str">
        <f>CONCATENATE(IF(D231&gt;D198," * ON HAART at 1st ANC for Age "&amp;D20&amp;" "&amp;D21&amp;" is more than KP at 1st ANC "&amp;CHAR(10),""),IF(E231&gt;E198," * ON HAART at 1st ANC for Age "&amp;D20&amp;" "&amp;E21&amp;" is more than KP at 1st ANC "&amp;CHAR(10),""),IF(F231&gt;F198," * ON HAART at 1st ANC for Age "&amp;F20&amp;" "&amp;F21&amp;" is more than KP at 1st ANC "&amp;CHAR(10),""),IF(G231&gt;G198," * ON HAART at 1st ANC for Age "&amp;F20&amp;" "&amp;G21&amp;" is more than KP at 1st ANC "&amp;CHAR(10),""),IF(H231&gt;H198," * ON HAART at 1st ANC for Age "&amp;H20&amp;" "&amp;H21&amp;" is more than KP at 1st ANC "&amp;CHAR(10),""),IF(I231&gt;I198," * ON HAART at 1st ANC for Age "&amp;H20&amp;" "&amp;I21&amp;" is more than KP at 1st ANC "&amp;CHAR(10),""),IF(J231&gt;J198," * ON HAART at 1st ANC for Age "&amp;J20&amp;" "&amp;J21&amp;" is more than KP at 1st ANC "&amp;CHAR(10),""),IF(K231&gt;K198," * ON HAART at 1st ANC for Age "&amp;J20&amp;" "&amp;K21&amp;" is more than KP at 1st ANC "&amp;CHAR(10),""),IF(L231&gt;L198," * ON HAART at 1st ANC for Age "&amp;L20&amp;" "&amp;L21&amp;" is more than KP at 1st ANC "&amp;CHAR(10),""),IF(M231&gt;M198," * ON HAART at 1st ANC for Age "&amp;L20&amp;" "&amp;M21&amp;" is more than KP at 1st ANC "&amp;CHAR(10),""),IF(N231&gt;N198," * ON HAART at 1st ANC for Age "&amp;N20&amp;" "&amp;N21&amp;" is more than KP at 1st ANC "&amp;CHAR(10),""),IF(O231&gt;O198," * ON HAART at 1st ANC for Age "&amp;N20&amp;" "&amp;O21&amp;" is more than KP at 1st ANC "&amp;CHAR(10),""),IF(P231&gt;P198," * ON HAART at 1st ANC for Age "&amp;P20&amp;" "&amp;P21&amp;" is more than KP at 1st ANC "&amp;CHAR(10),""),IF(Q231&gt;Q198," * ON HAART at 1st ANC for Age "&amp;P20&amp;" "&amp;Q21&amp;" is more than KP at 1st ANC "&amp;CHAR(10),""),IF(R231&gt;R198," * ON HAART at 1st ANC for Age "&amp;R20&amp;" "&amp;R21&amp;" is more than KP at 1st ANC "&amp;CHAR(10),""),IF(S231&gt;S198," * ON HAART at 1st ANC for Age "&amp;R20&amp;" "&amp;S21&amp;" is more than KP at 1st ANC "&amp;CHAR(10),""),IF(T231&gt;T198," * ON HAART at 1st ANC for Age "&amp;T20&amp;" "&amp;T21&amp;" is more than KP at 1st ANC "&amp;CHAR(10),""),IF(U231&gt;U198," * ON HAART at 1st ANC for Age "&amp;T20&amp;" "&amp;U21&amp;" is more than KP at 1st ANC "&amp;CHAR(10),""),IF(V231&gt;V198," * ON HAART at 1st ANC for Age "&amp;V20&amp;" "&amp;V21&amp;" is more than KP at 1st ANC "&amp;CHAR(10),""),IF(W231&gt;W198," * ON HAART at 1st ANC for Age "&amp;V20&amp;" "&amp;W21&amp;" is more than KP at 1st ANC "&amp;CHAR(10),""),IF(X231&gt;X198," * ON HAART at 1st ANC for Age "&amp;X20&amp;" "&amp;X21&amp;" is more than KP at 1st ANC "&amp;CHAR(10),""),IF(Y231&gt;Y198," * ON HAART at 1st ANC for Age "&amp;X20&amp;" "&amp;Y21&amp;" is more than KP at 1st ANC "&amp;CHAR(10),""),IF(Z231&gt;Z198," * ON HAART at 1st ANC for Age "&amp;Z20&amp;" "&amp;Z21&amp;" is more than KP at 1st ANC "&amp;CHAR(10),""),IF(AA231&gt;AA198," * ON HAART at 1st ANC for Age "&amp;Z20&amp;" "&amp;AA21&amp;" is more than KP at 1st ANC "&amp;CHAR(10),""))</f>
        <v/>
      </c>
      <c r="AD198" s="756"/>
      <c r="AE198" s="92" t="str">
        <f>CONCATENATE(IF(D197&gt;SUM(D198,D199)," * Sum of (KP at ANC1 and initial test at ANC1) for Age "&amp;D20&amp;" "&amp;D21&amp;" is less than New 1st ANC Clients"&amp;CHAR(10),""),IF(E197&gt;SUM(E198,E199,E139)," * Sum of (KP at ANC1 and initial test at ANC1) for Age "&amp;D20&amp;" "&amp;E21&amp;" is less than New 1st ANC Clients"&amp;CHAR(10),""),IF(F197&gt;SUM(F198,F199)," * Sum of (KP at ANC1 and initial test at ANC1) for Age "&amp;F20&amp;" "&amp;F21&amp;" is less than New 1st ANC Clients"&amp;CHAR(10),""),IF(G197&gt;SUM(G198,G199,G139)," * Sum of (KP at ANC1 and initial test at ANC1) for Age "&amp;F20&amp;" "&amp;G21&amp;" is less than New 1st ANC Clients"&amp;CHAR(10),""),IF(H197&gt;SUM(H198,H199)," * Sum of (KP at ANC1 and initial test at ANC1) for Age "&amp;H20&amp;" "&amp;H21&amp;" is less than New 1st ANC Clients"&amp;CHAR(10),""),IF(I197&gt;SUM(I198,I199,I139)," * Sum of (KP at ANC1 and initial test at ANC1) for Age "&amp;H20&amp;" "&amp;I21&amp;" is less than New 1st ANC Clients"&amp;CHAR(10),""),IF(J197&gt;SUM(J198,J199)," * Sum of (KP at ANC1 and initial test at ANC1) for Age "&amp;J20&amp;" "&amp;J21&amp;" is less than New 1st ANC Clients"&amp;CHAR(10),""),IF(K197&gt;SUM(K198,K199,K139)," * Sum of (KP at ANC1 and initial test at ANC1) for Age "&amp;J20&amp;" "&amp;K21&amp;" is less than New 1st ANC Clients"&amp;CHAR(10),""),IF(L197&gt;SUM(L198,L199)," * Sum of (KP at ANC1 and initial test at ANC1) for Age "&amp;L20&amp;" "&amp;L21&amp;" is less than New 1st ANC Clients"&amp;CHAR(10),""),IF(M197&gt;SUM(M198,M199,M139)," * Sum of (KP at ANC1 and initial test at ANC1) for Age "&amp;L20&amp;" "&amp;M21&amp;" is less than New 1st ANC Clients"&amp;CHAR(10),""),IF(N197&gt;SUM(N198,N199)," * Sum of (KP at ANC1 and initial test at ANC1) for Age "&amp;N20&amp;" "&amp;N21&amp;" is less than New 1st ANC Clients"&amp;CHAR(10),""),IF(O197&gt;SUM(O198,O199,O139)," * Sum of (KP at ANC1 and initial test at ANC1) for Age "&amp;N20&amp;" "&amp;O21&amp;" is less than New 1st ANC Clients"&amp;CHAR(10),""),IF(P197&gt;SUM(P198,P199)," * Sum of (KP at ANC1 and initial test at ANC1) for Age "&amp;P20&amp;" "&amp;P21&amp;" is less than New 1st ANC Clients"&amp;CHAR(10),""),IF(Q197&gt;SUM(Q198,Q199,Q139)," * Sum of (KP at ANC1 and initial test at ANC1) for Age "&amp;P20&amp;" "&amp;Q21&amp;" is less than New 1st ANC Clients"&amp;CHAR(10),""),IF(R197&gt;SUM(R198,R199)," * Sum of (KP at ANC1 and initial test at ANC1) for Age "&amp;R20&amp;" "&amp;R21&amp;" is less than New 1st ANC Clients"&amp;CHAR(10),""),IF(S197&gt;SUM(S198,S199,S139)," * Sum of (KP at ANC1 and initial test at ANC1) for Age "&amp;R20&amp;" "&amp;S21&amp;" is less than New 1st ANC Clients"&amp;CHAR(10),""),IF(T197&gt;SUM(T198,T199)," * Sum of (KP at ANC1 and initial test at ANC1) for Age "&amp;T20&amp;" "&amp;T21&amp;" is less than New 1st ANC Clients"&amp;CHAR(10),""),IF(U197&gt;SUM(U198,U199,U139)," * Sum of (KP at ANC1 and initial test at ANC1) for Age "&amp;T20&amp;" "&amp;U21&amp;" is less than New 1st ANC Clients"&amp;CHAR(10),""),IF(V197&gt;SUM(V198,V199)," * Sum of (KP at ANC1 and initial test at ANC1) for Age "&amp;V20&amp;" "&amp;V21&amp;" is less than New 1st ANC Clients"&amp;CHAR(10),""),IF(W197&gt;SUM(W198,W199,W139)," * Sum of (KP at ANC1 and initial test at ANC1) for Age "&amp;V20&amp;" "&amp;W21&amp;" is less than New 1st ANC Clients"&amp;CHAR(10),""),IF(X197&gt;SUM(X198,X199)," * Sum of (KP at ANC1 and initial test at ANC1) for Age "&amp;X20&amp;" "&amp;X21&amp;" is less than New 1st ANC Clients"&amp;CHAR(10),""),IF(Y197&gt;SUM(Y198,Y199,Y139)," * Sum of (KP at ANC1 and initial test at ANC1) for Age "&amp;X20&amp;" "&amp;Y21&amp;" is less than New 1st ANC Clients"&amp;CHAR(10),""),IF(Z197&gt;SUM(Z198,Z199)," * Sum of (KP at ANC1 and initial test at ANC1) for Age "&amp;Z20&amp;" "&amp;Z21&amp;" is less than New 1st ANC Clients"&amp;CHAR(10),""),IF(AA197&gt;SUM(AA198,AA199,AA139)," * Sum of (KP at ANC1 and initial test at ANC1) for Age "&amp;Z20&amp;" "&amp;AA21&amp;" is less than New 1st ANC Clients"&amp;CHAR(10),""))</f>
        <v/>
      </c>
      <c r="AF198" s="621"/>
      <c r="AG198" s="404">
        <v>192</v>
      </c>
    </row>
    <row r="199" spans="1:34" x14ac:dyDescent="0.5">
      <c r="A199" s="647"/>
      <c r="B199" s="282" t="s">
        <v>702</v>
      </c>
      <c r="C199" s="131" t="s">
        <v>277</v>
      </c>
      <c r="D199" s="124"/>
      <c r="E199" s="18"/>
      <c r="F199" s="18"/>
      <c r="G199" s="18"/>
      <c r="H199" s="18"/>
      <c r="I199" s="18"/>
      <c r="J199" s="18"/>
      <c r="K199" s="19"/>
      <c r="L199" s="18"/>
      <c r="M199" s="19"/>
      <c r="N199" s="18"/>
      <c r="O199" s="19"/>
      <c r="P199" s="18"/>
      <c r="Q199" s="19"/>
      <c r="R199" s="18"/>
      <c r="S199" s="19"/>
      <c r="T199" s="18"/>
      <c r="U199" s="19"/>
      <c r="V199" s="18"/>
      <c r="W199" s="19"/>
      <c r="X199" s="18"/>
      <c r="Y199" s="19"/>
      <c r="Z199" s="18"/>
      <c r="AA199" s="18"/>
      <c r="AB199" s="58">
        <f t="shared" si="100"/>
        <v>0</v>
      </c>
      <c r="AC199" s="82" t="str">
        <f>CONCATENATE(IF(D199&gt;D197," * F06-03 for Age "&amp;D20&amp;" "&amp;D21&amp;" is more than F06-01"&amp;CHAR(10),""),IF(E199&gt;E197," * F06-03 for Age "&amp;D20&amp;" "&amp;E21&amp;" is more than F06-01"&amp;CHAR(10),""),IF(F199&gt;F197," * F06-03 for Age "&amp;F20&amp;" "&amp;F21&amp;" is more than F06-01"&amp;CHAR(10),""),IF(G199&gt;G197," * F06-03 for Age "&amp;F20&amp;" "&amp;G21&amp;" is more than F06-01"&amp;CHAR(10),""),IF(H199&gt;H197," * F06-03 for Age "&amp;H20&amp;" "&amp;H21&amp;" is more than F06-01"&amp;CHAR(10),""),IF(I199&gt;I197," * F06-03 for Age "&amp;H20&amp;" "&amp;I21&amp;" is more than F06-01"&amp;CHAR(10),""),IF(J199&gt;J197," * F06-03 for Age "&amp;J20&amp;" "&amp;J21&amp;" is more than F06-01"&amp;CHAR(10),""),IF(K199&gt;K197," * F06-03 for Age "&amp;J20&amp;" "&amp;K21&amp;" is more than F06-01"&amp;CHAR(10),""),IF(L199&gt;L197," * F06-03 for Age "&amp;L20&amp;" "&amp;L21&amp;" is more than F06-01"&amp;CHAR(10),""),IF(M199&gt;M197," * F06-03 for Age "&amp;L20&amp;" "&amp;M21&amp;" is more than F06-01"&amp;CHAR(10),""),IF(N199&gt;N197," * F06-03 for Age "&amp;N20&amp;" "&amp;N21&amp;" is more than F06-01"&amp;CHAR(10),""),IF(O199&gt;O197," * F06-03 for Age "&amp;N20&amp;" "&amp;O21&amp;" is more than F06-01"&amp;CHAR(10),""),IF(P199&gt;P197," * F06-03 for Age "&amp;P20&amp;" "&amp;P21&amp;" is more than F06-01"&amp;CHAR(10),""),IF(Q199&gt;Q197," * F06-03 for Age "&amp;P20&amp;" "&amp;Q21&amp;" is more than F06-01"&amp;CHAR(10),""),IF(R199&gt;R197," * F06-03 for Age "&amp;R20&amp;" "&amp;R21&amp;" is more than F06-01"&amp;CHAR(10),""),IF(S199&gt;S197," * F06-03 for Age "&amp;R20&amp;" "&amp;S21&amp;" is more than F06-01"&amp;CHAR(10),""),IF(T199&gt;T197," * F06-03 for Age "&amp;T20&amp;" "&amp;T21&amp;" is more than F06-01"&amp;CHAR(10),""),IF(U199&gt;U197," * F06-03 for Age "&amp;T20&amp;" "&amp;U21&amp;" is more than F06-01"&amp;CHAR(10),""),IF(V199&gt;V197," * F06-03 for Age "&amp;V20&amp;" "&amp;V21&amp;" is more than F06-01"&amp;CHAR(10),""),IF(W199&gt;W197," * F06-03 for Age "&amp;V20&amp;" "&amp;W21&amp;" is more than F06-01"&amp;CHAR(10),""),IF(X199&gt;X197," * F06-03 for Age "&amp;X20&amp;" "&amp;X21&amp;" is more than F06-01"&amp;CHAR(10),""),IF(Y199&gt;Y197," * F06-03 for Age "&amp;X20&amp;" "&amp;Y21&amp;" is more than F06-01"&amp;CHAR(10),""),IF(Z199&gt;Z197," * F06-03 for Age "&amp;Z20&amp;" "&amp;Z21&amp;" is more than F06-01"&amp;CHAR(10),""),IF(AA199&gt;AA197," * F06-03 for Age "&amp;Z20&amp;" "&amp;AA21&amp;" is more than F06-01"&amp;CHAR(10),""),IF(AB199&gt;AB197," * Total F06-03 is more than Total F06-01"&amp;CHAR(10),""))</f>
        <v/>
      </c>
      <c r="AD199" s="756"/>
      <c r="AE199" s="80"/>
      <c r="AF199" s="621"/>
      <c r="AG199" s="404">
        <v>193</v>
      </c>
    </row>
    <row r="200" spans="1:34" ht="32.25" x14ac:dyDescent="0.5">
      <c r="A200" s="647"/>
      <c r="B200" s="304" t="s">
        <v>703</v>
      </c>
      <c r="C200" s="131" t="s">
        <v>370</v>
      </c>
      <c r="D200" s="124"/>
      <c r="E200" s="18"/>
      <c r="F200" s="18"/>
      <c r="G200" s="18"/>
      <c r="H200" s="18"/>
      <c r="I200" s="18"/>
      <c r="J200" s="18"/>
      <c r="K200" s="185"/>
      <c r="L200" s="18"/>
      <c r="M200" s="185"/>
      <c r="N200" s="18"/>
      <c r="O200" s="185"/>
      <c r="P200" s="18"/>
      <c r="Q200" s="185"/>
      <c r="R200" s="18"/>
      <c r="S200" s="185"/>
      <c r="T200" s="18"/>
      <c r="U200" s="185"/>
      <c r="V200" s="18"/>
      <c r="W200" s="185"/>
      <c r="X200" s="18"/>
      <c r="Y200" s="185"/>
      <c r="Z200" s="18"/>
      <c r="AA200" s="18"/>
      <c r="AB200" s="58">
        <f t="shared" si="100"/>
        <v>0</v>
      </c>
      <c r="AC200" s="82" t="str">
        <f>CONCATENATE(IF(D200&gt;D199," * New positive at ANC1 for Age "&amp;D20&amp;" "&amp;D21&amp;" is more than initial test at ANC1"&amp;CHAR(10),""),IF(E200&gt;E199," * New positive at ANC1 for Age "&amp;D20&amp;" "&amp;E21&amp;" is more than initial test at ANC1"&amp;CHAR(10),""),IF(F200&gt;F199," * New positive at ANC1 for Age "&amp;F20&amp;" "&amp;F21&amp;" is more than initial test at ANC1"&amp;CHAR(10),""),IF(G200&gt;G199," * New positive at ANC1 for Age "&amp;F20&amp;" "&amp;G21&amp;" is more than initial test at ANC1"&amp;CHAR(10),""),IF(H200&gt;H199," * New positive at ANC1 for Age "&amp;H20&amp;" "&amp;H21&amp;" is more than initial test at ANC1"&amp;CHAR(10),""),IF(I200&gt;I199," * New positive at ANC1 for Age "&amp;H20&amp;" "&amp;I21&amp;" is more than initial test at ANC1"&amp;CHAR(10),""),IF(J200&gt;J199," * New positive at ANC1 for Age "&amp;J20&amp;" "&amp;J21&amp;" is more than initial test at ANC1"&amp;CHAR(10),""),IF(K200&gt;K199," * New positive at ANC1 for Age "&amp;J20&amp;" "&amp;K21&amp;" is more than initial test at ANC1"&amp;CHAR(10),""),IF(L200&gt;L199," * New positive at ANC1 for Age "&amp;L20&amp;" "&amp;L21&amp;" is more than initial test at ANC1"&amp;CHAR(10),""),IF(M200&gt;M199," * New positive at ANC1 for Age "&amp;L20&amp;" "&amp;M21&amp;" is more than initial test at ANC1"&amp;CHAR(10),""),IF(N200&gt;N199," * New positive at ANC1 for Age "&amp;N20&amp;" "&amp;N21&amp;" is more than initial test at ANC1"&amp;CHAR(10),""),IF(O200&gt;O199," * New positive at ANC1 for Age "&amp;N20&amp;" "&amp;O21&amp;" is more than initial test at ANC1"&amp;CHAR(10),""),IF(P200&gt;P199," * New positive at ANC1 for Age "&amp;P20&amp;" "&amp;P21&amp;" is more than initial test at ANC1"&amp;CHAR(10),""),IF(Q200&gt;Q199," * New positive at ANC1 for Age "&amp;P20&amp;" "&amp;Q21&amp;" is more than initial test at ANC1"&amp;CHAR(10),""),IF(R200&gt;R199," * New positive at ANC1 for Age "&amp;R20&amp;" "&amp;R21&amp;" is more than initial test at ANC1"&amp;CHAR(10),""),IF(S200&gt;S199," * New positive at ANC1 for Age "&amp;R20&amp;" "&amp;S21&amp;" is more than initial test at ANC1"&amp;CHAR(10),""),IF(T200&gt;T199," * New positive at ANC1 for Age "&amp;T20&amp;" "&amp;T21&amp;" is more than initial test at ANC1"&amp;CHAR(10),""),IF(U200&gt;U199," * New positive at ANC1 for Age "&amp;T20&amp;" "&amp;U21&amp;" is more than initial test at ANC1"&amp;CHAR(10),""),IF(V200&gt;V199," * New positive at ANC1 for Age "&amp;V20&amp;" "&amp;V21&amp;" is more than initial test at ANC1"&amp;CHAR(10),""),IF(W200&gt;W199," * New positive at ANC1 for Age "&amp;V20&amp;" "&amp;W21&amp;" is more than initial test at ANC1"&amp;CHAR(10),""),IF(X200&gt;X199," * New positive at ANC1 for Age "&amp;X20&amp;" "&amp;X21&amp;" is more than initial test at ANC1"&amp;CHAR(10),""),IF(Y200&gt;Y199," * New positive at ANC1 for Age "&amp;X20&amp;" "&amp;Y21&amp;" is more than initial test at ANC1"&amp;CHAR(10),""),IF(Z200&gt;Z199," * New positive at ANC1 for Age "&amp;Z20&amp;" "&amp;Z21&amp;" is more than initial test at ANC1"&amp;CHAR(10),""),IF(AA200&gt;AA199," * New positive at ANC1 for Age "&amp;Z20&amp;" "&amp;AA21&amp;" is more than initial test at ANC1"&amp;CHAR(10),""),IF(AB200&gt;AB199," * Total New positive at ANC1 is more than Total initial test at ANC1"&amp;CHAR(10),""))</f>
        <v/>
      </c>
      <c r="AD200" s="756"/>
      <c r="AE200" s="80"/>
      <c r="AF200" s="621"/>
      <c r="AG200" s="404">
        <v>194</v>
      </c>
    </row>
    <row r="201" spans="1:34" ht="28.5" x14ac:dyDescent="0.5">
      <c r="A201" s="647"/>
      <c r="B201" s="406" t="s">
        <v>477</v>
      </c>
      <c r="C201" s="131" t="s">
        <v>481</v>
      </c>
      <c r="D201" s="124"/>
      <c r="E201" s="18"/>
      <c r="F201" s="18"/>
      <c r="G201" s="18"/>
      <c r="H201" s="18"/>
      <c r="I201" s="18"/>
      <c r="J201" s="18"/>
      <c r="K201" s="26">
        <f>K199+K198</f>
        <v>0</v>
      </c>
      <c r="L201" s="18"/>
      <c r="M201" s="26">
        <f>M199+M198</f>
        <v>0</v>
      </c>
      <c r="N201" s="18"/>
      <c r="O201" s="26">
        <f>O199+O198</f>
        <v>0</v>
      </c>
      <c r="P201" s="18"/>
      <c r="Q201" s="26">
        <f>Q199+Q198</f>
        <v>0</v>
      </c>
      <c r="R201" s="18"/>
      <c r="S201" s="26">
        <f>S199+S198</f>
        <v>0</v>
      </c>
      <c r="T201" s="18"/>
      <c r="U201" s="26">
        <f>U199+U198</f>
        <v>0</v>
      </c>
      <c r="V201" s="18"/>
      <c r="W201" s="26">
        <f>W199+W198</f>
        <v>0</v>
      </c>
      <c r="X201" s="18"/>
      <c r="Y201" s="26">
        <f>Y199+Y198</f>
        <v>0</v>
      </c>
      <c r="Z201" s="18"/>
      <c r="AA201" s="18"/>
      <c r="AB201" s="58">
        <f t="shared" si="100"/>
        <v>0</v>
      </c>
      <c r="AC201" s="82"/>
      <c r="AD201" s="756"/>
      <c r="AE201" s="80"/>
      <c r="AF201" s="621"/>
      <c r="AG201" s="404">
        <v>195</v>
      </c>
    </row>
    <row r="202" spans="1:34" ht="29.25" thickBot="1" x14ac:dyDescent="0.55000000000000004">
      <c r="A202" s="648"/>
      <c r="B202" s="407" t="s">
        <v>482</v>
      </c>
      <c r="C202" s="133" t="s">
        <v>498</v>
      </c>
      <c r="D202" s="138"/>
      <c r="E202" s="37"/>
      <c r="F202" s="37"/>
      <c r="G202" s="37"/>
      <c r="H202" s="37"/>
      <c r="I202" s="37"/>
      <c r="J202" s="37"/>
      <c r="K202" s="59">
        <f>K200+K198</f>
        <v>0</v>
      </c>
      <c r="L202" s="37"/>
      <c r="M202" s="59">
        <f>M200+M198</f>
        <v>0</v>
      </c>
      <c r="N202" s="37"/>
      <c r="O202" s="59">
        <f>O200+O198</f>
        <v>0</v>
      </c>
      <c r="P202" s="37"/>
      <c r="Q202" s="59">
        <f>Q200+Q198</f>
        <v>0</v>
      </c>
      <c r="R202" s="37"/>
      <c r="S202" s="59">
        <f>S200+S198</f>
        <v>0</v>
      </c>
      <c r="T202" s="37"/>
      <c r="U202" s="59">
        <f>U200+U198</f>
        <v>0</v>
      </c>
      <c r="V202" s="37"/>
      <c r="W202" s="59">
        <f>W200+W198</f>
        <v>0</v>
      </c>
      <c r="X202" s="37"/>
      <c r="Y202" s="59">
        <f>Y200+Y198</f>
        <v>0</v>
      </c>
      <c r="Z202" s="37"/>
      <c r="AA202" s="37"/>
      <c r="AB202" s="60">
        <f t="shared" si="100"/>
        <v>0</v>
      </c>
      <c r="AC202" s="82"/>
      <c r="AD202" s="756"/>
      <c r="AE202" s="80"/>
      <c r="AF202" s="621"/>
      <c r="AG202" s="404">
        <v>196</v>
      </c>
    </row>
    <row r="203" spans="1:34" x14ac:dyDescent="0.6">
      <c r="A203" s="591" t="s">
        <v>1023</v>
      </c>
      <c r="B203" s="283" t="s">
        <v>704</v>
      </c>
      <c r="C203" s="263" t="s">
        <v>282</v>
      </c>
      <c r="D203" s="136"/>
      <c r="E203" s="33"/>
      <c r="F203" s="33"/>
      <c r="G203" s="33"/>
      <c r="H203" s="33"/>
      <c r="I203" s="33"/>
      <c r="J203" s="33"/>
      <c r="K203" s="34"/>
      <c r="L203" s="33"/>
      <c r="M203" s="34"/>
      <c r="N203" s="33"/>
      <c r="O203" s="34"/>
      <c r="P203" s="33"/>
      <c r="Q203" s="34"/>
      <c r="R203" s="33"/>
      <c r="S203" s="34"/>
      <c r="T203" s="33"/>
      <c r="U203" s="34"/>
      <c r="V203" s="33"/>
      <c r="W203" s="34"/>
      <c r="X203" s="33"/>
      <c r="Y203" s="34"/>
      <c r="Z203" s="33"/>
      <c r="AA203" s="33"/>
      <c r="AB203" s="61">
        <f t="shared" si="100"/>
        <v>0</v>
      </c>
      <c r="AC203" s="664" t="str">
        <f>CONCATENATE(IF(D204&gt;D203," * Initial positive results at ANC 2 and above for Age "&amp;D20&amp;" "&amp;D21&amp;" is more than Initial test at ANC 2 and above"&amp;CHAR(10),""),IF(E204&gt;E203," * Initial positive results at ANC 2 and above for Age "&amp;D20&amp;" "&amp;E21&amp;" is more than Initial test at ANC 2 and above"&amp;CHAR(10),""),IF(F204&gt;F203," * Initial positive results at ANC 2 and above for Age "&amp;F20&amp;" "&amp;F21&amp;" is more than Initial test at ANC 2 and above"&amp;CHAR(10),""),IF(G204&gt;G203," * Initial positive results at ANC 2 and above for Age "&amp;F20&amp;" "&amp;G21&amp;" is more than Initial test at ANC 2 and above"&amp;CHAR(10),""),IF(H204&gt;H203," * Initial positive results at ANC 2 and above for Age "&amp;H20&amp;" "&amp;H21&amp;" is more than Initial test at ANC 2 and above"&amp;CHAR(10),""),IF(I204&gt;I203," * Initial positive results at ANC 2 and above for Age "&amp;H20&amp;" "&amp;I21&amp;" is more than Initial test at ANC 2 and above"&amp;CHAR(10),""),IF(J204&gt;J203," * Initial positive results at ANC 2 and above for Age "&amp;J20&amp;" "&amp;J21&amp;" is more than Initial test at ANC 2 and above"&amp;CHAR(10),""),IF(K204&gt;K203," * Initial positive results at ANC 2 and above for Age "&amp;J20&amp;" "&amp;K21&amp;" is more than Initial test at ANC 2 and above"&amp;CHAR(10),""),IF(L204&gt;L203," * Initial positive results at ANC 2 and above for Age "&amp;L20&amp;" "&amp;L21&amp;" is more than Initial test at ANC 2 and above"&amp;CHAR(10),""),IF(M204&gt;M203," * Initial positive results at ANC 2 and above for Age "&amp;L20&amp;" "&amp;M21&amp;" is more than Initial test at ANC 2 and above"&amp;CHAR(10),""),IF(N204&gt;N203," * Initial positive results at ANC 2 and above for Age "&amp;N20&amp;" "&amp;N21&amp;" is more than Initial test at ANC 2 and above"&amp;CHAR(10),""),IF(O204&gt;O203," * Initial positive results at ANC 2 and above for Age "&amp;N20&amp;" "&amp;O21&amp;" is more than Initial test at ANC 2 and above"&amp;CHAR(10),""),IF(P204&gt;P203," * Initial positive results at ANC 2 and above for Age "&amp;P20&amp;" "&amp;P21&amp;" is more than Initial test at ANC 2 and above"&amp;CHAR(10),""),IF(Q204&gt;Q203," * Initial positive results at ANC 2 and above for Age "&amp;P20&amp;" "&amp;Q21&amp;" is more than Initial test at ANC 2 and above"&amp;CHAR(10),""),IF(R204&gt;R203," * Initial positive results at ANC 2 and above for Age "&amp;R20&amp;" "&amp;R21&amp;" is more than Initial test at ANC 2 and above"&amp;CHAR(10),""),IF(S204&gt;S203," * Initial positive results at ANC 2 and above for Age "&amp;R20&amp;" "&amp;S21&amp;" is more than Initial test at ANC 2 and above"&amp;CHAR(10),""),IF(T204&gt;T203," * Initial positive results at ANC 2 and above for Age "&amp;T20&amp;" "&amp;T21&amp;" is more than Initial test at ANC 2 and above"&amp;CHAR(10),""),IF(U204&gt;U203," * Initial positive results at ANC 2 and above for Age "&amp;T20&amp;" "&amp;U21&amp;" is more than Initial test at ANC 2 and above"&amp;CHAR(10),""),IF(V204&gt;V203," * Initial positive results at ANC 2 and above for Age "&amp;V20&amp;" "&amp;V21&amp;" is more than Initial test at ANC 2 and above"&amp;CHAR(10),""),IF(W204&gt;W203," * Initial positive results at ANC 2 and above for Age "&amp;V20&amp;" "&amp;W21&amp;" is more than Initial test at ANC 2 and above"&amp;CHAR(10),""),IF(X204&gt;X203," * Initial positive results at ANC 2 and above for Age "&amp;X20&amp;" "&amp;X21&amp;" is more than Initial test at ANC 2 and above"&amp;CHAR(10),""),IF(Y204&gt;Y203," * Initial positive results at ANC 2 and above for Age "&amp;X20&amp;" "&amp;Y21&amp;" is more than Initial test at ANC 2 and above"&amp;CHAR(10),""),IF(Z204&gt;Z203," * Initial positive results at ANC 2 and above for Age "&amp;Z20&amp;" "&amp;Z21&amp;" is more than Initial test at ANC 2 and above"&amp;CHAR(10),""),IF(AA204&gt;AA203," * Initial positive results at ANC 2 and above for Age "&amp;Z20&amp;" "&amp;AA21&amp;" is more than Initial test at ANC 2 and above"&amp;CHAR(10),""))</f>
        <v/>
      </c>
      <c r="AD203" s="756"/>
      <c r="AE203" s="80"/>
      <c r="AF203" s="621"/>
      <c r="AG203" s="404">
        <v>197</v>
      </c>
    </row>
    <row r="204" spans="1:34" ht="32.25" x14ac:dyDescent="0.5">
      <c r="A204" s="592"/>
      <c r="B204" s="305" t="s">
        <v>479</v>
      </c>
      <c r="C204" s="131" t="s">
        <v>283</v>
      </c>
      <c r="D204" s="124"/>
      <c r="E204" s="18"/>
      <c r="F204" s="18"/>
      <c r="G204" s="18"/>
      <c r="H204" s="18"/>
      <c r="I204" s="18"/>
      <c r="J204" s="18"/>
      <c r="K204" s="184"/>
      <c r="L204" s="186"/>
      <c r="M204" s="184"/>
      <c r="N204" s="186"/>
      <c r="O204" s="184"/>
      <c r="P204" s="186"/>
      <c r="Q204" s="184"/>
      <c r="R204" s="186"/>
      <c r="S204" s="184"/>
      <c r="T204" s="186"/>
      <c r="U204" s="184"/>
      <c r="V204" s="186"/>
      <c r="W204" s="184"/>
      <c r="X204" s="186"/>
      <c r="Y204" s="184"/>
      <c r="Z204" s="18"/>
      <c r="AA204" s="18"/>
      <c r="AB204" s="58">
        <f t="shared" si="100"/>
        <v>0</v>
      </c>
      <c r="AC204" s="664"/>
      <c r="AD204" s="756"/>
      <c r="AE204" s="80"/>
      <c r="AF204" s="621"/>
      <c r="AG204" s="404">
        <v>198</v>
      </c>
    </row>
    <row r="205" spans="1:34" ht="31.15" customHeight="1" x14ac:dyDescent="0.5">
      <c r="A205" s="592"/>
      <c r="B205" s="282" t="s">
        <v>484</v>
      </c>
      <c r="C205" s="131" t="s">
        <v>486</v>
      </c>
      <c r="D205" s="124"/>
      <c r="E205" s="18"/>
      <c r="F205" s="18"/>
      <c r="G205" s="18"/>
      <c r="H205" s="18"/>
      <c r="I205" s="18"/>
      <c r="J205" s="18"/>
      <c r="K205" s="19"/>
      <c r="L205" s="18"/>
      <c r="M205" s="19"/>
      <c r="N205" s="18"/>
      <c r="O205" s="19"/>
      <c r="P205" s="18"/>
      <c r="Q205" s="19"/>
      <c r="R205" s="18"/>
      <c r="S205" s="19"/>
      <c r="T205" s="18"/>
      <c r="U205" s="19"/>
      <c r="V205" s="18"/>
      <c r="W205" s="19"/>
      <c r="X205" s="18"/>
      <c r="Y205" s="19"/>
      <c r="Z205" s="18"/>
      <c r="AA205" s="18"/>
      <c r="AB205" s="58">
        <f t="shared" si="100"/>
        <v>0</v>
      </c>
      <c r="AC205" s="79" t="str">
        <f>CONCATENATE(IF(D206&gt;D205," * Retesting at ANC 2 and above For age "&amp;$D$20&amp;" "&amp;$D$21&amp;" is less than  than Retesting positive result at ANC 2 and above"&amp;CHAR(10),""),IF(E206&gt;E205," * Retesting at ANC 2 and above For age "&amp;$D$20&amp;" "&amp;$E$21&amp;" is less than  than Retesting positive result at ANC 2 and above"&amp;CHAR(10),""),IF(F206&gt;F205," * Retesting at ANC 2 and above For age "&amp;$F$20&amp;" "&amp;$F$21&amp;" is less than  than Retesting positive result at ANC 2 and above"&amp;CHAR(10),""),IF(G206&gt;G205," * Retesting at ANC 2 and above For age "&amp;$F$20&amp;" "&amp;$G$21&amp;" is less than  than Retesting positive result at ANC 2 and above"&amp;CHAR(10),""),IF(H206&gt;H205," * Retesting at ANC 2 and above For age "&amp;$H$20&amp;" "&amp;$H$21&amp;" is less than  than Retesting positive result at ANC 2 and above"&amp;CHAR(10),""),IF(I206&gt;I205," * Retesting at ANC 2 and above For age "&amp;$H$20&amp;" "&amp;$I$21&amp;" is less than  than Retesting positive result at ANC 2 and above"&amp;CHAR(10),""),IF(J206&gt;J205," * Retesting at ANC 2 and above For age "&amp;$J$20&amp;" "&amp;$J$21&amp;" is less than  than Retesting positive result at ANC 2 and above"&amp;CHAR(10),""),IF(K206&gt;K205," * Retesting at ANC 2 and above For age "&amp;$J$20&amp;" "&amp;$K$21&amp;" is less than  than Retesting positive result at ANC 2 and above"&amp;CHAR(10),""),IF(L206&gt;L205," * Retesting at ANC 2 and above For age "&amp;$L$20&amp;" "&amp;$L$21&amp;" is less than  than Retesting positive result at ANC 2 and above"&amp;CHAR(10),""),IF(M206&gt;M205," * Retesting at ANC 2 and above For age "&amp;$L$20&amp;" "&amp;$M$21&amp;" is less than  than Retesting positive result at ANC 2 and above"&amp;CHAR(10),""),IF(N206&gt;N205," * Retesting at ANC 2 and above For age "&amp;$N$20&amp;" "&amp;$N$21&amp;" is less than  than Retesting positive result at ANC 2 and above"&amp;CHAR(10),""),IF(O206&gt;O205," * Retesting at ANC 2 and above For age "&amp;$N$20&amp;" "&amp;$O$21&amp;" is less than  than Retesting positive result at ANC 2 and above"&amp;CHAR(10),""),IF(P206&gt;P205," * Retesting at ANC 2 and above For age "&amp;$P$20&amp;" "&amp;$P$21&amp;" is less than  than Retesting positive result at ANC 2 and above"&amp;CHAR(10),""),IF(Q206&gt;Q205," * Retesting at ANC 2 and above For age "&amp;$P$20&amp;" "&amp;$Q$21&amp;" is less than  than Retesting positive result at ANC 2 and above"&amp;CHAR(10),""),IF(R206&gt;R205," * Retesting at ANC 2 and above For age "&amp;$R$20&amp;" "&amp;$R$21&amp;" is less than  than Retesting positive result at ANC 2 and above"&amp;CHAR(10),""),IF(S206&gt;S205," * Retesting at ANC 2 and above For age "&amp;$R$20&amp;" "&amp;$S$21&amp;" is less than  than Retesting positive result at ANC 2 and above"&amp;CHAR(10),""),IF(T206&gt;T205," * Retesting at ANC 2 and above For age "&amp;$T$20&amp;" "&amp;$T$21&amp;" is less than  than Retesting positive result at ANC 2 and above"&amp;CHAR(10),""),IF(U206&gt;U205," * Retesting at ANC 2 and above For age "&amp;$T$20&amp;" "&amp;$U$21&amp;" is less than  than Retesting positive result at ANC 2 and above"&amp;CHAR(10),""),IF(V206&gt;V205," * Retesting at ANC 2 and above For age "&amp;$V$20&amp;" "&amp;$V$21&amp;" is less than  than Retesting positive result at ANC 2 and above"&amp;CHAR(10),""),IF(W206&gt;W205," * Retesting at ANC 2 and above For age "&amp;$V$20&amp;" "&amp;$W$21&amp;" is less than  than Retesting positive result at ANC 2 and above"&amp;CHAR(10),""),IF(X206&gt;X205," * Retesting at ANC 2 and above For age "&amp;$X$20&amp;" "&amp;$X$21&amp;" is less than  than Retesting positive result at ANC 2 and above"&amp;CHAR(10),""),IF(Y206&gt;Y205," * Retesting at ANC 2 and above For age "&amp;$X$20&amp;" "&amp;$Y$21&amp;" is less than  than Retesting positive result at ANC 2 and above"&amp;CHAR(10),""),IF(Z206&gt;Z205," * Retesting at ANC 2 and above For age "&amp;$Z$20&amp;" "&amp;$Z$21&amp;" is less than  than Retesting positive result at ANC 2 and above"&amp;CHAR(10),""),IF(AA206&gt;AA205," * Retesting at ANC 2 and above For age "&amp;$Z$20&amp;" "&amp;$AA$21&amp;" is less than  than Retesting positive result at ANC 2 and above"&amp;CHAR(10),""))</f>
        <v/>
      </c>
      <c r="AD205" s="756"/>
      <c r="AE205" s="80"/>
      <c r="AF205" s="621"/>
      <c r="AG205" s="404">
        <v>199</v>
      </c>
    </row>
    <row r="206" spans="1:34" ht="33" thickBot="1" x14ac:dyDescent="0.55000000000000004">
      <c r="A206" s="593"/>
      <c r="B206" s="306" t="s">
        <v>485</v>
      </c>
      <c r="C206" s="133" t="s">
        <v>487</v>
      </c>
      <c r="D206" s="138"/>
      <c r="E206" s="37"/>
      <c r="F206" s="37"/>
      <c r="G206" s="37"/>
      <c r="H206" s="37"/>
      <c r="I206" s="37"/>
      <c r="J206" s="190"/>
      <c r="K206" s="191"/>
      <c r="L206" s="190"/>
      <c r="M206" s="191"/>
      <c r="N206" s="190"/>
      <c r="O206" s="191"/>
      <c r="P206" s="190"/>
      <c r="Q206" s="191"/>
      <c r="R206" s="190"/>
      <c r="S206" s="191"/>
      <c r="T206" s="190"/>
      <c r="U206" s="191"/>
      <c r="V206" s="190"/>
      <c r="W206" s="191"/>
      <c r="X206" s="190"/>
      <c r="Y206" s="191"/>
      <c r="Z206" s="37"/>
      <c r="AA206" s="37"/>
      <c r="AB206" s="60">
        <f t="shared" si="100"/>
        <v>0</v>
      </c>
      <c r="AC206" s="91"/>
      <c r="AD206" s="756"/>
      <c r="AE206" s="80"/>
      <c r="AF206" s="621"/>
      <c r="AG206" s="404">
        <v>200</v>
      </c>
    </row>
    <row r="207" spans="1:34" x14ac:dyDescent="0.5">
      <c r="A207" s="652" t="s">
        <v>488</v>
      </c>
      <c r="B207" s="285" t="s">
        <v>705</v>
      </c>
      <c r="C207" s="490" t="s">
        <v>371</v>
      </c>
      <c r="D207" s="136"/>
      <c r="E207" s="33"/>
      <c r="F207" s="33"/>
      <c r="G207" s="33"/>
      <c r="H207" s="33"/>
      <c r="I207" s="33"/>
      <c r="J207" s="33"/>
      <c r="K207" s="34"/>
      <c r="L207" s="33"/>
      <c r="M207" s="34"/>
      <c r="N207" s="33"/>
      <c r="O207" s="34"/>
      <c r="P207" s="33"/>
      <c r="Q207" s="34"/>
      <c r="R207" s="33"/>
      <c r="S207" s="34"/>
      <c r="T207" s="33"/>
      <c r="U207" s="34"/>
      <c r="V207" s="33"/>
      <c r="W207" s="34"/>
      <c r="X207" s="33"/>
      <c r="Y207" s="34"/>
      <c r="Z207" s="33"/>
      <c r="AA207" s="33"/>
      <c r="AB207" s="61">
        <f t="shared" si="100"/>
        <v>0</v>
      </c>
      <c r="AC207" s="664" t="str">
        <f>CONCATENATE(IF(D208&gt;D207," * F06-08 for Age "&amp;D20&amp;" "&amp;D21&amp;" is more than F06-07"&amp;CHAR(10),""),IF(E208&gt;E207," * F06-08 for Age "&amp;D20&amp;" "&amp;E21&amp;" is more than F06-07"&amp;CHAR(10),""),IF(F208&gt;F207," * F06-08 for Age "&amp;F20&amp;" "&amp;F21&amp;" is more than F06-07"&amp;CHAR(10),""),IF(G208&gt;G207," * F06-08 for Age "&amp;F20&amp;" "&amp;G21&amp;" is more than F06-07"&amp;CHAR(10),""),IF(H208&gt;H207," * F06-08 for Age "&amp;H20&amp;" "&amp;H21&amp;" is more than F06-07"&amp;CHAR(10),""),IF(I208&gt;I207," * F06-08 for Age "&amp;H20&amp;" "&amp;I21&amp;" is more than F06-07"&amp;CHAR(10),""),IF(J208&gt;J207," * F06-08 for Age "&amp;J20&amp;" "&amp;J21&amp;" is more than F06-07"&amp;CHAR(10),""),IF(K208&gt;K207," * F06-08 for Age "&amp;J20&amp;" "&amp;K21&amp;" is more than F06-07"&amp;CHAR(10),""),IF(L208&gt;L207," * F06-08 for Age "&amp;L20&amp;" "&amp;L21&amp;" is more than F06-07"&amp;CHAR(10),""),IF(M208&gt;M207," * F06-08 for Age "&amp;L20&amp;" "&amp;M21&amp;" is more than F06-07"&amp;CHAR(10),""),IF(N208&gt;N207," * F06-08 for Age "&amp;N20&amp;" "&amp;N21&amp;" is more than F06-07"&amp;CHAR(10),""),IF(O208&gt;O207," * F06-08 for Age "&amp;N20&amp;" "&amp;O21&amp;" is more than F06-07"&amp;CHAR(10),""),IF(P208&gt;P207," * F06-08 for Age "&amp;P20&amp;" "&amp;P21&amp;" is more than F06-07"&amp;CHAR(10),""),IF(Q208&gt;Q207," * F06-08 for Age "&amp;P20&amp;" "&amp;Q21&amp;" is more than F06-07"&amp;CHAR(10),""),IF(R208&gt;R207," * F06-08 for Age "&amp;R20&amp;" "&amp;R21&amp;" is more than F06-07"&amp;CHAR(10),""),IF(S208&gt;S207," * F06-08 for Age "&amp;R20&amp;" "&amp;S21&amp;" is more than F06-07"&amp;CHAR(10),""),IF(T208&gt;T207," * F06-08 for Age "&amp;T20&amp;" "&amp;T21&amp;" is more than F06-07"&amp;CHAR(10),""),IF(U208&gt;U207," * F06-08 for Age "&amp;T20&amp;" "&amp;U21&amp;" is more than F06-07"&amp;CHAR(10),""),IF(V208&gt;V207," * F06-08 for Age "&amp;V20&amp;" "&amp;V21&amp;" is more than F06-07"&amp;CHAR(10),""),IF(W208&gt;W207," * F06-08 for Age "&amp;V20&amp;" "&amp;W21&amp;" is more than F06-07"&amp;CHAR(10),""),IF(X208&gt;X207," * F06-08 for Age "&amp;X20&amp;" "&amp;X21&amp;" is more than F06-07"&amp;CHAR(10),""),IF(Y208&gt;Y207," * F06-08 for Age "&amp;X20&amp;" "&amp;Y21&amp;" is more than F06-07"&amp;CHAR(10),""),IF(Z208&gt;Z207," * F06-08 for Age "&amp;Z20&amp;" "&amp;Z21&amp;" is more than F06-07"&amp;CHAR(10),""),IF(AA208&gt;AA207," * F06-08 for Age "&amp;Z20&amp;" "&amp;AA21&amp;" is more than F06-07"&amp;CHAR(10),""),IF(AB208&gt;AB207," * Total F06-08 is more than Total F06-07"&amp;CHAR(10),""))</f>
        <v/>
      </c>
      <c r="AD207" s="756"/>
      <c r="AE207" s="80"/>
      <c r="AF207" s="621"/>
      <c r="AG207" s="404">
        <v>201</v>
      </c>
    </row>
    <row r="208" spans="1:34" ht="32.25" x14ac:dyDescent="0.5">
      <c r="A208" s="653"/>
      <c r="B208" s="305" t="s">
        <v>706</v>
      </c>
      <c r="C208" s="491" t="s">
        <v>372</v>
      </c>
      <c r="D208" s="124"/>
      <c r="E208" s="18"/>
      <c r="F208" s="18"/>
      <c r="G208" s="18"/>
      <c r="H208" s="18"/>
      <c r="I208" s="18"/>
      <c r="J208" s="18"/>
      <c r="K208" s="185"/>
      <c r="L208" s="187"/>
      <c r="M208" s="185"/>
      <c r="N208" s="187"/>
      <c r="O208" s="185"/>
      <c r="P208" s="187"/>
      <c r="Q208" s="185"/>
      <c r="R208" s="187"/>
      <c r="S208" s="185"/>
      <c r="T208" s="187"/>
      <c r="U208" s="185"/>
      <c r="V208" s="187"/>
      <c r="W208" s="185"/>
      <c r="X208" s="187"/>
      <c r="Y208" s="185"/>
      <c r="Z208" s="187"/>
      <c r="AA208" s="18"/>
      <c r="AB208" s="58">
        <f t="shared" si="100"/>
        <v>0</v>
      </c>
      <c r="AC208" s="664"/>
      <c r="AD208" s="756"/>
      <c r="AE208" s="80"/>
      <c r="AF208" s="621"/>
      <c r="AG208" s="404">
        <v>202</v>
      </c>
    </row>
    <row r="209" spans="1:34" x14ac:dyDescent="0.5">
      <c r="A209" s="653"/>
      <c r="B209" s="282" t="s">
        <v>707</v>
      </c>
      <c r="C209" s="491" t="s">
        <v>650</v>
      </c>
      <c r="D209" s="124"/>
      <c r="E209" s="18"/>
      <c r="F209" s="18"/>
      <c r="G209" s="18"/>
      <c r="H209" s="18"/>
      <c r="I209" s="18"/>
      <c r="J209" s="18"/>
      <c r="K209" s="19"/>
      <c r="L209" s="18"/>
      <c r="M209" s="19"/>
      <c r="N209" s="18"/>
      <c r="O209" s="19"/>
      <c r="P209" s="18"/>
      <c r="Q209" s="19"/>
      <c r="R209" s="18"/>
      <c r="S209" s="19"/>
      <c r="T209" s="18"/>
      <c r="U209" s="19"/>
      <c r="V209" s="18"/>
      <c r="W209" s="19"/>
      <c r="X209" s="18"/>
      <c r="Y209" s="19"/>
      <c r="Z209" s="18"/>
      <c r="AA209" s="18"/>
      <c r="AB209" s="231">
        <f t="shared" si="100"/>
        <v>0</v>
      </c>
      <c r="AC209" s="79" t="str">
        <f>CONCATENATE(IF(D210&gt;D209," * Retesting at L&amp;D For age "&amp;$D$20&amp;" "&amp;$D$21&amp;" is less than  than Retesting positive result at L&amp;D"&amp;CHAR(10),""),IF(E210&gt;E209," * Retesting at L&amp;D For age "&amp;$D$20&amp;" "&amp;$E$21&amp;" is less than  than Retesting positive result at L&amp;D"&amp;CHAR(10),""),IF(F210&gt;F209," * Retesting at L&amp;D For age "&amp;$F$20&amp;" "&amp;$F$21&amp;" is less than  than Retesting positive result at L&amp;D"&amp;CHAR(10),""),IF(G210&gt;G209," * Retesting at L&amp;D For age "&amp;$F$20&amp;" "&amp;$G$21&amp;" is less than  than Retesting positive result at L&amp;D"&amp;CHAR(10),""),IF(H210&gt;H209," * Retesting at L&amp;D For age "&amp;$H$20&amp;" "&amp;$H$21&amp;" is less than  than Retesting positive result at L&amp;D"&amp;CHAR(10),""),IF(I210&gt;I209," * Retesting at L&amp;D For age "&amp;$H$20&amp;" "&amp;$I$21&amp;" is less than  than Retesting positive result at L&amp;D"&amp;CHAR(10),""),IF(J210&gt;J209," * Retesting at L&amp;D For age "&amp;$J$20&amp;" "&amp;$J$21&amp;" is less than  than Retesting positive result at L&amp;D"&amp;CHAR(10),""),IF(K210&gt;K209," * Retesting at L&amp;D For age "&amp;$J$20&amp;" "&amp;$K$21&amp;" is less than  than Retesting positive result at L&amp;D"&amp;CHAR(10),""),IF(L210&gt;L209," * Retesting at L&amp;D For age "&amp;$L$20&amp;" "&amp;$L$21&amp;" is less than  than Retesting positive result at L&amp;D"&amp;CHAR(10),""),IF(M210&gt;M209," * Retesting at L&amp;D For age "&amp;$L$20&amp;" "&amp;$M$21&amp;" is less than  than Retesting positive result at L&amp;D"&amp;CHAR(10),""),IF(N210&gt;N209," * Retesting at L&amp;D For age "&amp;$N$20&amp;" "&amp;$N$21&amp;" is less than  than Retesting positive result at L&amp;D"&amp;CHAR(10),""),IF(O210&gt;O209," * Retesting at L&amp;D For age "&amp;$N$20&amp;" "&amp;$O$21&amp;" is less than  than Retesting positive result at L&amp;D"&amp;CHAR(10),""),IF(P210&gt;P209," * Retesting at L&amp;D For age "&amp;$P$20&amp;" "&amp;$P$21&amp;" is less than  than Retesting positive result at L&amp;D"&amp;CHAR(10),""),IF(Q210&gt;Q209," * Retesting at L&amp;D For age "&amp;$P$20&amp;" "&amp;$Q$21&amp;" is less than  than Retesting positive result at L&amp;D"&amp;CHAR(10),""),IF(R210&gt;R209," * Retesting at L&amp;D For age "&amp;$R$20&amp;" "&amp;$R$21&amp;" is less than  than Retesting positive result at L&amp;D"&amp;CHAR(10),""),IF(S210&gt;S209," * Retesting at L&amp;D For age "&amp;$R$20&amp;" "&amp;$S$21&amp;" is less than  than Retesting positive result at L&amp;D"&amp;CHAR(10),""),IF(T210&gt;T209," * Retesting at L&amp;D For age "&amp;$T$20&amp;" "&amp;$T$21&amp;" is less than  than Retesting positive result at L&amp;D"&amp;CHAR(10),""),IF(U210&gt;U209," * Retesting at L&amp;D For age "&amp;$T$20&amp;" "&amp;$U$21&amp;" is less than  than Retesting positive result at L&amp;D"&amp;CHAR(10),""),IF(V210&gt;V209," * Retesting at L&amp;D For age "&amp;$V$20&amp;" "&amp;$V$21&amp;" is less than  than Retesting positive result at L&amp;D"&amp;CHAR(10),""),IF(W210&gt;W209," * Retesting at L&amp;D For age "&amp;$V$20&amp;" "&amp;$W$21&amp;" is less than  than Retesting positive result at L&amp;D"&amp;CHAR(10),""),IF(X210&gt;X209," * Retesting at L&amp;D For age "&amp;$X$20&amp;" "&amp;$X$21&amp;" is less than  than Retesting positive result at L&amp;D"&amp;CHAR(10),""),IF(Y210&gt;Y209," * Retesting at L&amp;D For age "&amp;$X$20&amp;" "&amp;$Y$21&amp;" is less than  than Retesting positive result at L&amp;D"&amp;CHAR(10),""),IF(Z210&gt;Z209," * Retesting at L&amp;D For age "&amp;$Z$20&amp;" "&amp;$Z$21&amp;" is less than  than Retesting positive result at L&amp;D"&amp;CHAR(10),""),IF(AA210&gt;AA209," * Retesting at L&amp;D For age "&amp;$Z$20&amp;" "&amp;$AA$21&amp;" is less than  than Retesting positive result at L&amp;D"&amp;CHAR(10),""))</f>
        <v/>
      </c>
      <c r="AD209" s="756"/>
      <c r="AE209" s="80"/>
      <c r="AF209" s="621"/>
      <c r="AG209" s="404">
        <v>203</v>
      </c>
    </row>
    <row r="210" spans="1:34" ht="33" thickBot="1" x14ac:dyDescent="0.55000000000000004">
      <c r="A210" s="722"/>
      <c r="B210" s="306" t="s">
        <v>708</v>
      </c>
      <c r="C210" s="492" t="s">
        <v>651</v>
      </c>
      <c r="D210" s="138"/>
      <c r="E210" s="37"/>
      <c r="F210" s="37"/>
      <c r="G210" s="37"/>
      <c r="H210" s="37"/>
      <c r="I210" s="37"/>
      <c r="J210" s="37"/>
      <c r="K210" s="191"/>
      <c r="L210" s="190"/>
      <c r="M210" s="191"/>
      <c r="N210" s="190"/>
      <c r="O210" s="191"/>
      <c r="P210" s="190"/>
      <c r="Q210" s="191"/>
      <c r="R210" s="190"/>
      <c r="S210" s="191"/>
      <c r="T210" s="190"/>
      <c r="U210" s="191"/>
      <c r="V210" s="190"/>
      <c r="W210" s="191"/>
      <c r="X210" s="190"/>
      <c r="Y210" s="191"/>
      <c r="Z210" s="190"/>
      <c r="AA210" s="37"/>
      <c r="AB210" s="231">
        <f t="shared" si="100"/>
        <v>0</v>
      </c>
      <c r="AC210" s="82"/>
      <c r="AD210" s="756"/>
      <c r="AE210" s="80"/>
      <c r="AF210" s="621"/>
      <c r="AG210" s="404">
        <v>204</v>
      </c>
    </row>
    <row r="211" spans="1:34" x14ac:dyDescent="0.5">
      <c r="A211" s="652" t="s">
        <v>493</v>
      </c>
      <c r="B211" s="285" t="s">
        <v>709</v>
      </c>
      <c r="C211" s="490" t="s">
        <v>284</v>
      </c>
      <c r="D211" s="136"/>
      <c r="E211" s="33"/>
      <c r="F211" s="33"/>
      <c r="G211" s="33"/>
      <c r="H211" s="33"/>
      <c r="I211" s="33"/>
      <c r="J211" s="33"/>
      <c r="K211" s="34"/>
      <c r="L211" s="33"/>
      <c r="M211" s="34"/>
      <c r="N211" s="33"/>
      <c r="O211" s="34"/>
      <c r="P211" s="33"/>
      <c r="Q211" s="34"/>
      <c r="R211" s="33"/>
      <c r="S211" s="34"/>
      <c r="T211" s="33"/>
      <c r="U211" s="34"/>
      <c r="V211" s="33"/>
      <c r="W211" s="34"/>
      <c r="X211" s="33"/>
      <c r="Y211" s="34"/>
      <c r="Z211" s="33"/>
      <c r="AA211" s="33"/>
      <c r="AB211" s="61">
        <f t="shared" si="100"/>
        <v>0</v>
      </c>
      <c r="AC211" s="664" t="str">
        <f>CONCATENATE(IF(D212&gt;D211," * Positive at PNC &lt;=6wks for Age "&amp;D20&amp;" "&amp;D21&amp;" is more than Initial test at PNC &lt;= 6wks"&amp;CHAR(10),""),IF(E212&gt;E211," * Positive at PNC &lt;=6wks for Age "&amp;D20&amp;" "&amp;E21&amp;" is more than Initial test at PNC &lt;= 6wks"&amp;CHAR(10),""),IF(F212&gt;F211," * Positive at PNC &lt;=6wks for Age "&amp;F20&amp;" "&amp;F21&amp;" is more than Initial test at PNC &lt;= 6wks"&amp;CHAR(10),""),IF(G212&gt;G211," * Positive at PNC &lt;=6wks for Age "&amp;F20&amp;" "&amp;G21&amp;" is more than Initial test at PNC &lt;= 6wks"&amp;CHAR(10),""),IF(H212&gt;H211," * Positive at PNC &lt;=6wks for Age "&amp;H20&amp;" "&amp;H21&amp;" is more than Initial test at PNC &lt;= 6wks"&amp;CHAR(10),""),IF(I212&gt;I211," * Positive at PNC &lt;=6wks for Age "&amp;H20&amp;" "&amp;I21&amp;" is more than Initial test at PNC &lt;= 6wks"&amp;CHAR(10),""),IF(J212&gt;J211," * Positive at PNC &lt;=6wks for Age "&amp;J20&amp;" "&amp;J21&amp;" is more than Initial test at PNC &lt;= 6wks"&amp;CHAR(10),""),IF(K212&gt;K211," * Positive at PNC &lt;=6wks for Age "&amp;J20&amp;" "&amp;K21&amp;" is more than Initial test at PNC &lt;= 6wks"&amp;CHAR(10),""),IF(L212&gt;L211," * Positive at PNC &lt;=6wks for Age "&amp;L20&amp;" "&amp;L21&amp;" is more than Initial test at PNC &lt;= 6wks"&amp;CHAR(10),""),IF(M212&gt;M211," * Positive at PNC &lt;=6wks for Age "&amp;L20&amp;" "&amp;M21&amp;" is more than Initial test at PNC &lt;= 6wks"&amp;CHAR(10),""),IF(N212&gt;N211," * Positive at PNC &lt;=6wks for Age "&amp;N20&amp;" "&amp;N21&amp;" is more than Initial test at PNC &lt;= 6wks"&amp;CHAR(10),""),IF(O212&gt;O211," * Positive at PNC &lt;=6wks for Age "&amp;N20&amp;" "&amp;O21&amp;" is more than Initial test at PNC &lt;= 6wks"&amp;CHAR(10),""),IF(P212&gt;P211," * Positive at PNC &lt;=6wks for Age "&amp;P20&amp;" "&amp;P21&amp;" is more than Initial test at PNC &lt;= 6wks"&amp;CHAR(10),""),IF(Q212&gt;Q211," * Positive at PNC &lt;=6wks for Age "&amp;P20&amp;" "&amp;Q21&amp;" is more than Initial test at PNC &lt;= 6wks"&amp;CHAR(10),""),IF(R212&gt;R211," * Positive at PNC &lt;=6wks for Age "&amp;R20&amp;" "&amp;R21&amp;" is more than Initial test at PNC &lt;= 6wks"&amp;CHAR(10),""),IF(S212&gt;S211," * Positive at PNC &lt;=6wks for Age "&amp;R20&amp;" "&amp;S21&amp;" is more than Initial test at PNC &lt;= 6wks"&amp;CHAR(10),""),IF(T212&gt;T211," * Positive at PNC &lt;=6wks for Age "&amp;T20&amp;" "&amp;T21&amp;" is more than Initial test at PNC &lt;= 6wks"&amp;CHAR(10),""),IF(U212&gt;U211," * Positive at PNC &lt;=6wks for Age "&amp;T20&amp;" "&amp;U21&amp;" is more than Initial test at PNC &lt;= 6wks"&amp;CHAR(10),""),IF(V212&gt;V211," * Positive at PNC &lt;=6wks for Age "&amp;V20&amp;" "&amp;V21&amp;" is more than Initial test at PNC &lt;= 6wks"&amp;CHAR(10),""),IF(W212&gt;W211," * Positive at PNC &lt;=6wks for Age "&amp;V20&amp;" "&amp;W21&amp;" is more than Initial test at PNC &lt;= 6wks"&amp;CHAR(10),""),IF(X212&gt;X211," * Positive at PNC &lt;=6wks for Age "&amp;X20&amp;" "&amp;X21&amp;" is more than Initial test at PNC &lt;= 6wks"&amp;CHAR(10),""),IF(Y212&gt;Y211," * Positive at PNC &lt;=6wks for Age "&amp;X20&amp;" "&amp;Y21&amp;" is more than Initial test at PNC &lt;= 6wks"&amp;CHAR(10),""),IF(Z212&gt;Z211," * Positive at PNC &lt;=6wks for Age "&amp;Z20&amp;" "&amp;Z21&amp;" is more than Initial test at PNC &lt;= 6wks"&amp;CHAR(10),""),IF(AA212&gt;AA211," * Positive at PNC &lt;=6wks for Age "&amp;Z20&amp;" "&amp;AA21&amp;" is more than Initial test at PNC &lt;= 6wks"&amp;CHAR(10),""))</f>
        <v/>
      </c>
      <c r="AD211" s="756"/>
      <c r="AE211" s="80"/>
      <c r="AF211" s="621"/>
      <c r="AG211" s="404">
        <v>205</v>
      </c>
    </row>
    <row r="212" spans="1:34" ht="32.25" x14ac:dyDescent="0.5">
      <c r="A212" s="653"/>
      <c r="B212" s="305" t="s">
        <v>710</v>
      </c>
      <c r="C212" s="491" t="s">
        <v>286</v>
      </c>
      <c r="D212" s="192"/>
      <c r="E212" s="193"/>
      <c r="F212" s="193"/>
      <c r="G212" s="193"/>
      <c r="H212" s="193"/>
      <c r="I212" s="193"/>
      <c r="J212" s="187"/>
      <c r="K212" s="185"/>
      <c r="L212" s="187"/>
      <c r="M212" s="185"/>
      <c r="N212" s="187"/>
      <c r="O212" s="185"/>
      <c r="P212" s="187"/>
      <c r="Q212" s="185"/>
      <c r="R212" s="187"/>
      <c r="S212" s="185"/>
      <c r="T212" s="187"/>
      <c r="U212" s="185"/>
      <c r="V212" s="187"/>
      <c r="W212" s="185"/>
      <c r="X212" s="187"/>
      <c r="Y212" s="185"/>
      <c r="Z212" s="187"/>
      <c r="AA212" s="18"/>
      <c r="AB212" s="58">
        <f t="shared" si="100"/>
        <v>0</v>
      </c>
      <c r="AC212" s="664"/>
      <c r="AD212" s="756"/>
      <c r="AE212" s="80"/>
      <c r="AF212" s="621"/>
      <c r="AG212" s="404">
        <v>206</v>
      </c>
    </row>
    <row r="213" spans="1:34" s="9" customFormat="1" x14ac:dyDescent="0.5">
      <c r="A213" s="653"/>
      <c r="B213" s="282" t="s">
        <v>489</v>
      </c>
      <c r="C213" s="130" t="s">
        <v>494</v>
      </c>
      <c r="D213" s="124"/>
      <c r="E213" s="18"/>
      <c r="F213" s="18"/>
      <c r="G213" s="18"/>
      <c r="H213" s="18"/>
      <c r="I213" s="18"/>
      <c r="J213" s="18"/>
      <c r="K213" s="19"/>
      <c r="L213" s="18"/>
      <c r="M213" s="19"/>
      <c r="N213" s="18"/>
      <c r="O213" s="19"/>
      <c r="P213" s="18"/>
      <c r="Q213" s="19"/>
      <c r="R213" s="18"/>
      <c r="S213" s="19"/>
      <c r="T213" s="18"/>
      <c r="U213" s="19"/>
      <c r="V213" s="18"/>
      <c r="W213" s="19"/>
      <c r="X213" s="18"/>
      <c r="Y213" s="19"/>
      <c r="Z213" s="18"/>
      <c r="AA213" s="18"/>
      <c r="AB213" s="58">
        <f t="shared" si="100"/>
        <v>0</v>
      </c>
      <c r="AC213" s="79" t="str">
        <f>CONCATENATE(IF(D214&gt;D213," * Retesting at PNC &lt; = 6 weeks For age "&amp;$D$20&amp;" "&amp;$D$21&amp;" is less than  than Retesting positive result at PNC &lt; = 6 weeks"&amp;CHAR(10),""),IF(E214&gt;E213," * Retesting at PNC &lt; = 6 weeks For age "&amp;$D$20&amp;" "&amp;$E$21&amp;" is less than  than Retesting positive result at PNC &lt; = 6 weeks"&amp;CHAR(10),""),IF(F214&gt;F213," * Retesting at PNC &lt; = 6 weeks For age "&amp;$F$20&amp;" "&amp;$F$21&amp;" is less than  than Retesting positive result at PNC &lt; = 6 weeks"&amp;CHAR(10),""),IF(G214&gt;G213," * Retesting at PNC &lt; = 6 weeks For age "&amp;$F$20&amp;" "&amp;$G$21&amp;" is less than  than Retesting positive result at PNC &lt; = 6 weeks"&amp;CHAR(10),""),IF(H214&gt;H213," * Retesting at PNC &lt; = 6 weeks For age "&amp;$H$20&amp;" "&amp;$H$21&amp;" is less than  than Retesting positive result at PNC &lt; = 6 weeks"&amp;CHAR(10),""),IF(I214&gt;I213," * Retesting at PNC &lt; = 6 weeks For age "&amp;$H$20&amp;" "&amp;$I$21&amp;" is less than  than Retesting positive result at PNC &lt; = 6 weeks"&amp;CHAR(10),""),IF(J214&gt;J213," * Retesting at PNC &lt; = 6 weeks For age "&amp;$J$20&amp;" "&amp;$J$21&amp;" is less than  than Retesting positive result at PNC &lt; = 6 weeks"&amp;CHAR(10),""),IF(K214&gt;K213," * Retesting at PNC &lt; = 6 weeks For age "&amp;$J$20&amp;" "&amp;$K$21&amp;" is less than  than Retesting positive result at PNC &lt; = 6 weeks"&amp;CHAR(10),""),IF(L214&gt;L213," * Retesting at PNC &lt; = 6 weeks For age "&amp;$L$20&amp;" "&amp;$L$21&amp;" is less than  than Retesting positive result at PNC &lt; = 6 weeks"&amp;CHAR(10),""),IF(M214&gt;M213," * Retesting at PNC &lt; = 6 weeks For age "&amp;$L$20&amp;" "&amp;$M$21&amp;" is less than  than Retesting positive result at PNC &lt; = 6 weeks"&amp;CHAR(10),""),IF(N214&gt;N213," * Retesting at PNC &lt; = 6 weeks For age "&amp;$N$20&amp;" "&amp;$N$21&amp;" is less than  than Retesting positive result at PNC &lt; = 6 weeks"&amp;CHAR(10),""),IF(O214&gt;O213," * Retesting at PNC &lt; = 6 weeks For age "&amp;$N$20&amp;" "&amp;$O$21&amp;" is less than  than Retesting positive result at PNC &lt; = 6 weeks"&amp;CHAR(10),""),IF(P214&gt;P213," * Retesting at PNC &lt; = 6 weeks For age "&amp;$P$20&amp;" "&amp;$P$21&amp;" is less than  than Retesting positive result at PNC &lt; = 6 weeks"&amp;CHAR(10),""),IF(Q214&gt;Q213," * Retesting at PNC &lt; = 6 weeks For age "&amp;$P$20&amp;" "&amp;$Q$21&amp;" is less than  than Retesting positive result at PNC &lt; = 6 weeks"&amp;CHAR(10),""),IF(R214&gt;R213," * Retesting at PNC &lt; = 6 weeks For age "&amp;$R$20&amp;" "&amp;$R$21&amp;" is less than  than Retesting positive result at PNC &lt; = 6 weeks"&amp;CHAR(10),""),IF(S214&gt;S213," * Retesting at PNC &lt; = 6 weeks For age "&amp;$R$20&amp;" "&amp;$S$21&amp;" is less than  than Retesting positive result at PNC &lt; = 6 weeks"&amp;CHAR(10),""),IF(T214&gt;T213," * Retesting at PNC &lt; = 6 weeks For age "&amp;$T$20&amp;" "&amp;$T$21&amp;" is less than  than Retesting positive result at PNC &lt; = 6 weeks"&amp;CHAR(10),""),IF(U214&gt;U213," * Retesting at PNC &lt; = 6 weeks For age "&amp;$T$20&amp;" "&amp;$U$21&amp;" is less than  than Retesting positive result at PNC &lt; = 6 weeks"&amp;CHAR(10),""),IF(V214&gt;V213," * Retesting at PNC &lt; = 6 weeks For age "&amp;$V$20&amp;" "&amp;$V$21&amp;" is less than  than Retesting positive result at PNC &lt; = 6 weeks"&amp;CHAR(10),""),IF(W214&gt;W213," * Retesting at PNC &lt; = 6 weeks For age "&amp;$V$20&amp;" "&amp;$W$21&amp;" is less than  than Retesting positive result at PNC &lt; = 6 weeks"&amp;CHAR(10),""),IF(X214&gt;X213," * Retesting at PNC &lt; = 6 weeks For age "&amp;$X$20&amp;" "&amp;$X$21&amp;" is less than  than Retesting positive result at PNC &lt; = 6 weeks"&amp;CHAR(10),""),IF(Y214&gt;Y213," * Retesting at PNC &lt; = 6 weeks For age "&amp;$X$20&amp;" "&amp;$Y$21&amp;" is less than  than Retesting positive result at PNC &lt; = 6 weeks"&amp;CHAR(10),""),IF(Z214&gt;Z213," * Retesting at PNC &lt; = 6 weeks For age "&amp;$Z$20&amp;" "&amp;$Z$21&amp;" is less than  than Retesting positive result at PNC &lt; = 6 weeks"&amp;CHAR(10),""),IF(AA214&gt;AA213," * Retesting at PNC &lt; = 6 weeks For age "&amp;$Z$20&amp;" "&amp;$AA$21&amp;" is less than  than Retesting positive result at PNC &lt; = 6 weeks"&amp;CHAR(10),""))</f>
        <v/>
      </c>
      <c r="AD213" s="756"/>
      <c r="AE213" s="81"/>
      <c r="AF213" s="621"/>
      <c r="AG213" s="404">
        <v>207</v>
      </c>
      <c r="AH213" s="311"/>
    </row>
    <row r="214" spans="1:34" ht="32.25" x14ac:dyDescent="0.5">
      <c r="A214" s="653"/>
      <c r="B214" s="305" t="s">
        <v>490</v>
      </c>
      <c r="C214" s="131" t="s">
        <v>495</v>
      </c>
      <c r="D214" s="124"/>
      <c r="E214" s="18"/>
      <c r="F214" s="18"/>
      <c r="G214" s="18"/>
      <c r="H214" s="186"/>
      <c r="I214" s="186"/>
      <c r="J214" s="186"/>
      <c r="K214" s="184"/>
      <c r="L214" s="186"/>
      <c r="M214" s="184"/>
      <c r="N214" s="186"/>
      <c r="O214" s="184"/>
      <c r="P214" s="186"/>
      <c r="Q214" s="184"/>
      <c r="R214" s="186"/>
      <c r="S214" s="184"/>
      <c r="T214" s="186"/>
      <c r="U214" s="184"/>
      <c r="V214" s="186"/>
      <c r="W214" s="184"/>
      <c r="X214" s="186"/>
      <c r="Y214" s="184"/>
      <c r="Z214" s="186"/>
      <c r="AA214" s="18"/>
      <c r="AB214" s="58">
        <f t="shared" si="100"/>
        <v>0</v>
      </c>
      <c r="AC214" s="82"/>
      <c r="AD214" s="756"/>
      <c r="AE214" s="80"/>
      <c r="AF214" s="621"/>
      <c r="AG214" s="404">
        <v>208</v>
      </c>
    </row>
    <row r="215" spans="1:34" x14ac:dyDescent="0.5">
      <c r="A215" s="653"/>
      <c r="B215" s="282" t="s">
        <v>491</v>
      </c>
      <c r="C215" s="131" t="s">
        <v>496</v>
      </c>
      <c r="D215" s="124"/>
      <c r="E215" s="18"/>
      <c r="F215" s="18"/>
      <c r="G215" s="18"/>
      <c r="H215" s="18"/>
      <c r="I215" s="18"/>
      <c r="J215" s="18"/>
      <c r="K215" s="19"/>
      <c r="L215" s="18"/>
      <c r="M215" s="19"/>
      <c r="N215" s="18"/>
      <c r="O215" s="19"/>
      <c r="P215" s="18"/>
      <c r="Q215" s="19"/>
      <c r="R215" s="18"/>
      <c r="S215" s="213"/>
      <c r="T215" s="18"/>
      <c r="U215" s="213"/>
      <c r="V215" s="18"/>
      <c r="W215" s="213"/>
      <c r="X215" s="18"/>
      <c r="Y215" s="213"/>
      <c r="Z215" s="18"/>
      <c r="AA215" s="18"/>
      <c r="AB215" s="58">
        <f t="shared" si="100"/>
        <v>0</v>
      </c>
      <c r="AC215" s="79" t="str">
        <f>CONCATENATE(IF(D216&gt;D215," * Testing at PNC &gt; 6 weeks For age "&amp;$D$20&amp;" "&amp;$D$21&amp;" is less than Positive result at PNC &gt; 6 weeks"&amp;CHAR(10),""),IF(E216&gt;E215," * Testing at PNC &gt; 6 weeks For age "&amp;$D$20&amp;" "&amp;$E$21&amp;" is less than Positive result at PNC &gt; 6 weeks"&amp;CHAR(10),""),IF(F216&gt;F215," * Testing at PNC &gt; 6 weeks For age "&amp;$F$20&amp;" "&amp;$F$21&amp;" is less than Positive result at PNC &gt; 6 weeks"&amp;CHAR(10),""),IF(G216&gt;G215," * Testing at PNC &gt; 6 weeks For age "&amp;$F$20&amp;" "&amp;$G$21&amp;" is less than Positive result at PNC &gt; 6 weeks"&amp;CHAR(10),""),IF(H216&gt;H215," * Testing at PNC &gt; 6 weeks For age "&amp;$H$20&amp;" "&amp;$H$21&amp;" is less than Positive result at PNC &gt; 6 weeks"&amp;CHAR(10),""),IF(I216&gt;I215," * Testing at PNC &gt; 6 weeks For age "&amp;$H$20&amp;" "&amp;$I$21&amp;" is less than Positive result at PNC &gt; 6 weeks"&amp;CHAR(10),""),IF(J216&gt;J215," * Testing at PNC &gt; 6 weeks For age "&amp;$J$20&amp;" "&amp;$J$21&amp;" is less than Positive result at PNC &gt; 6 weeks"&amp;CHAR(10),""),IF(K216&gt;K215," * Testing at PNC &gt; 6 weeks For age "&amp;$J$20&amp;" "&amp;$K$21&amp;" is less than Positive result at PNC &gt; 6 weeks"&amp;CHAR(10),""),IF(L216&gt;L215," * Testing at PNC &gt; 6 weeks For age "&amp;$L$20&amp;" "&amp;$L$21&amp;" is less than Positive result at PNC &gt; 6 weeks"&amp;CHAR(10),""),IF(M216&gt;M215," * Testing at PNC &gt; 6 weeks For age "&amp;$L$20&amp;" "&amp;$M$21&amp;" is less than Positive result at PNC &gt; 6 weeks"&amp;CHAR(10),""),IF(N216&gt;N215," * Testing at PNC &gt; 6 weeks For age "&amp;$N$20&amp;" "&amp;$N$21&amp;" is less than Positive result at PNC &gt; 6 weeks"&amp;CHAR(10),""),IF(O216&gt;O215," * Testing at PNC &gt; 6 weeks For age "&amp;$N$20&amp;" "&amp;$O$21&amp;" is less than Positive result at PNC &gt; 6 weeks"&amp;CHAR(10),""),IF(P216&gt;P215," * Testing at PNC &gt; 6 weeks For age "&amp;$P$20&amp;" "&amp;$P$21&amp;" is less than Positive result at PNC &gt; 6 weeks"&amp;CHAR(10),""),IF(Q216&gt;Q215," * Testing at PNC &gt; 6 weeks For age "&amp;$P$20&amp;" "&amp;$Q$21&amp;" is less than Positive result at PNC &gt; 6 weeks"&amp;CHAR(10),""),IF(R216&gt;R215," * Testing at PNC &gt; 6 weeks For age "&amp;$R$20&amp;" "&amp;$R$21&amp;" is less than Positive result at PNC &gt; 6 weeks"&amp;CHAR(10),""),IF(S216&gt;S215," * Testing at PNC &gt; 6 weeks For age "&amp;$R$20&amp;" "&amp;$S$21&amp;" is less than Positive result at PNC &gt; 6 weeks"&amp;CHAR(10),""),IF(T216&gt;T215," * Testing at PNC &gt; 6 weeks For age "&amp;$T$20&amp;" "&amp;$T$21&amp;" is less than Positive result at PNC &gt; 6 weeks"&amp;CHAR(10),""),IF(U216&gt;U215," * Testing at PNC &gt; 6 weeks For age "&amp;$T$20&amp;" "&amp;$U$21&amp;" is less than Positive result at PNC &gt; 6 weeks"&amp;CHAR(10),""),IF(V216&gt;V215," * Testing at PNC &gt; 6 weeks For age "&amp;$V$20&amp;" "&amp;$V$21&amp;" is less than Positive result at PNC &gt; 6 weeks"&amp;CHAR(10),""),IF(W216&gt;W215," * Testing at PNC &gt; 6 weeks For age "&amp;$V$20&amp;" "&amp;$W$21&amp;" is less than Positive result at PNC &gt; 6 weeks"&amp;CHAR(10),""),IF(X216&gt;X215," * Testing at PNC &gt; 6 weeks For age "&amp;$X$20&amp;" "&amp;$X$21&amp;" is less than Positive result at PNC &gt; 6 weeks"&amp;CHAR(10),""),IF(Y216&gt;Y215," * Testing at PNC &gt; 6 weeks For age "&amp;$X$20&amp;" "&amp;$Y$21&amp;" is less than Positive result at PNC &gt; 6 weeks"&amp;CHAR(10),""),IF(Z216&gt;Z215," * Testing at PNC &gt; 6 weeks For age "&amp;$Z$20&amp;" "&amp;$Z$21&amp;" is less than Positive result at PNC &gt; 6 weeks"&amp;CHAR(10),""),IF(AA216&gt;AA215," * Testing at PNC &gt; 6 weeks For age "&amp;$Z$20&amp;" "&amp;$AA$21&amp;" is less than Positive result at PNC &gt; 6 weeks"&amp;CHAR(10),""))</f>
        <v/>
      </c>
      <c r="AD215" s="756"/>
      <c r="AE215" s="80"/>
      <c r="AF215" s="621"/>
      <c r="AG215" s="404">
        <v>209</v>
      </c>
    </row>
    <row r="216" spans="1:34" ht="31.5" thickBot="1" x14ac:dyDescent="0.55000000000000004">
      <c r="A216" s="722"/>
      <c r="B216" s="284" t="s">
        <v>492</v>
      </c>
      <c r="C216" s="133" t="s">
        <v>497</v>
      </c>
      <c r="D216" s="138"/>
      <c r="E216" s="37"/>
      <c r="F216" s="37"/>
      <c r="G216" s="37"/>
      <c r="H216" s="188"/>
      <c r="I216" s="188"/>
      <c r="J216" s="188"/>
      <c r="K216" s="189"/>
      <c r="L216" s="188"/>
      <c r="M216" s="189"/>
      <c r="N216" s="188"/>
      <c r="O216" s="189"/>
      <c r="P216" s="188"/>
      <c r="Q216" s="189"/>
      <c r="R216" s="188"/>
      <c r="S216" s="189"/>
      <c r="T216" s="188"/>
      <c r="U216" s="189"/>
      <c r="V216" s="188"/>
      <c r="W216" s="189"/>
      <c r="X216" s="188"/>
      <c r="Y216" s="189"/>
      <c r="Z216" s="188"/>
      <c r="AA216" s="188"/>
      <c r="AB216" s="60">
        <f t="shared" si="100"/>
        <v>0</v>
      </c>
      <c r="AC216" s="82"/>
      <c r="AD216" s="756"/>
      <c r="AE216" s="80"/>
      <c r="AF216" s="621"/>
      <c r="AG216" s="404">
        <v>210</v>
      </c>
    </row>
    <row r="217" spans="1:34" x14ac:dyDescent="0.5">
      <c r="A217" s="646" t="s">
        <v>124</v>
      </c>
      <c r="B217" s="285" t="s">
        <v>711</v>
      </c>
      <c r="C217" s="129" t="s">
        <v>287</v>
      </c>
      <c r="D217" s="136"/>
      <c r="E217" s="33"/>
      <c r="F217" s="33"/>
      <c r="G217" s="33"/>
      <c r="H217" s="33"/>
      <c r="I217" s="33"/>
      <c r="J217" s="34"/>
      <c r="K217" s="33"/>
      <c r="L217" s="34"/>
      <c r="M217" s="33"/>
      <c r="N217" s="34"/>
      <c r="O217" s="33"/>
      <c r="P217" s="34"/>
      <c r="Q217" s="33"/>
      <c r="R217" s="34"/>
      <c r="S217" s="33"/>
      <c r="T217" s="34"/>
      <c r="U217" s="33"/>
      <c r="V217" s="34"/>
      <c r="W217" s="33"/>
      <c r="X217" s="34"/>
      <c r="Y217" s="33"/>
      <c r="Z217" s="34"/>
      <c r="AA217" s="33"/>
      <c r="AB217" s="61">
        <f t="shared" si="100"/>
        <v>0</v>
      </c>
      <c r="AC217" s="664" t="str">
        <f>CONCATENATE(IF(D218&gt;D217," * Male Partners Tested Positive for Age "&amp;D20&amp;" "&amp;D21&amp;" is more than Male Partners Tested"&amp;CHAR(10),""),IF(E218&gt;E217," * Male Partners Tested Positive for Age "&amp;D20&amp;" "&amp;E21&amp;" is more than Male Partners Tested"&amp;CHAR(10),""),IF(F218&gt;F217," * Male Partners Tested Positive for Age "&amp;F20&amp;" "&amp;F21&amp;" is more than Male Partners Tested"&amp;CHAR(10),""),IF(G218&gt;G217," * Male Partners Tested Positive for Age "&amp;F20&amp;" "&amp;G21&amp;" is more than Male Partners Tested"&amp;CHAR(10),""),IF(H218&gt;H217," * Male Partners Tested Positive for Age "&amp;H20&amp;" "&amp;H21&amp;" is more than Male Partners Tested"&amp;CHAR(10),""),IF(I218&gt;I217," * Male Partners Tested Positive for Age "&amp;H20&amp;" "&amp;I21&amp;" is more than Male Partners Tested"&amp;CHAR(10),""),IF(J218&gt;J217," * Male Partners Tested Positive for Age "&amp;J20&amp;" "&amp;J21&amp;" is more than Male Partners Tested"&amp;CHAR(10),""),IF(K218&gt;K217," * Male Partners Tested Positive for Age "&amp;J20&amp;" "&amp;K21&amp;" is more than Male Partners Tested"&amp;CHAR(10),""),IF(L218&gt;L217," * Male Partners Tested Positive for Age "&amp;L20&amp;" "&amp;L21&amp;" is more than Male Partners Tested"&amp;CHAR(10),""),IF(M218&gt;M217," * Male Partners Tested Positive for Age "&amp;L20&amp;" "&amp;M21&amp;" is more than Male Partners Tested"&amp;CHAR(10),""),IF(N218&gt;N217," * Male Partners Tested Positive for Age "&amp;N20&amp;" "&amp;N21&amp;" is more than Male Partners Tested"&amp;CHAR(10),""),IF(O218&gt;O217," * Male Partners Tested Positive for Age "&amp;N20&amp;" "&amp;O21&amp;" is more than Male Partners Tested"&amp;CHAR(10),""),IF(P218&gt;P217," * Male Partners Tested Positive for Age "&amp;P20&amp;" "&amp;P21&amp;" is more than Male Partners Tested"&amp;CHAR(10),""),IF(Q218&gt;Q217," * Male Partners Tested Positive for Age "&amp;P20&amp;" "&amp;Q21&amp;" is more than Male Partners Tested"&amp;CHAR(10),""),IF(R218&gt;R217," * Male Partners Tested Positive for Age "&amp;R20&amp;" "&amp;R21&amp;" is more than Male Partners Tested"&amp;CHAR(10),""),IF(S218&gt;S217," * Male Partners Tested Positive for Age "&amp;R20&amp;" "&amp;S21&amp;" is more than Male Partners Tested"&amp;CHAR(10),""),IF(T218&gt;T217," * Male Partners Tested Positive for Age "&amp;T20&amp;" "&amp;T21&amp;" is more than Male Partners Tested"&amp;CHAR(10),""),IF(U218&gt;U217," * Male Partners Tested Positive for Age "&amp;T20&amp;" "&amp;U21&amp;" is more than Male Partners Tested"&amp;CHAR(10),""),IF(V218&gt;V217," * Male Partners Tested Positive for Age "&amp;V20&amp;" "&amp;V21&amp;" is more than Male Partners Tested"&amp;CHAR(10),""),IF(W218&gt;W217," * Male Partners Tested Positive for Age "&amp;V20&amp;" "&amp;W21&amp;" is more than Male Partners Tested"&amp;CHAR(10),""),IF(X218&gt;X217," * Male Partners Tested Positive for Age "&amp;X20&amp;" "&amp;X21&amp;" is more than Male Partners Tested"&amp;CHAR(10),""),IF(Y218&gt;Y217," * Male Partners Tested Positive for Age "&amp;X20&amp;" "&amp;Y21&amp;" is more than Male Partners Tested"&amp;CHAR(10),""),IF(Z218&gt;Z217," * Male Partners Tested Positive for Age "&amp;Z20&amp;" "&amp;Z21&amp;" is more than Male Partners Tested"&amp;CHAR(10),""),IF(AA218&gt;AA217," * Male Partners Tested Positive for Age "&amp;Z20&amp;" "&amp;AA21&amp;" is more than Male Partners Tested"&amp;CHAR(10),""))</f>
        <v/>
      </c>
      <c r="AD217" s="756"/>
      <c r="AE217" s="80"/>
      <c r="AF217" s="621"/>
      <c r="AG217" s="404">
        <v>211</v>
      </c>
    </row>
    <row r="218" spans="1:34" ht="31.5" thickBot="1" x14ac:dyDescent="0.55000000000000004">
      <c r="A218" s="648"/>
      <c r="B218" s="284" t="s">
        <v>712</v>
      </c>
      <c r="C218" s="133" t="s">
        <v>288</v>
      </c>
      <c r="D218" s="138"/>
      <c r="E218" s="37"/>
      <c r="F218" s="37"/>
      <c r="G218" s="37"/>
      <c r="H218" s="37"/>
      <c r="I218" s="37"/>
      <c r="J218" s="54"/>
      <c r="K218" s="37"/>
      <c r="L218" s="54"/>
      <c r="M218" s="37"/>
      <c r="N218" s="54"/>
      <c r="O218" s="37"/>
      <c r="P218" s="54"/>
      <c r="Q218" s="37"/>
      <c r="R218" s="54"/>
      <c r="S218" s="37"/>
      <c r="T218" s="54"/>
      <c r="U218" s="37"/>
      <c r="V218" s="54"/>
      <c r="W218" s="37"/>
      <c r="X218" s="54"/>
      <c r="Y218" s="37"/>
      <c r="Z218" s="54"/>
      <c r="AA218" s="37"/>
      <c r="AB218" s="60">
        <f t="shared" si="100"/>
        <v>0</v>
      </c>
      <c r="AC218" s="664"/>
      <c r="AD218" s="757"/>
      <c r="AE218" s="80"/>
      <c r="AF218" s="751"/>
      <c r="AG218" s="404">
        <v>212</v>
      </c>
    </row>
    <row r="219" spans="1:34" x14ac:dyDescent="0.5">
      <c r="A219" s="646" t="s">
        <v>513</v>
      </c>
      <c r="B219" s="285" t="s">
        <v>714</v>
      </c>
      <c r="C219" s="263" t="s">
        <v>530</v>
      </c>
      <c r="D219" s="149"/>
      <c r="E219" s="47"/>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100"/>
        <v>0</v>
      </c>
      <c r="AC219" s="82" t="str">
        <f>CONCATENATE(IF(D222&gt;D219," * EID Tested Positive 0-2 Months for Age "&amp;$D$20&amp;" "&amp;$D$21&amp;" is more than EID Tested 0-2 Months"&amp;CHAR(10),""),IF(E222&gt;E219," * EID Tested Positive 0-2 Months for Age "&amp;$D$20&amp;" "&amp;$E$21&amp;" is more than EID Tested 0-2 Months"&amp;CHAR(10),""))</f>
        <v/>
      </c>
      <c r="AD219" s="758" t="str">
        <f>CONCATENATE(AC221,AC222,AC223,AC224,AC225,AC226,AC227,AC205,AC219,AC220)</f>
        <v/>
      </c>
      <c r="AE219" s="80"/>
      <c r="AF219" s="620" t="str">
        <f>CONCATENATE(AE219,AE220,AE221,AE222,AE223,AE224,AE225,AE226,AE227)</f>
        <v/>
      </c>
      <c r="AG219" s="404">
        <v>213</v>
      </c>
    </row>
    <row r="220" spans="1:34" s="9" customFormat="1" x14ac:dyDescent="0.5">
      <c r="A220" s="647"/>
      <c r="B220" s="282" t="s">
        <v>713</v>
      </c>
      <c r="C220" s="130" t="s">
        <v>531</v>
      </c>
      <c r="D220" s="158"/>
      <c r="E220" s="23"/>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100"/>
        <v>0</v>
      </c>
      <c r="AC220" s="82" t="str">
        <f>CONCATENATE(IF(D223&gt;D220," * EID Tested Positive 2-12 Months for Age "&amp;$D$20&amp;" "&amp;$D$21&amp;" is more than EID Tested 2-12 Months"&amp;CHAR(10),""),IF(E223&gt;E220," * EID Tested Positive 2-12 Months for Age "&amp;$D$20&amp;" "&amp;$E$21&amp;" is more than EID Tested 2-12 Months"&amp;CHAR(10),""))</f>
        <v/>
      </c>
      <c r="AD220" s="756"/>
      <c r="AE220" s="81"/>
      <c r="AF220" s="621"/>
      <c r="AG220" s="404">
        <v>214</v>
      </c>
      <c r="AH220" s="311"/>
    </row>
    <row r="221" spans="1:34" ht="33" thickBot="1" x14ac:dyDescent="0.55000000000000004">
      <c r="A221" s="648"/>
      <c r="B221" s="408" t="s">
        <v>516</v>
      </c>
      <c r="C221" s="133" t="s">
        <v>532</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100"/>
        <v>0</v>
      </c>
      <c r="AC221" s="82"/>
      <c r="AD221" s="756"/>
      <c r="AE221" s="80" t="str">
        <f>IF(AB221&gt;SUM(AB214,AB212,AB210,AB208,AB206,AB204,AB200,AB198)," EID Testing cannot be more than PMTCT HIV Positive Mothers (ANC 1 Other ANC, L&amp;D and PNC","")</f>
        <v/>
      </c>
      <c r="AF221" s="621"/>
      <c r="AG221" s="404">
        <v>215</v>
      </c>
    </row>
    <row r="222" spans="1:34" x14ac:dyDescent="0.5">
      <c r="A222" s="646" t="s">
        <v>517</v>
      </c>
      <c r="B222" s="285" t="s">
        <v>521</v>
      </c>
      <c r="C222" s="263" t="s">
        <v>533</v>
      </c>
      <c r="D222" s="194"/>
      <c r="E222" s="195"/>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100"/>
        <v>0</v>
      </c>
      <c r="AC222" s="82" t="str">
        <f>CONCATENATE(IF(D225&gt;D222," * EID initiated on ART 0-2 Months for Age "&amp;$D$20&amp;" "&amp;$D$21&amp;" is more than EID Positive 0-2 Months"&amp;CHAR(10),""),IF(E225&gt;E222," * EID initiated on ART 0-2 Months for Age "&amp;$D$20&amp;" "&amp;$E$21&amp;" is more than EID Positive 0-2 Months"&amp;CHAR(10),""))</f>
        <v/>
      </c>
      <c r="AD222" s="756"/>
      <c r="AE222" s="82" t="str">
        <f>CONCATENATE(IF(D225&lt;D222," * EID initiated on ART 0-2 Months for Age "&amp;$D$20&amp;" "&amp;$D$21&amp;" is less than EID Positive 0-2 Months"&amp;CHAR(10),""),IF(E225&lt;E222," * EID initiated on ART 0-2 Months for Age "&amp;$D$20&amp;" "&amp;$E$21&amp;" is less than EID Positive 0-2 Months"&amp;CHAR(10),""))</f>
        <v/>
      </c>
      <c r="AF222" s="621"/>
      <c r="AG222" s="404">
        <v>216</v>
      </c>
    </row>
    <row r="223" spans="1:34" s="9" customFormat="1" x14ac:dyDescent="0.5">
      <c r="A223" s="647"/>
      <c r="B223" s="282" t="s">
        <v>518</v>
      </c>
      <c r="C223" s="130" t="s">
        <v>534</v>
      </c>
      <c r="D223" s="196"/>
      <c r="E223" s="197"/>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100"/>
        <v>0</v>
      </c>
      <c r="AC223" s="82" t="str">
        <f>CONCATENATE(IF(D226&gt;D223," * EID initiated on ART 2-12 Months for Age "&amp;$D$20&amp;" "&amp;$D$21&amp;" is more than EID Positive 2-12 Months"&amp;CHAR(10),""),IF(E226&gt;E223," * EID initiated on ART 2-12 Months for Age "&amp;$D$20&amp;" "&amp;$E$21&amp;" is more than EID Positive 2-12 Months"&amp;CHAR(10),""))</f>
        <v/>
      </c>
      <c r="AD223" s="756"/>
      <c r="AE223" s="82" t="str">
        <f>CONCATENATE(IF(D226&lt;D223," * EID initiated on ART 2-12 Months for Age "&amp;$D$20&amp;" "&amp;$D$21&amp;" is less than EID Positive 2-12 Months"&amp;CHAR(10),""),IF(E226&lt;E223," * EID initiated on ART 2-12 Months for Age "&amp;$D$20&amp;" "&amp;$E$21&amp;" is less than EID Positive 2-12 Months"&amp;CHAR(10),""))</f>
        <v/>
      </c>
      <c r="AF223" s="621"/>
      <c r="AG223" s="404">
        <v>217</v>
      </c>
      <c r="AH223" s="311"/>
    </row>
    <row r="224" spans="1:34" ht="33" thickBot="1" x14ac:dyDescent="0.55000000000000004">
      <c r="A224" s="648"/>
      <c r="B224" s="408" t="s">
        <v>519</v>
      </c>
      <c r="C224" s="133" t="s">
        <v>535</v>
      </c>
      <c r="D224" s="159">
        <f>D222+D223</f>
        <v>0</v>
      </c>
      <c r="E224" s="59">
        <f>E222+E223</f>
        <v>0</v>
      </c>
      <c r="F224" s="37"/>
      <c r="G224" s="37"/>
      <c r="H224" s="37"/>
      <c r="I224" s="37"/>
      <c r="J224" s="37"/>
      <c r="K224" s="37"/>
      <c r="L224" s="37"/>
      <c r="M224" s="37"/>
      <c r="N224" s="37"/>
      <c r="O224" s="37"/>
      <c r="P224" s="37"/>
      <c r="Q224" s="37"/>
      <c r="R224" s="37"/>
      <c r="S224" s="37"/>
      <c r="T224" s="37"/>
      <c r="U224" s="37"/>
      <c r="V224" s="37"/>
      <c r="W224" s="37"/>
      <c r="X224" s="37"/>
      <c r="Y224" s="37"/>
      <c r="Z224" s="37"/>
      <c r="AA224" s="37"/>
      <c r="AB224" s="60">
        <f t="shared" si="100"/>
        <v>0</v>
      </c>
      <c r="AC224" s="82" t="str">
        <f>CONCATENATE(IF(D227&gt;D224," * EID initiated on ART 0-12 Months for Age "&amp;$D$20&amp;" "&amp;$D$21&amp;" is more than EID Positive 0-12 Months"&amp;CHAR(10),""),IF(E227&gt;E224," * EID initiated on ART 0-12 Months for Age "&amp;$D$20&amp;" "&amp;$E$21&amp;" is more than EID Positive 0-12 Months"&amp;CHAR(10),""))</f>
        <v/>
      </c>
      <c r="AD224" s="756"/>
      <c r="AE224" s="82" t="str">
        <f>CONCATENATE(IF(D227&lt;D224," * EID initiated on ART 0-12 Months for Age "&amp;$D$20&amp;" "&amp;$D$21&amp;" is less than EID Positive 0-12 Months"&amp;CHAR(10),""),IF(E227&lt;E224," * EID initiated on ART 0-12 Months for Age "&amp;$D$20&amp;" "&amp;$E$21&amp;" is less than EID Positive 0-12 Months"&amp;CHAR(10),""))</f>
        <v/>
      </c>
      <c r="AF224" s="621"/>
      <c r="AG224" s="404">
        <v>218</v>
      </c>
    </row>
    <row r="225" spans="1:34" x14ac:dyDescent="0.5">
      <c r="A225" s="646" t="s">
        <v>514</v>
      </c>
      <c r="B225" s="285" t="s">
        <v>950</v>
      </c>
      <c r="C225" s="263" t="s">
        <v>536</v>
      </c>
      <c r="D225" s="149"/>
      <c r="E225" s="47"/>
      <c r="F225" s="33"/>
      <c r="G225" s="33"/>
      <c r="H225" s="33"/>
      <c r="I225" s="33"/>
      <c r="J225" s="33"/>
      <c r="K225" s="33"/>
      <c r="L225" s="33"/>
      <c r="M225" s="33"/>
      <c r="N225" s="33"/>
      <c r="O225" s="33"/>
      <c r="P225" s="33"/>
      <c r="Q225" s="33"/>
      <c r="R225" s="33"/>
      <c r="S225" s="33"/>
      <c r="T225" s="33"/>
      <c r="U225" s="33"/>
      <c r="V225" s="33"/>
      <c r="W225" s="33"/>
      <c r="X225" s="33"/>
      <c r="Y225" s="33"/>
      <c r="Z225" s="33"/>
      <c r="AA225" s="33"/>
      <c r="AB225" s="61">
        <f t="shared" si="100"/>
        <v>0</v>
      </c>
      <c r="AC225" s="82"/>
      <c r="AD225" s="756"/>
      <c r="AE225" s="80"/>
      <c r="AF225" s="621"/>
      <c r="AG225" s="404">
        <v>219</v>
      </c>
    </row>
    <row r="226" spans="1:34" x14ac:dyDescent="0.5">
      <c r="A226" s="647"/>
      <c r="B226" s="282" t="s">
        <v>951</v>
      </c>
      <c r="C226" s="131" t="s">
        <v>537</v>
      </c>
      <c r="D226" s="158"/>
      <c r="E226" s="23"/>
      <c r="F226" s="18"/>
      <c r="G226" s="18"/>
      <c r="H226" s="18"/>
      <c r="I226" s="18"/>
      <c r="J226" s="18"/>
      <c r="K226" s="18"/>
      <c r="L226" s="18"/>
      <c r="M226" s="18"/>
      <c r="N226" s="18"/>
      <c r="O226" s="18"/>
      <c r="P226" s="18"/>
      <c r="Q226" s="18"/>
      <c r="R226" s="18"/>
      <c r="S226" s="18"/>
      <c r="T226" s="18"/>
      <c r="U226" s="18"/>
      <c r="V226" s="18"/>
      <c r="W226" s="18"/>
      <c r="X226" s="18"/>
      <c r="Y226" s="18"/>
      <c r="Z226" s="18"/>
      <c r="AA226" s="18"/>
      <c r="AB226" s="58">
        <f t="shared" si="100"/>
        <v>0</v>
      </c>
      <c r="AC226" s="82"/>
      <c r="AD226" s="756"/>
      <c r="AE226" s="80"/>
      <c r="AF226" s="621"/>
      <c r="AG226" s="404">
        <v>220</v>
      </c>
    </row>
    <row r="227" spans="1:34" ht="33" thickBot="1" x14ac:dyDescent="0.55000000000000004">
      <c r="A227" s="706"/>
      <c r="B227" s="409" t="s">
        <v>972</v>
      </c>
      <c r="C227" s="133" t="s">
        <v>538</v>
      </c>
      <c r="D227" s="160">
        <f>D225+D226</f>
        <v>0</v>
      </c>
      <c r="E227" s="286">
        <f>E225+E226</f>
        <v>0</v>
      </c>
      <c r="F227" s="49"/>
      <c r="G227" s="49"/>
      <c r="H227" s="49"/>
      <c r="I227" s="49"/>
      <c r="J227" s="49"/>
      <c r="K227" s="49"/>
      <c r="L227" s="49"/>
      <c r="M227" s="49"/>
      <c r="N227" s="49"/>
      <c r="O227" s="49"/>
      <c r="P227" s="49"/>
      <c r="Q227" s="49"/>
      <c r="R227" s="49"/>
      <c r="S227" s="49"/>
      <c r="T227" s="49"/>
      <c r="U227" s="49"/>
      <c r="V227" s="49"/>
      <c r="W227" s="49"/>
      <c r="X227" s="49"/>
      <c r="Y227" s="49"/>
      <c r="Z227" s="49"/>
      <c r="AA227" s="49"/>
      <c r="AB227" s="104">
        <f t="shared" ref="AB227" si="101">SUM(D227:AA227)</f>
        <v>0</v>
      </c>
      <c r="AC227" s="178" t="str">
        <f>CONCATENATE(IF(D227&lt;&gt;D248,"*Starting ART &lt; 1 M  Must be equals to Infants 0-12 Months HIV +ve started on ART"&amp;CHAR(10),""),IF(E227&lt;&gt;E248,"*Starting ART &lt; 1 F  Must be equals to Infants 0-12 Months +ve started on ART"&amp;CHAR(10),""))</f>
        <v/>
      </c>
      <c r="AD227" s="759"/>
      <c r="AE227" s="94"/>
      <c r="AF227" s="622"/>
      <c r="AG227" s="404">
        <v>221</v>
      </c>
    </row>
    <row r="228" spans="1:34" ht="36" thickBot="1" x14ac:dyDescent="0.55000000000000004">
      <c r="A228" s="602" t="s">
        <v>129</v>
      </c>
      <c r="B228" s="603"/>
      <c r="C228" s="603"/>
      <c r="D228" s="603"/>
      <c r="E228" s="603"/>
      <c r="F228" s="603"/>
      <c r="G228" s="603"/>
      <c r="H228" s="603"/>
      <c r="I228" s="603"/>
      <c r="J228" s="603"/>
      <c r="K228" s="603"/>
      <c r="L228" s="603"/>
      <c r="M228" s="603"/>
      <c r="N228" s="603"/>
      <c r="O228" s="603"/>
      <c r="P228" s="603"/>
      <c r="Q228" s="603"/>
      <c r="R228" s="603"/>
      <c r="S228" s="603"/>
      <c r="T228" s="603"/>
      <c r="U228" s="603"/>
      <c r="V228" s="603"/>
      <c r="W228" s="603"/>
      <c r="X228" s="603"/>
      <c r="Y228" s="603"/>
      <c r="Z228" s="603"/>
      <c r="AA228" s="603"/>
      <c r="AB228" s="603"/>
      <c r="AC228" s="603"/>
      <c r="AD228" s="603"/>
      <c r="AE228" s="603"/>
      <c r="AF228" s="604"/>
      <c r="AG228" s="404">
        <v>222</v>
      </c>
    </row>
    <row r="229" spans="1:34" ht="26.25" x14ac:dyDescent="0.5">
      <c r="A229" s="612" t="s">
        <v>37</v>
      </c>
      <c r="B229" s="674" t="s">
        <v>347</v>
      </c>
      <c r="C229" s="677" t="s">
        <v>328</v>
      </c>
      <c r="D229" s="637" t="s">
        <v>0</v>
      </c>
      <c r="E229" s="623"/>
      <c r="F229" s="623" t="s">
        <v>1</v>
      </c>
      <c r="G229" s="623"/>
      <c r="H229" s="623" t="s">
        <v>2</v>
      </c>
      <c r="I229" s="623"/>
      <c r="J229" s="623" t="s">
        <v>3</v>
      </c>
      <c r="K229" s="623"/>
      <c r="L229" s="623" t="s">
        <v>4</v>
      </c>
      <c r="M229" s="623"/>
      <c r="N229" s="623" t="s">
        <v>5</v>
      </c>
      <c r="O229" s="623"/>
      <c r="P229" s="623" t="s">
        <v>6</v>
      </c>
      <c r="Q229" s="623"/>
      <c r="R229" s="623" t="s">
        <v>7</v>
      </c>
      <c r="S229" s="623"/>
      <c r="T229" s="623" t="s">
        <v>8</v>
      </c>
      <c r="U229" s="623"/>
      <c r="V229" s="623" t="s">
        <v>23</v>
      </c>
      <c r="W229" s="623"/>
      <c r="X229" s="623" t="s">
        <v>24</v>
      </c>
      <c r="Y229" s="623"/>
      <c r="Z229" s="623" t="s">
        <v>9</v>
      </c>
      <c r="AA229" s="623"/>
      <c r="AB229" s="695" t="s">
        <v>19</v>
      </c>
      <c r="AC229" s="657" t="s">
        <v>381</v>
      </c>
      <c r="AD229" s="607" t="s">
        <v>387</v>
      </c>
      <c r="AE229" s="606" t="s">
        <v>388</v>
      </c>
      <c r="AF229" s="641" t="s">
        <v>388</v>
      </c>
      <c r="AG229" s="404">
        <v>223</v>
      </c>
    </row>
    <row r="230" spans="1:34" ht="27" thickBot="1" x14ac:dyDescent="0.55000000000000004">
      <c r="A230" s="613"/>
      <c r="B230" s="675"/>
      <c r="C230" s="678"/>
      <c r="D230" s="113" t="s">
        <v>10</v>
      </c>
      <c r="E230" s="78" t="s">
        <v>11</v>
      </c>
      <c r="F230" s="78" t="s">
        <v>10</v>
      </c>
      <c r="G230" s="78" t="s">
        <v>11</v>
      </c>
      <c r="H230" s="78" t="s">
        <v>10</v>
      </c>
      <c r="I230" s="78" t="s">
        <v>11</v>
      </c>
      <c r="J230" s="78" t="s">
        <v>10</v>
      </c>
      <c r="K230" s="78" t="s">
        <v>11</v>
      </c>
      <c r="L230" s="78" t="s">
        <v>10</v>
      </c>
      <c r="M230" s="78" t="s">
        <v>11</v>
      </c>
      <c r="N230" s="78" t="s">
        <v>10</v>
      </c>
      <c r="O230" s="78" t="s">
        <v>11</v>
      </c>
      <c r="P230" s="78" t="s">
        <v>10</v>
      </c>
      <c r="Q230" s="78" t="s">
        <v>11</v>
      </c>
      <c r="R230" s="78" t="s">
        <v>10</v>
      </c>
      <c r="S230" s="78" t="s">
        <v>11</v>
      </c>
      <c r="T230" s="78" t="s">
        <v>10</v>
      </c>
      <c r="U230" s="78" t="s">
        <v>11</v>
      </c>
      <c r="V230" s="78" t="s">
        <v>10</v>
      </c>
      <c r="W230" s="78" t="s">
        <v>11</v>
      </c>
      <c r="X230" s="78" t="s">
        <v>10</v>
      </c>
      <c r="Y230" s="78" t="s">
        <v>11</v>
      </c>
      <c r="Z230" s="78" t="s">
        <v>10</v>
      </c>
      <c r="AA230" s="78" t="s">
        <v>11</v>
      </c>
      <c r="AB230" s="696"/>
      <c r="AC230" s="658"/>
      <c r="AD230" s="608"/>
      <c r="AE230" s="606"/>
      <c r="AF230" s="601"/>
      <c r="AG230" s="404">
        <v>224</v>
      </c>
    </row>
    <row r="231" spans="1:34" x14ac:dyDescent="0.5">
      <c r="A231" s="738" t="s">
        <v>483</v>
      </c>
      <c r="B231" s="287" t="s">
        <v>499</v>
      </c>
      <c r="C231" s="263" t="s">
        <v>373</v>
      </c>
      <c r="D231" s="123"/>
      <c r="E231" s="31"/>
      <c r="F231" s="31"/>
      <c r="G231" s="31"/>
      <c r="H231" s="31"/>
      <c r="I231" s="31"/>
      <c r="J231" s="31"/>
      <c r="K231" s="30"/>
      <c r="L231" s="31"/>
      <c r="M231" s="30"/>
      <c r="N231" s="31"/>
      <c r="O231" s="30"/>
      <c r="P231" s="31"/>
      <c r="Q231" s="30"/>
      <c r="R231" s="31"/>
      <c r="S231" s="30"/>
      <c r="T231" s="31"/>
      <c r="U231" s="30"/>
      <c r="V231" s="31"/>
      <c r="W231" s="30"/>
      <c r="X231" s="31"/>
      <c r="Y231" s="30"/>
      <c r="Z231" s="31"/>
      <c r="AA231" s="31"/>
      <c r="AB231" s="86">
        <f>SUM(D231:AA231)</f>
        <v>0</v>
      </c>
      <c r="AC231" s="99"/>
      <c r="AD231" s="634" t="str">
        <f>CONCATENATE(AC231,AC232,AC236,AC238,AC241,AC242,AC243,AC244,AC237,AC239,AC240,AC234,AC233,AC235)</f>
        <v/>
      </c>
      <c r="AE231" s="96" t="str">
        <f>CONCATENATE(IF(D231&lt;D198," * ON HAART at 1st ANC for Age "&amp;D20&amp;" "&amp;D21&amp;" is less than KP at 1st ANC "&amp;CHAR(10),""),IF(E231&lt;E198," * ON HAART at 1st ANC for Age "&amp;D20&amp;" "&amp;E21&amp;" is less than KP at 1st ANC "&amp;CHAR(10),""),IF(F231&lt;F198," * ON HAART at 1st ANC for Age "&amp;F20&amp;" "&amp;F21&amp;" is less than KP at 1st ANC "&amp;CHAR(10),""),IF(G231&lt;G198," * ON HAART at 1st ANC for Age "&amp;F20&amp;" "&amp;G21&amp;" is less than KP at 1st ANC "&amp;CHAR(10),""),IF(H231&lt;H198," * ON HAART at 1st ANC for Age "&amp;H20&amp;" "&amp;H21&amp;" is less than KP at 1st ANC "&amp;CHAR(10),""),IF(I231&lt;I198," * ON HAART at 1st ANC for Age "&amp;H20&amp;" "&amp;I21&amp;" is less than KP at 1st ANC "&amp;CHAR(10),""),IF(J231&lt;J198," * ON HAART at 1st ANC for Age "&amp;J20&amp;" "&amp;J21&amp;" is less than KP at 1st ANC "&amp;CHAR(10),""),IF(K231&lt;K198," * ON HAART at 1st ANC for Age "&amp;J20&amp;" "&amp;K21&amp;" is less than KP at 1st ANC "&amp;CHAR(10),""),IF(L231&lt;L198," * ON HAART at 1st ANC for Age "&amp;L20&amp;" "&amp;L21&amp;" is less than KP at 1st ANC "&amp;CHAR(10),""),IF(M231&lt;M198," * ON HAART at 1st ANC for Age "&amp;L20&amp;" "&amp;M21&amp;" is less than KP at 1st ANC "&amp;CHAR(10),""),IF(N231&lt;N198," * ON HAART at 1st ANC for Age "&amp;N20&amp;" "&amp;N21&amp;" is less than KP at 1st ANC "&amp;CHAR(10),""),IF(O231&lt;O198," * ON HAART at 1st ANC for Age "&amp;N20&amp;" "&amp;O21&amp;" is less than KP at 1st ANC "&amp;CHAR(10),""),IF(P231&lt;P198," * ON HAART at 1st ANC for Age "&amp;P20&amp;" "&amp;P21&amp;" is less than KP at 1st ANC "&amp;CHAR(10),""),IF(Q231&lt;Q198," * ON HAART at 1st ANC for Age "&amp;P20&amp;" "&amp;Q21&amp;" is less than KP at 1st ANC "&amp;CHAR(10),""),IF(R231&lt;R198," * ON HAART at 1st ANC for Age "&amp;R20&amp;" "&amp;R21&amp;" is less than KP at 1st ANC "&amp;CHAR(10),""),IF(S231&lt;S198," * ON HAART at 1st ANC for Age "&amp;R20&amp;" "&amp;S21&amp;" is less than KP at 1st ANC "&amp;CHAR(10),""),IF(T231&lt;T198," * ON HAART at 1st ANC for Age "&amp;T20&amp;" "&amp;T21&amp;" is less than KP at 1st ANC "&amp;CHAR(10),""),IF(U231&lt;U198," * ON HAART at 1st ANC for Age "&amp;T20&amp;" "&amp;U21&amp;" is less than KP at 1st ANC "&amp;CHAR(10),""),IF(V231&lt;V198," * ON HAART at 1st ANC for Age "&amp;V20&amp;" "&amp;V21&amp;" is less than KP at 1st ANC "&amp;CHAR(10),""),IF(W231&lt;W198," * ON HAART at 1st ANC for Age "&amp;V20&amp;" "&amp;W21&amp;" is less than KP at 1st ANC "&amp;CHAR(10),""),IF(X231&lt;X198," * ON HAART at 1st ANC for Age "&amp;X20&amp;" "&amp;X21&amp;" is less than KP at 1st ANC "&amp;CHAR(10),""),IF(Y231&lt;Y198," * ON HAART at 1st ANC for Age "&amp;X20&amp;" "&amp;Y21&amp;" is less than KP at 1st ANC "&amp;CHAR(10),""),IF(Z231&lt;Z198," * ON HAART at 1st ANC for Age "&amp;Z20&amp;" "&amp;Z21&amp;" is less than KP at 1st ANC "&amp;CHAR(10),""),IF(AA231&lt;AA198," * ON HAART at 1st ANC for Age "&amp;Z20&amp;" "&amp;AA21&amp;" is less than KP at 1st ANC "&amp;CHAR(10),""))</f>
        <v/>
      </c>
      <c r="AF231" s="703" t="str">
        <f>CONCATENATE(AE231,AE232,AE236,AE238,AE241,AE242,AE243,AE244,AE233,AE234,AE235,AE239,AE240)</f>
        <v/>
      </c>
      <c r="AG231" s="404">
        <v>225</v>
      </c>
    </row>
    <row r="232" spans="1:34" x14ac:dyDescent="0.5">
      <c r="A232" s="653"/>
      <c r="B232" s="282" t="s">
        <v>500</v>
      </c>
      <c r="C232" s="131" t="s">
        <v>374</v>
      </c>
      <c r="D232" s="124"/>
      <c r="E232" s="18"/>
      <c r="F232" s="18"/>
      <c r="G232" s="18"/>
      <c r="H232" s="18"/>
      <c r="I232" s="18"/>
      <c r="J232" s="18"/>
      <c r="K232" s="19"/>
      <c r="L232" s="18"/>
      <c r="M232" s="19"/>
      <c r="N232" s="18"/>
      <c r="O232" s="19"/>
      <c r="P232" s="18"/>
      <c r="Q232" s="19"/>
      <c r="R232" s="18"/>
      <c r="S232" s="19"/>
      <c r="T232" s="18"/>
      <c r="U232" s="19"/>
      <c r="V232" s="18"/>
      <c r="W232" s="19"/>
      <c r="X232" s="18"/>
      <c r="Y232" s="19"/>
      <c r="Z232" s="18"/>
      <c r="AA232" s="18"/>
      <c r="AB232" s="36">
        <f t="shared" ref="AB232:AB244" si="102">SUM(D232:AA232)</f>
        <v>0</v>
      </c>
      <c r="AC232" s="82" t="str">
        <f>CONCATENATE(IF(D232&gt;SUM(D200)," * Start HAART at ANC 1 for Age "&amp;D20&amp;" "&amp;D21&amp;" is more than Positive Test at ANC 1"&amp;CHAR(10),""),IF(E232&gt;SUM(E200)," * Start HAART at ANC 1  for Age "&amp;D20&amp;" "&amp;E21&amp;" is more than Positive Test at ANC 1"&amp;CHAR(10),""),IF(F232&gt;SUM(F200)," * Start HAART at ANC 1  for Age "&amp;F20&amp;" "&amp;F21&amp;" is more than Positive Test at ANC 1"&amp;CHAR(10),""),IF(G232&gt;SUM(G200)," * Start HAART at ANC 1  for Age "&amp;F20&amp;" "&amp;G21&amp;" is more than Positive Test at ANC 1"&amp;CHAR(10),""),IF(H232&gt;SUM(H200)," * Start HAART at ANC 1  for Age "&amp;H20&amp;" "&amp;H21&amp;" is more than Positive Test at ANC 1"&amp;CHAR(10),""),IF(I232&gt;SUM(I200)," * Start HAART at ANC 1  for Age "&amp;H20&amp;" "&amp;I21&amp;" is more than Positive Test at ANC 1"&amp;CHAR(10),""),IF(J232&gt;SUM(J200)," * Start HAART at ANC 1  for Age "&amp;J20&amp;" "&amp;J21&amp;" is more than Positive Test at ANC 1"&amp;CHAR(10),""),IF(K232&gt;SUM(K200)," * Start HAART at ANC 1  for Age "&amp;J20&amp;" "&amp;K21&amp;" is more than Positive Test at ANC 1"&amp;CHAR(10),""),IF(L232&gt;SUM(L200)," * Start HAART at ANC 1  for Age "&amp;L20&amp;" "&amp;L21&amp;" is more than Positive Test at ANC 1"&amp;CHAR(10),""),IF(M232&gt;SUM(M200)," * Start HAART at ANC 1  for Age "&amp;L20&amp;" "&amp;M21&amp;" is more than Positive Test at ANC 1"&amp;CHAR(10),""),IF(N232&gt;SUM(N200)," * Start HAART at ANC 1  for Age "&amp;N20&amp;" "&amp;N21&amp;" is more than Positive Test at ANC 1"&amp;CHAR(10),""),IF(O232&gt;SUM(O200)," * Start HAART at ANC 1  for Age "&amp;N20&amp;" "&amp;O21&amp;" is more than Positive Test at ANC 1"&amp;CHAR(10),""),IF(P232&gt;SUM(P200)," * Start HAART at ANC 1  for Age "&amp;P20&amp;" "&amp;P21&amp;" is more than Positive Test at ANC 1"&amp;CHAR(10),""),IF(Q232&gt;SUM(Q200)," * Start HAART at ANC 1  for Age "&amp;P20&amp;" "&amp;Q21&amp;" is more than Positive Test at ANC 1"&amp;CHAR(10),""),IF(R232&gt;SUM(R200)," * Start HAART at ANC 1  for Age "&amp;R20&amp;" "&amp;R21&amp;" is more than Positive Test at ANC 1"&amp;CHAR(10),""),IF(S232&gt;SUM(S200)," * Start HAART at ANC 1  for Age "&amp;R20&amp;" "&amp;S21&amp;" is more than Positive Test at ANC 1"&amp;CHAR(10),""),IF(T232&gt;SUM(T200)," * Start HAART at ANC 1  for Age "&amp;T20&amp;" "&amp;T21&amp;" is more than Positive Test at ANC 1"&amp;CHAR(10),""),IF(U232&gt;SUM(U200)," * Start HAART at ANC 1  for Age "&amp;T20&amp;" "&amp;U21&amp;" is more than Positive Test at ANC 1"&amp;CHAR(10),""),IF(V232&gt;SUM(V200)," * Start HAART at ANC 1  for Age "&amp;V20&amp;" "&amp;V21&amp;" is more than Positive Test at ANC 1"&amp;CHAR(10),""),IF(W232&gt;SUM(W200)," * Start HAART at ANC 1  for Age "&amp;V20&amp;" "&amp;W21&amp;" is more than Positive Test at ANC 1"&amp;CHAR(10),""),IF(X232&gt;SUM(X200)," * Start HAART at ANC 1  for Age "&amp;X20&amp;" "&amp;X21&amp;" is more than Positive Test at ANC 1"&amp;CHAR(10),""),IF(Y232&gt;SUM(Y200)," * Start HAART at ANC 1  for Age "&amp;X20&amp;" "&amp;Y21&amp;" is more than Positive Test at ANC 1"&amp;CHAR(10),""),IF(Z232&gt;SUM(Z200)," * Start HAART at ANC 1  for Age "&amp;Z20&amp;" "&amp;Z21&amp;" is more than Positive Test at ANC 1"&amp;CHAR(10),""),IF(AA232&gt;SUM(AA200)," * Start HAART at ANC 1  for Age "&amp;Z20&amp;" "&amp;AA21&amp;" is more than Positive Test at ANC 1"&amp;CHAR(10),""),IF(AB232&gt;SUM(AB200)," * Total Start HAART at ANC 1  is more than Positive Test at ANC 1"&amp;CHAR(10),""))</f>
        <v/>
      </c>
      <c r="AD232" s="635"/>
      <c r="AE232" s="80" t="str">
        <f>CONCATENATE(IF(D232&lt;SUM(D200)," * New positive at ANC1 for Age "&amp;D20&amp;" "&amp;D21&amp;" is greater than Start HAART ANC1"&amp;CHAR(10),""),IF(E232&lt;SUM(E200)," * New positive at ANC1 for Age "&amp;D20&amp;" "&amp;E21&amp;" is greater than Start HAART ANC1"&amp;CHAR(10),""),IF(F232&lt;SUM(F200)," * New positive at ANC1 for Age "&amp;F20&amp;" "&amp;F21&amp;" is greater than Start HAART ANC1"&amp;CHAR(10),""),IF(G232&lt;SUM(G200)," * New positive at ANC1 for Age "&amp;F20&amp;" "&amp;G21&amp;" is greater than Start HAART ANC1"&amp;CHAR(10),""),IF(H232&lt;SUM(H200)," * New positive at ANC1 for Age "&amp;H20&amp;" "&amp;H21&amp;" is greater than Start HAART ANC1"&amp;CHAR(10),""),IF(I232&lt;SUM(I200)," * New positive at ANC1 for Age "&amp;H20&amp;" "&amp;I21&amp;" is greater than Start HAART ANC1"&amp;CHAR(10),""),IF(J232&lt;SUM(J200)," * New positive at ANC1 for Age "&amp;J20&amp;" "&amp;J21&amp;" is greater than Start HAART ANC1"&amp;CHAR(10),""),IF(K232&lt;SUM(K200)," * New positive at ANC1 for Age "&amp;J20&amp;" "&amp;K21&amp;" is greater than Start HAART ANC1"&amp;CHAR(10),""),IF(L232&lt;SUM(L200)," * New positive at ANC1 for Age "&amp;L20&amp;" "&amp;L21&amp;" is greater than Start HAART ANC1"&amp;CHAR(10),""),IF(M232&lt;SUM(M200)," * New positive at ANC1 for Age "&amp;L20&amp;" "&amp;M21&amp;" is greater than Start HAART ANC1"&amp;CHAR(10),""),IF(N232&lt;SUM(N200)," * New positive at ANC1 for Age "&amp;N20&amp;" "&amp;N21&amp;" is greater than Start HAART ANC1"&amp;CHAR(10),""),IF(O232&lt;SUM(O200)," * New positive at ANC1 for Age "&amp;N20&amp;" "&amp;O21&amp;" is greater than Start HAART ANC1"&amp;CHAR(10),""),IF(P232&lt;SUM(P200)," * New positive at ANC1 for Age "&amp;P20&amp;" "&amp;P21&amp;" is greater than Start HAART ANC1"&amp;CHAR(10),""),IF(Q232&lt;SUM(Q200)," * New positive at ANC1 for Age "&amp;P20&amp;" "&amp;Q21&amp;" is greater than Start HAART ANC1"&amp;CHAR(10),""),IF(R232&lt;SUM(R200)," * New positive at ANC1 for Age "&amp;R20&amp;" "&amp;R21&amp;" is greater than Start HAART ANC1"&amp;CHAR(10),""),IF(S232&lt;SUM(S200)," * New positive at ANC1 for Age "&amp;R20&amp;" "&amp;S21&amp;" is greater than Start HAART ANC1"&amp;CHAR(10),""),IF(T232&lt;SUM(T200)," * New positive at ANC1 for Age "&amp;T20&amp;" "&amp;T21&amp;" is greater than Start HAART ANC1"&amp;CHAR(10),""),IF(U232&lt;SUM(U200)," * New positive at ANC1 for Age "&amp;T20&amp;" "&amp;U21&amp;" is greater than Start HAART ANC1"&amp;CHAR(10),""),IF(V232&lt;SUM(V200)," * New positive at ANC1 for Age "&amp;V20&amp;" "&amp;V21&amp;" is greater than Start HAART ANC1"&amp;CHAR(10),""),IF(W232&lt;SUM(W200)," * New positive at ANC1 for Age "&amp;V20&amp;" "&amp;W21&amp;" is greater than Start HAART ANC1"&amp;CHAR(10),""),IF(X232&lt;SUM(X200)," * New positive at ANC1 for Age "&amp;X20&amp;" "&amp;X21&amp;" is greater than Start HAART ANC1"&amp;CHAR(10),""),IF(Y232&lt;SUM(Y200)," * New positive at ANC1 for Age "&amp;X20&amp;" "&amp;Y21&amp;" is greater than Start HAART ANC1"&amp;CHAR(10),""),IF(Z232&lt;SUM(Z200)," * New positive at ANC1 for Age "&amp;Z20&amp;" "&amp;Z21&amp;" is greater than Start HAART ANC1"&amp;CHAR(10),""),IF(AA232&lt;SUM(AA200)," * New positive at ANC1 for Age "&amp;Z20&amp;" "&amp;AA21&amp;" is greater than Start HAART ANC1"&amp;CHAR(10),""))</f>
        <v/>
      </c>
      <c r="AF232" s="704"/>
      <c r="AG232" s="404">
        <v>226</v>
      </c>
    </row>
    <row r="233" spans="1:34" ht="33" thickBot="1" x14ac:dyDescent="0.55000000000000004">
      <c r="A233" s="722"/>
      <c r="B233" s="409" t="s">
        <v>501</v>
      </c>
      <c r="C233" s="144" t="s">
        <v>508</v>
      </c>
      <c r="D233" s="259"/>
      <c r="E233" s="228"/>
      <c r="F233" s="228"/>
      <c r="G233" s="228"/>
      <c r="H233" s="228"/>
      <c r="I233" s="228"/>
      <c r="J233" s="228"/>
      <c r="K233" s="243">
        <f>SUM(K231:K232)</f>
        <v>0</v>
      </c>
      <c r="L233" s="228"/>
      <c r="M233" s="243">
        <f>SUM(M231:M232)</f>
        <v>0</v>
      </c>
      <c r="N233" s="228"/>
      <c r="O233" s="243">
        <f>SUM(O231:O232)</f>
        <v>0</v>
      </c>
      <c r="P233" s="228"/>
      <c r="Q233" s="243">
        <f>SUM(Q231:Q232)</f>
        <v>0</v>
      </c>
      <c r="R233" s="228"/>
      <c r="S233" s="243">
        <f>SUM(S231:S232)</f>
        <v>0</v>
      </c>
      <c r="T233" s="228"/>
      <c r="U233" s="243">
        <f>SUM(U231:U232)</f>
        <v>0</v>
      </c>
      <c r="V233" s="228"/>
      <c r="W233" s="243">
        <f>SUM(W231:W232)</f>
        <v>0</v>
      </c>
      <c r="X233" s="228"/>
      <c r="Y233" s="243">
        <f>SUM(Y231:Y232)</f>
        <v>0</v>
      </c>
      <c r="Z233" s="228"/>
      <c r="AA233" s="228"/>
      <c r="AB233" s="240">
        <f t="shared" si="102"/>
        <v>0</v>
      </c>
      <c r="AC233" s="82"/>
      <c r="AD233" s="635"/>
      <c r="AE233" s="80"/>
      <c r="AF233" s="704"/>
      <c r="AG233" s="404">
        <v>227</v>
      </c>
    </row>
    <row r="234" spans="1:34" x14ac:dyDescent="0.5">
      <c r="A234" s="591" t="s">
        <v>1024</v>
      </c>
      <c r="B234" s="297" t="s">
        <v>715</v>
      </c>
      <c r="C234" s="263" t="s">
        <v>509</v>
      </c>
      <c r="D234" s="266"/>
      <c r="E234" s="221"/>
      <c r="F234" s="221"/>
      <c r="G234" s="221"/>
      <c r="H234" s="221"/>
      <c r="I234" s="221"/>
      <c r="J234" s="221"/>
      <c r="K234" s="222"/>
      <c r="L234" s="221"/>
      <c r="M234" s="222"/>
      <c r="N234" s="221"/>
      <c r="O234" s="222"/>
      <c r="P234" s="221"/>
      <c r="Q234" s="222"/>
      <c r="R234" s="221"/>
      <c r="S234" s="222"/>
      <c r="T234" s="221"/>
      <c r="U234" s="222"/>
      <c r="V234" s="221"/>
      <c r="W234" s="222"/>
      <c r="X234" s="221"/>
      <c r="Y234" s="222"/>
      <c r="Z234" s="221"/>
      <c r="AA234" s="221"/>
      <c r="AB234" s="223">
        <f t="shared" si="102"/>
        <v>0</v>
      </c>
      <c r="AC234" s="82"/>
      <c r="AD234" s="635"/>
      <c r="AE234" s="81" t="str">
        <f>CONCATENATE(IF(D234&lt;&gt;SUM(D206)," * Initial test Positive Result at ANC 2 and above for Age "&amp;D20&amp;" "&amp;D21&amp;" is not equal to Initial start HAART at ANC2 and above"&amp;CHAR(10),""),IF(E234&lt;&gt;SUM(E206)," * Initial test Positive Result at ANC 2 and above for Age "&amp;D20&amp;" "&amp;E21&amp;" is not equal to Initial start HAART at ANC2 and above"&amp;CHAR(10),""),IF(F234&lt;&gt;SUM(F206)," * Initial test Positive Result at ANC 2 and above for Age "&amp;F20&amp;" "&amp;F21&amp;" is not equal to Initial start HAART at ANC2 and above"&amp;CHAR(10),""),IF(G234&lt;&gt;SUM(G206)," * Initial test Positive Result at ANC 2 and above for Age "&amp;F20&amp;" "&amp;G21&amp;" is not equal to Initial start HAART at ANC2 and above"&amp;CHAR(10),""),IF(H234&lt;&gt;SUM(H206)," * Initial test Positive Result at ANC 2 and above for Age "&amp;H20&amp;" "&amp;H21&amp;" is not equal to Initial start HAART at ANC2 and above"&amp;CHAR(10),""),IF(I234&lt;&gt;SUM(I206)," * Initial test Positive Result at ANC 2 and above for Age "&amp;H20&amp;" "&amp;I21&amp;" is not equal to Initial start HAART at ANC2 and above"&amp;CHAR(10),""),IF(J234&lt;&gt;SUM(J206)," * Initial test Positive Result at ANC 2 and above for Age "&amp;J20&amp;" "&amp;J21&amp;" is not equal to Initial start HAART at ANC2 and above"&amp;CHAR(10),""),IF(K234&lt;&gt;K206," * Initial test Positive Result at ANC 2 and above for Age "&amp;J20&amp;" "&amp;K21&amp;" is not equal to Initial start HAART at ANC2 and above"&amp;CHAR(10),""),IF(L234&lt;&gt;SUM(L206)," * Initial test Positive Result at ANC 2 and above for Age "&amp;L20&amp;" "&amp;L21&amp;" is not equal to Initial start HAART at ANC2 and above"&amp;CHAR(10),""),IF(M234&lt;&gt;SUM(M206)," * Initial test Positive Result at ANC 2 and above for Age "&amp;L20&amp;" "&amp;M21&amp;" is not equal to Initial start HAART at ANC2 and above"&amp;CHAR(10),""),IF(N234&lt;&gt;SUM(N206)," * Initial test Positive Result at ANC 2 and above for Age "&amp;N20&amp;" "&amp;N21&amp;" is not equal to Initial start HAART at ANC2 and above"&amp;CHAR(10),""),IF(O234&lt;&gt;SUM(O206)," * Initial test Positive Result at ANC 2 and above for Age "&amp;N20&amp;" "&amp;O21&amp;" is not equal to Initial start HAART at ANC2 and above"&amp;CHAR(10),""),IF(P234&lt;&gt;SUM(P206)," * Initial test Positive Result at ANC 2 and above for Age "&amp;P20&amp;" "&amp;P21&amp;" is not equal to Initial start HAART at ANC2 and above"&amp;CHAR(10),""),IF(Q234&lt;&gt;SUM(Q206)," * Initial test Positive Result at ANC 2 and above for Age "&amp;P20&amp;" "&amp;Q21&amp;" is not equal to Initial start HAART at ANC2 and above"&amp;CHAR(10),""),IF(R234&lt;&gt;SUM(R206)," * Initial test Positive Result at ANC 2 and above for Age "&amp;R20&amp;" "&amp;R21&amp;" is not equal to Initial start HAART at ANC2 and above"&amp;CHAR(10),""),IF(S234&lt;&gt;SUM(S206)," * Initial test Positive Result at ANC 2 and above for Age "&amp;R20&amp;" "&amp;S21&amp;" is not equal to Initial start HAART at ANC2 and above"&amp;CHAR(10),""),IF(T234&lt;&gt;SUM(T206)," * Initial test Positive Result at ANC 2 and above for Age "&amp;T20&amp;" "&amp;T21&amp;" is not equal to Initial start HAART at ANC2 and above"&amp;CHAR(10),""),IF(U234&lt;&gt;SUM(U206)," * Initial test Positive Result at ANC 2 and above for Age "&amp;T20&amp;" "&amp;U21&amp;" is not equal to Initial start HAART at ANC2 and above"&amp;CHAR(10),""),IF(V234&lt;&gt;SUM(V206)," * Initial test Positive Result at ANC 2 and above for Age "&amp;V20&amp;" "&amp;V21&amp;" is not equal to Initial start HAART at ANC2 and above"&amp;CHAR(10),""),IF(W234&lt;&gt;SUM(W206)," * Initial test Positive Result at ANC 2 and above for Age "&amp;V20&amp;" "&amp;W21&amp;" is not equal to Initial start HAART at ANC2 and above"&amp;CHAR(10),""),IF(X234&lt;&gt;SUM(X206)," * Initial test Positive Result at ANC 2 and above for Age "&amp;X20&amp;" "&amp;X21&amp;" is not equal to Initial start HAART at ANC2 and above"&amp;CHAR(10),""),IF(Y234&lt;&gt;SUM(Y206)," * Initial test Positive Result at ANC 2 and above for Age "&amp;X20&amp;" "&amp;Y21&amp;" is not equal to Initial start HAART at ANC2 and above"&amp;CHAR(10),""),IF(Z234&lt;&gt;SUM(Z206)," * Initial test Positive Result at ANC 2 and above for Age "&amp;Z20&amp;" "&amp;Z21&amp;" is not equal to Initial start HAART at ANC2 and above"&amp;CHAR(10),""),IF(AA234&lt;&gt;SUM(AA206)," * Initial test Positive Result at ANC 2 and above for Age "&amp;Z20&amp;" "&amp;AA21&amp;" is not equal to Initial start HAART at ANC2 and above"&amp;CHAR(10),""))</f>
        <v/>
      </c>
      <c r="AF234" s="704"/>
      <c r="AG234" s="404">
        <v>228</v>
      </c>
    </row>
    <row r="235" spans="1:34" ht="31.5" thickBot="1" x14ac:dyDescent="0.55000000000000004">
      <c r="A235" s="593"/>
      <c r="B235" s="402" t="s">
        <v>503</v>
      </c>
      <c r="C235" s="133" t="s">
        <v>510</v>
      </c>
      <c r="D235" s="267"/>
      <c r="E235" s="225"/>
      <c r="F235" s="225"/>
      <c r="G235" s="225"/>
      <c r="H235" s="225"/>
      <c r="I235" s="225"/>
      <c r="J235" s="225"/>
      <c r="K235" s="226"/>
      <c r="L235" s="225"/>
      <c r="M235" s="226"/>
      <c r="N235" s="225"/>
      <c r="O235" s="226"/>
      <c r="P235" s="225"/>
      <c r="Q235" s="226"/>
      <c r="R235" s="225"/>
      <c r="S235" s="226"/>
      <c r="T235" s="225"/>
      <c r="U235" s="226"/>
      <c r="V235" s="225"/>
      <c r="W235" s="226"/>
      <c r="X235" s="225"/>
      <c r="Y235" s="226"/>
      <c r="Z235" s="225"/>
      <c r="AA235" s="225"/>
      <c r="AB235" s="227">
        <f t="shared" si="102"/>
        <v>0</v>
      </c>
      <c r="AC235" s="82"/>
      <c r="AD235" s="635"/>
      <c r="AE235" s="81" t="str">
        <f>CONCATENATE(IF(D235&lt;&gt;SUM(D206)," * Retest Positive Result at ANC 2 and above for Age "&amp;D20&amp;" "&amp;D21&amp;" is not equal to Retest start HAART at ANC2 and above"&amp;CHAR(10),""),IF(E235&lt;&gt;SUM(E206)," * Retest Positive Result at ANC 2 and above for Age "&amp;D20&amp;" "&amp;E21&amp;" is not equal to Retest start HAART at ANC2 and above"&amp;CHAR(10),""),IF(F235&lt;&gt;SUM(F206)," * Retest Positive Result at ANC 2 and above for Age "&amp;F20&amp;" "&amp;F21&amp;" is not equal to Retest start HAART at ANC2 and above"&amp;CHAR(10),""),IF(G235&lt;&gt;SUM(G206)," * Retest Positive Result at ANC 2 and above for Age "&amp;F20&amp;" "&amp;G21&amp;" is not equal to Retest start HAART at ANC2 and above"&amp;CHAR(10),""),IF(H235&lt;&gt;SUM(H206)," * Retest Positive Result at ANC 2 and above for Age "&amp;H20&amp;" "&amp;H21&amp;" is not equal to Retest start HAART at ANC2 and above"&amp;CHAR(10),""),IF(I235&lt;&gt;SUM(I206)," * Retest Positive Result at ANC 2 and above for Age "&amp;H20&amp;" "&amp;I21&amp;" is not equal to Retest start HAART at ANC2 and above"&amp;CHAR(10),""),IF(J235&lt;&gt;SUM(J206)," * Retest Positive Result at ANC 2 and above for Age "&amp;J20&amp;" "&amp;J21&amp;" is not equal to Retest start HAART at ANC2 and above"&amp;CHAR(10),""),IF(K235&lt;&gt;K206," * Retest Positive Result at ANC 2 and above for Age "&amp;J20&amp;" "&amp;K21&amp;" is not equal to Retest start HAART at ANC2 and above"&amp;CHAR(10),""),IF(L235&lt;&gt;SUM(L206)," * Retest Positive Result at ANC 2 and above for Age "&amp;L20&amp;" "&amp;L21&amp;" is not equal to Retest start HAART at ANC2 and above"&amp;CHAR(10),""),IF(M235&lt;&gt;SUM(M206)," * Retest Positive Result at ANC 2 and above for Age "&amp;L20&amp;" "&amp;M21&amp;" is not equal to Retest start HAART at ANC2 and above"&amp;CHAR(10),""),IF(N235&lt;&gt;SUM(N206)," * Retest Positive Result at ANC 2 and above for Age "&amp;N20&amp;" "&amp;N21&amp;" is not equal to Retest start HAART at ANC2 and above"&amp;CHAR(10),""),IF(O235&lt;&gt;SUM(O206)," * Retest Positive Result at ANC 2 and above for Age "&amp;N20&amp;" "&amp;O21&amp;" is not equal to Retest start HAART at ANC2 and above"&amp;CHAR(10),""),IF(P235&lt;&gt;SUM(P206)," * Retest Positive Result at ANC 2 and above for Age "&amp;P20&amp;" "&amp;P21&amp;" is not equal to Retest start HAART at ANC2 and above"&amp;CHAR(10),""),IF(Q235&lt;&gt;SUM(Q206)," * Retest Positive Result at ANC 2 and above for Age "&amp;P20&amp;" "&amp;Q21&amp;" is not equal to Retest start HAART at ANC2 and above"&amp;CHAR(10),""),IF(R235&lt;&gt;SUM(R206)," * Retest Positive Result at ANC 2 and above for Age "&amp;R20&amp;" "&amp;R21&amp;" is not equal to Retest start HAART at ANC2 and above"&amp;CHAR(10),""),IF(S235&lt;&gt;SUM(S206)," * Retest Positive Result at ANC 2 and above for Age "&amp;R20&amp;" "&amp;S21&amp;" is not equal to Retest start HAART at ANC2 and above"&amp;CHAR(10),""),IF(T235&lt;&gt;SUM(T206)," * Retest Positive Result at ANC 2 and above for Age "&amp;T20&amp;" "&amp;T21&amp;" is not equal to Retest start HAART at ANC2 and above"&amp;CHAR(10),""),IF(U235&lt;&gt;SUM(U206)," * Retest Positive Result at ANC 2 and above for Age "&amp;T20&amp;" "&amp;U21&amp;" is not equal to Retest start HAART at ANC2 and above"&amp;CHAR(10),""),IF(V235&lt;&gt;SUM(V206)," * Retest Positive Result at ANC 2 and above for Age "&amp;V20&amp;" "&amp;V21&amp;" is not equal to Retest start HAART at ANC2 and above"&amp;CHAR(10),""),IF(W235&lt;&gt;SUM(W206)," * Retest Positive Result at ANC 2 and above for Age "&amp;V20&amp;" "&amp;W21&amp;" is not equal to Retest start HAART at ANC2 and above"&amp;CHAR(10),""),IF(X235&lt;&gt;SUM(X206)," * Retest Positive Result at ANC 2 and above for Age "&amp;X20&amp;" "&amp;X21&amp;" is not equal to Retest start HAART at ANC2 and above"&amp;CHAR(10),""),IF(Y235&lt;&gt;SUM(Y206)," * Retest Positive Result at ANC 2 and above for Age "&amp;X20&amp;" "&amp;Y21&amp;" is not equal to Retest start HAART at ANC2 and above"&amp;CHAR(10),""),IF(Z235&lt;&gt;SUM(Z206)," * Retest Positive Result at ANC 2 and above for Age "&amp;Z20&amp;" "&amp;Z21&amp;" is not equal to Retest start HAART at ANC2 and above"&amp;CHAR(10),""),IF(AA235&lt;&gt;SUM(AA206)," * Retest Positive Result at ANC 2 and above for Age "&amp;Z20&amp;" "&amp;AA21&amp;" is not equal to Retest start HAART at ANC2 and above"&amp;CHAR(10),""))</f>
        <v/>
      </c>
      <c r="AF235" s="704"/>
      <c r="AG235" s="404">
        <v>229</v>
      </c>
    </row>
    <row r="236" spans="1:34" s="9" customFormat="1" x14ac:dyDescent="0.5">
      <c r="A236" s="652" t="s">
        <v>488</v>
      </c>
      <c r="B236" s="287" t="s">
        <v>504</v>
      </c>
      <c r="C236" s="495" t="s">
        <v>375</v>
      </c>
      <c r="D236" s="258"/>
      <c r="E236" s="220"/>
      <c r="F236" s="220"/>
      <c r="G236" s="220"/>
      <c r="H236" s="220"/>
      <c r="I236" s="220"/>
      <c r="J236" s="220"/>
      <c r="K236" s="219"/>
      <c r="L236" s="220"/>
      <c r="M236" s="219"/>
      <c r="N236" s="220"/>
      <c r="O236" s="219"/>
      <c r="P236" s="220"/>
      <c r="Q236" s="219"/>
      <c r="R236" s="220"/>
      <c r="S236" s="219"/>
      <c r="T236" s="220"/>
      <c r="U236" s="219"/>
      <c r="V236" s="220"/>
      <c r="W236" s="219"/>
      <c r="X236" s="220"/>
      <c r="Y236" s="219"/>
      <c r="Z236" s="220"/>
      <c r="AA236" s="220"/>
      <c r="AB236" s="238">
        <f t="shared" si="102"/>
        <v>0</v>
      </c>
      <c r="AC236" s="93" t="str">
        <f>CONCATENATE(IF(D236&gt;D208," * start HAART L&amp;D  for Age "&amp;D20&amp;" "&amp;D21&amp;" is more than Positive Result L&amp;D "&amp;CHAR(10),""),IF(E236&gt;E208," * start HAART L&amp;D  for Age "&amp;D20&amp;" "&amp;E21&amp;" is more than Positive Result L&amp;D "&amp;CHAR(10),""),IF(F236&gt;F208," * start HAART L&amp;D  for Age "&amp;F20&amp;" "&amp;F21&amp;" is more than Positive Result L&amp;D "&amp;CHAR(10),""),IF(G236&gt;G208," * start HAART L&amp;D  for Age "&amp;F20&amp;" "&amp;G21&amp;" is more than Positive Result L&amp;D "&amp;CHAR(10),""),IF(H236&gt;H208," * start HAART L&amp;D  for Age "&amp;H20&amp;" "&amp;H21&amp;" is more than Positive Result L&amp;D "&amp;CHAR(10),""),IF(I236&gt;I208," * start HAART L&amp;D  for Age "&amp;H20&amp;" "&amp;I21&amp;" is more than Positive Result L&amp;D "&amp;CHAR(10),""),IF(J236&gt;J208," * start HAART L&amp;D  for Age "&amp;J20&amp;" "&amp;J21&amp;" is more than Positive Result L&amp;D "&amp;CHAR(10),""),IF(K236&gt;K208," * start HAART L&amp;D  for Age "&amp;J20&amp;" "&amp;K21&amp;" is more than Positive Result L&amp;D "&amp;CHAR(10),""),IF(L236&gt;L208," * start HAART L&amp;D  for Age "&amp;L20&amp;" "&amp;L21&amp;" is more than Positive Result L&amp;D "&amp;CHAR(10),""),IF(M236&gt;M208," * start HAART L&amp;D  for Age "&amp;L20&amp;" "&amp;M21&amp;" is more than Positive Result L&amp;D "&amp;CHAR(10),""),IF(N236&gt;N208," * start HAART L&amp;D  for Age "&amp;N20&amp;" "&amp;N21&amp;" is more than Positive Result L&amp;D "&amp;CHAR(10),""),IF(O236&gt;O208," * start HAART L&amp;D  for Age "&amp;N20&amp;" "&amp;O21&amp;" is more than Positive Result L&amp;D "&amp;CHAR(10),""),IF(P236&gt;P208," * start HAART L&amp;D  for Age "&amp;P20&amp;" "&amp;P21&amp;" is more than Positive Result L&amp;D "&amp;CHAR(10),""),IF(Q236&gt;Q208," * start HAART L&amp;D  for Age "&amp;P20&amp;" "&amp;Q21&amp;" is more than Positive Result L&amp;D "&amp;CHAR(10),""),IF(R236&gt;R208," * start HAART L&amp;D  for Age "&amp;R20&amp;" "&amp;R21&amp;" is more than Positive Result L&amp;D "&amp;CHAR(10),""),IF(S236&gt;S208," * start HAART L&amp;D  for Age "&amp;R20&amp;" "&amp;S21&amp;" is more than Positive Result L&amp;D "&amp;CHAR(10),""),IF(T236&gt;T208," * start HAART L&amp;D  for Age "&amp;T20&amp;" "&amp;T21&amp;" is more than Positive Result L&amp;D "&amp;CHAR(10),""),IF(U236&gt;U208," * start HAART L&amp;D  for Age "&amp;T20&amp;" "&amp;U21&amp;" is more than Positive Result L&amp;D "&amp;CHAR(10),""),IF(V236&gt;V208," * start HAART L&amp;D  for Age "&amp;V20&amp;" "&amp;V21&amp;" is more than Positive Result L&amp;D "&amp;CHAR(10),""),IF(W236&gt;W208," * start HAART L&amp;D  for Age "&amp;V20&amp;" "&amp;W21&amp;" is more than Positive Result L&amp;D "&amp;CHAR(10),""),IF(X236&gt;X208," * start HAART L&amp;D  for Age "&amp;X20&amp;" "&amp;X21&amp;" is more than Positive Result L&amp;D "&amp;CHAR(10),""),IF(Y236&gt;Y208," * start HAART L&amp;D  for Age "&amp;X20&amp;" "&amp;Y21&amp;" is more than Positive Result L&amp;D "&amp;CHAR(10),""),IF(Z236&gt;Z208," * start HAART L&amp;D  for Age "&amp;Z20&amp;" "&amp;Z21&amp;" is more than Positive Result L&amp;D "&amp;CHAR(10),""),IF(AA236&gt;AA208," * start HAART L&amp;D  for Age "&amp;Z20&amp;" "&amp;AA21&amp;" is more than Positive Result L&amp;D "&amp;CHAR(10),"")
)</f>
        <v/>
      </c>
      <c r="AD236" s="635"/>
      <c r="AE236" s="81" t="str">
        <f>CONCATENATE(IF(D236&lt;D208," * start HAART L&amp;D  for Age "&amp;D20&amp;" "&amp;D21&amp;" is less than Positive Result L&amp;D "&amp;CHAR(10),""),IF(E236&lt;E208," * start HAART L&amp;D  for Age "&amp;D20&amp;" "&amp;E21&amp;" is less than Positive Result L&amp;D "&amp;CHAR(10),""),IF(F236&lt;F208," * start HAART L&amp;D  for Age "&amp;F20&amp;" "&amp;F21&amp;" is less than Positive Result L&amp;D "&amp;CHAR(10),""),IF(G236&lt;G208," * start HAART L&amp;D  for Age "&amp;F20&amp;" "&amp;G21&amp;" is less than Positive Result L&amp;D "&amp;CHAR(10),""),IF(H236&lt;H208," * start HAART L&amp;D  for Age "&amp;H20&amp;" "&amp;H21&amp;" is less than Positive Result L&amp;D "&amp;CHAR(10),""),IF(I236&lt;I208," * start HAART L&amp;D  for Age "&amp;H20&amp;" "&amp;I21&amp;" is less than Positive Result L&amp;D "&amp;CHAR(10),""),IF(J236&lt;J208," * start HAART L&amp;D  for Age "&amp;J20&amp;" "&amp;J21&amp;" is less than Positive Result L&amp;D "&amp;CHAR(10),""),IF(K236&lt;K208," * start HAART L&amp;D  for Age "&amp;J20&amp;" "&amp;K21&amp;" is less than Positive Result L&amp;D "&amp;CHAR(10),""),IF(L236&lt;L208," * start HAART L&amp;D  for Age "&amp;L20&amp;" "&amp;L21&amp;" is less than Positive Result L&amp;D "&amp;CHAR(10),""),IF(M236&lt;M208," * start HAART L&amp;D  for Age "&amp;L20&amp;" "&amp;M21&amp;" is less than Positive Result L&amp;D "&amp;CHAR(10),""),IF(N236&lt;N208," * start HAART L&amp;D  for Age "&amp;N20&amp;" "&amp;N21&amp;" is less than Positive Result L&amp;D "&amp;CHAR(10),""),IF(O236&lt;O208," * start HAART L&amp;D  for Age "&amp;N20&amp;" "&amp;O21&amp;" is less than Positive Result L&amp;D "&amp;CHAR(10),""),IF(P236&lt;P208," * start HAART L&amp;D  for Age "&amp;P20&amp;" "&amp;P21&amp;" is less than Positive Result L&amp;D "&amp;CHAR(10),""),IF(Q236&lt;Q208," * start HAART L&amp;D  for Age "&amp;P20&amp;" "&amp;Q21&amp;" is less than Positive Result L&amp;D "&amp;CHAR(10),""),IF(R236&lt;R208," * start HAART L&amp;D  for Age "&amp;R20&amp;" "&amp;R21&amp;" is less than Positive Result L&amp;D "&amp;CHAR(10),""),IF(S236&lt;S208," * start HAART L&amp;D  for Age "&amp;R20&amp;" "&amp;S21&amp;" is less than Positive Result L&amp;D "&amp;CHAR(10),""),IF(T236&lt;T208," * start HAART L&amp;D  for Age "&amp;T20&amp;" "&amp;T21&amp;" is less than Positive Result L&amp;D "&amp;CHAR(10),""),IF(U236&lt;U208," * start HAART L&amp;D  for Age "&amp;T20&amp;" "&amp;U21&amp;" is less than Positive Result L&amp;D "&amp;CHAR(10),""),IF(V236&lt;V208," * start HAART L&amp;D  for Age "&amp;V20&amp;" "&amp;V21&amp;" is less than Positive Result L&amp;D "&amp;CHAR(10),""),IF(W236&lt;W208," * start HAART L&amp;D  for Age "&amp;V20&amp;" "&amp;W21&amp;" is less than Positive Result L&amp;D "&amp;CHAR(10),""),IF(X236&lt;X208," * start HAART L&amp;D  for Age "&amp;X20&amp;" "&amp;X21&amp;" is less than Positive Result L&amp;D "&amp;CHAR(10),""),IF(Y236&lt;Y208," * start HAART L&amp;D  for Age "&amp;X20&amp;" "&amp;Y21&amp;" is less than Positive Result L&amp;D "&amp;CHAR(10),""),IF(Z236&lt;Z208," * start HAART L&amp;D  for Age "&amp;Z20&amp;" "&amp;Z21&amp;" is less than Positive Result L&amp;D "&amp;CHAR(10),""),IF(AA236&lt;AA208," * start HAART L&amp;D  for Age "&amp;Z20&amp;" "&amp;AA21&amp;" is less than Positive Result L&amp;D "&amp;CHAR(10),""))</f>
        <v/>
      </c>
      <c r="AF236" s="704"/>
      <c r="AG236" s="404">
        <v>230</v>
      </c>
      <c r="AH236" s="311"/>
    </row>
    <row r="237" spans="1:34" s="9" customFormat="1" ht="31.5" thickBot="1" x14ac:dyDescent="0.55000000000000004">
      <c r="A237" s="722"/>
      <c r="B237" s="284" t="s">
        <v>647</v>
      </c>
      <c r="C237" s="470" t="s">
        <v>648</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102"/>
        <v>0</v>
      </c>
      <c r="AC237" s="93" t="str">
        <f>CONCATENATE(IF(D237&gt;D210," * Retested start HAART L&amp;D  for Age "&amp;D20&amp;" "&amp;D21&amp;" is more than Retested Positive Result L&amp;D "&amp;CHAR(10),""),IF(E237&gt;E210," * Retested start HAART L&amp;D  for Age "&amp;D20&amp;" "&amp;E21&amp;" is more than Retested Positive Result L&amp;D "&amp;CHAR(10),""),IF(F237&gt;F210," * Retested start HAART L&amp;D  for Age "&amp;F20&amp;" "&amp;F21&amp;" is more than Retested Positive Result L&amp;D "&amp;CHAR(10),""),IF(G237&gt;G210," * Retested start HAART L&amp;D  for Age "&amp;F20&amp;" "&amp;G21&amp;" is more than Retested Positive Result L&amp;D "&amp;CHAR(10),""),IF(H237&gt;H210," * Retested start HAART L&amp;D  for Age "&amp;H20&amp;" "&amp;H21&amp;" is more than Retested Positive Result L&amp;D "&amp;CHAR(10),""),IF(I237&gt;I210," * Retested start HAART L&amp;D  for Age "&amp;H20&amp;" "&amp;I21&amp;" is more than Retested Positive Result L&amp;D "&amp;CHAR(10),""),IF(J237&gt;J210," * Retested start HAART L&amp;D  for Age "&amp;J20&amp;" "&amp;J21&amp;" is more than Retested Positive Result L&amp;D "&amp;CHAR(10),""),IF(K237&gt;K210," * Retested start HAART L&amp;D  for Age "&amp;J20&amp;" "&amp;K21&amp;" is more than Retested Positive Result L&amp;D "&amp;CHAR(10),""),IF(L237&gt;L210," * Retested start HAART L&amp;D  for Age "&amp;L20&amp;" "&amp;L21&amp;" is more than Retested Positive Result L&amp;D "&amp;CHAR(10),""),IF(M237&gt;M210," * Retested start HAART L&amp;D  for Age "&amp;L20&amp;" "&amp;M21&amp;" is more than Retested Positive Result L&amp;D "&amp;CHAR(10),""),IF(N237&gt;N210," * Retested start HAART L&amp;D  for Age "&amp;N20&amp;" "&amp;N21&amp;" is more than Retested Positive Result L&amp;D "&amp;CHAR(10),""),IF(O237&gt;O210," * Retested start HAART L&amp;D  for Age "&amp;N20&amp;" "&amp;O21&amp;" is more than Retested Positive Result L&amp;D "&amp;CHAR(10),""),IF(P237&gt;P210," * Retested start HAART L&amp;D  for Age "&amp;P20&amp;" "&amp;P21&amp;" is more than Retested Positive Result L&amp;D "&amp;CHAR(10),""),IF(Q237&gt;Q210," * Retested start HAART L&amp;D  for Age "&amp;P20&amp;" "&amp;Q21&amp;" is more than Retested Positive Result L&amp;D "&amp;CHAR(10),""),IF(R237&gt;R210," * Retested start HAART L&amp;D  for Age "&amp;R20&amp;" "&amp;R21&amp;" is more than Retested Positive Result L&amp;D "&amp;CHAR(10),""),IF(S237&gt;S210," * Retested start HAART L&amp;D  for Age "&amp;R20&amp;" "&amp;S21&amp;" is more than Retested Positive Result L&amp;D "&amp;CHAR(10),""),IF(T237&gt;T210," * Retested start HAART L&amp;D  for Age "&amp;T20&amp;" "&amp;T21&amp;" is more than Retested Positive Result L&amp;D "&amp;CHAR(10),""),IF(U237&gt;U210," * Retested start HAART L&amp;D  for Age "&amp;T20&amp;" "&amp;U21&amp;" is more than Retested Positive Result L&amp;D "&amp;CHAR(10),""),IF(V237&gt;V210," * Retested start HAART L&amp;D  for Age "&amp;V20&amp;" "&amp;V21&amp;" is more than Retested Positive Result L&amp;D "&amp;CHAR(10),""),IF(W237&gt;W210," * Retested start HAART L&amp;D  for Age "&amp;V20&amp;" "&amp;W21&amp;" is more than Retested Positive Result L&amp;D "&amp;CHAR(10),""),IF(X237&gt;X210," * Retested start HAART L&amp;D  for Age "&amp;X20&amp;" "&amp;X21&amp;" is more than Retested Positive Result L&amp;D "&amp;CHAR(10),""),IF(Y237&gt;Y210," * Retested start HAART L&amp;D  for Age "&amp;X20&amp;" "&amp;Y21&amp;" is more than Retested Positive Result L&amp;D "&amp;CHAR(10),""),IF(Z237&gt;Z210," * Retested start HAART L&amp;D  for Age "&amp;Z20&amp;" "&amp;Z21&amp;" is more than Retested Positive Result L&amp;D "&amp;CHAR(10),""),IF(AA237&gt;AA210," * Retested start HAART L&amp;D  for Age "&amp;Z20&amp;" "&amp;AA21&amp;" is more than Retested Positive Result L&amp;D "&amp;CHAR(10),"")
)</f>
        <v/>
      </c>
      <c r="AD237" s="635"/>
      <c r="AE237" s="81"/>
      <c r="AF237" s="704"/>
      <c r="AG237" s="404">
        <v>231</v>
      </c>
      <c r="AH237" s="311"/>
    </row>
    <row r="238" spans="1:34" x14ac:dyDescent="0.5">
      <c r="A238" s="652" t="s">
        <v>493</v>
      </c>
      <c r="B238" s="285" t="s">
        <v>506</v>
      </c>
      <c r="C238" s="263" t="s">
        <v>376</v>
      </c>
      <c r="D238" s="136"/>
      <c r="E238" s="33"/>
      <c r="F238" s="33"/>
      <c r="G238" s="33"/>
      <c r="H238" s="33"/>
      <c r="I238" s="33"/>
      <c r="J238" s="33"/>
      <c r="K238" s="34"/>
      <c r="L238" s="33"/>
      <c r="M238" s="34"/>
      <c r="N238" s="33"/>
      <c r="O238" s="34"/>
      <c r="P238" s="33"/>
      <c r="Q238" s="34"/>
      <c r="R238" s="33"/>
      <c r="S238" s="34"/>
      <c r="T238" s="33"/>
      <c r="U238" s="34"/>
      <c r="V238" s="33"/>
      <c r="W238" s="34"/>
      <c r="X238" s="33"/>
      <c r="Y238" s="34"/>
      <c r="Z238" s="33"/>
      <c r="AA238" s="33"/>
      <c r="AB238" s="35">
        <f t="shared" si="102"/>
        <v>0</v>
      </c>
      <c r="AC238" s="82" t="str">
        <f>CONCATENATE(IF(D238&gt;D212," * F06-16 for Age "&amp;D20&amp;" "&amp;D21&amp;" is more than F06-10"&amp;CHAR(10),""),IF(E238&gt;E212," * F06-16 for Age "&amp;D20&amp;" "&amp;E21&amp;" is more than F06-10"&amp;CHAR(10),""),IF(F238&gt;F212," * F06-16 for Age "&amp;F20&amp;" "&amp;F21&amp;" is more than F06-10"&amp;CHAR(10),""),IF(G238&gt;G212," * F06-16 for Age "&amp;F20&amp;" "&amp;G21&amp;" is more than F06-10"&amp;CHAR(10),""),IF(H238&gt;H212," * F06-16 for Age "&amp;H20&amp;" "&amp;H21&amp;" is more than F06-10"&amp;CHAR(10),""),IF(I238&gt;I212," * F06-16 for Age "&amp;H20&amp;" "&amp;I21&amp;" is more than F06-10"&amp;CHAR(10),""),IF(J238&gt;J212," * F06-16 for Age "&amp;J20&amp;" "&amp;J21&amp;" is more than F06-10"&amp;CHAR(10),""),IF(K238&gt;K212," * F06-16 for Age "&amp;J20&amp;" "&amp;K21&amp;" is more than F06-10"&amp;CHAR(10),""),IF(L238&gt;L212," * F06-16 for Age "&amp;L20&amp;" "&amp;L21&amp;" is more than F06-10"&amp;CHAR(10),""),IF(M238&gt;M212," * F06-16 for Age "&amp;L20&amp;" "&amp;M21&amp;" is more than F06-10"&amp;CHAR(10),""),IF(N238&gt;N212," * F06-16 for Age "&amp;N20&amp;" "&amp;N21&amp;" is more than F06-10"&amp;CHAR(10),""),IF(O238&gt;O212," * F06-16 for Age "&amp;N20&amp;" "&amp;O21&amp;" is more than F06-10"&amp;CHAR(10),""),IF(P238&gt;P212," * F06-16 for Age "&amp;P20&amp;" "&amp;P21&amp;" is more than F06-10"&amp;CHAR(10),""),IF(Q238&gt;Q212," * F06-16 for Age "&amp;P20&amp;" "&amp;Q21&amp;" is more than F06-10"&amp;CHAR(10),""),IF(R238&gt;R212," * F06-16 for Age "&amp;R20&amp;" "&amp;R21&amp;" is more than F06-10"&amp;CHAR(10),""),IF(S238&gt;S212," * F06-16 for Age "&amp;R20&amp;" "&amp;S21&amp;" is more than F06-10"&amp;CHAR(10),""),IF(T238&gt;T212," * F06-16 for Age "&amp;T20&amp;" "&amp;T21&amp;" is more than F06-10"&amp;CHAR(10),""),IF(U238&gt;U212," * F06-16 for Age "&amp;T20&amp;" "&amp;U21&amp;" is more than F06-10"&amp;CHAR(10),""),IF(V238&gt;V212," * F06-16 for Age "&amp;V20&amp;" "&amp;V21&amp;" is more than F06-10"&amp;CHAR(10),""),IF(W238&gt;W212," * F06-16 for Age "&amp;V20&amp;" "&amp;W21&amp;" is more than F06-10"&amp;CHAR(10),""),IF(X238&gt;X212," * F06-16 for Age "&amp;X20&amp;" "&amp;X21&amp;" is more than F06-10"&amp;CHAR(10),""),IF(Y238&gt;Y212," * F06-16 for Age "&amp;X20&amp;" "&amp;Y21&amp;" is more than F06-10"&amp;CHAR(10),""),IF(Z238&gt;Z212," * F06-16 for Age "&amp;Z20&amp;" "&amp;Z21&amp;" is more than F06-10"&amp;CHAR(10),""),IF(AA238&gt;AA212," * F06-16 for Age "&amp;Z20&amp;" "&amp;AA21&amp;" is more than F06-10"&amp;CHAR(10),""),IF(AB238&gt;AB212," * Total F06-16 is more than Total F06-10"&amp;CHAR(10),""))</f>
        <v/>
      </c>
      <c r="AD238" s="635"/>
      <c r="AE238" s="80" t="str">
        <f>CONCATENATE(IF(D238&lt;D212," * F06-16 for Age "&amp;D20&amp;" "&amp;D21&amp;" is less than F06-10"&amp;CHAR(10),""),IF(E238&lt;E212," * F06-16 for Age "&amp;D20&amp;" "&amp;E21&amp;" is less than F06-10"&amp;CHAR(10),""),IF(F238&lt;F212," * F06-16 for Age "&amp;F20&amp;" "&amp;F21&amp;" is less than F06-10"&amp;CHAR(10),""),IF(G238&lt;G212," * F06-16 for Age "&amp;F20&amp;" "&amp;G21&amp;" is less than F06-10"&amp;CHAR(10),""),IF(H238&lt;H212," * F06-16 for Age "&amp;H20&amp;" "&amp;H21&amp;" is less than F06-10"&amp;CHAR(10),""),IF(I238&lt;I212," * F06-16 for Age "&amp;H20&amp;" "&amp;I21&amp;" is less than F06-10"&amp;CHAR(10),""),IF(J238&lt;J212," * F06-16 for Age "&amp;J20&amp;" "&amp;J21&amp;" is less than F06-10"&amp;CHAR(10),""),IF(K238&lt;K212," * F06-16 for Age "&amp;J20&amp;" "&amp;K21&amp;" is less than F06-10"&amp;CHAR(10),""),IF(L238&lt;L212," * F06-16 for Age "&amp;L20&amp;" "&amp;L21&amp;" is less than F06-10"&amp;CHAR(10),""),IF(M238&lt;M212," * F06-16 for Age "&amp;L20&amp;" "&amp;M21&amp;" is less than F06-10"&amp;CHAR(10),""),IF(N238&lt;N212," * F06-16 for Age "&amp;N20&amp;" "&amp;N21&amp;" is less than F06-10"&amp;CHAR(10),""),IF(O238&lt;O212," * F06-16 for Age "&amp;N20&amp;" "&amp;O21&amp;" is less than F06-10"&amp;CHAR(10),""),IF(P238&lt;P212," * F06-16 for Age "&amp;P20&amp;" "&amp;P21&amp;" is less than F06-10"&amp;CHAR(10),""),IF(Q238&lt;Q212," * F06-16 for Age "&amp;P20&amp;" "&amp;Q21&amp;" is less than F06-10"&amp;CHAR(10),""),IF(R238&lt;R212," * F06-16 for Age "&amp;R20&amp;" "&amp;R21&amp;" is less than F06-10"&amp;CHAR(10),""),IF(S238&lt;S212," * F06-16 for Age "&amp;R20&amp;" "&amp;S21&amp;" is less than F06-10"&amp;CHAR(10),""),IF(T238&lt;T212," * F06-16 for Age "&amp;T20&amp;" "&amp;T21&amp;" is less than F06-10"&amp;CHAR(10),""),IF(U238&lt;U212," * F06-16 for Age "&amp;T20&amp;" "&amp;U21&amp;" is less than F06-10"&amp;CHAR(10),""),IF(V238&lt;V212," * F06-16 for Age "&amp;V20&amp;" "&amp;V21&amp;" is less than F06-10"&amp;CHAR(10),""),IF(W238&lt;W212," * F06-16 for Age "&amp;V20&amp;" "&amp;W21&amp;" is less than F06-10"&amp;CHAR(10),""),IF(X238&lt;X212," * F06-16 for Age "&amp;X20&amp;" "&amp;X21&amp;" is less than F06-10"&amp;CHAR(10),""),IF(Y238&lt;Y212," * F06-16 for Age "&amp;X20&amp;" "&amp;Y21&amp;" is less than F06-10"&amp;CHAR(10),""),IF(Z238&lt;Z212," * F06-16 for Age "&amp;Z20&amp;" "&amp;Z21&amp;" is less than F06-10"&amp;CHAR(10),""),IF(AA238&lt;AA212," * F06-16 for Age "&amp;Z20&amp;" "&amp;AA21&amp;" is less than F06-10"&amp;CHAR(10),""),IF(AB238&lt;AB212," * Total F06-16 is less than Total F06-10"&amp;CHAR(10),""))</f>
        <v/>
      </c>
      <c r="AF238" s="704"/>
      <c r="AG238" s="404">
        <v>232</v>
      </c>
    </row>
    <row r="239" spans="1:34" x14ac:dyDescent="0.5">
      <c r="A239" s="653"/>
      <c r="B239" s="282" t="s">
        <v>507</v>
      </c>
      <c r="C239" s="131" t="s">
        <v>511</v>
      </c>
      <c r="D239" s="124"/>
      <c r="E239" s="18"/>
      <c r="F239" s="18"/>
      <c r="G239" s="18"/>
      <c r="H239" s="18"/>
      <c r="I239" s="18"/>
      <c r="J239" s="18"/>
      <c r="K239" s="19"/>
      <c r="L239" s="18"/>
      <c r="M239" s="19"/>
      <c r="N239" s="18"/>
      <c r="O239" s="19"/>
      <c r="P239" s="18"/>
      <c r="Q239" s="19"/>
      <c r="R239" s="18"/>
      <c r="S239" s="19"/>
      <c r="T239" s="18"/>
      <c r="U239" s="19"/>
      <c r="V239" s="18"/>
      <c r="W239" s="19"/>
      <c r="X239" s="18"/>
      <c r="Y239" s="19"/>
      <c r="Z239" s="18"/>
      <c r="AA239" s="18"/>
      <c r="AB239" s="224">
        <f t="shared" si="102"/>
        <v>0</v>
      </c>
      <c r="AC239" s="82" t="str">
        <f>CONCATENATE(IF(D239&gt;D214," * Retest Start HAART at PNC &lt; = 6 weeks for Age "&amp;D20&amp;" "&amp;D21&amp;" is more than Retesting positive result at PNC &lt; = 6 weeks"&amp;CHAR(10),""),IF(E239&gt;E214," * Retest Start HAART at PNC &lt; = 6 weeks for Age "&amp;D20&amp;" "&amp;E21&amp;" is more than Retesting positive result at PNC &lt; = 6 weeks"&amp;CHAR(10),""),IF(F239&gt;F214," * Retest Start HAART at PNC &lt; = 6 weeks for Age "&amp;F20&amp;" "&amp;F21&amp;" is more than Retesting positive result at PNC &lt; = 6 weeks"&amp;CHAR(10),""),IF(G239&gt;G214," * Retest Start HAART at PNC &lt; = 6 weeks for Age "&amp;F20&amp;" "&amp;G21&amp;" is more than Retesting positive result at PNC &lt; = 6 weeks"&amp;CHAR(10),""),IF(H239&gt;H214," * Retest Start HAART at PNC &lt; = 6 weeks for Age "&amp;H20&amp;" "&amp;H21&amp;" is more than Retesting positive result at PNC &lt; = 6 weeks"&amp;CHAR(10),""),IF(I239&gt;I214," * Retest Start HAART at PNC &lt; = 6 weeks for Age "&amp;H20&amp;" "&amp;I21&amp;" is more than Retesting positive result at PNC &lt; = 6 weeks"&amp;CHAR(10),""),IF(J239&gt;J214," * Retest Start HAART at PNC &lt; = 6 weeks for Age "&amp;J20&amp;" "&amp;J21&amp;" is more than Retesting positive result at PNC &lt; = 6 weeks"&amp;CHAR(10),""),IF(K239&gt;K214," * Retest Start HAART at PNC &lt; = 6 weeks for Age "&amp;J20&amp;" "&amp;K21&amp;" is more than Retesting positive result at PNC &lt; = 6 weeks"&amp;CHAR(10),""),IF(L239&gt;L214," * Retest Start HAART at PNC &lt; = 6 weeks for Age "&amp;L20&amp;" "&amp;L21&amp;" is more than Retesting positive result at PNC &lt; = 6 weeks"&amp;CHAR(10),""),IF(M239&gt;M214," * Retest Start HAART at PNC &lt; = 6 weeks for Age "&amp;L20&amp;" "&amp;M21&amp;" is more than Retesting positive result at PNC &lt; = 6 weeks"&amp;CHAR(10),""),IF(N239&gt;N214," * Retest Start HAART at PNC &lt; = 6 weeks for Age "&amp;N20&amp;" "&amp;N21&amp;" is more than Retesting positive result at PNC &lt; = 6 weeks"&amp;CHAR(10),""),IF(O239&gt;O214," * Retest Start HAART at PNC &lt; = 6 weeks for Age "&amp;N20&amp;" "&amp;O21&amp;" is more than Retesting positive result at PNC &lt; = 6 weeks"&amp;CHAR(10),""),IF(P239&gt;P214," * Retest Start HAART at PNC &lt; = 6 weeks for Age "&amp;P20&amp;" "&amp;P21&amp;" is more than Retesting positive result at PNC &lt; = 6 weeks"&amp;CHAR(10),""),IF(Q239&gt;Q214," * Retest Start HAART at PNC &lt; = 6 weeks for Age "&amp;P20&amp;" "&amp;Q21&amp;" is more than Retesting positive result at PNC &lt; = 6 weeks"&amp;CHAR(10),""),IF(R239&gt;R214," * Retest Start HAART at PNC &lt; = 6 weeks for Age "&amp;R20&amp;" "&amp;R21&amp;" is more than Retesting positive result at PNC &lt; = 6 weeks"&amp;CHAR(10),""),IF(S239&gt;S214," * Retest Start HAART at PNC &lt; = 6 weeks for Age "&amp;R20&amp;" "&amp;S21&amp;" is more than Retesting positive result at PNC &lt; = 6 weeks"&amp;CHAR(10),""),IF(T239&gt;T214," * Retest Start HAART at PNC &lt; = 6 weeks for Age "&amp;T20&amp;" "&amp;T21&amp;" is more than Retesting positive result at PNC &lt; = 6 weeks"&amp;CHAR(10),""),IF(U239&gt;U214," * Retest Start HAART at PNC &lt; = 6 weeks for Age "&amp;T20&amp;" "&amp;U21&amp;" is more than Retesting positive result at PNC &lt; = 6 weeks"&amp;CHAR(10),""),IF(V239&gt;V214," * Retest Start HAART at PNC &lt; = 6 weeks for Age "&amp;V20&amp;" "&amp;V21&amp;" is more than Retesting positive result at PNC &lt; = 6 weeks"&amp;CHAR(10),""),IF(W239&gt;W214," * Retest Start HAART at PNC &lt; = 6 weeks for Age "&amp;V20&amp;" "&amp;W21&amp;" is more than Retesting positive result at PNC &lt; = 6 weeks"&amp;CHAR(10),""),IF(X239&gt;X214," * Retest Start HAART at PNC &lt; = 6 weeks for Age "&amp;X20&amp;" "&amp;X21&amp;" is more than Retesting positive result at PNC &lt; = 6 weeks"&amp;CHAR(10),""),IF(Y239&gt;Y214," * Retest Start HAART at PNC &lt; = 6 weeks for Age "&amp;X20&amp;" "&amp;Y21&amp;" is more than Retesting positive result at PNC &lt; = 6 weeks"&amp;CHAR(10),""),IF(Z239&gt;Z214," * Retest Start HAART at PNC &lt; = 6 weeks for Age "&amp;Z20&amp;" "&amp;Z21&amp;" is more than Retesting positive result at PNC &lt; = 6 weeks"&amp;CHAR(10),""),IF(AA239&gt;AA214," * Retest Start HAART at PNC &lt; = 6 weeks for Age "&amp;Z20&amp;" "&amp;AA21&amp;" is more than Retesting positive result at PNC &lt; = 6 weeks"&amp;CHAR(10),""))</f>
        <v/>
      </c>
      <c r="AD239" s="635"/>
      <c r="AE239" s="80"/>
      <c r="AF239" s="704"/>
      <c r="AG239" s="404">
        <v>233</v>
      </c>
    </row>
    <row r="240" spans="1:34" s="9" customFormat="1" ht="31.5" thickBot="1" x14ac:dyDescent="0.55000000000000004">
      <c r="A240" s="722"/>
      <c r="B240" s="284" t="s">
        <v>505</v>
      </c>
      <c r="C240" s="470" t="s">
        <v>512</v>
      </c>
      <c r="D240" s="138"/>
      <c r="E240" s="37"/>
      <c r="F240" s="37"/>
      <c r="G240" s="37"/>
      <c r="H240" s="37"/>
      <c r="I240" s="37"/>
      <c r="J240" s="37"/>
      <c r="K240" s="38"/>
      <c r="L240" s="37"/>
      <c r="M240" s="38"/>
      <c r="N240" s="37"/>
      <c r="O240" s="38"/>
      <c r="P240" s="37"/>
      <c r="Q240" s="38"/>
      <c r="R240" s="37"/>
      <c r="S240" s="38"/>
      <c r="T240" s="37"/>
      <c r="U240" s="38"/>
      <c r="V240" s="37"/>
      <c r="W240" s="38"/>
      <c r="X240" s="37"/>
      <c r="Y240" s="38"/>
      <c r="Z240" s="37"/>
      <c r="AA240" s="37"/>
      <c r="AB240" s="224">
        <f t="shared" si="102"/>
        <v>0</v>
      </c>
      <c r="AC240" s="82" t="str">
        <f>CONCATENATE(IF(D240&gt;D216," * Start HAART at PNC  &gt; 6 weeks for Age "&amp;D20&amp;" "&amp;D21&amp;" is more than  positive result at PNC  &gt; 6 weeks"&amp;CHAR(10),""),IF(E240&gt;E216," * Start HAART at PNC  &gt; 6 weeks for Age "&amp;D20&amp;" "&amp;E21&amp;" is more than  positive result at PNC  &gt; 6 weeks"&amp;CHAR(10),""),IF(F240&gt;F216," * Start HAART at PNC  &gt; 6 weeks for Age "&amp;F20&amp;" "&amp;F21&amp;" is more than  positive result at PNC  &gt; 6 weeks"&amp;CHAR(10),""),IF(G240&gt;G216," * Start HAART at PNC  &gt; 6 weeks for Age "&amp;F20&amp;" "&amp;G21&amp;" is more than  positive result at PNC  &gt; 6 weeks"&amp;CHAR(10),""),IF(H240&gt;H216," * Start HAART at PNC  &gt; 6 weeks for Age "&amp;H20&amp;" "&amp;H21&amp;" is more than  positive result at PNC  &gt; 6 weeks"&amp;CHAR(10),""),IF(I240&gt;I216," * Start HAART at PNC  &gt; 6 weeks for Age "&amp;H20&amp;" "&amp;I21&amp;" is more than  positive result at PNC  &gt; 6 weeks"&amp;CHAR(10),""),IF(J240&gt;J216," * Start HAART at PNC  &gt; 6 weeks for Age "&amp;J20&amp;" "&amp;J21&amp;" is more than  positive result at PNC  &gt; 6 weeks"&amp;CHAR(10),""),IF(K240&gt;K216," * Start HAART at PNC  &gt; 6 weeks for Age "&amp;J20&amp;" "&amp;K21&amp;" is more than  positive result at PNC  &gt; 6 weeks"&amp;CHAR(10),""),IF(L240&gt;L216," * Start HAART at PNC  &gt; 6 weeks for Age "&amp;L20&amp;" "&amp;L21&amp;" is more than  positive result at PNC  &gt; 6 weeks"&amp;CHAR(10),""),IF(M240&gt;M216," * Start HAART at PNC  &gt; 6 weeks for Age "&amp;L20&amp;" "&amp;M21&amp;" is more than  positive result at PNC  &gt; 6 weeks"&amp;CHAR(10),""),IF(N240&gt;N216," * Start HAART at PNC  &gt; 6 weeks for Age "&amp;N20&amp;" "&amp;N21&amp;" is more than  positive result at PNC  &gt; 6 weeks"&amp;CHAR(10),""),IF(O240&gt;O216," * Start HAART at PNC  &gt; 6 weeks for Age "&amp;N20&amp;" "&amp;O21&amp;" is more than  positive result at PNC  &gt; 6 weeks"&amp;CHAR(10),""),IF(P240&gt;P216," * Start HAART at PNC  &gt; 6 weeks for Age "&amp;P20&amp;" "&amp;P21&amp;" is more than  positive result at PNC  &gt; 6 weeks"&amp;CHAR(10),""),IF(Q240&gt;Q216," * Start HAART at PNC  &gt; 6 weeks for Age "&amp;P20&amp;" "&amp;Q21&amp;" is more than  positive result at PNC  &gt; 6 weeks"&amp;CHAR(10),""),IF(R240&gt;R216," * Start HAART at PNC  &gt; 6 weeks for Age "&amp;R20&amp;" "&amp;R21&amp;" is more than  positive result at PNC  &gt; 6 weeks"&amp;CHAR(10),""),IF(S240&gt;S216," * Start HAART at PNC  &gt; 6 weeks for Age "&amp;R20&amp;" "&amp;S21&amp;" is more than  positive result at PNC  &gt; 6 weeks"&amp;CHAR(10),""),IF(T240&gt;T216," * Start HAART at PNC  &gt; 6 weeks for Age "&amp;T20&amp;" "&amp;T21&amp;" is more than  positive result at PNC  &gt; 6 weeks"&amp;CHAR(10),""),IF(U240&gt;U216," * Start HAART at PNC  &gt; 6 weeks for Age "&amp;T20&amp;" "&amp;U21&amp;" is more than  positive result at PNC  &gt; 6 weeks"&amp;CHAR(10),""),IF(V240&gt;V216," * Start HAART at PNC  &gt; 6 weeks for Age "&amp;V20&amp;" "&amp;V21&amp;" is more than  positive result at PNC  &gt; 6 weeks"&amp;CHAR(10),""),IF(W240&gt;W216," * Start HAART at PNC  &gt; 6 weeks for Age "&amp;V20&amp;" "&amp;W21&amp;" is more than  positive result at PNC  &gt; 6 weeks"&amp;CHAR(10),""),IF(X240&gt;X216," * Start HAART at PNC  &gt; 6 weeks for Age "&amp;X20&amp;" "&amp;X21&amp;" is more than  positive result at PNC  &gt; 6 weeks"&amp;CHAR(10),""),IF(Y240&gt;Y216," * Start HAART at PNC  &gt; 6 weeks for Age "&amp;X20&amp;" "&amp;Y21&amp;" is more than  positive result at PNC  &gt; 6 weeks"&amp;CHAR(10),""),IF(Z240&gt;Z216," * Start HAART at PNC  &gt; 6 weeks for Age "&amp;Z20&amp;" "&amp;Z21&amp;" is more than  positive result at PNC  &gt; 6 weeks"&amp;CHAR(10),""),IF(AA240&gt;AA216," * Start HAART at PNC  &gt; 6 weeks for Age "&amp;Z20&amp;" "&amp;AA21&amp;" is more than  positive result at PNC  &gt; 6 weeks"&amp;CHAR(10),""))</f>
        <v/>
      </c>
      <c r="AD240" s="635"/>
      <c r="AE240" s="81"/>
      <c r="AF240" s="704"/>
      <c r="AG240" s="404">
        <v>234</v>
      </c>
      <c r="AH240" s="311"/>
    </row>
    <row r="241" spans="1:34" ht="33" thickBot="1" x14ac:dyDescent="0.55000000000000004">
      <c r="A241" s="544" t="s">
        <v>290</v>
      </c>
      <c r="B241" s="288" t="s">
        <v>290</v>
      </c>
      <c r="C241" s="162" t="s">
        <v>377</v>
      </c>
      <c r="D241" s="161"/>
      <c r="E241" s="63"/>
      <c r="F241" s="63"/>
      <c r="G241" s="63"/>
      <c r="H241" s="63"/>
      <c r="I241" s="63"/>
      <c r="J241" s="63"/>
      <c r="K241" s="64"/>
      <c r="L241" s="63"/>
      <c r="M241" s="64"/>
      <c r="N241" s="63"/>
      <c r="O241" s="64"/>
      <c r="P241" s="63"/>
      <c r="Q241" s="64"/>
      <c r="R241" s="63"/>
      <c r="S241" s="64"/>
      <c r="T241" s="63"/>
      <c r="U241" s="64"/>
      <c r="V241" s="63"/>
      <c r="W241" s="64"/>
      <c r="X241" s="63"/>
      <c r="Y241" s="64"/>
      <c r="Z241" s="63"/>
      <c r="AA241" s="63"/>
      <c r="AB241" s="65">
        <f t="shared" si="102"/>
        <v>0</v>
      </c>
      <c r="AC241" s="82"/>
      <c r="AD241" s="635"/>
      <c r="AE241" s="80"/>
      <c r="AF241" s="704"/>
      <c r="AG241" s="404">
        <v>235</v>
      </c>
    </row>
    <row r="242" spans="1:34" s="9" customFormat="1" x14ac:dyDescent="0.5">
      <c r="A242" s="652" t="s">
        <v>1025</v>
      </c>
      <c r="B242" s="285" t="s">
        <v>716</v>
      </c>
      <c r="C242" s="153" t="s">
        <v>378</v>
      </c>
      <c r="D242" s="136"/>
      <c r="E242" s="33"/>
      <c r="F242" s="33"/>
      <c r="G242" s="33"/>
      <c r="H242" s="33"/>
      <c r="I242" s="33"/>
      <c r="J242" s="33"/>
      <c r="K242" s="34"/>
      <c r="L242" s="33"/>
      <c r="M242" s="34"/>
      <c r="N242" s="33"/>
      <c r="O242" s="34"/>
      <c r="P242" s="33"/>
      <c r="Q242" s="34"/>
      <c r="R242" s="33"/>
      <c r="S242" s="34"/>
      <c r="T242" s="33"/>
      <c r="U242" s="34"/>
      <c r="V242" s="33"/>
      <c r="W242" s="34"/>
      <c r="X242" s="33"/>
      <c r="Y242" s="34"/>
      <c r="Z242" s="33"/>
      <c r="AA242" s="33"/>
      <c r="AB242" s="35">
        <f t="shared" si="102"/>
        <v>0</v>
      </c>
      <c r="AC242" s="82" t="str">
        <f>CONCATENATE(IF(D242&gt;SUM(D200,D204,D198,D206)," * Infant Prophylaxis ANC for Age "&amp;D20&amp;" "&amp;D21&amp;" is more than Positive at ANC (F06-02+F06-04+F06-06+F06-062)"&amp;CHAR(10),""),IF(E242&gt;SUM(E200,E204,E198,E206)," * Infant Prophylaxis ANC  for Age "&amp;D20&amp;" "&amp;E21&amp;" is more than Positive at ANC (F06-02+F06-04+F06-06+F06-062)"&amp;CHAR(10),""),IF(F242&gt;SUM(F200,F204,F198,F206)," * Infant Prophylaxis ANC  for Age "&amp;F20&amp;" "&amp;F21&amp;" is more than Positive at ANC (F06-02+F06-04+F06-06+F06-062)"&amp;CHAR(10),""),IF(G242&gt;SUM(G200,G204,G198,F206)," * Infant Prophylaxis ANC  for Age "&amp;F20&amp;" "&amp;G21&amp;" is more than Positive at ANC (F06-02+F06-04+F06-06+F06-062)"&amp;CHAR(10),""),IF(H242&gt;SUM(H200,H204,H198)," * Infant Prophylaxis ANC  for Age "&amp;H20&amp;" "&amp;H21&amp;" is more than Positive at ANC (F06-02+F06-04+F06-06+F06-062)"&amp;CHAR(10),""),IF(I242&gt;SUM(I200,I204,I198)," * Infant Prophylaxis ANC  for Age "&amp;H20&amp;" "&amp;I21&amp;" is more than Positive at ANC (F06-02+F06-04+F06-06+F06-062)"&amp;CHAR(10),""),IF(J242&gt;SUM(J200,J204,J198)," * Infant Prophylaxis ANC  for Age "&amp;J20&amp;" "&amp;J21&amp;" is more than Positive at ANC (F06-02+F06-04+F06-06+F06-062)"&amp;CHAR(10),""),IF(K242&gt;SUM(K200,K204,K198,K206)," * Infant Prophylaxis ANC  for Age "&amp;J20&amp;" "&amp;K21&amp;" is more than Positive at ANC (F06-02+F06-04+F06-06+F06-062)"&amp;CHAR(10),""),IF(L242&gt;SUM(L200,L204,L198,L206)," * Infant Prophylaxis ANC  for Age "&amp;L20&amp;" "&amp;L21&amp;" is more than Positive at ANC (F06-02+F06-04+F06-06+F06-062)"&amp;CHAR(10),""),IF(M242&gt;SUM(M200,M204,M198,M206)," * Infant Prophylaxis ANC  for Age "&amp;L20&amp;" "&amp;M21&amp;" is more than Positive at ANC (F06-02+F06-04+F06-06+F06-062)"&amp;CHAR(10),""),IF(N242&gt;SUM(N200,N204,N198,N206)," * Infant Prophylaxis ANC  for Age "&amp;N20&amp;" "&amp;N21&amp;" is more than Positive at ANC (F06-02+F06-04+F06-06+F06-062)"&amp;CHAR(10),""),IF(O242&gt;SUM(O200,O204,O198,O206)," * Infant Prophylaxis ANC  for Age "&amp;N20&amp;" "&amp;O21&amp;" is more than Positive at ANC (F06-02+F06-04+F06-06+F06-062)"&amp;CHAR(10),""),IF(P242&gt;SUM(P200,P204,P198,P206)," * Infant Prophylaxis ANC  for Age "&amp;P20&amp;" "&amp;P21&amp;" is more than Positive at ANC (F06-02+F06-04+F06-06+F06-062)"&amp;CHAR(10),""),IF(Q242&gt;SUM(Q200,Q204,Q198,Q206)," * Infant Prophylaxis ANC  for Age "&amp;P20&amp;" "&amp;Q21&amp;" is more than Positive at ANC (F06-02+F06-04+F06-06+F06-062)"&amp;CHAR(10),""),IF(R242&gt;SUM(R200,R204,R198,R206)," * Infant Prophylaxis ANC  for Age "&amp;R20&amp;" "&amp;R21&amp;" is more than Positive at ANC (F06-02+F06-04+F06-06+F06-062)"&amp;CHAR(10),""),IF(S242&gt;SUM(S200,S204,S198,S206)," * Infant Prophylaxis ANC  for Age "&amp;R20&amp;" "&amp;S21&amp;" is more than Positive at ANC (F06-02+F06-04+F06-06+F06-062)"&amp;CHAR(10),""),IF(T242&gt;SUM(T200,T204,T198,T206)," * Infant Prophylaxis ANC  for Age "&amp;T20&amp;" "&amp;T21&amp;" is more than Positive at ANC (F06-02+F06-04+F06-06+F06-062)"&amp;CHAR(10),""),IF(U242&gt;SUM(U200,U204,U198,U206)," * Infant Prophylaxis ANC  for Age "&amp;T20&amp;" "&amp;U21&amp;" is more than Positive at ANC (F06-02+F06-04+F06-06+F06-062)"&amp;CHAR(10),""),IF(V242&gt;SUM(V200,V204,V198,V206)," * Infant Prophylaxis ANC  for Age "&amp;V20&amp;" "&amp;V21&amp;" is more than Positive at ANC (F06-02+F06-04+F06-06+F06-062)"&amp;CHAR(10),""),IF(W242&gt;SUM(W200,W204,W198,W206)," * Infant Prophylaxis ANC  for Age "&amp;V20&amp;" "&amp;W21&amp;" is more than Positive at ANC (F06-02+F06-04+F06-06+F06-062)"&amp;CHAR(10),""),IF(X242&gt;SUM(X200,X204,X198,X206)," * Infant Prophylaxis ANC  for Age "&amp;X20&amp;" "&amp;X21&amp;" is more than Positive at ANC (F06-02+F06-04+F06-06+F06-062)"&amp;CHAR(10),""),IF(Y242&gt;SUM(Y200,Y204,Y198,Y206)," * Infant Prophylaxis ANC  for Age "&amp;X20&amp;" "&amp;Y21&amp;" is more than Positive at ANC (F06-02+F06-04+F06-06+F06-062)"&amp;CHAR(10),""),IF(Z242&gt;SUM(Z200,Z204,Z198,Z206)," * Infant Prophylaxis ANC  for Age "&amp;Z20&amp;" "&amp;Z21&amp;" is more than Positive at ANC (F06-02+F06-04+F06-06+F06-062)"&amp;CHAR(10),""),IF(AA242&gt;SUM(AA200,AA204,AA198,AA206)," * Infant Prophylaxis ANC  for Age "&amp;Z20&amp;" "&amp;AA21&amp;" is more than Positive at ANC (F06-02+F06-04+F06-06+F06-062)"&amp;CHAR(10),""))</f>
        <v/>
      </c>
      <c r="AD242" s="635"/>
      <c r="AE242" s="81" t="str">
        <f>CONCATENATE(IF(D242&lt;SUM(D200,D198,D204,D206)," * Sum of (KP at 1st ANC +New positive at ANC1 + New positive at ANC2 or More+Retesting positive Result at ANC2 or More) for Age "&amp;D20&amp;" "&amp;D21&amp;" is greater than Infant Prophylaxis ANC"&amp;CHAR(10),""),IF(E242&lt;SUM(E200,E198,E204,E206)," * Sum of (KP at 1st ANC +New positive at ANC1 + New positive at ANC2 or More+Retesting positive Result at ANC2 or More) for Age "&amp;D20&amp;" "&amp;E21&amp;" is greater than Infant Prophylaxis ANC"&amp;CHAR(10),""),IF(F242&lt;SUM(F200,F198,F204,F206)," * Sum of (KP at 1st ANC +New positive at ANC1 + New positive at ANC2 or More+Retesting positive Result at ANC2 or More) for Age "&amp;F20&amp;" "&amp;F21&amp;" is greater than Infant Prophylaxis ANC"&amp;CHAR(10),""),IF(G242&lt;SUM(G200,G198,G204,G206)," * Sum of (KP at 1st ANC +New positive at ANC1 + New positive at ANC2 or More+Retesting positive Result at ANC2 or More) for Age "&amp;F20&amp;" "&amp;G21&amp;" is greater than Infant Prophylaxis ANC"&amp;CHAR(10),""),IF(H242&lt;SUM(H200,H198,H204,H206)," * Sum of (KP at 1st ANC +New positive at ANC1 + New positive at ANC2 or More+Retesting positive Result at ANC2 or More) for Age "&amp;H20&amp;" "&amp;H21&amp;" is greater than Infant Prophylaxis ANC"&amp;CHAR(10),""),IF(I242&lt;SUM(I200,I198,I204,I206)," * Sum of (KP at 1st ANC +New positive at ANC1 + New positive at ANC2 or More+Retesting positive Result at ANC2 or More) for Age "&amp;H20&amp;" "&amp;I21&amp;" is greater than Infant Prophylaxis ANC"&amp;CHAR(10),""),IF(J242&lt;SUM(J200,J198,J204,J206)," * Sum of (KP at 1st ANC +New positive at ANC1 + New positive at ANC2 or More+Retesting positive Result at ANC2 or More) for Age "&amp;J20&amp;" "&amp;J21&amp;" is greater than Infant Prophylaxis ANC"&amp;CHAR(10),""),IF(K242&lt;SUM(K200,K198,K204,K206)," * Sum of (KP at 1st ANC +New positive at ANC1 + New positive at ANC2 or More+Retesting positive Result at ANC2 or More) for Age "&amp;J20&amp;" "&amp;K21&amp;" is greater than Infant Prophylaxis ANC"&amp;CHAR(10),""),IF(L242&lt;SUM(L200,L198,L204,L206)," * Sum of (KP at 1st ANC +New positive at ANC1 + New positive at ANC2 or More+Retesting positive Result at ANC2 or More) for Age "&amp;L20&amp;" "&amp;L21&amp;" is greater than Infant Prophylaxis ANC"&amp;CHAR(10),""),IF(M242&lt;SUM(M200,M198,M204,M206)," * Sum of (KP at 1st ANC +New positive at ANC1 + New positive at ANC2 or More+Retesting positive Result at ANC2 or More) for Age "&amp;L20&amp;" "&amp;M21&amp;" is greater than Infant Prophylaxis ANC"&amp;CHAR(10),""),IF(N242&lt;SUM(N200,N198,N204,N206)," * Sum of (KP at 1st ANC +New positive at ANC1 + New positive at ANC2 or More+Retesting positive Result at ANC2 or More) for Age "&amp;N20&amp;" "&amp;N21&amp;" is greater than Infant Prophylaxis ANC"&amp;CHAR(10),""),IF(O242&lt;SUM(O200,O198,O204,O206)," * Sum of (KP at 1st ANC +New positive at ANC1 + New positive at ANC2 or More+Retesting positive Result at ANC2 or More) for Age "&amp;N20&amp;" "&amp;O21&amp;" is greater than Infant Prophylaxis ANC"&amp;CHAR(10),""),IF(P242&lt;SUM(P200,P198,P204,P206)," * Sum of (KP at 1st ANC +New positive at ANC1 + New positive at ANC2 or More+Retesting positive Result at ANC2 or More) for Age "&amp;P20&amp;" "&amp;P21&amp;" is greater than Infant Prophylaxis ANC"&amp;CHAR(10),""),IF(Q242&lt;SUM(Q200,Q198,Q204,Q206)," * Sum of (KP at 1st ANC +New positive at ANC1 + New positive at ANC2 or More+Retesting positive Result at ANC2 or More) for Age "&amp;P20&amp;" "&amp;Q21&amp;" is greater than Infant Prophylaxis ANC"&amp;CHAR(10),""),IF(R242&lt;SUM(R200,R198,R204,R206)," * Sum of (KP at 1st ANC +New positive at ANC1 + New positive at ANC2 or More+Retesting positive Result at ANC2 or More) for Age "&amp;R20&amp;" "&amp;R21&amp;" is greater than Infant Prophylaxis ANC"&amp;CHAR(10),""),IF(S242&lt;SUM(S200,S198,S204,S206)," * Sum of (KP at 1st ANC +New positive at ANC1 + New positive at ANC2 or More+Retesting positive Result at ANC2 or More) for Age "&amp;R20&amp;" "&amp;S21&amp;" is greater than Infant Prophylaxis ANC"&amp;CHAR(10),""),IF(T242&lt;SUM(T200,T198,T204&lt;T206)," * Sum of (KP at 1st ANC +New positive at ANC1 + New positive at ANC2 or More+Retesting positive Result at ANC2 or More) for Age "&amp;T20&amp;" "&amp;T21&amp;" is greater than Infant Prophylaxis ANC"&amp;CHAR(10),""),IF(U242&lt;SUM(U200,U198,U204,U206)," * Sum of (KP at 1st ANC +New positive at ANC1 + New positive at ANC2 or More+Retesting positive Result at ANC2 or More) for Age "&amp;T20&amp;" "&amp;U21&amp;" is greater than Infant Prophylaxis ANC"&amp;CHAR(10),""),IF(V242&lt;SUM(V200,V198,V204,V206)," * Sum of (KP at 1st ANC +New positive at ANC1 + New positive at ANC2 or More+Retesting positive Result at ANC2 or More) for Age "&amp;V20&amp;" "&amp;V21&amp;" is greater than Infant Prophylaxis ANC"&amp;CHAR(10),""),IF(W242&lt;SUM(W200,W198,W204,W206)," * Sum of (KP at 1st ANC +New positive at ANC1 + New positive at ANC2 or More+Retesting positive Result at ANC2 or More) for Age "&amp;V20&amp;" "&amp;W21&amp;" is greater than Infant Prophylaxis ANC"&amp;CHAR(10),""),IF(X242&lt;SUM(X200,X198,X204,X206)," * Sum of (KP at 1st ANC +New positive at ANC1 + New positive at ANC2 or More+Retesting positive Result at ANC2 or More) for Age "&amp;X20&amp;" "&amp;X21&amp;" is greater than Infant Prophylaxis ANC"&amp;CHAR(10),""),IF(Y242&lt;SUM(Y200,Y198,Y204,Y206)," * Sum of (KP at 1st ANC +New positive at ANC1 + New positive at ANC2 or More+Retesting positive Result at ANC2 or More) for Age "&amp;X20&amp;" "&amp;Y21&amp;" is greater than Infant Prophylaxis ANC"&amp;CHAR(10),""),IF(Z242&lt;SUM(Z200,Z198,Z204,Z206)," * Sum of (KP at 1st ANC +New positive at ANC1 + New positive at ANC2 or More+Retesting positive Result at ANC2 or More) for Age "&amp;Z20&amp;" "&amp;Z21&amp;" is greater than Infant Prophylaxis ANC"&amp;CHAR(10),""),IF(AA242&lt;SUM(AA200,AA198,AA204,AA206)," * Sum of (KP at 1st ANC +New positive at ANC1 + New positive at ANC2 or More+Retesting positive Result at ANC2 or More) for Age "&amp;Z20&amp;" "&amp;AA21&amp;" is greater than Infant Prophylaxis ANC"&amp;CHAR(10),""))</f>
        <v/>
      </c>
      <c r="AF242" s="704"/>
      <c r="AG242" s="404">
        <v>236</v>
      </c>
      <c r="AH242" s="311"/>
    </row>
    <row r="243" spans="1:34" x14ac:dyDescent="0.5">
      <c r="A243" s="653"/>
      <c r="B243" s="282" t="s">
        <v>717</v>
      </c>
      <c r="C243" s="131" t="s">
        <v>379</v>
      </c>
      <c r="D243" s="124"/>
      <c r="E243" s="18"/>
      <c r="F243" s="18"/>
      <c r="G243" s="18"/>
      <c r="H243" s="18"/>
      <c r="I243" s="18"/>
      <c r="J243" s="18"/>
      <c r="K243" s="19"/>
      <c r="L243" s="18"/>
      <c r="M243" s="19"/>
      <c r="N243" s="18"/>
      <c r="O243" s="19"/>
      <c r="P243" s="18"/>
      <c r="Q243" s="19"/>
      <c r="R243" s="18"/>
      <c r="S243" s="19"/>
      <c r="T243" s="18"/>
      <c r="U243" s="19"/>
      <c r="V243" s="18"/>
      <c r="W243" s="19"/>
      <c r="X243" s="18"/>
      <c r="Y243" s="19"/>
      <c r="Z243" s="18"/>
      <c r="AA243" s="18"/>
      <c r="AB243" s="36">
        <f t="shared" si="102"/>
        <v>0</v>
      </c>
      <c r="AC243" s="82" t="str">
        <f>CONCATENATE(IF(D243&gt;D208," * F06-19 for Age "&amp;D20&amp;" "&amp;D21&amp;" is more than F06-08"&amp;CHAR(10),""),IF(E243&gt;E208," * F06-19 for Age "&amp;D20&amp;" "&amp;E21&amp;" is more than F06-08"&amp;CHAR(10),""),IF(F243&gt;F208," * F06-19 for Age "&amp;F20&amp;" "&amp;F21&amp;" is more than F06-08"&amp;CHAR(10),""),IF(G243&gt;G208," * F06-19 for Age "&amp;F20&amp;" "&amp;G21&amp;" is more than F06-08"&amp;CHAR(10),""),IF(H243&gt;H208," * F06-19 for Age "&amp;H20&amp;" "&amp;H21&amp;" is more than F06-08"&amp;CHAR(10),""),IF(I243&gt;I208," * F06-19 for Age "&amp;H20&amp;" "&amp;I21&amp;" is more than F06-08"&amp;CHAR(10),""),IF(J243&gt;J208," * F06-19 for Age "&amp;J20&amp;" "&amp;J21&amp;" is more than F06-08"&amp;CHAR(10),""),IF(K243&gt;K208," * F06-19 for Age "&amp;J20&amp;" "&amp;K21&amp;" is more than F06-08"&amp;CHAR(10),""),IF(L243&gt;L208," * F06-19 for Age "&amp;L20&amp;" "&amp;L21&amp;" is more than F06-08"&amp;CHAR(10),""),IF(M243&gt;M208," * F06-19 for Age "&amp;L20&amp;" "&amp;M21&amp;" is more than F06-08"&amp;CHAR(10),""),IF(N243&gt;N208," * F06-19 for Age "&amp;N20&amp;" "&amp;N21&amp;" is more than F06-08"&amp;CHAR(10),""),IF(O243&gt;O208," * F06-19 for Age "&amp;N20&amp;" "&amp;O21&amp;" is more than F06-08"&amp;CHAR(10),""),IF(P243&gt;P208," * F06-19 for Age "&amp;P20&amp;" "&amp;P21&amp;" is more than F06-08"&amp;CHAR(10),""),IF(Q243&gt;Q208," * F06-19 for Age "&amp;P20&amp;" "&amp;Q21&amp;" is more than F06-08"&amp;CHAR(10),""),IF(R243&gt;R208," * F06-19 for Age "&amp;R20&amp;" "&amp;R21&amp;" is more than F06-08"&amp;CHAR(10),""),IF(S243&gt;S208," * F06-19 for Age "&amp;R20&amp;" "&amp;S21&amp;" is more than F06-08"&amp;CHAR(10),""),IF(T243&gt;T208," * F06-19 for Age "&amp;T20&amp;" "&amp;T21&amp;" is more than F06-08"&amp;CHAR(10),""),IF(U243&gt;U208," * F06-19 for Age "&amp;T20&amp;" "&amp;U21&amp;" is more than F06-08"&amp;CHAR(10),""),IF(V243&gt;V208," * F06-19 for Age "&amp;V20&amp;" "&amp;V21&amp;" is more than F06-08"&amp;CHAR(10),""),IF(W243&gt;W208," * F06-19 for Age "&amp;V20&amp;" "&amp;W21&amp;" is more than F06-08"&amp;CHAR(10),""),IF(X243&gt;X208," * F06-19 for Age "&amp;X20&amp;" "&amp;X21&amp;" is more than F06-08"&amp;CHAR(10),""),IF(Y243&gt;Y208," * F06-19 for Age "&amp;X20&amp;" "&amp;Y21&amp;" is more than F06-08"&amp;CHAR(10),""),IF(Z243&gt;Z208," * F06-19 for Age "&amp;Z20&amp;" "&amp;Z21&amp;" is more than F06-08"&amp;CHAR(10),""),IF(AA243&gt;AA208," * F06-19 for Age "&amp;Z20&amp;" "&amp;AA21&amp;" is more than F06-08"&amp;CHAR(10),""),IF(AB243&gt;AB208," * Total F06-19 is more than Total F06-08"&amp;CHAR(10),""))</f>
        <v/>
      </c>
      <c r="AD243" s="635"/>
      <c r="AE243" s="80" t="str">
        <f>CONCATENATE(IF(D243&lt;D208," * F06-19 for Age "&amp;D20&amp;" "&amp;D21&amp;" is less than F06-08"&amp;CHAR(10),""),IF(E243&lt;E208," * F06-19 for Age "&amp;D20&amp;" "&amp;E21&amp;" is less than F06-08"&amp;CHAR(10),""),IF(F243&lt;F208," * F06-19 for Age "&amp;F20&amp;" "&amp;F21&amp;" is less than F06-08"&amp;CHAR(10),""),IF(G243&lt;G208," * F06-19 for Age "&amp;F20&amp;" "&amp;G21&amp;" is less than F06-08"&amp;CHAR(10),""),IF(H243&lt;H208," * F06-19 for Age "&amp;H20&amp;" "&amp;H21&amp;" is less than F06-08"&amp;CHAR(10),""),IF(I243&lt;I208," * F06-19 for Age "&amp;H20&amp;" "&amp;I21&amp;" is less than F06-08"&amp;CHAR(10),""),IF(J243&lt;J208," * F06-19 for Age "&amp;J20&amp;" "&amp;J21&amp;" is less than F06-08"&amp;CHAR(10),""),IF(K243&lt;K208," * F06-19 for Age "&amp;J20&amp;" "&amp;K21&amp;" is less than F06-08"&amp;CHAR(10),""),IF(L243&lt;L208," * F06-19 for Age "&amp;L20&amp;" "&amp;L21&amp;" is less than F06-08"&amp;CHAR(10),""),IF(M243&lt;M208," * F06-19 for Age "&amp;L20&amp;" "&amp;M21&amp;" is less than F06-08"&amp;CHAR(10),""),IF(N243&lt;N208," * F06-19 for Age "&amp;N20&amp;" "&amp;N21&amp;" is less than F06-08"&amp;CHAR(10),""),IF(O243&lt;O208," * F06-19 for Age "&amp;N20&amp;" "&amp;O21&amp;" is less than F06-08"&amp;CHAR(10),""),IF(P243&lt;P208," * F06-19 for Age "&amp;P20&amp;" "&amp;P21&amp;" is less than F06-08"&amp;CHAR(10),""),IF(Q243&lt;Q208," * F06-19 for Age "&amp;P20&amp;" "&amp;Q21&amp;" is less than F06-08"&amp;CHAR(10),""),IF(R243&lt;R208," * F06-19 for Age "&amp;R20&amp;" "&amp;R21&amp;" is less than F06-08"&amp;CHAR(10),""),IF(S243&lt;S208," * F06-19 for Age "&amp;R20&amp;" "&amp;S21&amp;" is less than F06-08"&amp;CHAR(10),""),IF(T243&lt;T208," * F06-19 for Age "&amp;T20&amp;" "&amp;T21&amp;" is less than F06-08"&amp;CHAR(10),""),IF(U243&lt;U208," * F06-19 for Age "&amp;T20&amp;" "&amp;U21&amp;" is less than F06-08"&amp;CHAR(10),""),IF(V243&lt;V208," * F06-19 for Age "&amp;V20&amp;" "&amp;V21&amp;" is less than F06-08"&amp;CHAR(10),""),IF(W243&lt;W208," * F06-19 for Age "&amp;V20&amp;" "&amp;W21&amp;" is less than F06-08"&amp;CHAR(10),""),IF(X243&lt;X208," * F06-19 for Age "&amp;X20&amp;" "&amp;X21&amp;" is less than F06-08"&amp;CHAR(10),""),IF(Y243&lt;Y208," * F06-19 for Age "&amp;X20&amp;" "&amp;Y21&amp;" is less than F06-08"&amp;CHAR(10),""),IF(Z243&lt;Z208," * F06-19 for Age "&amp;Z20&amp;" "&amp;Z21&amp;" is less than F06-08"&amp;CHAR(10),""),IF(AA243&lt;AA208," * F06-19 for Age "&amp;Z20&amp;" "&amp;AA21&amp;" is less than F06-08"&amp;CHAR(10),""),IF(AB243&lt;AB208," * Total F06-19 is less than Total F06-08"&amp;CHAR(10),""))</f>
        <v/>
      </c>
      <c r="AF243" s="704"/>
      <c r="AG243" s="404">
        <v>237</v>
      </c>
    </row>
    <row r="244" spans="1:34" ht="31.5" thickBot="1" x14ac:dyDescent="0.55000000000000004">
      <c r="A244" s="654"/>
      <c r="B244" s="289" t="s">
        <v>718</v>
      </c>
      <c r="C244" s="133" t="s">
        <v>380</v>
      </c>
      <c r="D244" s="125"/>
      <c r="E244" s="49"/>
      <c r="F244" s="49"/>
      <c r="G244" s="49"/>
      <c r="H244" s="49"/>
      <c r="I244" s="49"/>
      <c r="J244" s="49"/>
      <c r="K244" s="50"/>
      <c r="L244" s="49"/>
      <c r="M244" s="229"/>
      <c r="N244" s="49"/>
      <c r="O244" s="229"/>
      <c r="P244" s="49"/>
      <c r="Q244" s="229"/>
      <c r="R244" s="49"/>
      <c r="S244" s="229"/>
      <c r="T244" s="49"/>
      <c r="U244" s="229"/>
      <c r="V244" s="49"/>
      <c r="W244" s="229"/>
      <c r="X244" s="49"/>
      <c r="Y244" s="229"/>
      <c r="Z244" s="49"/>
      <c r="AA244" s="49"/>
      <c r="AB244" s="88">
        <f t="shared" si="102"/>
        <v>0</v>
      </c>
      <c r="AC244" s="178" t="str">
        <f>CONCATENATE(IF(D244&gt;D212+D214," * Infant Prophylaxis PNC &lt; 6 Weeks for Age "&amp;D20&amp;" "&amp;D21&amp;" is more than Positive PNC &lt;= 6 weeks"&amp;CHAR(10),""),IF(E244&gt;E212+E214," * Infant Prophylaxis PNC &lt; 6 Weeks for Age "&amp;D20&amp;" "&amp;E21&amp;" is more than Positive PNC &lt;= 6 weeks"&amp;CHAR(10),""),IF(F244&gt;F212+F214," * Infant Prophylaxis PNC &lt; 6 Weeks for Age "&amp;F20&amp;" "&amp;F21&amp;" is more than Positive PNC &lt;= 6 weeks"&amp;CHAR(10),""),IF(G244&gt;G212+G214," * Infant Prophylaxis PNC &lt; 6 Weeks for Age "&amp;F20&amp;" "&amp;G21&amp;" is more than Positive PNC &lt;= 6 weeks"&amp;CHAR(10),""),IF(H244&gt;H212+H214," * Infant Prophylaxis PNC &lt; 6 Weeks for Age "&amp;H20&amp;" "&amp;H21&amp;" is more than Positive PNC &lt;= 6 weeks"&amp;CHAR(10),""),IF(I244&gt;I212+I214," * Infant Prophylaxis PNC &lt; 6 Weeks for Age "&amp;H20&amp;" "&amp;I21&amp;" is more than Positive PNC &lt;= 6 weeks"&amp;CHAR(10),""),IF(J244&gt;J212+J214," * Infant Prophylaxis PNC &lt; 6 Weeks for Age "&amp;J20&amp;" "&amp;J21&amp;" is more than Positive PNC &lt;= 6 weeks"&amp;CHAR(10),""),IF(K244&gt;K212+K214," * Infant Prophylaxis PNC &lt; 6 Weeks for Age "&amp;J20&amp;" "&amp;K21&amp;" is more than Positive PNC &lt;= 6 weeks"&amp;CHAR(10),""),IF(L244&gt;L212+L214," * Infant Prophylaxis PNC &lt; 6 Weeks for Age "&amp;L20&amp;" "&amp;L21&amp;" is more than Positive PNC &lt;= 6 weeks"&amp;CHAR(10),""),IF(M244&gt;M212+M214," * Infant Prophylaxis PNC &lt; 6 Weeks for Age "&amp;L20&amp;" "&amp;M21&amp;" is more than Positive PNC &lt;= 6 weeks"&amp;CHAR(10),""),IF(N244&gt;N212+N214," * Infant Prophylaxis PNC &lt; 6 Weeks for Age "&amp;N20&amp;" "&amp;N21&amp;" is more than Positive PNC &lt;= 6 weeks"&amp;CHAR(10),""),IF(O244&gt;O212+O214," * Infant Prophylaxis PNC &lt; 6 Weeks for Age "&amp;N20&amp;" "&amp;O21&amp;" is more than Positive PNC &lt;= 6 weeks"&amp;CHAR(10),""),IF(P244&gt;P212+P214," * Infant Prophylaxis PNC &lt; 6 Weeks for Age "&amp;P20&amp;" "&amp;P21&amp;" is more than Positive PNC &lt;= 6 weeks"&amp;CHAR(10),""),IF(Q244&gt;Q212+Q214," * Infant Prophylaxis PNC &lt; 6 Weeks for Age "&amp;P20&amp;" "&amp;Q21&amp;" is more than Positive PNC &lt;= 6 weeks"&amp;CHAR(10),""),IF(R244&gt;R212+R214," * Infant Prophylaxis PNC &lt; 6 Weeks for Age "&amp;R20&amp;" "&amp;R21&amp;" is more than Positive PNC &lt;= 6 weeks"&amp;CHAR(10),""),IF(S244&gt;S212+S214+S214," * Infant Prophylaxis PNC &lt; 6 Weeks for Age "&amp;R20&amp;" "&amp;S21&amp;" is more than Positive PNC &lt;= 6 weeks"&amp;CHAR(10),""),IF(T244&gt;T212+T214," * Infant Prophylaxis PNC &lt; 6 Weeks for Age "&amp;T20&amp;" "&amp;T21&amp;" is more than Positive PNC &lt;= 6 weeks"&amp;CHAR(10),""),IF(U244&gt;U212+U214," * Infant Prophylaxis PNC &lt; 6 Weeks for Age "&amp;T20&amp;" "&amp;U21&amp;" is more than Positive PNC &lt;= 6 weeks"&amp;CHAR(10),""),IF(V244&gt;V212+V214," * Infant Prophylaxis PNC &lt; 6 Weeks for Age "&amp;V20&amp;" "&amp;V21&amp;" is more than Positive PNC &lt;= 6 weeks"&amp;CHAR(10),""),IF(W244&gt;W212+W214," * Infant Prophylaxis PNC &lt; 6 Weeks for Age "&amp;V20&amp;" "&amp;W21&amp;" is more than Positive PNC &lt;= 6 weeks"&amp;CHAR(10),""),IF(X244&gt;X212+X214," * Infant Prophylaxis PNC &lt; 6 Weeks for Age "&amp;X20&amp;" "&amp;X21&amp;" is more than Positive PNC &lt;= 6 weeks"&amp;CHAR(10),""),IF(Y244&gt;Y212+Y214," * Infant Prophylaxis PNC &lt; 6 Weeks for Age "&amp;X20&amp;" "&amp;Y21&amp;" is more than Positive PNC &lt;= 6 weeks"&amp;CHAR(10),""),IF(Z244&gt;Z212+Z214," * Infant Prophylaxis PNC &lt; 6 Weeks for Age "&amp;Z20&amp;" "&amp;Z21&amp;" is more than Positive PNC &lt;= 6 weeks"&amp;CHAR(10),""),IF(AA244&gt;AA212+AA214," * Infant Prophylaxis PNC &lt; 6 Weeks for Age "&amp;Z20&amp;" "&amp;AA21&amp;" is more than Positive PNC &lt;= 6 weeks"&amp;CHAR(10),""))</f>
        <v/>
      </c>
      <c r="AD244" s="636"/>
      <c r="AE244" s="94" t="str">
        <f>CONCATENATE(IF(D244&lt;D212," * F06-20 for Age "&amp;D20&amp;" "&amp;D21&amp;" is less than F06-10"&amp;CHAR(10),""),IF(E244&lt;E212," * F06-20 for Age "&amp;D20&amp;" "&amp;E21&amp;" is less than F06-10"&amp;CHAR(10),""),IF(F244&lt;F212," * F06-20 for Age "&amp;F20&amp;" "&amp;F21&amp;" is less than F06-10"&amp;CHAR(10),""),IF(G244&lt;G212," * F06-20 for Age "&amp;F20&amp;" "&amp;G21&amp;" is less than F06-10"&amp;CHAR(10),""),IF(H244&lt;H212," * F06-20 for Age "&amp;H20&amp;" "&amp;H21&amp;" is less than F06-10"&amp;CHAR(10),""),IF(I244&lt;I212," * F06-20 for Age "&amp;H20&amp;" "&amp;I21&amp;" is less than F06-10"&amp;CHAR(10),""),IF(J244&lt;J212," * F06-20 for Age "&amp;J20&amp;" "&amp;J21&amp;" is less than F06-10"&amp;CHAR(10),""),IF(K244&lt;K212," * F06-20 for Age "&amp;J20&amp;" "&amp;K21&amp;" is less than F06-10"&amp;CHAR(10),""),IF(L244&lt;L212," * F06-20 for Age "&amp;L20&amp;" "&amp;L21&amp;" is less than F06-10"&amp;CHAR(10),""),IF(M244&lt;M212," * F06-20 for Age "&amp;L20&amp;" "&amp;M21&amp;" is less than F06-10"&amp;CHAR(10),""),IF(N244&lt;N212," * F06-20 for Age "&amp;N20&amp;" "&amp;N21&amp;" is less than F06-10"&amp;CHAR(10),""),IF(O244&lt;O212," * F06-20 for Age "&amp;N20&amp;" "&amp;O21&amp;" is less than F06-10"&amp;CHAR(10),""),IF(P244&lt;P212," * F06-20 for Age "&amp;P20&amp;" "&amp;P21&amp;" is less than F06-10"&amp;CHAR(10),""),IF(Q244&lt;Q212," * F06-20 for Age "&amp;P20&amp;" "&amp;Q21&amp;" is less than F06-10"&amp;CHAR(10),""),IF(R244&lt;R212," * F06-20 for Age "&amp;R20&amp;" "&amp;R21&amp;" is less than F06-10"&amp;CHAR(10),""),IF(S244&lt;S212," * F06-20 for Age "&amp;R20&amp;" "&amp;S21&amp;" is less than F06-10"&amp;CHAR(10),""),IF(T244&lt;T212," * F06-20 for Age "&amp;T20&amp;" "&amp;T21&amp;" is less than F06-10"&amp;CHAR(10),""),IF(U244&lt;U212," * F06-20 for Age "&amp;T20&amp;" "&amp;U21&amp;" is less than F06-10"&amp;CHAR(10),""),IF(V244&lt;V212," * F06-20 for Age "&amp;V20&amp;" "&amp;V21&amp;" is less than F06-10"&amp;CHAR(10),""),IF(W244&lt;W212," * F06-20 for Age "&amp;V20&amp;" "&amp;W21&amp;" is less than F06-10"&amp;CHAR(10),""),IF(X244&lt;X212," * F06-20 for Age "&amp;X20&amp;" "&amp;X21&amp;" is less than F06-10"&amp;CHAR(10),""),IF(Y244&lt;Y212," * F06-20 for Age "&amp;X20&amp;" "&amp;Y21&amp;" is less than F06-10"&amp;CHAR(10),""),IF(Z244&lt;Z212," * F06-20 for Age "&amp;Z20&amp;" "&amp;Z21&amp;" is less than F06-10"&amp;CHAR(10),""),IF(AA244&lt;AA212," * F06-20 for Age "&amp;Z20&amp;" "&amp;AA21&amp;" is less than F06-10"&amp;CHAR(10),""),IF(AB244&lt;AB212," * Total F06-20 is less than Total F06-10"&amp;CHAR(10),""))</f>
        <v/>
      </c>
      <c r="AF244" s="705"/>
      <c r="AG244" s="404">
        <v>238</v>
      </c>
    </row>
    <row r="245" spans="1:34" ht="36" thickBot="1" x14ac:dyDescent="0.55000000000000004">
      <c r="A245" s="602" t="s">
        <v>131</v>
      </c>
      <c r="B245" s="603"/>
      <c r="C245" s="603"/>
      <c r="D245" s="603"/>
      <c r="E245" s="603"/>
      <c r="F245" s="603"/>
      <c r="G245" s="603"/>
      <c r="H245" s="603"/>
      <c r="I245" s="603"/>
      <c r="J245" s="603"/>
      <c r="K245" s="603"/>
      <c r="L245" s="603"/>
      <c r="M245" s="603"/>
      <c r="N245" s="603"/>
      <c r="O245" s="603"/>
      <c r="P245" s="603"/>
      <c r="Q245" s="603"/>
      <c r="R245" s="603"/>
      <c r="S245" s="603"/>
      <c r="T245" s="603"/>
      <c r="U245" s="603"/>
      <c r="V245" s="603"/>
      <c r="W245" s="603"/>
      <c r="X245" s="603"/>
      <c r="Y245" s="603"/>
      <c r="Z245" s="603"/>
      <c r="AA245" s="603"/>
      <c r="AB245" s="603"/>
      <c r="AC245" s="603"/>
      <c r="AD245" s="603"/>
      <c r="AE245" s="603"/>
      <c r="AF245" s="604"/>
      <c r="AG245" s="404">
        <v>239</v>
      </c>
    </row>
    <row r="246" spans="1:34" ht="26.25" customHeight="1" x14ac:dyDescent="0.5">
      <c r="A246" s="612" t="s">
        <v>37</v>
      </c>
      <c r="B246" s="674" t="s">
        <v>347</v>
      </c>
      <c r="C246" s="677" t="s">
        <v>328</v>
      </c>
      <c r="D246" s="645" t="s">
        <v>0</v>
      </c>
      <c r="E246" s="645"/>
      <c r="F246" s="645" t="s">
        <v>1</v>
      </c>
      <c r="G246" s="645"/>
      <c r="H246" s="645" t="s">
        <v>2</v>
      </c>
      <c r="I246" s="645"/>
      <c r="J246" s="645" t="s">
        <v>3</v>
      </c>
      <c r="K246" s="645"/>
      <c r="L246" s="645" t="s">
        <v>4</v>
      </c>
      <c r="M246" s="645"/>
      <c r="N246" s="645" t="s">
        <v>5</v>
      </c>
      <c r="O246" s="645"/>
      <c r="P246" s="645" t="s">
        <v>6</v>
      </c>
      <c r="Q246" s="645"/>
      <c r="R246" s="645" t="s">
        <v>7</v>
      </c>
      <c r="S246" s="645"/>
      <c r="T246" s="645" t="s">
        <v>8</v>
      </c>
      <c r="U246" s="645"/>
      <c r="V246" s="645" t="s">
        <v>23</v>
      </c>
      <c r="W246" s="645"/>
      <c r="X246" s="645" t="s">
        <v>24</v>
      </c>
      <c r="Y246" s="645"/>
      <c r="Z246" s="645" t="s">
        <v>9</v>
      </c>
      <c r="AA246" s="645"/>
      <c r="AB246" s="618" t="s">
        <v>19</v>
      </c>
      <c r="AC246" s="655" t="s">
        <v>381</v>
      </c>
      <c r="AD246" s="609" t="s">
        <v>387</v>
      </c>
      <c r="AE246" s="605" t="s">
        <v>388</v>
      </c>
      <c r="AF246" s="600" t="s">
        <v>388</v>
      </c>
      <c r="AG246" s="404">
        <v>240</v>
      </c>
    </row>
    <row r="247" spans="1:34" ht="27" customHeight="1" thickBot="1" x14ac:dyDescent="0.55000000000000004">
      <c r="A247" s="613"/>
      <c r="B247" s="675"/>
      <c r="C247" s="678"/>
      <c r="D247" s="29" t="s">
        <v>10</v>
      </c>
      <c r="E247" s="29" t="s">
        <v>11</v>
      </c>
      <c r="F247" s="29" t="s">
        <v>10</v>
      </c>
      <c r="G247" s="29" t="s">
        <v>11</v>
      </c>
      <c r="H247" s="29" t="s">
        <v>10</v>
      </c>
      <c r="I247" s="29" t="s">
        <v>11</v>
      </c>
      <c r="J247" s="29" t="s">
        <v>10</v>
      </c>
      <c r="K247" s="29" t="s">
        <v>11</v>
      </c>
      <c r="L247" s="29" t="s">
        <v>10</v>
      </c>
      <c r="M247" s="29" t="s">
        <v>11</v>
      </c>
      <c r="N247" s="29" t="s">
        <v>10</v>
      </c>
      <c r="O247" s="29" t="s">
        <v>11</v>
      </c>
      <c r="P247" s="29" t="s">
        <v>10</v>
      </c>
      <c r="Q247" s="29" t="s">
        <v>11</v>
      </c>
      <c r="R247" s="29" t="s">
        <v>10</v>
      </c>
      <c r="S247" s="29" t="s">
        <v>11</v>
      </c>
      <c r="T247" s="29" t="s">
        <v>10</v>
      </c>
      <c r="U247" s="29" t="s">
        <v>11</v>
      </c>
      <c r="V247" s="29" t="s">
        <v>10</v>
      </c>
      <c r="W247" s="29" t="s">
        <v>11</v>
      </c>
      <c r="X247" s="29" t="s">
        <v>10</v>
      </c>
      <c r="Y247" s="29" t="s">
        <v>11</v>
      </c>
      <c r="Z247" s="29" t="s">
        <v>10</v>
      </c>
      <c r="AA247" s="29" t="s">
        <v>11</v>
      </c>
      <c r="AB247" s="619"/>
      <c r="AC247" s="656"/>
      <c r="AD247" s="608"/>
      <c r="AE247" s="606"/>
      <c r="AF247" s="601"/>
      <c r="AG247" s="404">
        <v>241</v>
      </c>
    </row>
    <row r="248" spans="1:34" s="4" customFormat="1" ht="33" thickBot="1" x14ac:dyDescent="0.55000000000000004">
      <c r="A248" s="545" t="s">
        <v>298</v>
      </c>
      <c r="B248" s="245" t="s">
        <v>874</v>
      </c>
      <c r="C248" s="62" t="s">
        <v>299</v>
      </c>
      <c r="D248" s="84">
        <f>SUM(D249:D254)</f>
        <v>0</v>
      </c>
      <c r="E248" s="237">
        <f>SUM(E249:E254)</f>
        <v>0</v>
      </c>
      <c r="F248" s="237">
        <f t="shared" ref="F248:AA248" si="103">SUM(F249:F254)</f>
        <v>0</v>
      </c>
      <c r="G248" s="237">
        <f t="shared" si="103"/>
        <v>0</v>
      </c>
      <c r="H248" s="237">
        <f t="shared" si="103"/>
        <v>0</v>
      </c>
      <c r="I248" s="237">
        <f t="shared" si="103"/>
        <v>0</v>
      </c>
      <c r="J248" s="237">
        <f t="shared" si="103"/>
        <v>0</v>
      </c>
      <c r="K248" s="237">
        <f t="shared" si="103"/>
        <v>0</v>
      </c>
      <c r="L248" s="237">
        <f t="shared" si="103"/>
        <v>0</v>
      </c>
      <c r="M248" s="237">
        <f t="shared" si="103"/>
        <v>0</v>
      </c>
      <c r="N248" s="237">
        <f t="shared" si="103"/>
        <v>0</v>
      </c>
      <c r="O248" s="237">
        <f t="shared" si="103"/>
        <v>0</v>
      </c>
      <c r="P248" s="237">
        <f t="shared" si="103"/>
        <v>0</v>
      </c>
      <c r="Q248" s="237">
        <f t="shared" si="103"/>
        <v>0</v>
      </c>
      <c r="R248" s="237">
        <f t="shared" si="103"/>
        <v>0</v>
      </c>
      <c r="S248" s="237">
        <f t="shared" si="103"/>
        <v>0</v>
      </c>
      <c r="T248" s="237">
        <f t="shared" si="103"/>
        <v>0</v>
      </c>
      <c r="U248" s="237">
        <f t="shared" si="103"/>
        <v>0</v>
      </c>
      <c r="V248" s="237">
        <f t="shared" si="103"/>
        <v>0</v>
      </c>
      <c r="W248" s="237">
        <f t="shared" si="103"/>
        <v>0</v>
      </c>
      <c r="X248" s="237">
        <f t="shared" si="103"/>
        <v>0</v>
      </c>
      <c r="Y248" s="237">
        <f t="shared" si="103"/>
        <v>0</v>
      </c>
      <c r="Z248" s="237">
        <f t="shared" si="103"/>
        <v>0</v>
      </c>
      <c r="AA248" s="237">
        <f t="shared" si="103"/>
        <v>0</v>
      </c>
      <c r="AB248" s="85">
        <f>SUM(D248:AA248)</f>
        <v>0</v>
      </c>
      <c r="AC248" s="82" t="str">
        <f>CONCATENATE(IF(D248&gt;D258," * Starting ART for Age "&amp;D20&amp;" "&amp;D21&amp;" is more than Current On ART"&amp;CHAR(10),""),IF(E248&gt;E258," * Starting ART for Age "&amp;D20&amp;" "&amp;E21&amp;" is more than Current On ART"&amp;CHAR(10),""),IF(F248&gt;F258," * Starting ART for Age "&amp;F20&amp;" "&amp;F21&amp;" is more than Current On ART"&amp;CHAR(10),""),IF(G248&gt;G258," * Starting ART for Age "&amp;F20&amp;" "&amp;G21&amp;" is more than Current On ART"&amp;CHAR(10),""),IF(H248&gt;H258," * Starting ART for Age "&amp;H20&amp;" "&amp;H21&amp;" is more than Current On ART"&amp;CHAR(10),""),IF(I248&gt;I258," * Starting ART for Age "&amp;H20&amp;" "&amp;I21&amp;" is more than Current On ART"&amp;CHAR(10),""),IF(J248&gt;J258," * Starting ART for Age "&amp;J20&amp;" "&amp;J21&amp;" is more than Current On ART"&amp;CHAR(10),""),IF(K248&gt;K258," * Starting ART for Age "&amp;J20&amp;" "&amp;K21&amp;" is more than Current On ART"&amp;CHAR(10),""),IF(L248&gt;L258," * Starting ART for Age "&amp;L20&amp;" "&amp;L21&amp;" is more than Current On ART"&amp;CHAR(10),""),IF(M248&gt;M258," * Starting ART for Age "&amp;L20&amp;" "&amp;M21&amp;" is more than Current On ART"&amp;CHAR(10),""),IF(N248&gt;N258," * Starting ART for Age "&amp;N20&amp;" "&amp;N21&amp;" is more than Current On ART"&amp;CHAR(10),""),IF(O248&gt;O258," * Starting ART for Age "&amp;N20&amp;" "&amp;O21&amp;" is more than Current On ART"&amp;CHAR(10),""),IF(P248&gt;P258," * Starting ART for Age "&amp;P20&amp;" "&amp;P21&amp;" is more than Current On ART"&amp;CHAR(10),""),IF(Q248&gt;Q258," * Starting ART for Age "&amp;P20&amp;" "&amp;Q21&amp;" is more than Current On ART"&amp;CHAR(10),""),IF(R248&gt;R258," * Starting ART for Age "&amp;R20&amp;" "&amp;R21&amp;" is more than Current On ART"&amp;CHAR(10),""),IF(S248&gt;S258," * Starting ART for Age "&amp;R20&amp;" "&amp;S21&amp;" is more than Current On ART"&amp;CHAR(10),""),IF(T248&gt;T258," * Starting ART for Age "&amp;T20&amp;" "&amp;T21&amp;" is more than Current On ART"&amp;CHAR(10),""),IF(U248&gt;U258," * Starting ART for Age "&amp;T20&amp;" "&amp;U21&amp;" is more than Current On ART"&amp;CHAR(10),""),IF(V248&gt;V258," * Starting ART for Age "&amp;V20&amp;" "&amp;V21&amp;" is more than Current On ART"&amp;CHAR(10),""),IF(W248&gt;W258," * Starting ART for Age "&amp;V20&amp;" "&amp;W21&amp;" is more than Current On ART"&amp;CHAR(10),""),IF(X248&gt;X258," * Starting ART for Age "&amp;X20&amp;" "&amp;X21&amp;" is more than Current On ART"&amp;CHAR(10),""),IF(Y248&gt;Y258," * Starting ART for Age "&amp;X20&amp;" "&amp;Y21&amp;" is more than Current On ART"&amp;CHAR(10),""),IF(Z248&gt;Z258," * Starting ART for Age "&amp;Z20&amp;" "&amp;Z21&amp;" is more than Current On ART"&amp;CHAR(10),""),IF(AA248&gt;AA258," * Starting ART for Age "&amp;Z20&amp;" "&amp;AA21&amp;" is more than Current On ART"&amp;CHAR(10),""))</f>
        <v/>
      </c>
      <c r="AD248" s="748" t="str">
        <f>CONCATENATE(AC248,AC249,AC250,AC251,AC252,AC253,AC254,AC255,AC257,AC258,AC259,AC260,AC261,AC262,AC263,AC264,AC265,AC267,AC266,AC268,AC269,AC270,AC271,AC272)</f>
        <v/>
      </c>
      <c r="AE248" s="80"/>
      <c r="AF248" s="750" t="str">
        <f>CONCATENATE(AE248,AE249,AE250,AE251,AE252,AE253,AE254,AE255,AE257,AE258,AE259,AE260,AE261,AE262,AE263,AE264,AE265,AE266,AE267,AE268,AE269,AE270,AE271,AE272)</f>
        <v/>
      </c>
      <c r="AG248" s="404">
        <v>242</v>
      </c>
      <c r="AH248" s="314"/>
    </row>
    <row r="249" spans="1:34" x14ac:dyDescent="0.5">
      <c r="A249" s="591" t="s">
        <v>578</v>
      </c>
      <c r="B249" s="290" t="s">
        <v>396</v>
      </c>
      <c r="C249" s="263" t="s">
        <v>572</v>
      </c>
      <c r="D249" s="163"/>
      <c r="E249" s="34"/>
      <c r="F249" s="34"/>
      <c r="G249" s="34"/>
      <c r="H249" s="34"/>
      <c r="I249" s="34"/>
      <c r="J249" s="34"/>
      <c r="K249" s="34"/>
      <c r="L249" s="34"/>
      <c r="M249" s="34"/>
      <c r="N249" s="34"/>
      <c r="O249" s="34"/>
      <c r="P249" s="34"/>
      <c r="Q249" s="34"/>
      <c r="R249" s="34"/>
      <c r="S249" s="34"/>
      <c r="T249" s="34"/>
      <c r="U249" s="34"/>
      <c r="V249" s="34"/>
      <c r="W249" s="34"/>
      <c r="X249" s="34"/>
      <c r="Y249" s="34"/>
      <c r="Z249" s="34"/>
      <c r="AA249" s="34"/>
      <c r="AB249" s="66">
        <f t="shared" ref="AB249:AB254" si="104">SUM(D249:AA249)</f>
        <v>0</v>
      </c>
      <c r="AC249" s="82"/>
      <c r="AD249" s="650"/>
      <c r="AE249" s="80"/>
      <c r="AF249" s="621"/>
      <c r="AG249" s="404">
        <v>243</v>
      </c>
    </row>
    <row r="250" spans="1:34" x14ac:dyDescent="0.5">
      <c r="A250" s="592"/>
      <c r="B250" s="291" t="s">
        <v>391</v>
      </c>
      <c r="C250" s="131" t="s">
        <v>573</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104"/>
        <v>0</v>
      </c>
      <c r="AC250" s="82"/>
      <c r="AD250" s="650"/>
      <c r="AE250" s="80"/>
      <c r="AF250" s="621"/>
      <c r="AG250" s="404">
        <v>244</v>
      </c>
    </row>
    <row r="251" spans="1:34" x14ac:dyDescent="0.5">
      <c r="A251" s="592"/>
      <c r="B251" s="291" t="s">
        <v>392</v>
      </c>
      <c r="C251" s="131" t="s">
        <v>574</v>
      </c>
      <c r="D251" s="164"/>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67">
        <f t="shared" si="104"/>
        <v>0</v>
      </c>
      <c r="AC251" s="82"/>
      <c r="AD251" s="650"/>
      <c r="AE251" s="80"/>
      <c r="AF251" s="621"/>
      <c r="AG251" s="404">
        <v>245</v>
      </c>
    </row>
    <row r="252" spans="1:34" x14ac:dyDescent="0.5">
      <c r="A252" s="592"/>
      <c r="B252" s="291" t="s">
        <v>393</v>
      </c>
      <c r="C252" s="131" t="s">
        <v>575</v>
      </c>
      <c r="D252" s="164"/>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67">
        <f t="shared" si="104"/>
        <v>0</v>
      </c>
      <c r="AC252" s="82"/>
      <c r="AD252" s="650"/>
      <c r="AE252" s="80"/>
      <c r="AF252" s="621"/>
      <c r="AG252" s="404">
        <v>246</v>
      </c>
    </row>
    <row r="253" spans="1:34" x14ac:dyDescent="0.5">
      <c r="A253" s="592"/>
      <c r="B253" s="291" t="s">
        <v>394</v>
      </c>
      <c r="C253" s="131" t="s">
        <v>576</v>
      </c>
      <c r="D253" s="164"/>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67">
        <f t="shared" si="104"/>
        <v>0</v>
      </c>
      <c r="AC253" s="82"/>
      <c r="AD253" s="650"/>
      <c r="AE253" s="80"/>
      <c r="AF253" s="621"/>
      <c r="AG253" s="404">
        <v>247</v>
      </c>
    </row>
    <row r="254" spans="1:34" ht="31.5" thickBot="1" x14ac:dyDescent="0.55000000000000004">
      <c r="A254" s="593"/>
      <c r="B254" s="292" t="s">
        <v>395</v>
      </c>
      <c r="C254" s="133" t="s">
        <v>577</v>
      </c>
      <c r="D254" s="146"/>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68">
        <f t="shared" si="104"/>
        <v>0</v>
      </c>
      <c r="AC254" s="82"/>
      <c r="AD254" s="650"/>
      <c r="AE254" s="80"/>
      <c r="AF254" s="621"/>
      <c r="AG254" s="404">
        <v>248</v>
      </c>
    </row>
    <row r="255" spans="1:34" ht="31.5" thickBot="1" x14ac:dyDescent="0.55000000000000004">
      <c r="A255" s="545" t="s">
        <v>579</v>
      </c>
      <c r="B255" s="485" t="s">
        <v>719</v>
      </c>
      <c r="C255" s="162" t="s">
        <v>300</v>
      </c>
      <c r="D255" s="487"/>
      <c r="E255" s="63"/>
      <c r="F255" s="63"/>
      <c r="G255" s="63"/>
      <c r="H255" s="63"/>
      <c r="I255" s="63"/>
      <c r="J255" s="63"/>
      <c r="K255" s="64"/>
      <c r="L255" s="63"/>
      <c r="M255" s="64"/>
      <c r="N255" s="63"/>
      <c r="O255" s="64"/>
      <c r="P255" s="63"/>
      <c r="Q255" s="64"/>
      <c r="R255" s="63"/>
      <c r="S255" s="64"/>
      <c r="T255" s="63"/>
      <c r="U255" s="64"/>
      <c r="V255" s="63"/>
      <c r="W255" s="64"/>
      <c r="X255" s="63"/>
      <c r="Y255" s="64"/>
      <c r="Z255" s="63"/>
      <c r="AA255" s="488"/>
      <c r="AB255" s="486">
        <f t="shared" ref="AB255:AB283" si="105">SUM(D255:AA255)</f>
        <v>0</v>
      </c>
      <c r="AC255" s="179" t="str">
        <f>CONCATENATE(IF(D255&gt;D248," * F07-02 for Age "&amp;D20&amp;" "&amp;D21&amp;" is more than F07-01"&amp;CHAR(10),""),IF(E255&gt;E248," * F07-02 for Age "&amp;D20&amp;" "&amp;E21&amp;" is more than F07-01"&amp;CHAR(10),""),IF(F255&gt;F248," * F07-02 for Age "&amp;F20&amp;" "&amp;F21&amp;" is more than F07-01"&amp;CHAR(10),""),IF(G255&gt;G248," * F07-02 for Age "&amp;F20&amp;" "&amp;G21&amp;" is more than F07-01"&amp;CHAR(10),""),IF(H255&gt;H248," * F07-02 for Age "&amp;H20&amp;" "&amp;H21&amp;" is more than F07-01"&amp;CHAR(10),""),IF(I255&gt;I248," * F07-02 for Age "&amp;H20&amp;" "&amp;I21&amp;" is more than F07-01"&amp;CHAR(10),""),IF(J255&gt;J248," * F07-02 for Age "&amp;J20&amp;" "&amp;J21&amp;" is more than F07-01"&amp;CHAR(10),""),IF(K255&gt;K248," * F07-02 for Age "&amp;J20&amp;" "&amp;K21&amp;" is more than F07-01"&amp;CHAR(10),""),IF(L255&gt;L248," * F07-02 for Age "&amp;L20&amp;" "&amp;L21&amp;" is more than F07-01"&amp;CHAR(10),""),IF(M255&gt;M248," * F07-02 for Age "&amp;L20&amp;" "&amp;M21&amp;" is more than F07-01"&amp;CHAR(10),""),IF(N255&gt;N248," * F07-02 for Age "&amp;N20&amp;" "&amp;N21&amp;" is more than F07-01"&amp;CHAR(10),""),IF(O255&gt;O248," * F07-02 for Age "&amp;N20&amp;" "&amp;O21&amp;" is more than F07-01"&amp;CHAR(10),""),IF(P255&gt;P248," * F07-02 for Age "&amp;P20&amp;" "&amp;P21&amp;" is more than F07-01"&amp;CHAR(10),""),IF(Q255&gt;Q248," * F07-02 for Age "&amp;P20&amp;" "&amp;Q21&amp;" is more than F07-01"&amp;CHAR(10),""),IF(R255&gt;R248," * F07-02 for Age "&amp;R20&amp;" "&amp;R21&amp;" is more than F07-01"&amp;CHAR(10),""),IF(S255&gt;S248," * F07-02 for Age "&amp;R20&amp;" "&amp;S21&amp;" is more than F07-01"&amp;CHAR(10),""),IF(T255&gt;T248," * F07-02 for Age "&amp;T20&amp;" "&amp;T21&amp;" is more than F07-01"&amp;CHAR(10),""),IF(U255&gt;U248," * F07-02 for Age "&amp;T20&amp;" "&amp;U21&amp;" is more than F07-01"&amp;CHAR(10),""),IF(V255&gt;V248," * F07-02 for Age "&amp;V20&amp;" "&amp;V21&amp;" is more than F07-01"&amp;CHAR(10),""),IF(W255&gt;W248," * F07-02 for Age "&amp;V20&amp;" "&amp;W21&amp;" is more than F07-01"&amp;CHAR(10),""),IF(X255&gt;X248," * F07-02 for Age "&amp;X20&amp;" "&amp;X21&amp;" is more than F07-01"&amp;CHAR(10),""),IF(Y255&gt;Y248," * F07-02 for Age "&amp;X20&amp;" "&amp;Y21&amp;" is more than F07-01"&amp;CHAR(10),""),IF(Z255&gt;Z248," * F07-02 for Age "&amp;Z20&amp;" "&amp;Z21&amp;" is more than F07-01"&amp;CHAR(10),""),IF(AA255&gt;AA248," * F07-02 for Age "&amp;Z20&amp;" "&amp;AA21&amp;" is more than F07-01"&amp;CHAR(10),""),IF(AB255&gt;AB248," * Total F07-02 is more than Total F07-01"&amp;CHAR(10),""))</f>
        <v/>
      </c>
      <c r="AD255" s="650"/>
      <c r="AE255" s="81" t="str">
        <f>CONCATENATE(IF(AND(AB248&gt;0,OR(SUM(AB27,AB32,AB34,AB36,AB38,AB40,AB42,AB44,AB46,AB48,AB200,AB204,AB208,AB212)=0,SUM(AB26,AB31,AB33,AB35,AB37,AB39,AB41,AB43,AB45,AB47,AB199,AB203,AB207,AB211)=0))," * This site started patients on ART yet it has 0 positives or zero tested "&amp;CHAR(10),""),"")</f>
        <v/>
      </c>
      <c r="AF255" s="621"/>
      <c r="AG255" s="404">
        <v>249</v>
      </c>
    </row>
    <row r="256" spans="1:34" s="207" customFormat="1" ht="31.5" thickBot="1" x14ac:dyDescent="0.55000000000000004">
      <c r="A256" s="541" t="s">
        <v>1059</v>
      </c>
      <c r="B256" s="489" t="s">
        <v>1060</v>
      </c>
      <c r="C256" s="325" t="s">
        <v>1061</v>
      </c>
      <c r="D256" s="69"/>
      <c r="E256" s="69"/>
      <c r="F256" s="69"/>
      <c r="G256" s="69"/>
      <c r="H256" s="69"/>
      <c r="I256" s="69"/>
      <c r="J256" s="69"/>
      <c r="K256" s="69"/>
      <c r="L256" s="69"/>
      <c r="M256" s="69"/>
      <c r="N256" s="69"/>
      <c r="O256" s="69"/>
      <c r="P256" s="69"/>
      <c r="Q256" s="69"/>
      <c r="R256" s="69"/>
      <c r="S256" s="69"/>
      <c r="T256" s="69"/>
      <c r="U256" s="69"/>
      <c r="V256" s="69"/>
      <c r="W256" s="69"/>
      <c r="X256" s="69"/>
      <c r="Y256" s="69"/>
      <c r="Z256" s="69"/>
      <c r="AA256" s="69"/>
      <c r="AB256" s="486">
        <f t="shared" si="105"/>
        <v>0</v>
      </c>
      <c r="AC256" s="471"/>
      <c r="AD256" s="650"/>
      <c r="AE256" s="235"/>
      <c r="AF256" s="621"/>
      <c r="AG256" s="404"/>
      <c r="AH256" s="310"/>
    </row>
    <row r="257" spans="1:33" x14ac:dyDescent="0.5">
      <c r="A257" s="591" t="s">
        <v>580</v>
      </c>
      <c r="B257" s="264" t="s">
        <v>1054</v>
      </c>
      <c r="C257" s="126" t="s">
        <v>561</v>
      </c>
      <c r="D257" s="163"/>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5">
        <f t="shared" ref="AB257" si="106">SUM(D257:AA257)</f>
        <v>0</v>
      </c>
      <c r="AC257" s="82" t="str">
        <f>CONCATENATE(IF(D257&gt;D258," * &lt; 28 Days Defaulters for Age "&amp;D20&amp;" "&amp;D21&amp;" is more than Current On ART"&amp;CHAR(10),""),IF(E257&gt;E258," * &lt; 28 Days Defaulters for Age "&amp;D20&amp;" "&amp;E21&amp;" is more than Current On ART"&amp;CHAR(10),""),IF(F257&gt;F258," * &lt; 28 Days Defaulters for Age "&amp;F20&amp;" "&amp;F21&amp;" is more than Current On ART"&amp;CHAR(10),""),IF(G257&gt;G258," * &lt; 28 Days Defaulters for Age "&amp;F20&amp;" "&amp;G21&amp;" is more than Current On ART"&amp;CHAR(10),""),IF(H257&gt;H258," * &lt; 28 Days Defaulters for Age "&amp;H20&amp;" "&amp;H21&amp;" is more than Current On ART"&amp;CHAR(10),""),IF(I257&gt;I258," * &lt; 28 Days Defaulters for Age "&amp;H20&amp;" "&amp;I21&amp;" is more than Current On ART"&amp;CHAR(10),""),IF(J257&gt;J258," * &lt; 28 Days Defaulters for Age "&amp;J20&amp;" "&amp;J21&amp;" is more than Current On ART"&amp;CHAR(10),""),IF(K257&gt;K258," * &lt; 28 Days Defaulters for Age "&amp;J20&amp;" "&amp;K21&amp;" is more than Current On ART"&amp;CHAR(10),""),IF(L257&gt;L258," * &lt; 28 Days Defaulters for Age "&amp;L20&amp;" "&amp;L21&amp;" is more than Current On ART"&amp;CHAR(10),""),IF(M257&gt;M258," * &lt; 28 Days Defaulters for Age "&amp;L20&amp;" "&amp;M21&amp;" is more than Current On ART"&amp;CHAR(10),""),IF(N257&gt;N258," * &lt; 28 Days Defaulters for Age "&amp;N20&amp;" "&amp;N21&amp;" is more than Current On ART"&amp;CHAR(10),""),IF(O257&gt;O258," * &lt; 28 Days Defaulters for Age "&amp;N20&amp;" "&amp;O21&amp;" is more than Current On ART"&amp;CHAR(10),""),IF(P257&gt;P258," * &lt; 28 Days Defaulters for Age "&amp;P20&amp;" "&amp;P21&amp;" is more than Current On ART"&amp;CHAR(10),""),IF(Q257&gt;Q258," * &lt; 28 Days Defaulters for Age "&amp;P20&amp;" "&amp;Q21&amp;" is more than Current On ART"&amp;CHAR(10),""),IF(R257&gt;R258," * &lt; 28 Days Defaulters for Age "&amp;R20&amp;" "&amp;R21&amp;" is more than Current On ART"&amp;CHAR(10),""),IF(S257&gt;S258," * &lt; 28 Days Defaulters for Age "&amp;R20&amp;" "&amp;S21&amp;" is more than Current On ART"&amp;CHAR(10),""),IF(T257&gt;T258," * &lt; 28 Days Defaulters for Age "&amp;T20&amp;" "&amp;T21&amp;" is more than Current On ART"&amp;CHAR(10),""),IF(U257&gt;U258," * &lt; 28 Days Defaulters for Age "&amp;T20&amp;" "&amp;U21&amp;" is more than Current On ART"&amp;CHAR(10),""),IF(V257&gt;V258," * &lt; 28 Days Defaulters for Age "&amp;V20&amp;" "&amp;V21&amp;" is more than Current On ART"&amp;CHAR(10),""),IF(W257&gt;W258," * &lt; 28 Days Defaulters for Age "&amp;V20&amp;" "&amp;W21&amp;" is more than Current On ART"&amp;CHAR(10),""),IF(X257&gt;X258," * &lt; 28 Days Defaulters for Age "&amp;X20&amp;" "&amp;X21&amp;" is more than Current On ART"&amp;CHAR(10),""),IF(Y257&gt;Y258," * &lt; 28 Days Defaulters for Age "&amp;X20&amp;" "&amp;Y21&amp;" is more than Current On ART"&amp;CHAR(10),""),IF(Z257&gt;Z258," * &lt; 28 Days Defaulters for Age "&amp;Z20&amp;" "&amp;Z21&amp;" is more than Current On ART"&amp;CHAR(10),""),IF(AA257&gt;AA258," * &lt; 28 Days Defaulters for Age "&amp;Z20&amp;" "&amp;AA21&amp;" is more than Current On ART"&amp;CHAR(10),""))</f>
        <v/>
      </c>
      <c r="AD257" s="650"/>
      <c r="AE257" s="80"/>
      <c r="AF257" s="621"/>
      <c r="AG257" s="404">
        <v>250</v>
      </c>
    </row>
    <row r="258" spans="1:33" ht="33" thickBot="1" x14ac:dyDescent="0.55000000000000004">
      <c r="A258" s="593"/>
      <c r="B258" s="293" t="s">
        <v>873</v>
      </c>
      <c r="C258" s="133" t="s">
        <v>302</v>
      </c>
      <c r="D258" s="165">
        <f>SUM(D259:D264)</f>
        <v>0</v>
      </c>
      <c r="E258" s="70">
        <f t="shared" ref="E258:AA258" si="107">SUM(E259:E264)</f>
        <v>0</v>
      </c>
      <c r="F258" s="70">
        <f t="shared" si="107"/>
        <v>0</v>
      </c>
      <c r="G258" s="70">
        <f t="shared" si="107"/>
        <v>0</v>
      </c>
      <c r="H258" s="70">
        <f t="shared" si="107"/>
        <v>0</v>
      </c>
      <c r="I258" s="70">
        <f t="shared" si="107"/>
        <v>0</v>
      </c>
      <c r="J258" s="70">
        <f t="shared" si="107"/>
        <v>0</v>
      </c>
      <c r="K258" s="70">
        <f t="shared" si="107"/>
        <v>0</v>
      </c>
      <c r="L258" s="70">
        <f t="shared" si="107"/>
        <v>0</v>
      </c>
      <c r="M258" s="70">
        <f t="shared" si="107"/>
        <v>0</v>
      </c>
      <c r="N258" s="70">
        <f t="shared" si="107"/>
        <v>0</v>
      </c>
      <c r="O258" s="70">
        <f t="shared" si="107"/>
        <v>0</v>
      </c>
      <c r="P258" s="70">
        <f t="shared" si="107"/>
        <v>0</v>
      </c>
      <c r="Q258" s="70">
        <f t="shared" si="107"/>
        <v>0</v>
      </c>
      <c r="R258" s="70">
        <f t="shared" si="107"/>
        <v>0</v>
      </c>
      <c r="S258" s="70">
        <f t="shared" si="107"/>
        <v>0</v>
      </c>
      <c r="T258" s="70">
        <f t="shared" si="107"/>
        <v>0</v>
      </c>
      <c r="U258" s="70">
        <f t="shared" si="107"/>
        <v>0</v>
      </c>
      <c r="V258" s="70">
        <f t="shared" si="107"/>
        <v>0</v>
      </c>
      <c r="W258" s="70">
        <f t="shared" si="107"/>
        <v>0</v>
      </c>
      <c r="X258" s="70">
        <f t="shared" si="107"/>
        <v>0</v>
      </c>
      <c r="Y258" s="70">
        <f t="shared" si="107"/>
        <v>0</v>
      </c>
      <c r="Z258" s="70">
        <f t="shared" si="107"/>
        <v>0</v>
      </c>
      <c r="AA258" s="70">
        <f t="shared" si="107"/>
        <v>0</v>
      </c>
      <c r="AB258" s="71">
        <f>SUM(AB259:AB264)</f>
        <v>0</v>
      </c>
      <c r="AC258" s="82" t="str">
        <f>CONCATENATE(IF(D258&lt;&gt;D271,""&amp;CHAR(10)&amp;"  * Current on ART by month of dispense F07-16 for age "&amp;D246&amp;" "&amp;D247&amp;" is not equal to Clients current On ART F07-03 age  "&amp;D246&amp;" "&amp;D247&amp;"",""),IF(E258&lt;&gt;E271,""&amp;CHAR(10)&amp;"  * Current on ART by month of dispense F07-16 for age "&amp;D246&amp;" "&amp;E247&amp;" is not equal to Clients current On ART F07-03 age  "&amp;D246&amp;" "&amp;E247&amp;"",""),IF(F258&lt;&gt;F271,""&amp;CHAR(10)&amp;"  * Current on ART by month of dispense F07-16 for age "&amp;F246&amp;" "&amp;F247&amp;" is not equal to Clients current On ART F07-03 age  "&amp;F246&amp;" "&amp;F247&amp;"",""),IF(G258&lt;&gt;G271,""&amp;CHAR(10)&amp;"  * Current on ART by month of dispense F07-16 for age "&amp;F246&amp;" "&amp;G247&amp;" is not equal to Clients current On ART F07-03 age  "&amp;F246&amp;" "&amp;G247&amp;"",""),IF(H258&lt;&gt;H271,""&amp;CHAR(10)&amp;"  * Current on ART by month of dispense F07-16 for age "&amp;H246&amp;" "&amp;H247&amp;" is not equal to Clients current On ART F07-03 age  "&amp;H246&amp;" "&amp;H247&amp;"",""),IF(I258&lt;&gt;I271,""&amp;CHAR(10)&amp;"  * Current on ART by month of dispense F07-16 for age "&amp;H246&amp;" "&amp;I247&amp;" is not equal to Clients current On ART F07-03 age  "&amp;H246&amp;" "&amp;I247&amp;"",""),IF(J258&lt;&gt;J271,""&amp;CHAR(10)&amp;"  * Current on ART by month of dispense F07-16 for age "&amp;J246&amp;" "&amp;J247&amp;" is not equal to Clients current On ART F07-03 age  "&amp;J246&amp;" "&amp;J247&amp;"",""),IF(K258&lt;&gt;K271,""&amp;CHAR(10)&amp;"  * Current on ART by month of dispense F07-16 for age "&amp;J246&amp;" "&amp;K247&amp;" is not equal to Clients current On ART F07-03 age  "&amp;J246&amp;" "&amp;K247&amp;"",""),IF(L258&lt;&gt;L271,""&amp;CHAR(10)&amp;"  * Current on ART by month of dispense F07-16 for age "&amp;L246&amp;" "&amp;L247&amp;" is not equal to Clients current On ART F07-03 age  "&amp;L246&amp;" "&amp;L247&amp;"",""),IF(M258&lt;&gt;M271,""&amp;CHAR(10)&amp;"  * Current on ART by month of dispense F07-16 for age "&amp;L246&amp;" "&amp;M247&amp;" is not equal to Clients current On ART F07-03 age  "&amp;L246&amp;" "&amp;M247&amp;"",""),IF(N258&lt;&gt;N271,""&amp;CHAR(10)&amp;"  * Current on ART by month of dispense F07-16 for age "&amp;N246&amp;" "&amp;N247&amp;" is not equal to Clients current On ART F07-03 age  "&amp;N246&amp;" "&amp;N247&amp;"",""),IF(O258&lt;&gt;O271,""&amp;CHAR(10)&amp;"  * Current on ART by month of dispense F07-16 for age "&amp;N246&amp;" "&amp;O247&amp;" is not equal to Clients current On ART F07-03 age  "&amp;N246&amp;" "&amp;O247&amp;"",""),IF(P258&lt;&gt;P271,""&amp;CHAR(10)&amp;"  * Current on ART by month of dispense F07-16 for age "&amp;P246&amp;" "&amp;P247&amp;" is not equal to Clients current On ART F07-03 age  "&amp;P246&amp;" "&amp;P247&amp;"",""),IF(Q258&lt;&gt;Q271,""&amp;CHAR(10)&amp;"  * Current on ART by month of dispense F07-16 for age "&amp;P246&amp;" "&amp;Q247&amp;" is not equal to Clients current On ART F07-03 age  "&amp;P246&amp;" "&amp;Q247&amp;"",""),IF(R258&lt;&gt;R271,""&amp;CHAR(10)&amp;"  * Current on ART by month of dispense F07-16 for age "&amp;R246&amp;" "&amp;R247&amp;" is not equal to Clients current On ART F07-03 age  "&amp;R246&amp;" "&amp;R247&amp;"",""),IF(S258&lt;&gt;S271,""&amp;CHAR(10)&amp;"  * Current on ART by month of dispense F07-16 for age "&amp;R246&amp;" "&amp;S247&amp;" is not equal to Clients current On ART F07-03 age  "&amp;R246&amp;" "&amp;S247&amp;"",""),IF(T258&lt;&gt;T271,""&amp;CHAR(10)&amp;"  * Current on ART by month of dispense F07-16 for age "&amp;T246&amp;" "&amp;T247&amp;" is not equal to Clients current On ART F07-03 age  "&amp;T246&amp;" "&amp;T247&amp;"",""),IF(U258&lt;&gt;U271,""&amp;CHAR(10)&amp;"  * Current on ART by month of dispense F07-16 for age "&amp;T246&amp;" "&amp;U247&amp;" is not equal to Clients current On ART F07-03 age  "&amp;T246&amp;" "&amp;U247&amp;"",""),IF(V258&lt;&gt;V271,""&amp;CHAR(10)&amp;"  * Current on ART by month of dispense F07-16 for age "&amp;V246&amp;" "&amp;V247&amp;" is not equal to Clients current On ART F07-03 age  "&amp;V246&amp;" "&amp;V247&amp;"",""),IF(W258&lt;&gt;W271,""&amp;CHAR(10)&amp;"  * Current on ART by month of dispense F07-16 for age "&amp;V246&amp;" "&amp;W247&amp;" is not equal to Clients current On ART F07-03 age  "&amp;V246&amp;" "&amp;W247&amp;"",""),IF(X258&lt;&gt;X271,""&amp;CHAR(10)&amp;"  * Current on ART by month of dispense F07-16 for age "&amp;X246&amp;" "&amp;X247&amp;" is not equal to Clients current On ART F07-03 age  "&amp;X246&amp;" "&amp;X247&amp;"",""),IF(Y258&lt;&gt;Y271,""&amp;CHAR(10)&amp;"  * Current on ART by month of dispense F07-16 for age "&amp;X246&amp;" "&amp;Y247&amp;" is not equal to Clients current On ART F07-03 age  "&amp;X246&amp;" "&amp;Y247&amp;"",""),IF(Z258&lt;&gt;Z271,""&amp;CHAR(10)&amp;"  * Current on ART by month of dispense F07-16 for age "&amp;Z246&amp;" "&amp;Z247&amp;" is not equal to Clients current On ART F07-03 age  "&amp;Z246&amp;" "&amp;Z247&amp;"",""),IF(AA258&lt;&gt;AA271,""&amp;CHAR(10)&amp;"  * Current on ART by month of dispense F07-16 for age "&amp;Z246&amp;" "&amp;AA247&amp;" is not equal to Clients current On ART F07-03 age  "&amp;Z246&amp;" "&amp;AA247&amp;"",""))</f>
        <v/>
      </c>
      <c r="AD258" s="650"/>
      <c r="AE258" s="80"/>
      <c r="AF258" s="621"/>
      <c r="AG258" s="404">
        <v>251</v>
      </c>
    </row>
    <row r="259" spans="1:33" x14ac:dyDescent="0.5">
      <c r="A259" s="594" t="s">
        <v>441</v>
      </c>
      <c r="B259" s="290" t="s">
        <v>396</v>
      </c>
      <c r="C259" s="129" t="s">
        <v>410</v>
      </c>
      <c r="D259" s="163"/>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5">
        <f t="shared" si="105"/>
        <v>0</v>
      </c>
      <c r="AC259" s="82"/>
      <c r="AD259" s="650"/>
      <c r="AE259" s="80"/>
      <c r="AF259" s="621"/>
      <c r="AG259" s="404">
        <v>252</v>
      </c>
    </row>
    <row r="260" spans="1:33" x14ac:dyDescent="0.5">
      <c r="A260" s="595"/>
      <c r="B260" s="291" t="s">
        <v>391</v>
      </c>
      <c r="C260" s="131" t="s">
        <v>411</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5"/>
        <v>0</v>
      </c>
      <c r="AC260" s="82"/>
      <c r="AD260" s="650"/>
      <c r="AE260" s="80"/>
      <c r="AF260" s="621"/>
      <c r="AG260" s="404">
        <v>253</v>
      </c>
    </row>
    <row r="261" spans="1:33" x14ac:dyDescent="0.5">
      <c r="A261" s="595"/>
      <c r="B261" s="291" t="s">
        <v>392</v>
      </c>
      <c r="C261" s="131" t="s">
        <v>412</v>
      </c>
      <c r="D261" s="164"/>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36">
        <f t="shared" si="105"/>
        <v>0</v>
      </c>
      <c r="AC261" s="82"/>
      <c r="AD261" s="650"/>
      <c r="AE261" s="80"/>
      <c r="AF261" s="621"/>
      <c r="AG261" s="404">
        <v>254</v>
      </c>
    </row>
    <row r="262" spans="1:33" x14ac:dyDescent="0.5">
      <c r="A262" s="595"/>
      <c r="B262" s="291" t="s">
        <v>393</v>
      </c>
      <c r="C262" s="131" t="s">
        <v>413</v>
      </c>
      <c r="D262" s="164"/>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36">
        <f t="shared" si="105"/>
        <v>0</v>
      </c>
      <c r="AC262" s="82"/>
      <c r="AD262" s="650"/>
      <c r="AE262" s="80"/>
      <c r="AF262" s="621"/>
      <c r="AG262" s="404">
        <v>255</v>
      </c>
    </row>
    <row r="263" spans="1:33" x14ac:dyDescent="0.5">
      <c r="A263" s="595"/>
      <c r="B263" s="291" t="s">
        <v>394</v>
      </c>
      <c r="C263" s="131" t="s">
        <v>414</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5"/>
        <v>0</v>
      </c>
      <c r="AC263" s="82"/>
      <c r="AD263" s="650"/>
      <c r="AE263" s="80"/>
      <c r="AF263" s="621"/>
      <c r="AG263" s="404">
        <v>256</v>
      </c>
    </row>
    <row r="264" spans="1:33" ht="31.5" thickBot="1" x14ac:dyDescent="0.55000000000000004">
      <c r="A264" s="596"/>
      <c r="B264" s="292" t="s">
        <v>395</v>
      </c>
      <c r="C264" s="133" t="s">
        <v>415</v>
      </c>
      <c r="D264" s="146"/>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9">
        <f t="shared" si="105"/>
        <v>0</v>
      </c>
      <c r="AC264" s="82"/>
      <c r="AD264" s="650"/>
      <c r="AE264" s="80"/>
      <c r="AF264" s="621"/>
      <c r="AG264" s="404">
        <v>257</v>
      </c>
    </row>
    <row r="265" spans="1:33" ht="30.75" customHeight="1" x14ac:dyDescent="0.5">
      <c r="A265" s="594" t="s">
        <v>442</v>
      </c>
      <c r="B265" s="290" t="s">
        <v>445</v>
      </c>
      <c r="C265" s="129" t="s">
        <v>421</v>
      </c>
      <c r="D265" s="163"/>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5">
        <f t="shared" si="105"/>
        <v>0</v>
      </c>
      <c r="AC265" s="82"/>
      <c r="AD265" s="650"/>
      <c r="AE265" s="80"/>
      <c r="AF265" s="621"/>
      <c r="AG265" s="404">
        <v>258</v>
      </c>
    </row>
    <row r="266" spans="1:33" x14ac:dyDescent="0.5">
      <c r="A266" s="595"/>
      <c r="B266" s="291" t="s">
        <v>416</v>
      </c>
      <c r="C266" s="131" t="s">
        <v>422</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5"/>
        <v>0</v>
      </c>
      <c r="AC266" s="82"/>
      <c r="AD266" s="650"/>
      <c r="AE266" s="80"/>
      <c r="AF266" s="621"/>
      <c r="AG266" s="404">
        <v>259</v>
      </c>
    </row>
    <row r="267" spans="1:33" x14ac:dyDescent="0.5">
      <c r="A267" s="595"/>
      <c r="B267" s="291" t="s">
        <v>417</v>
      </c>
      <c r="C267" s="131" t="s">
        <v>423</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5"/>
        <v>0</v>
      </c>
      <c r="AC267" s="82"/>
      <c r="AD267" s="650"/>
      <c r="AE267" s="80"/>
      <c r="AF267" s="621"/>
      <c r="AG267" s="404">
        <v>260</v>
      </c>
    </row>
    <row r="268" spans="1:33" x14ac:dyDescent="0.5">
      <c r="A268" s="595"/>
      <c r="B268" s="291" t="s">
        <v>418</v>
      </c>
      <c r="C268" s="131" t="s">
        <v>424</v>
      </c>
      <c r="D268" s="164"/>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36">
        <f t="shared" si="105"/>
        <v>0</v>
      </c>
      <c r="AC268" s="82"/>
      <c r="AD268" s="650"/>
      <c r="AE268" s="80"/>
      <c r="AF268" s="621"/>
      <c r="AG268" s="404">
        <v>261</v>
      </c>
    </row>
    <row r="269" spans="1:33" x14ac:dyDescent="0.5">
      <c r="A269" s="595"/>
      <c r="B269" s="295" t="s">
        <v>419</v>
      </c>
      <c r="C269" s="131" t="s">
        <v>425</v>
      </c>
      <c r="D269" s="164"/>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36">
        <f t="shared" si="105"/>
        <v>0</v>
      </c>
      <c r="AC269" s="82"/>
      <c r="AD269" s="650"/>
      <c r="AE269" s="80"/>
      <c r="AF269" s="621"/>
      <c r="AG269" s="404">
        <v>262</v>
      </c>
    </row>
    <row r="270" spans="1:33" x14ac:dyDescent="0.5">
      <c r="A270" s="595"/>
      <c r="B270" s="295" t="s">
        <v>420</v>
      </c>
      <c r="C270" s="131" t="s">
        <v>426</v>
      </c>
      <c r="D270" s="164"/>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36">
        <f t="shared" si="105"/>
        <v>0</v>
      </c>
      <c r="AC270" s="82"/>
      <c r="AD270" s="650"/>
      <c r="AE270" s="80"/>
      <c r="AF270" s="621"/>
      <c r="AG270" s="404">
        <v>263</v>
      </c>
    </row>
    <row r="271" spans="1:33" ht="33" thickBot="1" x14ac:dyDescent="0.55000000000000004">
      <c r="A271" s="595"/>
      <c r="B271" s="296" t="s">
        <v>440</v>
      </c>
      <c r="C271" s="133" t="s">
        <v>444</v>
      </c>
      <c r="D271" s="165">
        <f>SUM(D265:D270)</f>
        <v>0</v>
      </c>
      <c r="E271" s="70">
        <f t="shared" ref="E271:AA271" si="108">SUM(E265:E270)</f>
        <v>0</v>
      </c>
      <c r="F271" s="70">
        <f t="shared" si="108"/>
        <v>0</v>
      </c>
      <c r="G271" s="70">
        <f t="shared" si="108"/>
        <v>0</v>
      </c>
      <c r="H271" s="70">
        <f t="shared" si="108"/>
        <v>0</v>
      </c>
      <c r="I271" s="70">
        <f t="shared" si="108"/>
        <v>0</v>
      </c>
      <c r="J271" s="70">
        <f t="shared" si="108"/>
        <v>0</v>
      </c>
      <c r="K271" s="70">
        <f t="shared" si="108"/>
        <v>0</v>
      </c>
      <c r="L271" s="70">
        <f t="shared" si="108"/>
        <v>0</v>
      </c>
      <c r="M271" s="70">
        <f t="shared" si="108"/>
        <v>0</v>
      </c>
      <c r="N271" s="70">
        <f t="shared" si="108"/>
        <v>0</v>
      </c>
      <c r="O271" s="70">
        <f t="shared" si="108"/>
        <v>0</v>
      </c>
      <c r="P271" s="70">
        <f t="shared" si="108"/>
        <v>0</v>
      </c>
      <c r="Q271" s="70">
        <f t="shared" si="108"/>
        <v>0</v>
      </c>
      <c r="R271" s="70">
        <f t="shared" si="108"/>
        <v>0</v>
      </c>
      <c r="S271" s="70">
        <f t="shared" si="108"/>
        <v>0</v>
      </c>
      <c r="T271" s="70">
        <f t="shared" si="108"/>
        <v>0</v>
      </c>
      <c r="U271" s="70">
        <f t="shared" si="108"/>
        <v>0</v>
      </c>
      <c r="V271" s="70">
        <f t="shared" si="108"/>
        <v>0</v>
      </c>
      <c r="W271" s="70">
        <f t="shared" si="108"/>
        <v>0</v>
      </c>
      <c r="X271" s="70">
        <f t="shared" si="108"/>
        <v>0</v>
      </c>
      <c r="Y271" s="70">
        <f t="shared" si="108"/>
        <v>0</v>
      </c>
      <c r="Z271" s="70">
        <f t="shared" si="108"/>
        <v>0</v>
      </c>
      <c r="AA271" s="70">
        <f t="shared" si="108"/>
        <v>0</v>
      </c>
      <c r="AB271" s="39">
        <f t="shared" si="105"/>
        <v>0</v>
      </c>
      <c r="AC271" s="82"/>
      <c r="AD271" s="650"/>
      <c r="AE271" s="80"/>
      <c r="AF271" s="621"/>
      <c r="AG271" s="404">
        <v>264</v>
      </c>
    </row>
    <row r="272" spans="1:33" ht="31.5" thickBot="1" x14ac:dyDescent="0.55000000000000004">
      <c r="A272" s="596"/>
      <c r="B272" s="288" t="s">
        <v>462</v>
      </c>
      <c r="C272" s="162" t="s">
        <v>446</v>
      </c>
      <c r="D272" s="166"/>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5">
        <f t="shared" si="105"/>
        <v>0</v>
      </c>
      <c r="AC272" s="82"/>
      <c r="AD272" s="749"/>
      <c r="AE272" s="80"/>
      <c r="AF272" s="751"/>
      <c r="AG272" s="404">
        <v>265</v>
      </c>
    </row>
    <row r="273" spans="1:34" s="211" customFormat="1" x14ac:dyDescent="0.5">
      <c r="A273" s="735" t="s">
        <v>613</v>
      </c>
      <c r="B273" s="466" t="s">
        <v>1052</v>
      </c>
      <c r="C273" s="474" t="s">
        <v>558</v>
      </c>
      <c r="D273" s="222"/>
      <c r="E273" s="222"/>
      <c r="F273" s="222"/>
      <c r="G273" s="222"/>
      <c r="H273" s="222"/>
      <c r="I273" s="222"/>
      <c r="J273" s="222"/>
      <c r="K273" s="222"/>
      <c r="L273" s="222"/>
      <c r="M273" s="222"/>
      <c r="N273" s="222"/>
      <c r="O273" s="222"/>
      <c r="P273" s="222"/>
      <c r="Q273" s="222"/>
      <c r="R273" s="222"/>
      <c r="S273" s="222"/>
      <c r="T273" s="222"/>
      <c r="U273" s="222"/>
      <c r="V273" s="222"/>
      <c r="W273" s="222"/>
      <c r="X273" s="222"/>
      <c r="Y273" s="222"/>
      <c r="Z273" s="222"/>
      <c r="AA273" s="222"/>
      <c r="AB273" s="223">
        <f t="shared" si="105"/>
        <v>0</v>
      </c>
      <c r="AC273" s="233" t="str">
        <f>CONCATENATE(IF(D284&gt;D273," *  confirmed TB positive newly started on TB treatment "&amp;$D$20&amp;" "&amp;$D$21&amp;" is more than Screening positive for TB Newly enrolled on ART"&amp;CHAR(10),""),IF(E284&gt;E273," *  confirmed TB positive newly started on TB treatment "&amp;$D$20&amp;" "&amp;$E$21&amp;" is more than Screening positive for TB Newly enrolled on ART"&amp;CHAR(10),""),IF(F284&gt;F273," *  confirmed TB positive newly started on TB treatment "&amp;$F$20&amp;" "&amp;$F$21&amp;" is more than Screening positive for TB Newly enrolled on ART"&amp;CHAR(10),""),IF(G284&gt;G273," *  confirmed TB positive newly started on TB treatment "&amp;$F$20&amp;" "&amp;$G$21&amp;" is more than Screening positive for TB Newly enrolled on ART"&amp;CHAR(10),""),IF(H284&gt;H273," *  confirmed TB positive newly started on TB treatment "&amp;$H$20&amp;" "&amp;$H$21&amp;" is more than Screening positive for TB Newly enrolled on ART"&amp;CHAR(10),""),IF(I284&gt;I273," *  confirmed TB positive newly started on TB treatment "&amp;$H$20&amp;" "&amp;$I$21&amp;" is more than Screening positive for TB Newly enrolled on ART"&amp;CHAR(10),""),IF(J284&gt;J273," *  confirmed TB positive newly started on TB treatment "&amp;$J$20&amp;" "&amp;$J$21&amp;" is more than Screening positive for TB Newly enrolled on ART"&amp;CHAR(10),""),IF(K284&gt;K273," *  confirmed TB positive newly started on TB treatment "&amp;$J$20&amp;" "&amp;$K$21&amp;" is more than Screening positive for TB Newly enrolled on ART"&amp;CHAR(10),""),IF(L284&gt;L273," *  confirmed TB positive newly started on TB treatment "&amp;$L$20&amp;" "&amp;$L$21&amp;" is more than Screening positive for TB Newly enrolled on ART"&amp;CHAR(10),""),IF(M284&gt;M273," *  confirmed TB positive newly started on TB treatment "&amp;$L$20&amp;" "&amp;$M$21&amp;" is more than Screening positive for TB Newly enrolled on ART"&amp;CHAR(10),""),IF(N284&gt;N273," *  confirmed TB positive newly started on TB treatment "&amp;$N$20&amp;" "&amp;$N$21&amp;" is more than Screening positive for TB Newly enrolled on ART"&amp;CHAR(10),""),IF(O284&gt;O273," *  confirmed TB positive newly started on TB treatment "&amp;$N$20&amp;" "&amp;$O$21&amp;" is more than Screening positive for TB Newly enrolled on ART"&amp;CHAR(10),""),IF(P284&gt;P273," *  confirmed TB positive newly started on TB treatment "&amp;$P$20&amp;" "&amp;$P$21&amp;" is more than Screening positive for TB Newly enrolled on ART"&amp;CHAR(10),""),IF(Q284&gt;Q273," *  confirmed TB positive newly started on TB treatment "&amp;$P$20&amp;" "&amp;$Q$21&amp;" is more than Screening positive for TB Newly enrolled on ART"&amp;CHAR(10),""),IF(R284&gt;R273," *  confirmed TB positive newly started on TB treatment "&amp;$R$20&amp;" "&amp;$R$21&amp;" is more than Screening positive for TB Newly enrolled on ART"&amp;CHAR(10),""),IF(S284&gt;S273," *  confirmed TB positive newly started on TB treatment "&amp;$R$20&amp;" "&amp;$S$21&amp;" is more than Screening positive for TB Newly enrolled on ART"&amp;CHAR(10),""),IF(T284&gt;T273," *  confirmed TB positive newly started on TB treatment "&amp;$T$20&amp;" "&amp;$T$21&amp;" is more than Screening positive for TB Newly enrolled on ART"&amp;CHAR(10),""),IF(U284&gt;U273," *  confirmed TB positive newly started on TB treatment "&amp;$T$20&amp;" "&amp;$U$21&amp;" is more than Screening positive for TB Newly enrolled on ART"&amp;CHAR(10),""),IF(V284&gt;V273," *  confirmed TB positive newly started on TB treatment "&amp;$V$20&amp;" "&amp;$V$21&amp;" is more than Screening positive for TB Newly enrolled on ART"&amp;CHAR(10),""),IF(W284&gt;W273," *  confirmed TB positive newly started on TB treatment "&amp;$V$20&amp;" "&amp;$W$21&amp;" is more than Screening positive for TB Newly enrolled on ART"&amp;CHAR(10),""),IF(X284&gt;X273," *  confirmed TB positive newly started on TB treatment "&amp;$X$20&amp;" "&amp;$X$21&amp;" is more than Screening positive for TB Newly enrolled on ART"&amp;CHAR(10),""),IF(Y284&gt;Y273," *  confirmed TB positive newly started on TB treatment "&amp;$X$20&amp;" "&amp;$Y$21&amp;" is more than Screening positive for TB Newly enrolled on ART"&amp;CHAR(10),""),IF(Z284&gt;Z273," *  confirmed TB positive newly started on TB treatment "&amp;$Z$20&amp;" "&amp;$Z$21&amp;" is more than Screening positive for TB Newly enrolled on ART"&amp;CHAR(10),""),IF(AA284&gt;AA273," *  confirmed TB positive newly started on TB treatment "&amp;$Z$20&amp;" "&amp;$AA$21&amp;" is more than Screening positive for TB Newly enrolled on ART"&amp;CHAR(10),""))</f>
        <v/>
      </c>
      <c r="AD273" s="649" t="str">
        <f>CONCATENATE(AC273,AC274,AC275,AC276,AC277,AC278,AC279,AC280,AC281,AC282,AC283,AC284,AC285,AC286)</f>
        <v/>
      </c>
      <c r="AE273" s="235" t="str">
        <f>CONCATENATE(IF(D284&lt;D273," *  confirmed TB positive newly started on TB treatment "&amp;$D$20&amp;" "&amp;$D$21&amp;" is less than Screening positive for TB Newly enrolled on ART"&amp;CHAR(10),""),IF(E284&lt;E273," *  confirmed TB positive newly started on TB treatment "&amp;$D$20&amp;" "&amp;$E$21&amp;" is less than Screening positive for TB Newly enrolled on ART"&amp;CHAR(10),""),IF(F284&lt;F273," *  confirmed TB positive newly started on TB treatment "&amp;$F$20&amp;" "&amp;$F$21&amp;" is less than Screening positive for TB Newly enrolled on ART"&amp;CHAR(10),""),IF(G284&lt;G273," *  confirmed TB positive newly started on TB treatment "&amp;$F$20&amp;" "&amp;$G$21&amp;" is less than Screening positive for TB Newly enrolled on ART"&amp;CHAR(10),""),IF(H284&lt;H273," *  confirmed TB positive newly started on TB treatment "&amp;$H$20&amp;" "&amp;$H$21&amp;" is less than Screening positive for TB Newly enrolled on ART"&amp;CHAR(10),""),IF(I284&lt;I273," *  confirmed TB positive newly started on TB treatment "&amp;$H$20&amp;" "&amp;$I$21&amp;" is less than Screening positive for TB Newly enrolled on ART"&amp;CHAR(10),""),IF(J284&lt;J273," *  confirmed TB positive newly started on TB treatment "&amp;$J$20&amp;" "&amp;$J$21&amp;" is less than Screening positive for TB Newly enrolled on ART"&amp;CHAR(10),""),IF(K284&lt;K273," *  confirmed TB positive newly started on TB treatment "&amp;$J$20&amp;" "&amp;$K$21&amp;" is less than Screening positive for TB Newly enrolled on ART"&amp;CHAR(10),""),IF(L284&lt;L273," *  confirmed TB positive newly started on TB treatment "&amp;$L$20&amp;" "&amp;$L$21&amp;" is less than Screening positive for TB Newly enrolled on ART"&amp;CHAR(10),""),IF(M284&lt;M273," *  confirmed TB positive newly started on TB treatment "&amp;$L$20&amp;" "&amp;$M$21&amp;" is less than Screening positive for TB Newly enrolled on ART"&amp;CHAR(10),""),IF(N284&lt;N273," *  confirmed TB positive newly started on TB treatment "&amp;$N$20&amp;" "&amp;$N$21&amp;" is less than Screening positive for TB Newly enrolled on ART"&amp;CHAR(10),""),IF(O284&lt;O273," *  confirmed TB positive newly started on TB treatment "&amp;$N$20&amp;" "&amp;$O$21&amp;" is less than Screening positive for TB Newly enrolled on ART"&amp;CHAR(10),""),IF(P284&lt;P273," *  confirmed TB positive newly started on TB treatment "&amp;$P$20&amp;" "&amp;$P$21&amp;" is less than Screening positive for TB Newly enrolled on ART"&amp;CHAR(10),""),IF(Q284&lt;Q273," *  confirmed TB positive newly started on TB treatment "&amp;$P$20&amp;" "&amp;$Q$21&amp;" is less than Screening positive for TB Newly enrolled on ART"&amp;CHAR(10),""),IF(R284&lt;R273," *  confirmed TB positive newly started on TB treatment "&amp;$R$20&amp;" "&amp;$R$21&amp;" is less than Screening positive for TB Newly enrolled on ART"&amp;CHAR(10),""),IF(S284&lt;S273," *  confirmed TB positive newly started on TB treatment "&amp;$R$20&amp;" "&amp;$S$21&amp;" is less than Screening positive for TB Newly enrolled on ART"&amp;CHAR(10),""),IF(T284&lt;T273," *  confirmed TB positive newly started on TB treatment "&amp;$T$20&amp;" "&amp;$T$21&amp;" is less than Screening positive for TB Newly enrolled on ART"&amp;CHAR(10),""),IF(U284&lt;U273," *  confirmed TB positive newly started on TB treatment "&amp;$T$20&amp;" "&amp;$U$21&amp;" is less than Screening positive for TB Newly enrolled on ART"&amp;CHAR(10),""),IF(V284&lt;V273," *  confirmed TB positive newly started on TB treatment "&amp;$V$20&amp;" "&amp;$V$21&amp;" is less than Screening positive for TB Newly enrolled on ART"&amp;CHAR(10),""),IF(W284&lt;W273," *  confirmed TB positive newly started on TB treatment "&amp;$V$20&amp;" "&amp;$W$21&amp;" is less than Screening positive for TB Newly enrolled on ART"&amp;CHAR(10),""),IF(X284&lt;X273," *  confirmed TB positive newly started on TB treatment "&amp;$X$20&amp;" "&amp;$X$21&amp;" is less than Screening positive for TB Newly enrolled on ART"&amp;CHAR(10),""),IF(Y284&lt;Y273," *  confirmed TB positive newly started on TB treatment "&amp;$X$20&amp;" "&amp;$Y$21&amp;" is less than Screening positive for TB Newly enrolled on ART"&amp;CHAR(10),""),IF(Z284&lt;Z273," *  confirmed TB positive newly started on TB treatment "&amp;$Z$20&amp;" "&amp;$Z$21&amp;" is less than Screening positive for TB Newly enrolled on ART"&amp;CHAR(10),""),IF(AA284&lt;AA273," *  confirmed TB positive newly started on TB treatment "&amp;$Z$20&amp;" "&amp;$AA$21&amp;" is less than Screening positive for TB Newly enrolled on ART"&amp;CHAR(10),""))</f>
        <v/>
      </c>
      <c r="AF273" s="752" t="str">
        <f>CONCATENATE(AE273,AE274,AE275,AE276,AE277,AE278,AE279,AE280,AE281,AE282,AE283,AE284,AE285,AE286)</f>
        <v/>
      </c>
      <c r="AG273" s="404">
        <v>266</v>
      </c>
      <c r="AH273" s="311"/>
    </row>
    <row r="274" spans="1:34" x14ac:dyDescent="0.5">
      <c r="A274" s="736"/>
      <c r="B274" s="551" t="s">
        <v>1081</v>
      </c>
      <c r="C274" s="131" t="s">
        <v>559</v>
      </c>
      <c r="D274" s="19"/>
      <c r="E274" s="213"/>
      <c r="F274" s="213"/>
      <c r="G274" s="213"/>
      <c r="H274" s="213"/>
      <c r="I274" s="213"/>
      <c r="J274" s="213"/>
      <c r="K274" s="213"/>
      <c r="L274" s="213"/>
      <c r="M274" s="213"/>
      <c r="N274" s="213"/>
      <c r="O274" s="213"/>
      <c r="P274" s="213"/>
      <c r="Q274" s="213"/>
      <c r="R274" s="213"/>
      <c r="S274" s="213"/>
      <c r="T274" s="213"/>
      <c r="U274" s="213"/>
      <c r="V274" s="213"/>
      <c r="W274" s="213"/>
      <c r="X274" s="213"/>
      <c r="Y274" s="213"/>
      <c r="Z274" s="213"/>
      <c r="AA274" s="213"/>
      <c r="AB274" s="36">
        <f t="shared" si="105"/>
        <v>0</v>
      </c>
      <c r="AC274" s="82" t="str">
        <f>CONCATENATE(IF(D285&gt;D274," *  Confirmed TB positive already on ART and on TB treatment "&amp;$D$20&amp;" "&amp;$D$21&amp;" is more than Screening positive for TB Previously enrolled on ART"&amp;CHAR(10),""),IF(E285&gt;E274," *  Confirmed TB positive already on ART and on TB treatment "&amp;$D$20&amp;" "&amp;$E$21&amp;" is more than Screening positive for TB Previously enrolled on ART"&amp;CHAR(10),""),IF(F285&gt;F274," *  Confirmed TB positive already on ART and on TB treatment "&amp;$F$20&amp;" "&amp;$F$21&amp;" is more than Screening positive for TB Previously enrolled on ART"&amp;CHAR(10),""),IF(G285&gt;G274," *  Confirmed TB positive already on ART and on TB treatment "&amp;$F$20&amp;" "&amp;$G$21&amp;" is more than Screening positive for TB Previously enrolled on ART"&amp;CHAR(10),""),IF(H285&gt;H274," *  Confirmed TB positive already on ART and on TB treatment "&amp;$H$20&amp;" "&amp;$H$21&amp;" is more than Screening positive for TB Previously enrolled on ART"&amp;CHAR(10),""),IF(I285&gt;I274," *  Confirmed TB positive already on ART and on TB treatment "&amp;$H$20&amp;" "&amp;$I$21&amp;" is more than Screening positive for TB Previously enrolled on ART"&amp;CHAR(10),""),IF(J285&gt;J274," *  Confirmed TB positive already on ART and on TB treatment "&amp;$J$20&amp;" "&amp;$J$21&amp;" is more than Screening positive for TB Previously enrolled on ART"&amp;CHAR(10),""),IF(K285&gt;K274," *  Confirmed TB positive already on ART and on TB treatment "&amp;$J$20&amp;" "&amp;$K$21&amp;" is more than Screening positive for TB Previously enrolled on ART"&amp;CHAR(10),""),IF(L285&gt;L274," *  Confirmed TB positive already on ART and on TB treatment "&amp;$L$20&amp;" "&amp;$L$21&amp;" is more than Screening positive for TB Previously enrolled on ART"&amp;CHAR(10),""),IF(M285&gt;M274," *  Confirmed TB positive already on ART and on TB treatment "&amp;$L$20&amp;" "&amp;$M$21&amp;" is more than Screening positive for TB Previously enrolled on ART"&amp;CHAR(10),""),IF(N285&gt;N274," *  Confirmed TB positive already on ART and on TB treatment "&amp;$N$20&amp;" "&amp;$N$21&amp;" is more than Screening positive for TB Previously enrolled on ART"&amp;CHAR(10),""),IF(O285&gt;O274," *  Confirmed TB positive already on ART and on TB treatment "&amp;$N$20&amp;" "&amp;$O$21&amp;" is more than Screening positive for TB Previously enrolled on ART"&amp;CHAR(10),""),IF(P285&gt;P274," *  Confirmed TB positive already on ART and on TB treatment "&amp;$P$20&amp;" "&amp;$P$21&amp;" is more than Screening positive for TB Previously enrolled on ART"&amp;CHAR(10),""),IF(Q285&gt;Q274," *  Confirmed TB positive already on ART and on TB treatment "&amp;$P$20&amp;" "&amp;$Q$21&amp;" is more than Screening positive for TB Previously enrolled on ART"&amp;CHAR(10),""),IF(R285&gt;R274," *  Confirmed TB positive already on ART and on TB treatment "&amp;$R$20&amp;" "&amp;$R$21&amp;" is more than Screening positive for TB Previously enrolled on ART"&amp;CHAR(10),""),IF(S285&gt;S274," *  Confirmed TB positive already on ART and on TB treatment "&amp;$R$20&amp;" "&amp;$S$21&amp;" is more than Screening positive for TB Previously enrolled on ART"&amp;CHAR(10),""),IF(T285&gt;T274," *  Confirmed TB positive already on ART and on TB treatment "&amp;$T$20&amp;" "&amp;$T$21&amp;" is more than Screening positive for TB Previously enrolled on ART"&amp;CHAR(10),""),IF(U285&gt;U274," *  Confirmed TB positive already on ART and on TB treatment "&amp;$T$20&amp;" "&amp;$U$21&amp;" is more than Screening positive for TB Previously enrolled on ART"&amp;CHAR(10),""),IF(V285&gt;V274," *  Confirmed TB positive already on ART and on TB treatment "&amp;$V$20&amp;" "&amp;$V$21&amp;" is more than Screening positive for TB Previously enrolled on ART"&amp;CHAR(10),""),IF(W285&gt;W274," *  Confirmed TB positive already on ART and on TB treatment "&amp;$V$20&amp;" "&amp;$W$21&amp;" is more than Screening positive for TB Previously enrolled on ART"&amp;CHAR(10),""),IF(X285&gt;X274," *  Confirmed TB positive already on ART and on TB treatment "&amp;$X$20&amp;" "&amp;$X$21&amp;" is more than Screening positive for TB Previously enrolled on ART"&amp;CHAR(10),""),IF(Y285&gt;Y274," *  Confirmed TB positive already on ART and on TB treatment "&amp;$X$20&amp;" "&amp;$Y$21&amp;" is more than Screening positive for TB Previously enrolled on ART"&amp;CHAR(10),""),IF(Z285&gt;Z274," *  Confirmed TB positive already on ART and on TB treatment "&amp;$Z$20&amp;" "&amp;$Z$21&amp;" is more than Screening positive for TB Previously enrolled on ART"&amp;CHAR(10),""),IF(AA285&gt;AA274," *  Confirmed TB positive already on ART and on TB treatment "&amp;$Z$20&amp;" "&amp;$AA$21&amp;" is more than Screening positive for TB Previously enrolled on ART"&amp;CHAR(10),""))</f>
        <v/>
      </c>
      <c r="AD274" s="650"/>
      <c r="AE274" s="80" t="str">
        <f>CONCATENATE(IF(D285&lt;D274," *  Confirmed TB positive already on ART and on TB treatment "&amp;$D$20&amp;" "&amp;$D$21&amp;" is less than Screening positive for TB Previously enrolled on ART"&amp;CHAR(10),""),IF(E285&lt;E274," *  Confirmed TB positive already on ART and on TB treatment "&amp;$D$20&amp;" "&amp;$E$21&amp;" is less than Screening positive for TB Previously enrolled on ART"&amp;CHAR(10),""),IF(F285&lt;F274," *  Confirmed TB positive already on ART and on TB treatment "&amp;$F$20&amp;" "&amp;$F$21&amp;" is less than Screening positive for TB Previously enrolled on ART"&amp;CHAR(10),""),IF(G285&lt;G274," *  Confirmed TB positive already on ART and on TB treatment "&amp;$F$20&amp;" "&amp;$G$21&amp;" is less than Screening positive for TB Previously enrolled on ART"&amp;CHAR(10),""),IF(H285&lt;H274," *  Confirmed TB positive already on ART and on TB treatment "&amp;$H$20&amp;" "&amp;$H$21&amp;" is less than Screening positive for TB Previously enrolled on ART"&amp;CHAR(10),""),IF(I285&lt;I274," *  Confirmed TB positive already on ART and on TB treatment "&amp;$H$20&amp;" "&amp;$I$21&amp;" is less than Screening positive for TB Previously enrolled on ART"&amp;CHAR(10),""),IF(J285&lt;J274," *  Confirmed TB positive already on ART and on TB treatment "&amp;$J$20&amp;" "&amp;$J$21&amp;" is less than Screening positive for TB Previously enrolled on ART"&amp;CHAR(10),""),IF(K285&lt;K274," *  Confirmed TB positive already on ART and on TB treatment "&amp;$J$20&amp;" "&amp;$K$21&amp;" is less than Screening positive for TB Previously enrolled on ART"&amp;CHAR(10),""),IF(L285&lt;L274," *  Confirmed TB positive already on ART and on TB treatment "&amp;$L$20&amp;" "&amp;$L$21&amp;" is less than Screening positive for TB Previously enrolled on ART"&amp;CHAR(10),""),IF(M285&lt;M274," *  Confirmed TB positive already on ART and on TB treatment "&amp;$L$20&amp;" "&amp;$M$21&amp;" is less than Screening positive for TB Previously enrolled on ART"&amp;CHAR(10),""),IF(N285&lt;N274," *  Confirmed TB positive already on ART and on TB treatment "&amp;$N$20&amp;" "&amp;$N$21&amp;" is less than Screening positive for TB Previously enrolled on ART"&amp;CHAR(10),""),IF(O285&lt;O274," *  Confirmed TB positive already on ART and on TB treatment "&amp;$N$20&amp;" "&amp;$O$21&amp;" is less than Screening positive for TB Previously enrolled on ART"&amp;CHAR(10),""),IF(P285&lt;P274," *  Confirmed TB positive already on ART and on TB treatment "&amp;$P$20&amp;" "&amp;$P$21&amp;" is less than Screening positive for TB Previously enrolled on ART"&amp;CHAR(10),""),IF(Q285&lt;Q274," *  Confirmed TB positive already on ART and on TB treatment "&amp;$P$20&amp;" "&amp;$Q$21&amp;" is less than Screening positive for TB Previously enrolled on ART"&amp;CHAR(10),""),IF(R285&lt;R274," *  Confirmed TB positive already on ART and on TB treatment "&amp;$R$20&amp;" "&amp;$R$21&amp;" is less than Screening positive for TB Previously enrolled on ART"&amp;CHAR(10),""),IF(S285&lt;S274," *  Confirmed TB positive already on ART and on TB treatment "&amp;$R$20&amp;" "&amp;$S$21&amp;" is less than Screening positive for TB Previously enrolled on ART"&amp;CHAR(10),""),IF(T285&lt;T274," *  Confirmed TB positive already on ART and on TB treatment "&amp;$T$20&amp;" "&amp;$T$21&amp;" is less than Screening positive for TB Previously enrolled on ART"&amp;CHAR(10),""),IF(U285&lt;U274," *  Confirmed TB positive already on ART and on TB treatment "&amp;$T$20&amp;" "&amp;$U$21&amp;" is less than Screening positive for TB Previously enrolled on ART"&amp;CHAR(10),""),IF(V285&lt;V274," *  Confirmed TB positive already on ART and on TB treatment "&amp;$V$20&amp;" "&amp;$V$21&amp;" is less than Screening positive for TB Previously enrolled on ART"&amp;CHAR(10),""),IF(W285&lt;W274," *  Confirmed TB positive already on ART and on TB treatment "&amp;$V$20&amp;" "&amp;$W$21&amp;" is less than Screening positive for TB Previously enrolled on ART"&amp;CHAR(10),""),IF(X285&lt;X274," *  Confirmed TB positive already on ART and on TB treatment "&amp;$X$20&amp;" "&amp;$X$21&amp;" is less than Screening positive for TB Previously enrolled on ART"&amp;CHAR(10),""),IF(Y285&lt;Y274," *  Confirmed TB positive already on ART and on TB treatment "&amp;$X$20&amp;" "&amp;$Y$21&amp;" is less than Screening positive for TB Previously enrolled on ART"&amp;CHAR(10),""),IF(Z285&lt;Z274," *  Confirmed TB positive already on ART and on TB treatment "&amp;$Z$20&amp;" "&amp;$Z$21&amp;" is less than Screening positive for TB Previously enrolled on ART"&amp;CHAR(10),""),IF(AA285&lt;AA274," *  Confirmed TB positive already on ART and on TB treatment "&amp;$Z$20&amp;" "&amp;$AA$21&amp;" is less than Screening positive for TB Previously enrolled on ART"&amp;CHAR(10),""))</f>
        <v/>
      </c>
      <c r="AF274" s="753"/>
      <c r="AG274" s="404">
        <v>267</v>
      </c>
    </row>
    <row r="275" spans="1:34" ht="33" thickBot="1" x14ac:dyDescent="0.55000000000000004">
      <c r="A275" s="736"/>
      <c r="B275" s="296" t="s">
        <v>852</v>
      </c>
      <c r="C275" s="133" t="s">
        <v>557</v>
      </c>
      <c r="D275" s="165">
        <f t="shared" ref="D275:AA275" si="109">D273+D274</f>
        <v>0</v>
      </c>
      <c r="E275" s="294">
        <f t="shared" si="109"/>
        <v>0</v>
      </c>
      <c r="F275" s="294">
        <f t="shared" si="109"/>
        <v>0</v>
      </c>
      <c r="G275" s="294">
        <f t="shared" si="109"/>
        <v>0</v>
      </c>
      <c r="H275" s="294">
        <f t="shared" si="109"/>
        <v>0</v>
      </c>
      <c r="I275" s="294">
        <f t="shared" si="109"/>
        <v>0</v>
      </c>
      <c r="J275" s="294">
        <f t="shared" si="109"/>
        <v>0</v>
      </c>
      <c r="K275" s="294">
        <f t="shared" si="109"/>
        <v>0</v>
      </c>
      <c r="L275" s="294">
        <f t="shared" si="109"/>
        <v>0</v>
      </c>
      <c r="M275" s="294">
        <f t="shared" si="109"/>
        <v>0</v>
      </c>
      <c r="N275" s="294">
        <f t="shared" si="109"/>
        <v>0</v>
      </c>
      <c r="O275" s="294">
        <f t="shared" si="109"/>
        <v>0</v>
      </c>
      <c r="P275" s="294">
        <f t="shared" si="109"/>
        <v>0</v>
      </c>
      <c r="Q275" s="294">
        <f t="shared" si="109"/>
        <v>0</v>
      </c>
      <c r="R275" s="294">
        <f t="shared" si="109"/>
        <v>0</v>
      </c>
      <c r="S275" s="294">
        <f t="shared" si="109"/>
        <v>0</v>
      </c>
      <c r="T275" s="294">
        <f t="shared" si="109"/>
        <v>0</v>
      </c>
      <c r="U275" s="294">
        <f t="shared" si="109"/>
        <v>0</v>
      </c>
      <c r="V275" s="294">
        <f t="shared" si="109"/>
        <v>0</v>
      </c>
      <c r="W275" s="294">
        <f t="shared" si="109"/>
        <v>0</v>
      </c>
      <c r="X275" s="294">
        <f t="shared" si="109"/>
        <v>0</v>
      </c>
      <c r="Y275" s="294">
        <f t="shared" si="109"/>
        <v>0</v>
      </c>
      <c r="Z275" s="294">
        <f t="shared" si="109"/>
        <v>0</v>
      </c>
      <c r="AA275" s="294">
        <f t="shared" si="109"/>
        <v>0</v>
      </c>
      <c r="AB275" s="39">
        <f t="shared" si="105"/>
        <v>0</v>
      </c>
      <c r="AC275" s="82"/>
      <c r="AD275" s="650"/>
      <c r="AE275" s="80"/>
      <c r="AF275" s="753"/>
      <c r="AG275" s="404">
        <v>268</v>
      </c>
    </row>
    <row r="276" spans="1:34" x14ac:dyDescent="0.5">
      <c r="A276" s="736"/>
      <c r="B276" s="298" t="s">
        <v>607</v>
      </c>
      <c r="C276" s="271" t="s">
        <v>560</v>
      </c>
      <c r="D276" s="145"/>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86">
        <f t="shared" si="105"/>
        <v>0</v>
      </c>
      <c r="AC276" s="82"/>
      <c r="AD276" s="650"/>
      <c r="AE276" s="80"/>
      <c r="AF276" s="753"/>
      <c r="AG276" s="404">
        <v>269</v>
      </c>
    </row>
    <row r="277" spans="1:34" x14ac:dyDescent="0.5">
      <c r="A277" s="736"/>
      <c r="B277" s="295" t="s">
        <v>608</v>
      </c>
      <c r="C277" s="131" t="s">
        <v>601</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5"/>
        <v>0</v>
      </c>
      <c r="AC277" s="82"/>
      <c r="AD277" s="650"/>
      <c r="AE277" s="80"/>
      <c r="AF277" s="753"/>
      <c r="AG277" s="404">
        <v>270</v>
      </c>
    </row>
    <row r="278" spans="1:34" ht="33" thickBot="1" x14ac:dyDescent="0.55000000000000004">
      <c r="A278" s="736"/>
      <c r="B278" s="296" t="s">
        <v>853</v>
      </c>
      <c r="C278" s="133" t="s">
        <v>304</v>
      </c>
      <c r="D278" s="167">
        <f>SUM(D277,D276,D275)</f>
        <v>0</v>
      </c>
      <c r="E278" s="72">
        <f t="shared" ref="E278:AA278" si="110">SUM(E277,E276,E275)</f>
        <v>0</v>
      </c>
      <c r="F278" s="72">
        <f t="shared" si="110"/>
        <v>0</v>
      </c>
      <c r="G278" s="72">
        <f t="shared" si="110"/>
        <v>0</v>
      </c>
      <c r="H278" s="72">
        <f t="shared" si="110"/>
        <v>0</v>
      </c>
      <c r="I278" s="72">
        <f t="shared" si="110"/>
        <v>0</v>
      </c>
      <c r="J278" s="72">
        <f t="shared" si="110"/>
        <v>0</v>
      </c>
      <c r="K278" s="72">
        <f t="shared" si="110"/>
        <v>0</v>
      </c>
      <c r="L278" s="72">
        <f t="shared" si="110"/>
        <v>0</v>
      </c>
      <c r="M278" s="72">
        <f t="shared" si="110"/>
        <v>0</v>
      </c>
      <c r="N278" s="72">
        <f t="shared" si="110"/>
        <v>0</v>
      </c>
      <c r="O278" s="72">
        <f t="shared" si="110"/>
        <v>0</v>
      </c>
      <c r="P278" s="72">
        <f t="shared" si="110"/>
        <v>0</v>
      </c>
      <c r="Q278" s="72">
        <f t="shared" si="110"/>
        <v>0</v>
      </c>
      <c r="R278" s="72">
        <f t="shared" si="110"/>
        <v>0</v>
      </c>
      <c r="S278" s="72">
        <f t="shared" si="110"/>
        <v>0</v>
      </c>
      <c r="T278" s="72">
        <f t="shared" si="110"/>
        <v>0</v>
      </c>
      <c r="U278" s="72">
        <f t="shared" si="110"/>
        <v>0</v>
      </c>
      <c r="V278" s="72">
        <f t="shared" si="110"/>
        <v>0</v>
      </c>
      <c r="W278" s="72">
        <f t="shared" si="110"/>
        <v>0</v>
      </c>
      <c r="X278" s="72">
        <f t="shared" si="110"/>
        <v>0</v>
      </c>
      <c r="Y278" s="72">
        <f t="shared" si="110"/>
        <v>0</v>
      </c>
      <c r="Z278" s="72">
        <f t="shared" si="110"/>
        <v>0</v>
      </c>
      <c r="AA278" s="72">
        <f t="shared" si="110"/>
        <v>0</v>
      </c>
      <c r="AB278" s="39">
        <f t="shared" si="105"/>
        <v>0</v>
      </c>
      <c r="AC278" s="82" t="str">
        <f>CONCATENATE(IF(D278&gt;D258," * Total Screened For TB  for Age "&amp;D20&amp;" "&amp;D21&amp;" is more than Current On ART "&amp;CHAR(10),""),IF(E278&gt;E258," * Total Screened For TB  for Age "&amp;D20&amp;" "&amp;E21&amp;" is more than Current On ART "&amp;CHAR(10),""),IF(F278&gt;F258," * Total Screened For TB  for Age "&amp;F20&amp;" "&amp;F21&amp;" is more than Current On ART "&amp;CHAR(10),""),IF(G278&gt;G258," * Total Screened For TB  for Age "&amp;F20&amp;" "&amp;G21&amp;" is more than Current On ART "&amp;CHAR(10),""),IF(H278&gt;H258," * Total Screened For TB  for Age "&amp;H20&amp;" "&amp;H21&amp;" is more than Current On ART "&amp;CHAR(10),""),IF(I278&gt;I258," * Total Screened For TB  for Age "&amp;H20&amp;" "&amp;I21&amp;" is more than Current On ART "&amp;CHAR(10),""),IF(J278&gt;J258," * Total Screened For TB  for Age "&amp;J20&amp;" "&amp;J21&amp;" is more than Current On ART "&amp;CHAR(10),""),IF(K278&gt;K258," * Total Screened For TB  for Age "&amp;J20&amp;" "&amp;K21&amp;" is more than Current On ART "&amp;CHAR(10),""),IF(L278&gt;L258," * Total Screened For TB  for Age "&amp;L20&amp;" "&amp;L21&amp;" is more than Current On ART "&amp;CHAR(10),""),IF(M278&gt;M258," * Total Screened For TB  for Age "&amp;L20&amp;" "&amp;M21&amp;" is more than Current On ART "&amp;CHAR(10),""),IF(N278&gt;N258," * Total Screened For TB  for Age "&amp;N20&amp;" "&amp;N21&amp;" is more than Current On ART "&amp;CHAR(10),""),IF(O278&gt;O258," * Total Screened For TB  for Age "&amp;N20&amp;" "&amp;O21&amp;" is more than Current On ART "&amp;CHAR(10),""),IF(P278&gt;P258," * Total Screened For TB  for Age "&amp;P20&amp;" "&amp;P21&amp;" is more than Current On ART "&amp;CHAR(10),""),IF(Q278&gt;Q258," * Total Screened For TB  for Age "&amp;P20&amp;" "&amp;Q21&amp;" is more than Current On ART "&amp;CHAR(10),""),IF(R278&gt;R258," * Total Screened For TB  for Age "&amp;R20&amp;" "&amp;R21&amp;" is more than Current On ART "&amp;CHAR(10),""),IF(S278&gt;S258," * Total Screened For TB  for Age "&amp;R20&amp;" "&amp;S21&amp;" is more than Current On ART "&amp;CHAR(10),""),IF(T278&gt;T258," * Total Screened For TB  for Age "&amp;T20&amp;" "&amp;T21&amp;" is more than Current On ART "&amp;CHAR(10),""),IF(U278&gt;U258," * Total Screened For TB  for Age "&amp;T20&amp;" "&amp;U21&amp;" is more than Current On ART "&amp;CHAR(10),""),IF(V278&gt;V258," * Total Screened For TB  for Age "&amp;V20&amp;" "&amp;V21&amp;" is more than Current On ART "&amp;CHAR(10),""),IF(W278&gt;W258," * Total Screened For TB  for Age "&amp;V20&amp;" "&amp;W21&amp;" is more than Current On ART "&amp;CHAR(10),""),IF(X278&gt;X258," * Total Screened For TB  for Age "&amp;X20&amp;" "&amp;X21&amp;" is more than Current On ART "&amp;CHAR(10),""),IF(Y278&gt;Y258," * Total Screened For TB  for Age "&amp;X20&amp;" "&amp;Y21&amp;" is more than Current On ART "&amp;CHAR(10),""),IF(Z278&gt;Z258," * Total Screened For TB  for Age "&amp;Z20&amp;" "&amp;Z21&amp;" is more than Current On ART "&amp;CHAR(10),""),IF(AA278&gt;AA258," * Total Screened For TB  for Age "&amp;Z20&amp;" "&amp;AA21&amp;" is more than Current On ART "&amp;CHAR(10),""))</f>
        <v/>
      </c>
      <c r="AD278" s="650"/>
      <c r="AE278" s="80" t="str">
        <f>CONCATENATE(IF(D278&lt;D258," * Screened for TB for Age "&amp;D20&amp;" "&amp;D21&amp;" is less than Current On ART"&amp;CHAR(10),""),IF(E278&lt;E258," * Screened for TB for Age "&amp;D20&amp;" "&amp;E21&amp;" is less than Current On ART"&amp;CHAR(10),""),IF(F278&lt;F258," * Screened for TB for Age "&amp;F20&amp;" "&amp;F21&amp;" is less than Current On ART"&amp;CHAR(10),""),IF(G278&lt;G258," * Screened for TB for Age "&amp;F20&amp;" "&amp;G21&amp;" is less than Current On ART"&amp;CHAR(10),""),IF(H278&lt;H258," * Screened for TB for Age "&amp;H20&amp;" "&amp;H21&amp;" is less than Current On ART"&amp;CHAR(10),""),IF(I278&lt;I258," * Screened for TB for Age "&amp;H20&amp;" "&amp;I21&amp;" is less than Current On ART"&amp;CHAR(10),""),IF(J278&lt;J258," * Screened for TB for Age "&amp;J20&amp;" "&amp;J21&amp;" is less than Current On ART"&amp;CHAR(10),""),IF(K278&lt;K258," * Screened for TB for Age "&amp;J20&amp;" "&amp;K21&amp;" is less than Current On ART"&amp;CHAR(10),""),IF(L278&lt;L258," * Screened for TB for Age "&amp;L20&amp;" "&amp;L21&amp;" is less than Current On ART"&amp;CHAR(10),""),IF(M278&lt;M258," * Screened for TB for Age "&amp;L20&amp;" "&amp;M21&amp;" is less than Current On ART"&amp;CHAR(10),""),IF(N278&lt;N258," * Screened for TB for Age "&amp;N20&amp;" "&amp;N21&amp;" is less than Current On ART"&amp;CHAR(10),""),IF(O278&lt;O258," * Screened for TB for Age "&amp;N20&amp;" "&amp;O21&amp;" is less than Current On ART"&amp;CHAR(10),""),IF(P278&lt;P258," * Screened for TB for Age "&amp;P20&amp;" "&amp;P21&amp;" is less than Current On ART"&amp;CHAR(10),""),IF(Q278&lt;Q258," * Screened for TB for Age "&amp;P20&amp;" "&amp;Q21&amp;" is less than Current On ART"&amp;CHAR(10),""),IF(R278&lt;R258," * Screened for TB for Age "&amp;R20&amp;" "&amp;R21&amp;" is less than Current On ART"&amp;CHAR(10),""),IF(S278&lt;S258," * Screened for TB for Age "&amp;R20&amp;" "&amp;S21&amp;" is less than Current On ART"&amp;CHAR(10),""),IF(T278&lt;T258," * Screened for TB for Age "&amp;T20&amp;" "&amp;T21&amp;" is less than Current On ART"&amp;CHAR(10),""),IF(U278&lt;U258," * Screened for TB for Age "&amp;T20&amp;" "&amp;U21&amp;" is less than Current On ART"&amp;CHAR(10),""),IF(V278&lt;V258," * Screened for TB for Age "&amp;V20&amp;" "&amp;V21&amp;" is less than Current On ART"&amp;CHAR(10),""),IF(W278&lt;W258," * Screened for TB for Age "&amp;V20&amp;" "&amp;W21&amp;" is less than Current On ART"&amp;CHAR(10),""),IF(X278&lt;X258," * Screened for TB for Age "&amp;X20&amp;" "&amp;X21&amp;" is less than Current On ART"&amp;CHAR(10),""),IF(Y278&lt;Y258," * Screened for TB for Age "&amp;X20&amp;" "&amp;Y21&amp;" is less than Current On ART"&amp;CHAR(10),""),IF(Z278&lt;Z258," * Screened for TB for Age "&amp;Z20&amp;" "&amp;Z21&amp;" is less than Current On ART"&amp;CHAR(10),""),IF(AA278&lt;AA258," * Screened for TB for Age "&amp;Z20&amp;" "&amp;AA21&amp;" is less than Current On ART"&amp;CHAR(10),""))</f>
        <v/>
      </c>
      <c r="AF278" s="753"/>
      <c r="AG278" s="404">
        <v>271</v>
      </c>
    </row>
    <row r="279" spans="1:34" ht="32.25" x14ac:dyDescent="0.5">
      <c r="A279" s="736"/>
      <c r="B279" s="297" t="s">
        <v>870</v>
      </c>
      <c r="C279" s="263" t="s">
        <v>602</v>
      </c>
      <c r="D279" s="163"/>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5">
        <f t="shared" si="105"/>
        <v>0</v>
      </c>
      <c r="AC279" s="82"/>
      <c r="AD279" s="650"/>
      <c r="AE279" s="80"/>
      <c r="AF279" s="753"/>
      <c r="AG279" s="404">
        <v>272</v>
      </c>
    </row>
    <row r="280" spans="1:34" s="9" customFormat="1" ht="64.5" x14ac:dyDescent="0.5">
      <c r="A280" s="736"/>
      <c r="B280" s="295" t="s">
        <v>871</v>
      </c>
      <c r="C280" s="130" t="s">
        <v>603</v>
      </c>
      <c r="D280" s="164"/>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36">
        <f t="shared" si="105"/>
        <v>0</v>
      </c>
      <c r="AC280" s="82"/>
      <c r="AD280" s="650"/>
      <c r="AE280" s="81"/>
      <c r="AF280" s="753"/>
      <c r="AG280" s="404">
        <v>273</v>
      </c>
      <c r="AH280" s="311"/>
    </row>
    <row r="281" spans="1:34" ht="32.25" x14ac:dyDescent="0.5">
      <c r="A281" s="736"/>
      <c r="B281" s="295" t="s">
        <v>872</v>
      </c>
      <c r="C281" s="131" t="s">
        <v>604</v>
      </c>
      <c r="D281" s="164"/>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36">
        <f t="shared" si="105"/>
        <v>0</v>
      </c>
      <c r="AC281" s="82"/>
      <c r="AD281" s="650"/>
      <c r="AE281" s="80"/>
      <c r="AF281" s="753"/>
      <c r="AG281" s="404">
        <v>274</v>
      </c>
    </row>
    <row r="282" spans="1:34" ht="32.25" customHeight="1" thickBot="1" x14ac:dyDescent="0.55000000000000004">
      <c r="A282" s="736"/>
      <c r="B282" s="296" t="s">
        <v>854</v>
      </c>
      <c r="C282" s="133" t="s">
        <v>611</v>
      </c>
      <c r="D282" s="232">
        <f t="shared" ref="D282:AA282" si="111">SUM(D279:D281)</f>
        <v>0</v>
      </c>
      <c r="E282" s="232">
        <f t="shared" si="111"/>
        <v>0</v>
      </c>
      <c r="F282" s="232">
        <f t="shared" si="111"/>
        <v>0</v>
      </c>
      <c r="G282" s="232">
        <f t="shared" si="111"/>
        <v>0</v>
      </c>
      <c r="H282" s="232">
        <f t="shared" si="111"/>
        <v>0</v>
      </c>
      <c r="I282" s="232">
        <f t="shared" si="111"/>
        <v>0</v>
      </c>
      <c r="J282" s="232">
        <f t="shared" si="111"/>
        <v>0</v>
      </c>
      <c r="K282" s="232">
        <f t="shared" si="111"/>
        <v>0</v>
      </c>
      <c r="L282" s="232">
        <f t="shared" si="111"/>
        <v>0</v>
      </c>
      <c r="M282" s="232">
        <f t="shared" si="111"/>
        <v>0</v>
      </c>
      <c r="N282" s="232">
        <f t="shared" si="111"/>
        <v>0</v>
      </c>
      <c r="O282" s="232">
        <f t="shared" si="111"/>
        <v>0</v>
      </c>
      <c r="P282" s="232">
        <f t="shared" si="111"/>
        <v>0</v>
      </c>
      <c r="Q282" s="232">
        <f t="shared" si="111"/>
        <v>0</v>
      </c>
      <c r="R282" s="232">
        <f t="shared" si="111"/>
        <v>0</v>
      </c>
      <c r="S282" s="232">
        <f t="shared" si="111"/>
        <v>0</v>
      </c>
      <c r="T282" s="232">
        <f t="shared" si="111"/>
        <v>0</v>
      </c>
      <c r="U282" s="232">
        <f t="shared" si="111"/>
        <v>0</v>
      </c>
      <c r="V282" s="232">
        <f t="shared" si="111"/>
        <v>0</v>
      </c>
      <c r="W282" s="232">
        <f t="shared" si="111"/>
        <v>0</v>
      </c>
      <c r="X282" s="232">
        <f t="shared" si="111"/>
        <v>0</v>
      </c>
      <c r="Y282" s="232">
        <f t="shared" si="111"/>
        <v>0</v>
      </c>
      <c r="Z282" s="232">
        <f t="shared" si="111"/>
        <v>0</v>
      </c>
      <c r="AA282" s="232">
        <f t="shared" si="111"/>
        <v>0</v>
      </c>
      <c r="AB282" s="39">
        <f t="shared" si="105"/>
        <v>0</v>
      </c>
      <c r="AC282" s="79" t="str">
        <f>CONCATENATE(IF(D283&gt;D282," *  Positive Result Returned For bacteriologic diagnosis "&amp;$D$20&amp;" "&amp;$D$21&amp;" is more than Total Patients whose specimens were sent"&amp;CHAR(10),""),IF(E283&gt;E282," *  Positive Result Returned For bacteriologic diagnosis "&amp;$D$20&amp;" "&amp;$E$21&amp;" is more than Total Patients whose specimens were sent"&amp;CHAR(10),""),IF(F283&gt;F282," *  Positive Result Returned For bacteriologic diagnosis "&amp;$F$20&amp;" "&amp;$F$21&amp;" is more than Total Patients whose specimens were sent"&amp;CHAR(10),""),IF(G283&gt;G282," *  Positive Result Returned For bacteriologic diagnosis "&amp;$F$20&amp;" "&amp;$G$21&amp;" is more than Total Patients whose specimens were sent"&amp;CHAR(10),""),IF(H283&gt;H282," *  Positive Result Returned For bacteriologic diagnosis "&amp;$H$20&amp;" "&amp;$H$21&amp;" is more than Total Patients whose specimens were sent"&amp;CHAR(10),""),IF(I283&gt;I282," *  Positive Result Returned For bacteriologic diagnosis "&amp;$H$20&amp;" "&amp;$I$21&amp;" is more than Total Patients whose specimens were sent"&amp;CHAR(10),""),IF(J283&gt;J282," *  Positive Result Returned For bacteriologic diagnosis "&amp;$J$20&amp;" "&amp;$J$21&amp;" is more than Total Patients whose specimens were sent"&amp;CHAR(10),""),IF(K283&gt;K282," *  Positive Result Returned For bacteriologic diagnosis "&amp;$J$20&amp;" "&amp;$K$21&amp;" is more than Total Patients whose specimens were sent"&amp;CHAR(10),""),IF(L283&gt;L282," *  Positive Result Returned For bacteriologic diagnosis "&amp;$L$20&amp;" "&amp;$L$21&amp;" is more than Total Patients whose specimens were sent"&amp;CHAR(10),""),IF(M283&gt;M282," *  Positive Result Returned For bacteriologic diagnosis "&amp;$L$20&amp;" "&amp;$M$21&amp;" is more than Total Patients whose specimens were sent"&amp;CHAR(10),""),IF(N283&gt;N282," *  Positive Result Returned For bacteriologic diagnosis "&amp;$N$20&amp;" "&amp;$N$21&amp;" is more than Total Patients whose specimens were sent"&amp;CHAR(10),""),IF(O283&gt;O282," *  Positive Result Returned For bacteriologic diagnosis "&amp;$N$20&amp;" "&amp;$O$21&amp;" is more than Total Patients whose specimens were sent"&amp;CHAR(10),""),IF(P283&gt;P282," *  Positive Result Returned For bacteriologic diagnosis "&amp;$P$20&amp;" "&amp;$P$21&amp;" is more than Total Patients whose specimens were sent"&amp;CHAR(10),""),IF(Q283&gt;Q282," *  Positive Result Returned For bacteriologic diagnosis "&amp;$P$20&amp;" "&amp;$Q$21&amp;" is more than Total Patients whose specimens were sent"&amp;CHAR(10),""),IF(R283&gt;R282," *  Positive Result Returned For bacteriologic diagnosis "&amp;$R$20&amp;" "&amp;$R$21&amp;" is more than Total Patients whose specimens were sent"&amp;CHAR(10),""),IF(S283&gt;S282," *  Positive Result Returned For bacteriologic diagnosis "&amp;$R$20&amp;" "&amp;$S$21&amp;" is more than Total Patients whose specimens were sent"&amp;CHAR(10),""),IF(T283&gt;T282," *  Positive Result Returned For bacteriologic diagnosis "&amp;$T$20&amp;" "&amp;$T$21&amp;" is more than Total Patients whose specimens were sent"&amp;CHAR(10),""),IF(U283&gt;U282," *  Positive Result Returned For bacteriologic diagnosis "&amp;$T$20&amp;" "&amp;$U$21&amp;" is more than Total Patients whose specimens were sent"&amp;CHAR(10),""),IF(V283&gt;V282," *  Positive Result Returned For bacteriologic diagnosis "&amp;$V$20&amp;" "&amp;$V$21&amp;" is more than Total Patients whose specimens were sent"&amp;CHAR(10),""),IF(W283&gt;W282," *  Positive Result Returned For bacteriologic diagnosis "&amp;$V$20&amp;" "&amp;$W$21&amp;" is more than Total Patients whose specimens were sent"&amp;CHAR(10),""),IF(X283&gt;X282," *  Positive Result Returned For bacteriologic diagnosis "&amp;$X$20&amp;" "&amp;$X$21&amp;" is more than Total Patients whose specimens were sent"&amp;CHAR(10),""),IF(Y283&gt;Y282," *  Positive Result Returned For bacteriologic diagnosis "&amp;$X$20&amp;" "&amp;$Y$21&amp;" is more than Total Patients whose specimens were sent"&amp;CHAR(10),""),IF(Z283&gt;Z282," *  Positive Result Returned For bacteriologic diagnosis "&amp;$Z$20&amp;" "&amp;$Z$21&amp;" is more than Total Patients whose specimens were sent"&amp;CHAR(10),""),IF(AA283&gt;AA282," *  Positive Result Returned For bacteriologic diagnosis "&amp;$Z$20&amp;" "&amp;$AA$21&amp;" is more than Total Patients whose specimens were sent"&amp;CHAR(10),""))</f>
        <v/>
      </c>
      <c r="AD282" s="650"/>
      <c r="AE282" s="80"/>
      <c r="AF282" s="753"/>
      <c r="AG282" s="404">
        <v>275</v>
      </c>
    </row>
    <row r="283" spans="1:34" ht="62.25" thickBot="1" x14ac:dyDescent="0.55000000000000004">
      <c r="A283" s="737"/>
      <c r="B283" s="288" t="s">
        <v>609</v>
      </c>
      <c r="C283" s="162" t="s">
        <v>612</v>
      </c>
      <c r="D283" s="166"/>
      <c r="E283" s="300"/>
      <c r="F283" s="300"/>
      <c r="G283" s="300"/>
      <c r="H283" s="300"/>
      <c r="I283" s="300"/>
      <c r="J283" s="300"/>
      <c r="K283" s="300"/>
      <c r="L283" s="300"/>
      <c r="M283" s="300"/>
      <c r="N283" s="300"/>
      <c r="O283" s="300"/>
      <c r="P283" s="300"/>
      <c r="Q283" s="300"/>
      <c r="R283" s="300"/>
      <c r="S283" s="300"/>
      <c r="T283" s="300"/>
      <c r="U283" s="300"/>
      <c r="V283" s="300"/>
      <c r="W283" s="300"/>
      <c r="X283" s="300"/>
      <c r="Y283" s="300"/>
      <c r="Z283" s="300"/>
      <c r="AA283" s="300"/>
      <c r="AB283" s="65">
        <f t="shared" si="105"/>
        <v>0</v>
      </c>
      <c r="AC283" s="79" t="str">
        <f>CONCATENATE(IF(D275&lt;D282," *  Total Screening positive for TB ( Presumptive TB Clients ) "&amp;$D$20&amp;" "&amp;$D$21&amp;" is less than Total Patients whose specimens were sent"&amp;CHAR(10),""),IF(E275&lt;E282," *  Total Screening positive for TB ( Presumptive TB Clients ) "&amp;$D$20&amp;" "&amp;$E$21&amp;" is less than Total Patients whose specimens were sent"&amp;CHAR(10),""),IF(F275&lt;F282," *  Total Screening positive for TB ( Presumptive TB Clients ) "&amp;$F$20&amp;" "&amp;$F$21&amp;" is less than Total Patients whose specimens were sent"&amp;CHAR(10),""),IF(G275&lt;G282," *  Total Screening positive for TB ( Presumptive TB Clients ) "&amp;$F$20&amp;" "&amp;$G$21&amp;" is less than Total Patients whose specimens were sent"&amp;CHAR(10),""),IF(H275&lt;H282," *  Total Screening positive for TB ( Presumptive TB Clients ) "&amp;$H$20&amp;" "&amp;$H$21&amp;" is less than Total Patients whose specimens were sent"&amp;CHAR(10),""),IF(I275&lt;I282," *  Total Screening positive for TB ( Presumptive TB Clients ) "&amp;$H$20&amp;" "&amp;$I$21&amp;" is less than Total Patients whose specimens were sent"&amp;CHAR(10),""),IF(J275&lt;J282," *  Total Screening positive for TB ( Presumptive TB Clients ) "&amp;$J$20&amp;" "&amp;$J$21&amp;" is less than Total Patients whose specimens were sent"&amp;CHAR(10),""),IF(K275&lt;K282," *  Total Screening positive for TB ( Presumptive TB Clients ) "&amp;$J$20&amp;" "&amp;$K$21&amp;" is less than Total Patients whose specimens were sent"&amp;CHAR(10),""),IF(L275&lt;L282," *  Total Screening positive for TB ( Presumptive TB Clients ) "&amp;$L$20&amp;" "&amp;$L$21&amp;" is less than Total Patients whose specimens were sent"&amp;CHAR(10),""),IF(M275&lt;M282," *  Total Screening positive for TB ( Presumptive TB Clients ) "&amp;$L$20&amp;" "&amp;$M$21&amp;" is less than Total Patients whose specimens were sent"&amp;CHAR(10),""),IF(N275&lt;N282," *  Total Screening positive for TB ( Presumptive TB Clients ) "&amp;$N$20&amp;" "&amp;$N$21&amp;" is less than Total Patients whose specimens were sent"&amp;CHAR(10),""),IF(O275&lt;O282," *  Total Screening positive for TB ( Presumptive TB Clients ) "&amp;$N$20&amp;" "&amp;$O$21&amp;" is less than Total Patients whose specimens were sent"&amp;CHAR(10),""),IF(P275&lt;P282," *  Total Screening positive for TB ( Presumptive TB Clients ) "&amp;$P$20&amp;" "&amp;$P$21&amp;" is less than Total Patients whose specimens were sent"&amp;CHAR(10),""),IF(Q275&lt;Q282," *  Total Screening positive for TB ( Presumptive TB Clients ) "&amp;$P$20&amp;" "&amp;$Q$21&amp;" is less than Total Patients whose specimens were sent"&amp;CHAR(10),""),IF(R275&lt;R282," *  Total Screening positive for TB ( Presumptive TB Clients ) "&amp;$R$20&amp;" "&amp;$R$21&amp;" is less than Total Patients whose specimens were sent"&amp;CHAR(10),""),IF(S275&lt;S282," *  Total Screening positive for TB ( Presumptive TB Clients ) "&amp;$R$20&amp;" "&amp;$S$21&amp;" is less than Total Patients whose specimens were sent"&amp;CHAR(10),""),IF(T275&lt;T282," *  Total Screening positive for TB ( Presumptive TB Clients ) "&amp;$T$20&amp;" "&amp;$T$21&amp;" is less than Total Patients whose specimens were sent"&amp;CHAR(10),""),IF(U275&lt;U282," *  Total Screening positive for TB ( Presumptive TB Clients ) "&amp;$T$20&amp;" "&amp;$U$21&amp;" is less than Total Patients whose specimens were sent"&amp;CHAR(10),""),IF(V275&lt;V282," *  Total Screening positive for TB ( Presumptive TB Clients ) "&amp;$V$20&amp;" "&amp;$V$21&amp;" is less than Total Patients whose specimens were sent"&amp;CHAR(10),""),IF(W275&lt;W282," *  Total Screening positive for TB ( Presumptive TB Clients ) "&amp;$V$20&amp;" "&amp;$W$21&amp;" is less than Total Patients whose specimens were sent"&amp;CHAR(10),""),IF(X275&lt;X282," *  Total Screening positive for TB ( Presumptive TB Clients ) "&amp;$X$20&amp;" "&amp;$X$21&amp;" is less than Total Patients whose specimens were sent"&amp;CHAR(10),""),IF(Y275&lt;Y282," *  Total Screening positive for TB ( Presumptive TB Clients ) "&amp;$X$20&amp;" "&amp;$Y$21&amp;" is less than Total Patients whose specimens were sent"&amp;CHAR(10),""),IF(Z275&lt;Z282," *  Total Screening positive for TB ( Presumptive TB Clients ) "&amp;$Z$20&amp;" "&amp;$Z$21&amp;" is less than Total Patients whose specimens were sent"&amp;CHAR(10),""),IF(AA275&lt;AA282," *  Total Screening positive for TB ( Presumptive TB Clients ) "&amp;$Z$20&amp;" "&amp;$AA$21&amp;" is less than Total Patients whose specimens were sent"&amp;CHAR(10),""))</f>
        <v/>
      </c>
      <c r="AD283" s="650"/>
      <c r="AE283" s="80"/>
      <c r="AF283" s="753"/>
      <c r="AG283" s="404">
        <v>276</v>
      </c>
    </row>
    <row r="284" spans="1:34" x14ac:dyDescent="0.5">
      <c r="A284" s="652" t="s">
        <v>858</v>
      </c>
      <c r="B284" s="285" t="s">
        <v>610</v>
      </c>
      <c r="C284" s="263" t="s">
        <v>615</v>
      </c>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c r="AA284" s="163"/>
      <c r="AB284" s="35">
        <f t="shared" ref="AB284" si="112">SUM(D284:AA284)</f>
        <v>0</v>
      </c>
      <c r="AC284" s="82"/>
      <c r="AD284" s="650"/>
      <c r="AE284" s="80"/>
      <c r="AF284" s="753"/>
      <c r="AG284" s="404">
        <v>277</v>
      </c>
    </row>
    <row r="285" spans="1:34" x14ac:dyDescent="0.5">
      <c r="A285" s="653"/>
      <c r="B285" s="282" t="s">
        <v>857</v>
      </c>
      <c r="C285" s="131" t="s">
        <v>616</v>
      </c>
      <c r="D285" s="19"/>
      <c r="E285" s="213"/>
      <c r="F285" s="213"/>
      <c r="G285" s="213"/>
      <c r="H285" s="213"/>
      <c r="I285" s="213"/>
      <c r="J285" s="213"/>
      <c r="K285" s="213"/>
      <c r="L285" s="213"/>
      <c r="M285" s="213"/>
      <c r="N285" s="213"/>
      <c r="O285" s="213"/>
      <c r="P285" s="213"/>
      <c r="Q285" s="213"/>
      <c r="R285" s="213"/>
      <c r="S285" s="213"/>
      <c r="T285" s="213"/>
      <c r="U285" s="213"/>
      <c r="V285" s="213"/>
      <c r="W285" s="213"/>
      <c r="X285" s="213"/>
      <c r="Y285" s="213"/>
      <c r="Z285" s="213"/>
      <c r="AA285" s="213"/>
      <c r="AB285" s="36">
        <f t="shared" ref="AB285" si="113">SUM(D285:AA285)</f>
        <v>0</v>
      </c>
      <c r="AC285" s="236" t="str">
        <f>CONCATENATE(IF(D286&gt;D283," *  Confirmed ART Patients TB positive and started on TB treatment "&amp;$D$20&amp;" "&amp;$D$21&amp;" is less than  ART patients who had a positive result returned F07-50"&amp;CHAR(10),""),IF(E286&gt;E283," *  Confirmed ART Patients TB positive and started on TB treatment "&amp;$D$20&amp;" "&amp;$E$21&amp;" is less than  ART patients who had a positive result returned F07-50"&amp;CHAR(10),""),IF(F286&gt;F283," *  Confirmed ART Patients TB positive and started on TB treatment "&amp;$F$20&amp;" "&amp;$F$21&amp;" is less than  ART patients who had a positive result returned F07-50"&amp;CHAR(10),""),IF(G286&gt;G283," *  Confirmed ART Patients TB positive and started on TB treatment "&amp;$F$20&amp;" "&amp;$G$21&amp;" is less than  ART patients who had a positive result returned F07-50"&amp;CHAR(10),""),IF(H286&gt;H283," *  Confirmed ART Patients TB positive and started on TB treatment "&amp;$H$20&amp;" "&amp;$H$21&amp;" is less than  ART patients who had a positive result returned F07-50"&amp;CHAR(10),""),IF(I286&gt;I283," *  Confirmed ART Patients TB positive and started on TB treatment "&amp;$H$20&amp;" "&amp;$I$21&amp;" is less than  ART patients who had a positive result returned F07-50"&amp;CHAR(10),""),IF(J286&gt;J283," *  Confirmed ART Patients TB positive and started on TB treatment "&amp;$J$20&amp;" "&amp;$J$21&amp;" is less than  ART patients who had a positive result returned F07-50"&amp;CHAR(10),""),IF(K286&gt;K283," *  Confirmed ART Patients TB positive and started on TB treatment "&amp;$J$20&amp;" "&amp;$K$21&amp;" is less than  ART patients who had a positive result returned F07-50"&amp;CHAR(10),""),IF(L286&gt;L283," *  Confirmed ART Patients TB positive and started on TB treatment "&amp;$L$20&amp;" "&amp;$L$21&amp;" is less than  ART patients who had a positive result returned F07-50"&amp;CHAR(10),""),IF(M286&gt;M283," *  Confirmed ART Patients TB positive and started on TB treatment "&amp;$L$20&amp;" "&amp;$M$21&amp;" is less than  ART patients who had a positive result returned F07-50"&amp;CHAR(10),""),IF(N286&gt;N283," *  Confirmed ART Patients TB positive and started on TB treatment "&amp;$N$20&amp;" "&amp;$N$21&amp;" is less than  ART patients who had a positive result returned F07-50"&amp;CHAR(10),""),IF(O286&gt;O283," *  Confirmed ART Patients TB positive and started on TB treatment "&amp;$N$20&amp;" "&amp;$O$21&amp;" is less than  ART patients who had a positive result returned F07-50"&amp;CHAR(10),""),IF(P286&gt;P283," *  Confirmed ART Patients TB positive and started on TB treatment "&amp;$P$20&amp;" "&amp;$P$21&amp;" is less than  ART patients who had a positive result returned F07-50"&amp;CHAR(10),""),IF(Q286&gt;Q283," *  Confirmed ART Patients TB positive and started on TB treatment "&amp;$P$20&amp;" "&amp;$Q$21&amp;" is less than  ART patients who had a positive result returned F07-50"&amp;CHAR(10),""),IF(R286&gt;R283," *  Confirmed ART Patients TB positive and started on TB treatment "&amp;$R$20&amp;" "&amp;$R$21&amp;" is less than  ART patients who had a positive result returned F07-50"&amp;CHAR(10),""),IF(S286&gt;S283," *  Confirmed ART Patients TB positive and started on TB treatment "&amp;$R$20&amp;" "&amp;$S$21&amp;" is less than  ART patients who had a positive result returned F07-50"&amp;CHAR(10),""),IF(T286&gt;T283," *  Confirmed ART Patients TB positive and started on TB treatment "&amp;$T$20&amp;" "&amp;$T$21&amp;" is less than  ART patients who had a positive result returned F07-50"&amp;CHAR(10),""),IF(U286&gt;U283," *  Confirmed ART Patients TB positive and started on TB treatment "&amp;$T$20&amp;" "&amp;$U$21&amp;" is less than  ART patients who had a positive result returned F07-50"&amp;CHAR(10),""),IF(V286&gt;V283," *  Confirmed ART Patients TB positive and started on TB treatment "&amp;$V$20&amp;" "&amp;$V$21&amp;" is less than  ART patients who had a positive result returned F07-50"&amp;CHAR(10),""),IF(W286&gt;W283," *  Confirmed ART Patients TB positive and started on TB treatment "&amp;$V$20&amp;" "&amp;$W$21&amp;" is less than  ART patients who had a positive result returned F07-50"&amp;CHAR(10),""),IF(X286&gt;X283," *  Confirmed ART Patients TB positive and started on TB treatment "&amp;$X$20&amp;" "&amp;$X$21&amp;" is less than  ART patients who had a positive result returned F07-50"&amp;CHAR(10),""),IF(Y286&gt;Y283," *  Confirmed ART Patients TB positive and started on TB treatment "&amp;$X$20&amp;" "&amp;$Y$21&amp;" is less than  ART patients who had a positive result returned F07-50"&amp;CHAR(10),""),IF(Z286&gt;Z283," *  Confirmed ART Patients TB positive and started on TB treatment "&amp;$Z$20&amp;" "&amp;$Z$21&amp;" is less than  ART patients who had a positive result returned F07-50"&amp;CHAR(10),""),IF(AA286&gt;AA283," *  Confirmed ART Patients TB positive and started on TB treatment "&amp;$Z$20&amp;" "&amp;$AA$21&amp;" is less than  ART patients who had a positive result returned F07-50"&amp;CHAR(10),""))</f>
        <v/>
      </c>
      <c r="AD285" s="650"/>
      <c r="AE285" s="80"/>
      <c r="AF285" s="753"/>
      <c r="AG285" s="404">
        <v>278</v>
      </c>
    </row>
    <row r="286" spans="1:34" ht="65.25" thickBot="1" x14ac:dyDescent="0.55000000000000004">
      <c r="A286" s="722"/>
      <c r="B286" s="293" t="s">
        <v>856</v>
      </c>
      <c r="C286" s="133" t="s">
        <v>617</v>
      </c>
      <c r="D286" s="165">
        <f>D284+D285</f>
        <v>0</v>
      </c>
      <c r="E286" s="294">
        <f t="shared" ref="E286:AA286" si="114">E284+E285</f>
        <v>0</v>
      </c>
      <c r="F286" s="294">
        <f t="shared" si="114"/>
        <v>0</v>
      </c>
      <c r="G286" s="294">
        <f t="shared" si="114"/>
        <v>0</v>
      </c>
      <c r="H286" s="294">
        <f t="shared" si="114"/>
        <v>0</v>
      </c>
      <c r="I286" s="294">
        <f t="shared" si="114"/>
        <v>0</v>
      </c>
      <c r="J286" s="294">
        <f t="shared" si="114"/>
        <v>0</v>
      </c>
      <c r="K286" s="294">
        <f t="shared" si="114"/>
        <v>0</v>
      </c>
      <c r="L286" s="294">
        <f t="shared" si="114"/>
        <v>0</v>
      </c>
      <c r="M286" s="294">
        <f t="shared" si="114"/>
        <v>0</v>
      </c>
      <c r="N286" s="294">
        <f t="shared" si="114"/>
        <v>0</v>
      </c>
      <c r="O286" s="294">
        <f t="shared" si="114"/>
        <v>0</v>
      </c>
      <c r="P286" s="294">
        <f t="shared" si="114"/>
        <v>0</v>
      </c>
      <c r="Q286" s="294">
        <f t="shared" si="114"/>
        <v>0</v>
      </c>
      <c r="R286" s="294">
        <f t="shared" si="114"/>
        <v>0</v>
      </c>
      <c r="S286" s="294">
        <f t="shared" si="114"/>
        <v>0</v>
      </c>
      <c r="T286" s="294">
        <f t="shared" si="114"/>
        <v>0</v>
      </c>
      <c r="U286" s="294">
        <f t="shared" si="114"/>
        <v>0</v>
      </c>
      <c r="V286" s="294">
        <f t="shared" si="114"/>
        <v>0</v>
      </c>
      <c r="W286" s="294">
        <f t="shared" si="114"/>
        <v>0</v>
      </c>
      <c r="X286" s="294">
        <f t="shared" si="114"/>
        <v>0</v>
      </c>
      <c r="Y286" s="294">
        <f t="shared" si="114"/>
        <v>0</v>
      </c>
      <c r="Z286" s="294">
        <f t="shared" si="114"/>
        <v>0</v>
      </c>
      <c r="AA286" s="294">
        <f t="shared" si="114"/>
        <v>0</v>
      </c>
      <c r="AB286" s="39">
        <f t="shared" ref="AB286" si="115">SUM(D286:AA286)</f>
        <v>0</v>
      </c>
      <c r="AC286" s="82" t="str">
        <f>CONCATENATE(IF(D286&gt;D278," * ART Patients TB positive and started on TB Treatment  for Age "&amp;D20&amp;" "&amp;D21&amp;" is more than Total Screened for TB"&amp;CHAR(10),""),IF(E286&gt;E278," * ART Patients TB positive and started on TB Treatment  for Age "&amp;D20&amp;" "&amp;E21&amp;" is more than Total Screened for TB"&amp;CHAR(10),""),IF(F286&gt;F278," * ART Patients TB positive and started on TB Treatment  for Age "&amp;F20&amp;" "&amp;F21&amp;" is more than Total Screened for TB"&amp;CHAR(10),""),IF(G286&gt;G278," * ART Patients TB positive and started on TB Treatment  for Age "&amp;F20&amp;" "&amp;G21&amp;" is more than Total Screened for TB"&amp;CHAR(10),""),IF(H286&gt;H278," * ART Patients TB positive and started on TB Treatment  for Age "&amp;H20&amp;" "&amp;H21&amp;" is more than Total Screened for TB"&amp;CHAR(10),""),IF(I286&gt;I278," * ART Patients TB positive and started on TB Treatment  for Age "&amp;H20&amp;" "&amp;I21&amp;" is more than Total Screened for TB"&amp;CHAR(10),""),IF(J286&gt;J278," * ART Patients TB positive and started on TB Treatment  for Age "&amp;J20&amp;" "&amp;J21&amp;" is more than Total Screened for TB"&amp;CHAR(10),""),IF(K286&gt;K278," * ART Patients TB positive and started on TB Treatment  for Age "&amp;J20&amp;" "&amp;K21&amp;" is more than Total Screened for TB"&amp;CHAR(10),""),IF(L286&gt;L278," * ART Patients TB positive and started on TB Treatment  for Age "&amp;L20&amp;" "&amp;L21&amp;" is more than Total Screened for TB"&amp;CHAR(10),""),IF(M286&gt;M278," * ART Patients TB positive and started on TB Treatment  for Age "&amp;L20&amp;" "&amp;M21&amp;" is more than Total Screened for TB"&amp;CHAR(10),""),IF(N286&gt;N278," * ART Patients TB positive and started on TB Treatment  for Age "&amp;N20&amp;" "&amp;N21&amp;" is more than Total Screened for TB"&amp;CHAR(10),""),IF(O286&gt;O278," * ART Patients TB positive and started on TB Treatment  for Age "&amp;N20&amp;" "&amp;O21&amp;" is more than Total Screened for TB"&amp;CHAR(10),""),IF(P286&gt;P278," * ART Patients TB positive and started on TB Treatment  for Age "&amp;P20&amp;" "&amp;P21&amp;" is more than Total Screened for TB"&amp;CHAR(10),""),IF(Q286&gt;Q278," * ART Patients TB positive and started on TB Treatment  for Age "&amp;P20&amp;" "&amp;Q21&amp;" is more than Total Screened for TB"&amp;CHAR(10),""),IF(R286&gt;R278," * ART Patients TB positive and started on TB Treatment  for Age "&amp;R20&amp;" "&amp;R21&amp;" is more than Total Screened for TB"&amp;CHAR(10),""),IF(S286&gt;S278," * ART Patients TB positive and started on TB Treatment  for Age "&amp;R20&amp;" "&amp;S21&amp;" is more than Total Screened for TB"&amp;CHAR(10),""),IF(T286&gt;T278," * ART Patients TB positive and started on TB Treatment  for Age "&amp;T20&amp;" "&amp;T21&amp;" is more than Total Screened for TB"&amp;CHAR(10),""),IF(U286&gt;U278," * ART Patients TB positive and started on TB Treatment  for Age "&amp;T20&amp;" "&amp;U21&amp;" is more than Total Screened for TB"&amp;CHAR(10),""),IF(V286&gt;V278," * ART Patients TB positive and started on TB Treatment  for Age "&amp;V20&amp;" "&amp;V21&amp;" is more than Total Screened for TB"&amp;CHAR(10),""),IF(W286&gt;W278," * ART Patients TB positive and started on TB Treatment  for Age "&amp;V20&amp;" "&amp;W21&amp;" is more than Total Screened for TB"&amp;CHAR(10),""),IF(X286&gt;X278," * ART Patients TB positive and started on TB Treatment  for Age "&amp;X20&amp;" "&amp;X21&amp;" is more than Total Screened for TB"&amp;CHAR(10),""),IF(Y286&gt;Y278," * ART Patients TB positive and started on TB Treatment  for Age "&amp;X20&amp;" "&amp;Y21&amp;" is more than Total Screened for TB"&amp;CHAR(10),""),IF(Z286&gt;Z278," * ART Patients TB positive and started on TB Treatment  for Age "&amp;Z20&amp;" "&amp;Z21&amp;" is more than Total Screened for TB"&amp;CHAR(10),""),IF(AA286&gt;AA278," * ART Patients TB positive and started on TB Treatment  for Age "&amp;Z20&amp;" "&amp;AA21&amp;" is more than Total Screened for TB"&amp;CHAR(10),""))</f>
        <v/>
      </c>
      <c r="AD286" s="749"/>
      <c r="AE286" s="80"/>
      <c r="AF286" s="754"/>
      <c r="AG286" s="404">
        <v>279</v>
      </c>
    </row>
    <row r="287" spans="1:34" ht="32.25" hidden="1" x14ac:dyDescent="0.5">
      <c r="A287" s="652" t="s">
        <v>614</v>
      </c>
      <c r="B287" s="299" t="s">
        <v>1022</v>
      </c>
      <c r="C287" s="263" t="s">
        <v>618</v>
      </c>
      <c r="D287" s="168">
        <f t="shared" ref="D287:AB287" si="116">D8+D11+D15</f>
        <v>0</v>
      </c>
      <c r="E287" s="301">
        <f t="shared" si="116"/>
        <v>0</v>
      </c>
      <c r="F287" s="301">
        <f t="shared" si="116"/>
        <v>0</v>
      </c>
      <c r="G287" s="301">
        <f t="shared" si="116"/>
        <v>0</v>
      </c>
      <c r="H287" s="301">
        <f t="shared" si="116"/>
        <v>0</v>
      </c>
      <c r="I287" s="301">
        <f t="shared" si="116"/>
        <v>0</v>
      </c>
      <c r="J287" s="301">
        <f t="shared" si="116"/>
        <v>0</v>
      </c>
      <c r="K287" s="301">
        <f t="shared" si="116"/>
        <v>0</v>
      </c>
      <c r="L287" s="301">
        <f t="shared" si="116"/>
        <v>0</v>
      </c>
      <c r="M287" s="301">
        <f t="shared" si="116"/>
        <v>0</v>
      </c>
      <c r="N287" s="301">
        <f t="shared" si="116"/>
        <v>0</v>
      </c>
      <c r="O287" s="301">
        <f t="shared" si="116"/>
        <v>0</v>
      </c>
      <c r="P287" s="301">
        <f t="shared" si="116"/>
        <v>0</v>
      </c>
      <c r="Q287" s="301">
        <f t="shared" si="116"/>
        <v>0</v>
      </c>
      <c r="R287" s="301">
        <f t="shared" si="116"/>
        <v>0</v>
      </c>
      <c r="S287" s="301">
        <f t="shared" si="116"/>
        <v>0</v>
      </c>
      <c r="T287" s="301">
        <f t="shared" si="116"/>
        <v>0</v>
      </c>
      <c r="U287" s="301">
        <f t="shared" si="116"/>
        <v>0</v>
      </c>
      <c r="V287" s="301">
        <f t="shared" si="116"/>
        <v>0</v>
      </c>
      <c r="W287" s="301">
        <f t="shared" si="116"/>
        <v>0</v>
      </c>
      <c r="X287" s="301">
        <f t="shared" si="116"/>
        <v>0</v>
      </c>
      <c r="Y287" s="301">
        <f t="shared" si="116"/>
        <v>0</v>
      </c>
      <c r="Z287" s="301">
        <f t="shared" si="116"/>
        <v>0</v>
      </c>
      <c r="AA287" s="301">
        <f t="shared" si="116"/>
        <v>0</v>
      </c>
      <c r="AB287" s="301">
        <f t="shared" si="116"/>
        <v>0</v>
      </c>
      <c r="AC287" s="82"/>
      <c r="AD287" s="649" t="str">
        <f>CONCATENATE(AC287,AC288,AC289,AC290,AC291,AC292,AC293,AC294)</f>
        <v/>
      </c>
      <c r="AE287" s="80"/>
      <c r="AF287" s="620" t="str">
        <f>CONCATENATE(AE287,AE288,AE289,AE290,AE291,AE292,AE293,AE294)</f>
        <v/>
      </c>
      <c r="AG287" s="404">
        <v>280</v>
      </c>
    </row>
    <row r="288" spans="1:34" ht="30.75" hidden="1" customHeight="1" x14ac:dyDescent="0.5">
      <c r="A288" s="653"/>
      <c r="B288" s="282" t="s">
        <v>1039</v>
      </c>
      <c r="C288" s="131" t="s">
        <v>619</v>
      </c>
      <c r="D288" s="164"/>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36">
        <f>SUM(D288:AA288)</f>
        <v>0</v>
      </c>
      <c r="AC288" s="82"/>
      <c r="AD288" s="650"/>
      <c r="AE288" s="80"/>
      <c r="AF288" s="621"/>
      <c r="AG288" s="404">
        <v>281</v>
      </c>
    </row>
    <row r="289" spans="1:33" x14ac:dyDescent="0.5">
      <c r="A289" s="653"/>
      <c r="B289" s="282" t="s">
        <v>600</v>
      </c>
      <c r="C289" s="131" t="s">
        <v>620</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36">
        <f t="shared" ref="AB289:AB294" si="117">SUM(D289:AA289)</f>
        <v>0</v>
      </c>
      <c r="AC289" s="82"/>
      <c r="AD289" s="650"/>
      <c r="AE289" s="80"/>
      <c r="AF289" s="621"/>
      <c r="AG289" s="404">
        <v>282</v>
      </c>
    </row>
    <row r="290" spans="1:33" ht="32.25" x14ac:dyDescent="0.5">
      <c r="A290" s="653"/>
      <c r="B290" s="282" t="s">
        <v>870</v>
      </c>
      <c r="C290" s="131" t="s">
        <v>621</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7"/>
        <v>0</v>
      </c>
      <c r="AC290" s="82"/>
      <c r="AD290" s="650"/>
      <c r="AE290" s="80"/>
      <c r="AF290" s="621"/>
      <c r="AG290" s="404">
        <v>283</v>
      </c>
    </row>
    <row r="291" spans="1:33" ht="64.5" x14ac:dyDescent="0.5">
      <c r="A291" s="653"/>
      <c r="B291" s="282" t="s">
        <v>871</v>
      </c>
      <c r="C291" s="131" t="s">
        <v>622</v>
      </c>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224">
        <f t="shared" si="117"/>
        <v>0</v>
      </c>
      <c r="AC291" s="82"/>
      <c r="AD291" s="650"/>
      <c r="AE291" s="80"/>
      <c r="AF291" s="621"/>
      <c r="AG291" s="404">
        <v>284</v>
      </c>
    </row>
    <row r="292" spans="1:33" ht="32.25" x14ac:dyDescent="0.5">
      <c r="A292" s="653"/>
      <c r="B292" s="282" t="s">
        <v>872</v>
      </c>
      <c r="C292" s="131" t="s">
        <v>623</v>
      </c>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224">
        <f t="shared" si="117"/>
        <v>0</v>
      </c>
      <c r="AC292" s="82"/>
      <c r="AD292" s="650"/>
      <c r="AE292" s="80"/>
      <c r="AF292" s="621"/>
      <c r="AG292" s="404">
        <v>285</v>
      </c>
    </row>
    <row r="293" spans="1:33" ht="61.5" x14ac:dyDescent="0.5">
      <c r="A293" s="653"/>
      <c r="B293" s="282" t="s">
        <v>1045</v>
      </c>
      <c r="C293" s="131" t="s">
        <v>624</v>
      </c>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224">
        <f t="shared" si="117"/>
        <v>0</v>
      </c>
      <c r="AC293" s="82"/>
      <c r="AD293" s="650"/>
      <c r="AE293" s="80"/>
      <c r="AF293" s="621"/>
      <c r="AG293" s="404">
        <v>286</v>
      </c>
    </row>
    <row r="294" spans="1:33" ht="31.5" thickBot="1" x14ac:dyDescent="0.55000000000000004">
      <c r="A294" s="654"/>
      <c r="B294" s="289" t="s">
        <v>1044</v>
      </c>
      <c r="C294" s="133" t="s">
        <v>859</v>
      </c>
      <c r="D294" s="169"/>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224">
        <f t="shared" si="117"/>
        <v>0</v>
      </c>
      <c r="AC294" s="178"/>
      <c r="AD294" s="651"/>
      <c r="AE294" s="94"/>
      <c r="AF294" s="622"/>
      <c r="AG294" s="404">
        <v>287</v>
      </c>
    </row>
    <row r="295" spans="1:33" ht="36" hidden="1" thickBot="1" x14ac:dyDescent="0.55000000000000004">
      <c r="A295" s="602" t="s">
        <v>133</v>
      </c>
      <c r="B295" s="603"/>
      <c r="C295" s="603"/>
      <c r="D295" s="603"/>
      <c r="E295" s="603"/>
      <c r="F295" s="603"/>
      <c r="G295" s="603"/>
      <c r="H295" s="603"/>
      <c r="I295" s="603"/>
      <c r="J295" s="603"/>
      <c r="K295" s="603"/>
      <c r="L295" s="603"/>
      <c r="M295" s="603"/>
      <c r="N295" s="603"/>
      <c r="O295" s="603"/>
      <c r="P295" s="603"/>
      <c r="Q295" s="603"/>
      <c r="R295" s="603"/>
      <c r="S295" s="603"/>
      <c r="T295" s="603"/>
      <c r="U295" s="603"/>
      <c r="V295" s="603"/>
      <c r="W295" s="603"/>
      <c r="X295" s="603"/>
      <c r="Y295" s="603"/>
      <c r="Z295" s="603"/>
      <c r="AA295" s="603"/>
      <c r="AB295" s="603"/>
      <c r="AC295" s="603"/>
      <c r="AD295" s="603"/>
      <c r="AE295" s="603"/>
      <c r="AF295" s="604"/>
      <c r="AG295" s="404">
        <v>288</v>
      </c>
    </row>
    <row r="296" spans="1:33" ht="26.25" hidden="1" customHeight="1" x14ac:dyDescent="0.5">
      <c r="A296" s="612" t="s">
        <v>37</v>
      </c>
      <c r="B296" s="674" t="s">
        <v>347</v>
      </c>
      <c r="C296" s="677" t="s">
        <v>328</v>
      </c>
      <c r="D296" s="645" t="s">
        <v>0</v>
      </c>
      <c r="E296" s="645"/>
      <c r="F296" s="645" t="s">
        <v>1</v>
      </c>
      <c r="G296" s="645"/>
      <c r="H296" s="645" t="s">
        <v>2</v>
      </c>
      <c r="I296" s="645"/>
      <c r="J296" s="645" t="s">
        <v>3</v>
      </c>
      <c r="K296" s="645"/>
      <c r="L296" s="645" t="s">
        <v>4</v>
      </c>
      <c r="M296" s="645"/>
      <c r="N296" s="645" t="s">
        <v>5</v>
      </c>
      <c r="O296" s="645"/>
      <c r="P296" s="645" t="s">
        <v>6</v>
      </c>
      <c r="Q296" s="645"/>
      <c r="R296" s="645" t="s">
        <v>7</v>
      </c>
      <c r="S296" s="645"/>
      <c r="T296" s="645" t="s">
        <v>8</v>
      </c>
      <c r="U296" s="645"/>
      <c r="V296" s="645" t="s">
        <v>23</v>
      </c>
      <c r="W296" s="645"/>
      <c r="X296" s="645" t="s">
        <v>24</v>
      </c>
      <c r="Y296" s="645"/>
      <c r="Z296" s="645" t="s">
        <v>9</v>
      </c>
      <c r="AA296" s="645"/>
      <c r="AB296" s="618" t="s">
        <v>19</v>
      </c>
      <c r="AC296" s="655" t="s">
        <v>381</v>
      </c>
      <c r="AD296" s="609" t="s">
        <v>387</v>
      </c>
      <c r="AE296" s="605" t="s">
        <v>388</v>
      </c>
      <c r="AF296" s="600" t="s">
        <v>388</v>
      </c>
      <c r="AG296" s="404">
        <v>289</v>
      </c>
    </row>
    <row r="297" spans="1:33" ht="27" hidden="1" customHeight="1" thickBot="1" x14ac:dyDescent="0.55000000000000004">
      <c r="A297" s="613"/>
      <c r="B297" s="675"/>
      <c r="C297" s="678"/>
      <c r="D297" s="29" t="s">
        <v>10</v>
      </c>
      <c r="E297" s="29" t="s">
        <v>11</v>
      </c>
      <c r="F297" s="29" t="s">
        <v>10</v>
      </c>
      <c r="G297" s="29" t="s">
        <v>11</v>
      </c>
      <c r="H297" s="29" t="s">
        <v>10</v>
      </c>
      <c r="I297" s="29" t="s">
        <v>11</v>
      </c>
      <c r="J297" s="29" t="s">
        <v>10</v>
      </c>
      <c r="K297" s="29" t="s">
        <v>11</v>
      </c>
      <c r="L297" s="29" t="s">
        <v>10</v>
      </c>
      <c r="M297" s="29" t="s">
        <v>11</v>
      </c>
      <c r="N297" s="29" t="s">
        <v>10</v>
      </c>
      <c r="O297" s="29" t="s">
        <v>11</v>
      </c>
      <c r="P297" s="29" t="s">
        <v>10</v>
      </c>
      <c r="Q297" s="29" t="s">
        <v>11</v>
      </c>
      <c r="R297" s="29" t="s">
        <v>10</v>
      </c>
      <c r="S297" s="29" t="s">
        <v>11</v>
      </c>
      <c r="T297" s="29" t="s">
        <v>10</v>
      </c>
      <c r="U297" s="29" t="s">
        <v>11</v>
      </c>
      <c r="V297" s="29" t="s">
        <v>10</v>
      </c>
      <c r="W297" s="29" t="s">
        <v>11</v>
      </c>
      <c r="X297" s="29" t="s">
        <v>10</v>
      </c>
      <c r="Y297" s="29" t="s">
        <v>11</v>
      </c>
      <c r="Z297" s="29" t="s">
        <v>10</v>
      </c>
      <c r="AA297" s="29" t="s">
        <v>11</v>
      </c>
      <c r="AB297" s="619"/>
      <c r="AC297" s="656"/>
      <c r="AD297" s="608"/>
      <c r="AE297" s="606"/>
      <c r="AF297" s="601"/>
      <c r="AG297" s="404">
        <v>290</v>
      </c>
    </row>
    <row r="298" spans="1:33" hidden="1" x14ac:dyDescent="0.5">
      <c r="A298" s="597" t="s">
        <v>390</v>
      </c>
      <c r="B298" s="264" t="s">
        <v>396</v>
      </c>
      <c r="C298" s="490" t="s">
        <v>397</v>
      </c>
      <c r="D298" s="170"/>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35">
        <f t="shared" ref="AB298:AB308" si="118">SUM(D298:AA298)</f>
        <v>0</v>
      </c>
      <c r="AC298" s="180"/>
      <c r="AD298" s="716" t="str">
        <f>CONCATENATE(AC304,AC307,AC309,AC310,AC311,AC312,AC313,AC314,AC315,AC316)</f>
        <v/>
      </c>
      <c r="AE298" s="83"/>
      <c r="AF298" s="723" t="str">
        <f>CONCATENATE(AE304,AE307,AE309,AE310,AE311,AE312,AE313,AE314,AE315,AE316)</f>
        <v/>
      </c>
      <c r="AG298" s="404">
        <v>291</v>
      </c>
    </row>
    <row r="299" spans="1:33" hidden="1" x14ac:dyDescent="0.5">
      <c r="A299" s="598"/>
      <c r="B299" s="256" t="s">
        <v>391</v>
      </c>
      <c r="C299" s="491" t="s">
        <v>398</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8"/>
        <v>0</v>
      </c>
      <c r="AC299" s="180"/>
      <c r="AD299" s="717"/>
      <c r="AE299" s="83"/>
      <c r="AF299" s="724"/>
      <c r="AG299" s="404">
        <v>292</v>
      </c>
    </row>
    <row r="300" spans="1:33" hidden="1" x14ac:dyDescent="0.5">
      <c r="A300" s="598"/>
      <c r="B300" s="256" t="s">
        <v>392</v>
      </c>
      <c r="C300" s="491" t="s">
        <v>399</v>
      </c>
      <c r="D300" s="171"/>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36">
        <f t="shared" si="118"/>
        <v>0</v>
      </c>
      <c r="AC300" s="180"/>
      <c r="AD300" s="717"/>
      <c r="AE300" s="83"/>
      <c r="AF300" s="724"/>
      <c r="AG300" s="404">
        <v>293</v>
      </c>
    </row>
    <row r="301" spans="1:33" hidden="1" x14ac:dyDescent="0.5">
      <c r="A301" s="598"/>
      <c r="B301" s="256" t="s">
        <v>393</v>
      </c>
      <c r="C301" s="491" t="s">
        <v>400</v>
      </c>
      <c r="D301" s="171"/>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36">
        <f t="shared" si="118"/>
        <v>0</v>
      </c>
      <c r="AC301" s="180"/>
      <c r="AD301" s="717"/>
      <c r="AE301" s="83"/>
      <c r="AF301" s="724"/>
      <c r="AG301" s="404">
        <v>294</v>
      </c>
    </row>
    <row r="302" spans="1:33" hidden="1" x14ac:dyDescent="0.5">
      <c r="A302" s="598"/>
      <c r="B302" s="256" t="s">
        <v>394</v>
      </c>
      <c r="C302" s="491" t="s">
        <v>401</v>
      </c>
      <c r="D302" s="171"/>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36">
        <f t="shared" si="118"/>
        <v>0</v>
      </c>
      <c r="AC302" s="180"/>
      <c r="AD302" s="717"/>
      <c r="AE302" s="83"/>
      <c r="AF302" s="724"/>
      <c r="AG302" s="404">
        <v>295</v>
      </c>
    </row>
    <row r="303" spans="1:33" ht="31.5" hidden="1" thickBot="1" x14ac:dyDescent="0.55000000000000004">
      <c r="A303" s="599"/>
      <c r="B303" s="262" t="s">
        <v>395</v>
      </c>
      <c r="C303" s="492" t="s">
        <v>402</v>
      </c>
      <c r="D303" s="172"/>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39">
        <f t="shared" si="118"/>
        <v>0</v>
      </c>
      <c r="AC303" s="180"/>
      <c r="AD303" s="717"/>
      <c r="AE303" s="83"/>
      <c r="AF303" s="724"/>
      <c r="AG303" s="404">
        <v>296</v>
      </c>
    </row>
    <row r="304" spans="1:33" hidden="1" x14ac:dyDescent="0.5">
      <c r="A304" s="591" t="s">
        <v>27</v>
      </c>
      <c r="B304" s="264" t="s">
        <v>720</v>
      </c>
      <c r="C304" s="129" t="s">
        <v>305</v>
      </c>
      <c r="D304" s="163"/>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5">
        <f t="shared" si="118"/>
        <v>0</v>
      </c>
      <c r="AC304" s="82" t="str">
        <f>CONCATENATE(IF(D304&lt;SUM(D310,D311,D312,D313,D314,D315,D316)," * Total Died  for Age "&amp;D20&amp;" "&amp;D21&amp;" is less than sum of Total Causes of Death F08-05 to F08-11"&amp;CHAR(10),""),IF(E304&lt;SUM(E310,E311,E312,E313,E314,E315,E316)," * Total Died  for Age "&amp;D20&amp;" "&amp;E21&amp;" is less than sum of Total Causes of Death F08-05 to F08-11"&amp;CHAR(10),""),IF(F304&lt;SUM(F310,F311,F312,F313,F314,F315,F316)," * Total Died  for Age "&amp;F20&amp;" "&amp;F21&amp;" is less than sum of Total Causes of Death F08-05 to F08-11"&amp;CHAR(10),""),IF(G304&lt;SUM(G310,G311,G312,G313,G314,G315,G316)," * Total Died  for Age "&amp;F20&amp;" "&amp;G21&amp;" is less than sum of Total Causes of Death F08-05 to F08-11"&amp;CHAR(10),""),IF(H304&lt;SUM(H310,H311,H312,H313,H314,H315,H316)," * Total Died  for Age "&amp;H20&amp;" "&amp;H21&amp;" is less than sum of Total Causes of Death F08-05 to F08-11"&amp;CHAR(10),""),IF(I304&lt;SUM(I310,I311,I312,I313,I314,I315,I316)," * Total Died  for Age "&amp;H20&amp;" "&amp;I21&amp;" is less than sum of Total Causes of Death F08-05 to F08-11"&amp;CHAR(10),""),IF(J304&lt;SUM(J310,J311,J312,J313,J314,J315,J316)," * Total Died  for Age "&amp;J20&amp;" "&amp;J21&amp;" is less than sum of Total Causes of Death F08-05 to F08-11"&amp;CHAR(10),""),IF(K304&lt;SUM(K310,K311,K312,K313,K314,K315,K316)," * Total Died  for Age "&amp;J20&amp;" "&amp;K21&amp;" is less than sum of Total Causes of Death F08-05 to F08-11"&amp;CHAR(10),""),IF(L304&lt;SUM(L310,L311,L312,L313,L314,L315,L316)," * Total Died  for Age "&amp;L20&amp;" "&amp;L21&amp;" is less than sum of Total Causes of Death F08-05 to F08-11"&amp;CHAR(10),""),IF(M304&lt;SUM(M310,M311,M312,M313,M314,M315,M316)," * Total Died  for Age "&amp;L20&amp;" "&amp;M21&amp;" is less than sum of Total Causes of Death F08-05 to F08-11"&amp;CHAR(10),""),IF(N304&lt;SUM(N310,N311,N312,N313,N314,N315,N316)," * Total Died  for Age "&amp;N20&amp;" "&amp;N21&amp;" is less than sum of Total Causes of Death F08-05 to F08-11"&amp;CHAR(10),""),IF(O304&lt;SUM(O310,O311,O312,O313,O314,O315,O316)," * Total Died  for Age "&amp;N20&amp;" "&amp;O21&amp;" is less than sum of Total Causes of Death F08-05 to F08-11"&amp;CHAR(10),""),IF(P304&lt;SUM(P310,P311,P312,P313,P314,P315,P316)," * Total Died  for Age "&amp;P20&amp;" "&amp;P21&amp;" is less than sum of Total Causes of Death F08-05 to F08-11"&amp;CHAR(10),""),IF(Q304&lt;SUM(Q310,Q311,Q312,Q313,Q314,Q315,Q316)," * Total Died  for Age "&amp;P20&amp;" "&amp;Q21&amp;" is less than sum of Total Causes of Death F08-05 to F08-11"&amp;CHAR(10),""),IF(R304&lt;SUM(R310,R311,R312,R313,R314,R315,R316)," * Total Died  for Age "&amp;R20&amp;" "&amp;R21&amp;" is less than sum of Total Causes of Death F08-05 to F08-11"&amp;CHAR(10),""),IF(S304&lt;SUM(S310,S311,S312,S313,S314,S315,S316)," * Total Died  for Age "&amp;R20&amp;" "&amp;S21&amp;" is less than sum of Total Causes of Death F08-05 to F08-11"&amp;CHAR(10),""),IF(T304&lt;SUM(T310,T311,T312,T313,T314,T315,T316)," * Total Died  for Age "&amp;T20&amp;" "&amp;T21&amp;" is less than sum of Total Causes of Death F08-05 to F08-11"&amp;CHAR(10),""),IF(U304&lt;SUM(U310,U311,U312,U313,U314,U315,U316)," * Total Died  for Age "&amp;T20&amp;" "&amp;U21&amp;" is less than sum of Total Causes of Death F08-05 to F08-11"&amp;CHAR(10),""),IF(V304&lt;SUM(V310,V311,V312,V313,V314,V315,V316)," * Total Died  for Age "&amp;V20&amp;" "&amp;V21&amp;" is less than sum of Total Causes of Death F08-05 to F08-11"&amp;CHAR(10),""),IF(W304&lt;SUM(W310,W311,W312,W313,W314,W315,W316)," * Total Died  for Age "&amp;V20&amp;" "&amp;W21&amp;" is less than sum of Total Causes of Death F08-05 to F08-11"&amp;CHAR(10),""),IF(X304&lt;SUM(X310,X311,X312,X313,X314,X315,X316)," * Total Died  for Age "&amp;X20&amp;" "&amp;X21&amp;" is less than sum of Total Causes of Death F08-05 to F08-11"&amp;CHAR(10),""),IF(Y304&lt;SUM(Y310,Y311,Y312,Y313,Y314,Y315,Y316)," * Total Died  for Age "&amp;X20&amp;" "&amp;Y21&amp;" is less than sum of Total Causes of Death F08-05 to F08-11"&amp;CHAR(10),""),IF(Z304&lt;SUM(Z310,Z311,Z312,Z313,Z314,Z315,Z316)," * Total Died  for Age "&amp;Z20&amp;" "&amp;Z21&amp;" is less than sum of Total Causes of Death F08-05 to F08-11"&amp;CHAR(10),""),IF(AA304&lt;SUM(AA310,AA311,AA312,AA313,AA314,AA315,AA316)," * Total Died  for Age "&amp;Z20&amp;" "&amp;AA21&amp;" is less than sum of Total Causes of Death F08-05 to F08-11"&amp;CHAR(10),""))</f>
        <v/>
      </c>
      <c r="AD304" s="717"/>
      <c r="AE304" s="80"/>
      <c r="AF304" s="724"/>
      <c r="AG304" s="404">
        <v>297</v>
      </c>
    </row>
    <row r="305" spans="1:34" s="9" customFormat="1" ht="61.5" hidden="1" x14ac:dyDescent="0.5">
      <c r="A305" s="592"/>
      <c r="B305" s="256" t="s">
        <v>599</v>
      </c>
      <c r="C305" s="130" t="s">
        <v>450</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8"/>
        <v>0</v>
      </c>
      <c r="AC305" s="82"/>
      <c r="AD305" s="717"/>
      <c r="AE305" s="81"/>
      <c r="AF305" s="724"/>
      <c r="AG305" s="404">
        <v>298</v>
      </c>
      <c r="AH305" s="311"/>
    </row>
    <row r="306" spans="1:34" hidden="1" x14ac:dyDescent="0.5">
      <c r="A306" s="592"/>
      <c r="B306" s="256" t="s">
        <v>454</v>
      </c>
      <c r="C306" s="131" t="s">
        <v>451</v>
      </c>
      <c r="D306" s="164"/>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36">
        <f t="shared" si="118"/>
        <v>0</v>
      </c>
      <c r="AC306" s="82"/>
      <c r="AD306" s="717"/>
      <c r="AE306" s="80"/>
      <c r="AF306" s="724"/>
      <c r="AG306" s="404">
        <v>299</v>
      </c>
    </row>
    <row r="307" spans="1:34" hidden="1" x14ac:dyDescent="0.5">
      <c r="A307" s="592"/>
      <c r="B307" s="256" t="s">
        <v>721</v>
      </c>
      <c r="C307" s="131" t="s">
        <v>452</v>
      </c>
      <c r="D307" s="164"/>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36">
        <f t="shared" si="118"/>
        <v>0</v>
      </c>
      <c r="AC307" s="82"/>
      <c r="AD307" s="717"/>
      <c r="AE307" s="80"/>
      <c r="AF307" s="724"/>
      <c r="AG307" s="404">
        <v>300</v>
      </c>
    </row>
    <row r="308" spans="1:34" hidden="1" x14ac:dyDescent="0.5">
      <c r="A308" s="592"/>
      <c r="B308" s="256" t="s">
        <v>449</v>
      </c>
      <c r="C308" s="131" t="s">
        <v>453</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8"/>
        <v>0</v>
      </c>
      <c r="AC308" s="82"/>
      <c r="AD308" s="717"/>
      <c r="AE308" s="80"/>
      <c r="AF308" s="724"/>
      <c r="AG308" s="404">
        <v>301</v>
      </c>
    </row>
    <row r="309" spans="1:34" ht="33" hidden="1" thickBot="1" x14ac:dyDescent="0.55000000000000004">
      <c r="A309" s="593"/>
      <c r="B309" s="302" t="s">
        <v>461</v>
      </c>
      <c r="C309" s="174" t="s">
        <v>307</v>
      </c>
      <c r="D309" s="173">
        <f>SUM(D304:D308)</f>
        <v>0</v>
      </c>
      <c r="E309" s="75">
        <f t="shared" ref="E309:AB309" si="119">SUM(E304:E308)</f>
        <v>0</v>
      </c>
      <c r="F309" s="75">
        <f t="shared" si="119"/>
        <v>0</v>
      </c>
      <c r="G309" s="75">
        <f t="shared" si="119"/>
        <v>0</v>
      </c>
      <c r="H309" s="75">
        <f t="shared" si="119"/>
        <v>0</v>
      </c>
      <c r="I309" s="75">
        <f t="shared" si="119"/>
        <v>0</v>
      </c>
      <c r="J309" s="75">
        <f t="shared" si="119"/>
        <v>0</v>
      </c>
      <c r="K309" s="75">
        <f t="shared" si="119"/>
        <v>0</v>
      </c>
      <c r="L309" s="75">
        <f t="shared" si="119"/>
        <v>0</v>
      </c>
      <c r="M309" s="75">
        <f t="shared" si="119"/>
        <v>0</v>
      </c>
      <c r="N309" s="75">
        <f t="shared" si="119"/>
        <v>0</v>
      </c>
      <c r="O309" s="75">
        <f t="shared" si="119"/>
        <v>0</v>
      </c>
      <c r="P309" s="75">
        <f t="shared" si="119"/>
        <v>0</v>
      </c>
      <c r="Q309" s="75">
        <f t="shared" si="119"/>
        <v>0</v>
      </c>
      <c r="R309" s="75">
        <f t="shared" si="119"/>
        <v>0</v>
      </c>
      <c r="S309" s="75">
        <f t="shared" si="119"/>
        <v>0</v>
      </c>
      <c r="T309" s="75">
        <f t="shared" si="119"/>
        <v>0</v>
      </c>
      <c r="U309" s="75">
        <f t="shared" si="119"/>
        <v>0</v>
      </c>
      <c r="V309" s="75">
        <f t="shared" si="119"/>
        <v>0</v>
      </c>
      <c r="W309" s="75">
        <f t="shared" si="119"/>
        <v>0</v>
      </c>
      <c r="X309" s="75">
        <f t="shared" si="119"/>
        <v>0</v>
      </c>
      <c r="Y309" s="75">
        <f t="shared" si="119"/>
        <v>0</v>
      </c>
      <c r="Z309" s="75">
        <f t="shared" si="119"/>
        <v>0</v>
      </c>
      <c r="AA309" s="75">
        <f t="shared" si="119"/>
        <v>0</v>
      </c>
      <c r="AB309" s="76">
        <f t="shared" si="119"/>
        <v>0</v>
      </c>
      <c r="AC309" s="82"/>
      <c r="AD309" s="717"/>
      <c r="AE309" s="80"/>
      <c r="AF309" s="724"/>
      <c r="AG309" s="404">
        <v>302</v>
      </c>
    </row>
    <row r="310" spans="1:34" hidden="1" x14ac:dyDescent="0.5">
      <c r="A310" s="591" t="s">
        <v>1026</v>
      </c>
      <c r="B310" s="264" t="s">
        <v>317</v>
      </c>
      <c r="C310" s="129" t="s">
        <v>308</v>
      </c>
      <c r="D310" s="163"/>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5">
        <f t="shared" ref="AB310:AB316" si="120">SUM(D310:AA310)</f>
        <v>0</v>
      </c>
      <c r="AC310" s="82"/>
      <c r="AD310" s="717"/>
      <c r="AE310" s="80"/>
      <c r="AF310" s="724"/>
      <c r="AG310" s="404">
        <v>303</v>
      </c>
    </row>
    <row r="311" spans="1:34" hidden="1" x14ac:dyDescent="0.5">
      <c r="A311" s="592"/>
      <c r="B311" s="256" t="s">
        <v>553</v>
      </c>
      <c r="C311" s="131" t="s">
        <v>309</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20"/>
        <v>0</v>
      </c>
      <c r="AC311" s="82"/>
      <c r="AD311" s="717"/>
      <c r="AE311" s="80"/>
      <c r="AF311" s="724"/>
      <c r="AG311" s="404">
        <v>304</v>
      </c>
    </row>
    <row r="312" spans="1:34" hidden="1" x14ac:dyDescent="0.5">
      <c r="A312" s="592"/>
      <c r="B312" s="256" t="s">
        <v>722</v>
      </c>
      <c r="C312" s="131" t="s">
        <v>310</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20"/>
        <v>0</v>
      </c>
      <c r="AC312" s="82"/>
      <c r="AD312" s="717"/>
      <c r="AE312" s="80"/>
      <c r="AF312" s="724"/>
      <c r="AG312" s="404">
        <v>305</v>
      </c>
    </row>
    <row r="313" spans="1:34" s="9" customFormat="1" hidden="1" x14ac:dyDescent="0.5">
      <c r="A313" s="592"/>
      <c r="B313" s="256" t="s">
        <v>318</v>
      </c>
      <c r="C313" s="130" t="s">
        <v>311</v>
      </c>
      <c r="D313" s="164"/>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36">
        <f t="shared" si="120"/>
        <v>0</v>
      </c>
      <c r="AC313" s="82"/>
      <c r="AD313" s="717"/>
      <c r="AE313" s="81"/>
      <c r="AF313" s="724"/>
      <c r="AG313" s="404">
        <v>306</v>
      </c>
      <c r="AH313" s="311"/>
    </row>
    <row r="314" spans="1:34" hidden="1" x14ac:dyDescent="0.5">
      <c r="A314" s="592"/>
      <c r="B314" s="256" t="s">
        <v>554</v>
      </c>
      <c r="C314" s="131" t="s">
        <v>312</v>
      </c>
      <c r="D314" s="164"/>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36">
        <f t="shared" si="120"/>
        <v>0</v>
      </c>
      <c r="AC314" s="82"/>
      <c r="AD314" s="717"/>
      <c r="AE314" s="80"/>
      <c r="AF314" s="724"/>
      <c r="AG314" s="404">
        <v>307</v>
      </c>
    </row>
    <row r="315" spans="1:34" hidden="1" x14ac:dyDescent="0.5">
      <c r="A315" s="592"/>
      <c r="B315" s="256" t="s">
        <v>319</v>
      </c>
      <c r="C315" s="131" t="s">
        <v>313</v>
      </c>
      <c r="D315" s="164"/>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36">
        <f t="shared" si="120"/>
        <v>0</v>
      </c>
      <c r="AC315" s="82"/>
      <c r="AD315" s="717"/>
      <c r="AE315" s="80"/>
      <c r="AF315" s="724"/>
      <c r="AG315" s="404">
        <v>308</v>
      </c>
    </row>
    <row r="316" spans="1:34" ht="31.5" hidden="1" thickBot="1" x14ac:dyDescent="0.55000000000000004">
      <c r="A316" s="593"/>
      <c r="B316" s="262" t="s">
        <v>320</v>
      </c>
      <c r="C316" s="133" t="s">
        <v>314</v>
      </c>
      <c r="D316" s="146"/>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9">
        <f t="shared" si="120"/>
        <v>0</v>
      </c>
      <c r="AC316" s="82"/>
      <c r="AD316" s="718"/>
      <c r="AE316" s="80"/>
      <c r="AF316" s="725"/>
      <c r="AG316" s="404">
        <v>309</v>
      </c>
    </row>
    <row r="317" spans="1:34" ht="36" thickBot="1" x14ac:dyDescent="0.55000000000000004">
      <c r="A317" s="585" t="s">
        <v>581</v>
      </c>
      <c r="B317" s="585"/>
      <c r="C317" s="585"/>
      <c r="D317" s="585"/>
      <c r="E317" s="585"/>
      <c r="F317" s="585"/>
      <c r="G317" s="585"/>
      <c r="H317" s="585"/>
      <c r="I317" s="585"/>
      <c r="J317" s="585"/>
      <c r="K317" s="585"/>
      <c r="L317" s="585"/>
      <c r="M317" s="585"/>
      <c r="N317" s="585"/>
      <c r="O317" s="585"/>
      <c r="P317" s="585"/>
      <c r="Q317" s="585"/>
      <c r="R317" s="585"/>
      <c r="S317" s="585"/>
      <c r="T317" s="585"/>
      <c r="U317" s="585"/>
      <c r="V317" s="585"/>
      <c r="W317" s="585"/>
      <c r="X317" s="585"/>
      <c r="Y317" s="585"/>
      <c r="Z317" s="585"/>
      <c r="AA317" s="585"/>
      <c r="AB317" s="585"/>
      <c r="AC317" s="586"/>
      <c r="AD317" s="585"/>
      <c r="AE317" s="586"/>
      <c r="AF317" s="587"/>
      <c r="AG317" s="404">
        <v>310</v>
      </c>
    </row>
    <row r="318" spans="1:34" ht="30.75" customHeight="1" x14ac:dyDescent="0.5">
      <c r="A318" s="588" t="s">
        <v>525</v>
      </c>
      <c r="B318" s="264" t="s">
        <v>526</v>
      </c>
      <c r="C318" s="263" t="s">
        <v>529</v>
      </c>
      <c r="D318" s="222"/>
      <c r="E318" s="222"/>
      <c r="F318" s="34"/>
      <c r="G318" s="34"/>
      <c r="H318" s="34"/>
      <c r="I318" s="34"/>
      <c r="J318" s="34"/>
      <c r="K318" s="34"/>
      <c r="L318" s="34"/>
      <c r="M318" s="34"/>
      <c r="N318" s="34"/>
      <c r="O318" s="34"/>
      <c r="P318" s="34"/>
      <c r="Q318" s="34"/>
      <c r="R318" s="34"/>
      <c r="S318" s="34"/>
      <c r="T318" s="34"/>
      <c r="U318" s="34"/>
      <c r="V318" s="34"/>
      <c r="W318" s="34"/>
      <c r="X318" s="34"/>
      <c r="Y318" s="34"/>
      <c r="Z318" s="34"/>
      <c r="AA318" s="34"/>
      <c r="AB318" s="35">
        <f t="shared" ref="AB318" si="121">SUM(D318:AA318)</f>
        <v>0</v>
      </c>
      <c r="AC318" s="79" t="str">
        <f>CONCATENATE(IF(D319&gt;D318," * TB Cases with Known HIV Positive status "&amp;$D$20&amp;" "&amp;$D$21&amp;" is more than Total TB Cases New and relapsed"&amp;CHAR(10),""),IF(E319&gt;E318," * TB Cases with Known HIV Positive status "&amp;$D$20&amp;" "&amp;$E$21&amp;" is more than Total TB Cases New and relapsed"&amp;CHAR(10),""),IF(F319&gt;F318," * TB Cases with Known HIV Positive status "&amp;$F$20&amp;" "&amp;$F$21&amp;" is more than Total TB Cases New and relapsed"&amp;CHAR(10),""),IF(G319&gt;G318," * TB Cases with Known HIV Positive status "&amp;$F$20&amp;" "&amp;$G$21&amp;" is more than Total TB Cases New and relapsed"&amp;CHAR(10),""),IF(H319&gt;H318," * TB Cases with Known HIV Positive status "&amp;$H$20&amp;" "&amp;$H$21&amp;" is more than Total TB Cases New and relapsed"&amp;CHAR(10),""),IF(I319&gt;I318," * TB Cases with Known HIV Positive status "&amp;$H$20&amp;" "&amp;$I$21&amp;" is more than Total TB Cases New and relapsed"&amp;CHAR(10),""),IF(J319&gt;J318," * TB Cases with Known HIV Positive status "&amp;$J$20&amp;" "&amp;$J$21&amp;" is more than Total TB Cases New and relapsed"&amp;CHAR(10),""),IF(K319&gt;K318," * TB Cases with Known HIV Positive status "&amp;$J$20&amp;" "&amp;$K$21&amp;" is more than Total TB Cases New and relapsed"&amp;CHAR(10),""),IF(L319&gt;L318," * TB Cases with Known HIV Positive status "&amp;$L$20&amp;" "&amp;$L$21&amp;" is more than Total TB Cases New and relapsed"&amp;CHAR(10),""),IF(M319&gt;M318," * TB Cases with Known HIV Positive status "&amp;$L$20&amp;" "&amp;$M$21&amp;" is more than Total TB Cases New and relapsed"&amp;CHAR(10),""),IF(N319&gt;N318," * TB Cases with Known HIV Positive status "&amp;$N$20&amp;" "&amp;$N$21&amp;" is more than Total TB Cases New and relapsed"&amp;CHAR(10),""),IF(O319&gt;O318," * TB Cases with Known HIV Positive status "&amp;$N$20&amp;" "&amp;$O$21&amp;" is more than Total TB Cases New and relapsed"&amp;CHAR(10),""),IF(P319&gt;P318," * TB Cases with Known HIV Positive status "&amp;$P$20&amp;" "&amp;$P$21&amp;" is more than Total TB Cases New and relapsed"&amp;CHAR(10),""),IF(Q319&gt;Q318," * TB Cases with Known HIV Positive status "&amp;$P$20&amp;" "&amp;$Q$21&amp;" is more than Total TB Cases New and relapsed"&amp;CHAR(10),""),IF(R319&gt;R318," * TB Cases with Known HIV Positive status "&amp;$R$20&amp;" "&amp;$R$21&amp;" is more than Total TB Cases New and relapsed"&amp;CHAR(10),""),IF(S319&gt;S318," * TB Cases with Known HIV Positive status "&amp;$R$20&amp;" "&amp;$S$21&amp;" is more than Total TB Cases New and relapsed"&amp;CHAR(10),""),IF(T319&gt;T318," * TB Cases with Known HIV Positive status "&amp;$T$20&amp;" "&amp;$T$21&amp;" is more than Total TB Cases New and relapsed"&amp;CHAR(10),""),IF(U319&gt;U318," * TB Cases with Known HIV Positive status "&amp;$T$20&amp;" "&amp;$U$21&amp;" is more than Total TB Cases New and relapsed"&amp;CHAR(10),""),IF(V319&gt;V318," * TB Cases with Known HIV Positive status "&amp;$V$20&amp;" "&amp;$V$21&amp;" is more than Total TB Cases New and relapsed"&amp;CHAR(10),""),IF(W319&gt;W318," * TB Cases with Known HIV Positive status "&amp;$V$20&amp;" "&amp;$W$21&amp;" is more than Total TB Cases New and relapsed"&amp;CHAR(10),""),IF(X319&gt;X318," * TB Cases with Known HIV Positive status "&amp;$X$20&amp;" "&amp;$X$21&amp;" is more than Total TB Cases New and relapsed"&amp;CHAR(10),""),IF(Y319&gt;Y318," * TB Cases with Known HIV Positive status "&amp;$X$20&amp;" "&amp;$Y$21&amp;" is more than Total TB Cases New and relapsed"&amp;CHAR(10),""),IF(Z319&gt;Z318," * TB Cases with Known HIV Positive status "&amp;$Z$20&amp;" "&amp;$Z$21&amp;" is more than Total TB Cases New and relapsed"&amp;CHAR(10),""),IF(AA319&gt;AA318," * TB Cases with Known HIV Positive status "&amp;$Z$20&amp;" "&amp;$AA$21&amp;" is more than Total TB Cases New and relapsed"&amp;CHAR(10),""))</f>
        <v/>
      </c>
      <c r="AD318" s="716" t="str">
        <f>CONCATENATE(AC318,AC319,AC321,AC322,AC323,AC324,AC325,AC326,AC327)</f>
        <v/>
      </c>
      <c r="AE318" s="80"/>
      <c r="AF318" s="719" t="str">
        <f>CONCATENATE(AE318,AE319,AE320,AE321,AE322,AE323,AE324,AE325,AE326,AE327)</f>
        <v/>
      </c>
      <c r="AG318" s="403">
        <v>311</v>
      </c>
    </row>
    <row r="319" spans="1:34" s="7" customFormat="1" ht="61.5" x14ac:dyDescent="0.5">
      <c r="A319" s="589"/>
      <c r="B319" s="277" t="s">
        <v>552</v>
      </c>
      <c r="C319" s="131" t="s">
        <v>539</v>
      </c>
      <c r="D319" s="215"/>
      <c r="E319" s="215"/>
      <c r="F319" s="24"/>
      <c r="G319" s="215"/>
      <c r="H319" s="215"/>
      <c r="I319" s="215"/>
      <c r="J319" s="215"/>
      <c r="K319" s="215"/>
      <c r="L319" s="215"/>
      <c r="M319" s="215"/>
      <c r="N319" s="215"/>
      <c r="O319" s="215"/>
      <c r="P319" s="215"/>
      <c r="Q319" s="215"/>
      <c r="R319" s="215"/>
      <c r="S319" s="215"/>
      <c r="T319" s="215"/>
      <c r="U319" s="215"/>
      <c r="V319" s="215"/>
      <c r="W319" s="215"/>
      <c r="X319" s="215"/>
      <c r="Y319" s="215"/>
      <c r="Z319" s="215"/>
      <c r="AA319" s="215"/>
      <c r="AB319" s="36">
        <f t="shared" ref="AB319:AB327" si="122">SUM(D319:AA319)</f>
        <v>0</v>
      </c>
      <c r="AC319" s="91"/>
      <c r="AD319" s="717"/>
      <c r="AE319" s="80"/>
      <c r="AF319" s="720"/>
      <c r="AG319" s="403">
        <v>312</v>
      </c>
      <c r="AH319" s="310"/>
    </row>
    <row r="320" spans="1:34" s="7" customFormat="1" ht="32.25" x14ac:dyDescent="0.5">
      <c r="A320" s="589"/>
      <c r="B320" s="410" t="s">
        <v>527</v>
      </c>
      <c r="C320" s="131" t="s">
        <v>540</v>
      </c>
      <c r="D320" s="176"/>
      <c r="E320" s="22"/>
      <c r="F320" s="28">
        <f t="shared" ref="F320:AA320" si="123">F318-F319</f>
        <v>0</v>
      </c>
      <c r="G320" s="28">
        <f t="shared" si="123"/>
        <v>0</v>
      </c>
      <c r="H320" s="28">
        <f t="shared" si="123"/>
        <v>0</v>
      </c>
      <c r="I320" s="28">
        <f t="shared" si="123"/>
        <v>0</v>
      </c>
      <c r="J320" s="28">
        <f t="shared" si="123"/>
        <v>0</v>
      </c>
      <c r="K320" s="28">
        <f t="shared" si="123"/>
        <v>0</v>
      </c>
      <c r="L320" s="28">
        <f t="shared" si="123"/>
        <v>0</v>
      </c>
      <c r="M320" s="28">
        <f t="shared" si="123"/>
        <v>0</v>
      </c>
      <c r="N320" s="28">
        <f t="shared" si="123"/>
        <v>0</v>
      </c>
      <c r="O320" s="28">
        <f t="shared" si="123"/>
        <v>0</v>
      </c>
      <c r="P320" s="28">
        <f t="shared" si="123"/>
        <v>0</v>
      </c>
      <c r="Q320" s="28">
        <f t="shared" si="123"/>
        <v>0</v>
      </c>
      <c r="R320" s="28">
        <f t="shared" si="123"/>
        <v>0</v>
      </c>
      <c r="S320" s="28">
        <f t="shared" si="123"/>
        <v>0</v>
      </c>
      <c r="T320" s="28">
        <f t="shared" si="123"/>
        <v>0</v>
      </c>
      <c r="U320" s="28">
        <f t="shared" si="123"/>
        <v>0</v>
      </c>
      <c r="V320" s="28">
        <f t="shared" si="123"/>
        <v>0</v>
      </c>
      <c r="W320" s="28">
        <f t="shared" si="123"/>
        <v>0</v>
      </c>
      <c r="X320" s="28">
        <f t="shared" si="123"/>
        <v>0</v>
      </c>
      <c r="Y320" s="28">
        <f t="shared" si="123"/>
        <v>0</v>
      </c>
      <c r="Z320" s="28">
        <f t="shared" si="123"/>
        <v>0</v>
      </c>
      <c r="AA320" s="28">
        <f t="shared" si="123"/>
        <v>0</v>
      </c>
      <c r="AB320" s="36">
        <f t="shared" si="122"/>
        <v>0</v>
      </c>
      <c r="AC320" s="91"/>
      <c r="AD320" s="717"/>
      <c r="AE320" s="80" t="str">
        <f>CONCATENATE(IF(D320&gt;D321," * TB Cases newly tested for HIV "&amp;$D$20&amp;" "&amp;$D$21&amp;" is less than TB Cases eligible for Testing"&amp;CHAR(10),""),IF(E320&gt;E321," * TB Cases newly tested for HIV "&amp;$D$20&amp;" "&amp;$E$21&amp;" is less than TB Cases eligible for Testing"&amp;CHAR(10),""),IF(F320&gt;F321," * TB Cases newly tested for HIV "&amp;$F$20&amp;" "&amp;$F$21&amp;" is less than TB Cases eligible for Testing"&amp;CHAR(10),""),IF(G320&gt;G321," * TB Cases newly tested for HIV "&amp;$F$20&amp;" "&amp;$G$21&amp;" is less than TB Cases eligible for Testing"&amp;CHAR(10),""),IF(H320&gt;H321," * TB Cases newly tested for HIV "&amp;$H$20&amp;" "&amp;$H$21&amp;" is less than TB Cases eligible for Testing"&amp;CHAR(10),""),IF(I320&gt;I321," * TB Cases newly tested for HIV "&amp;$H$20&amp;" "&amp;$I$21&amp;" is less than TB Cases eligible for Testing"&amp;CHAR(10),""),IF(J320&gt;J321," * TB Cases newly tested for HIV "&amp;$J$20&amp;" "&amp;$J$21&amp;" is less than TB Cases eligible for Testing"&amp;CHAR(10),""),IF(K320&gt;K321," * TB Cases newly tested for HIV "&amp;$J$20&amp;" "&amp;$K$21&amp;" is less than TB Cases eligible for Testing"&amp;CHAR(10),""),IF(L320&gt;L321," * TB Cases newly tested for HIV "&amp;$L$20&amp;" "&amp;$L$21&amp;" is less than TB Cases eligible for Testing"&amp;CHAR(10),""),IF(M320&gt;M321," * TB Cases newly tested for HIV "&amp;$L$20&amp;" "&amp;$M$21&amp;" is less than TB Cases eligible for Testing"&amp;CHAR(10),""),IF(N320&gt;N321," * TB Cases newly tested for HIV "&amp;$N$20&amp;" "&amp;$N$21&amp;" is less than TB Cases eligible for Testing"&amp;CHAR(10),""),IF(O320&gt;O321," * TB Cases newly tested for HIV "&amp;$N$20&amp;" "&amp;$O$21&amp;" is less than TB Cases eligible for Testing"&amp;CHAR(10),""),IF(P320&gt;P321," * TB Cases newly tested for HIV "&amp;$P$20&amp;" "&amp;$P$21&amp;" is less than TB Cases eligible for Testing"&amp;CHAR(10),""),IF(Q320&gt;Q321," * TB Cases newly tested for HIV "&amp;$P$20&amp;" "&amp;$Q$21&amp;" is less than TB Cases eligible for Testing"&amp;CHAR(10),""),IF(R320&gt;R321," * TB Cases newly tested for HIV "&amp;$R$20&amp;" "&amp;$R$21&amp;" is less than TB Cases eligible for Testing"&amp;CHAR(10),""),IF(S320&gt;S321," * TB Cases newly tested for HIV "&amp;$R$20&amp;" "&amp;$S$21&amp;" is less than TB Cases eligible for Testing"&amp;CHAR(10),""),IF(T320&gt;T321," * TB Cases newly tested for HIV "&amp;$T$20&amp;" "&amp;$T$21&amp;" is less than TB Cases eligible for Testing"&amp;CHAR(10),""),IF(U320&gt;U321," * TB Cases newly tested for HIV "&amp;$T$20&amp;" "&amp;$U$21&amp;" is less than TB Cases eligible for Testing"&amp;CHAR(10),""),IF(V320&gt;V321," * TB Cases newly tested for HIV "&amp;$V$20&amp;" "&amp;$V$21&amp;" is less than TB Cases eligible for Testing"&amp;CHAR(10),""),IF(W320&gt;W321," * TB Cases newly tested for HIV "&amp;$V$20&amp;" "&amp;$W$21&amp;" is less than TB Cases eligible for Testing"&amp;CHAR(10),""),IF(X320&gt;X321," * TB Cases newly tested for HIV "&amp;$X$20&amp;" "&amp;$X$21&amp;" is less than TB Cases eligible for Testing"&amp;CHAR(10),""),IF(Y320&gt;Y321," * TB Cases newly tested for HIV "&amp;$X$20&amp;" "&amp;$Y$21&amp;" is less than TB Cases eligible for Testing"&amp;CHAR(10),""),IF(Z320&gt;Z321," * TB Cases newly tested for HIV "&amp;$Z$20&amp;" "&amp;$Z$21&amp;" is less than TB Cases eligible for Testing"&amp;CHAR(10),""),IF(AA320&gt;AA321," * TB Cases newly tested for HIV "&amp;$Z$20&amp;" "&amp;$AA$21&amp;" is less than TB Cases eligible for Testing"&amp;CHAR(10),""))</f>
        <v/>
      </c>
      <c r="AF320" s="720"/>
      <c r="AG320" s="403">
        <v>313</v>
      </c>
      <c r="AH320" s="310"/>
    </row>
    <row r="321" spans="1:34" s="15" customFormat="1" x14ac:dyDescent="0.5">
      <c r="A321" s="589"/>
      <c r="B321" s="277" t="s">
        <v>549</v>
      </c>
      <c r="C321" s="130" t="s">
        <v>541</v>
      </c>
      <c r="D321" s="176"/>
      <c r="E321" s="22"/>
      <c r="F321" s="23"/>
      <c r="G321" s="23"/>
      <c r="H321" s="23"/>
      <c r="I321" s="23"/>
      <c r="J321" s="23"/>
      <c r="K321" s="23"/>
      <c r="L321" s="23"/>
      <c r="M321" s="23"/>
      <c r="N321" s="23"/>
      <c r="O321" s="23"/>
      <c r="P321" s="23"/>
      <c r="Q321" s="23"/>
      <c r="R321" s="23"/>
      <c r="S321" s="23"/>
      <c r="T321" s="23"/>
      <c r="U321" s="23"/>
      <c r="V321" s="23"/>
      <c r="W321" s="23"/>
      <c r="X321" s="23"/>
      <c r="Y321" s="23"/>
      <c r="Z321" s="23"/>
      <c r="AA321" s="23"/>
      <c r="AB321" s="36">
        <f t="shared" si="122"/>
        <v>0</v>
      </c>
      <c r="AC321" s="79" t="str">
        <f>CONCATENATE(IF(D318&lt;D321," * TB Cases newly tested for HIV "&amp;$D$20&amp;" "&amp;$D$21&amp;" is more than Total TB Cases New and relapsed"&amp;CHAR(10),""),IF(E318&lt;E321," * TB Cases newly tested for HIV "&amp;$D$20&amp;" "&amp;$E$21&amp;" is more than Total TB Cases New and relapsed"&amp;CHAR(10),""),IF(F318&lt;F321," * TB Cases newly tested for HIV "&amp;$F$20&amp;" "&amp;$F$21&amp;" is more than Total TB Cases New and relapsed"&amp;CHAR(10),""),IF(G318&lt;G321," * TB Cases newly tested for HIV "&amp;$F$20&amp;" "&amp;$G$21&amp;" is more than Total TB Cases New and relapsed"&amp;CHAR(10),""),IF(H318&lt;H321," * TB Cases newly tested for HIV "&amp;$H$20&amp;" "&amp;$H$21&amp;" is more than Total TB Cases New and relapsed"&amp;CHAR(10),""),IF(I318&lt;I321," * TB Cases newly tested for HIV "&amp;$H$20&amp;" "&amp;$I$21&amp;" is more than Total TB Cases New and relapsed"&amp;CHAR(10),""),IF(J318&lt;J321," * TB Cases newly tested for HIV "&amp;$J$20&amp;" "&amp;$J$21&amp;" is more than Total TB Cases New and relapsed"&amp;CHAR(10),""),IF(K318&lt;K321," * TB Cases newly tested for HIV "&amp;$J$20&amp;" "&amp;$K$21&amp;" is more than Total TB Cases New and relapsed"&amp;CHAR(10),""),IF(L318&lt;L321," * TB Cases newly tested for HIV "&amp;$L$20&amp;" "&amp;$L$21&amp;" is more than Total TB Cases New and relapsed"&amp;CHAR(10),""),IF(M318&lt;M321," * TB Cases newly tested for HIV "&amp;$L$20&amp;" "&amp;$M$21&amp;" is more than Total TB Cases New and relapsed"&amp;CHAR(10),""),IF(N318&lt;N321," * TB Cases newly tested for HIV "&amp;$N$20&amp;" "&amp;$N$21&amp;" is more than Total TB Cases New and relapsed"&amp;CHAR(10),""),IF(O318&lt;O321," * TB Cases newly tested for HIV "&amp;$N$20&amp;" "&amp;$O$21&amp;" is more than Total TB Cases New and relapsed"&amp;CHAR(10),""),IF(P318&lt;P321," * TB Cases newly tested for HIV "&amp;$P$20&amp;" "&amp;$P$21&amp;" is more than Total TB Cases New and relapsed"&amp;CHAR(10),""),IF(Q318&lt;Q321," * TB Cases newly tested for HIV "&amp;$P$20&amp;" "&amp;$Q$21&amp;" is more than Total TB Cases New and relapsed"&amp;CHAR(10),""),IF(R318&lt;R321," * TB Cases newly tested for HIV "&amp;$R$20&amp;" "&amp;$R$21&amp;" is more than Total TB Cases New and relapsed"&amp;CHAR(10),""),IF(S318&lt;S321," * TB Cases newly tested for HIV "&amp;$R$20&amp;" "&amp;$S$21&amp;" is more than Total TB Cases New and relapsed"&amp;CHAR(10),""),IF(T318&lt;T321," * TB Cases newly tested for HIV "&amp;$T$20&amp;" "&amp;$T$21&amp;" is more than Total TB Cases New and relapsed"&amp;CHAR(10),""),IF(U318&lt;U321," * TB Cases newly tested for HIV "&amp;$T$20&amp;" "&amp;$U$21&amp;" is more than Total TB Cases New and relapsed"&amp;CHAR(10),""),IF(V318&lt;V321," * TB Cases newly tested for HIV "&amp;$V$20&amp;" "&amp;$V$21&amp;" is more than Total TB Cases New and relapsed"&amp;CHAR(10),""),IF(W318&lt;W321," * TB Cases newly tested for HIV "&amp;$V$20&amp;" "&amp;$W$21&amp;" is more than Total TB Cases New and relapsed"&amp;CHAR(10),""),IF(X318&lt;X321," * TB Cases newly tested for HIV "&amp;$X$20&amp;" "&amp;$X$21&amp;" is more than Total TB Cases New and relapsed"&amp;CHAR(10),""),IF(Y318&lt;Y321," * TB Cases newly tested for HIV "&amp;$X$20&amp;" "&amp;$Y$21&amp;" is more than Total TB Cases New and relapsed"&amp;CHAR(10),""),IF(Z318&lt;Z321," * TB Cases newly tested for HIV "&amp;$Z$20&amp;" "&amp;$Z$21&amp;" is more than Total TB Cases New and relapsed"&amp;CHAR(10),""),IF(AA318&lt;AA321," * TB Cases newly tested for HIV "&amp;$Z$20&amp;" "&amp;$AA$21&amp;" is more than Total TB Cases New and relapsed"&amp;CHAR(10),""))</f>
        <v/>
      </c>
      <c r="AD321" s="717"/>
      <c r="AE321" s="81"/>
      <c r="AF321" s="720"/>
      <c r="AG321" s="403">
        <v>314</v>
      </c>
      <c r="AH321" s="311"/>
    </row>
    <row r="322" spans="1:34" s="7" customFormat="1" ht="32.25" x14ac:dyDescent="0.5">
      <c r="A322" s="589"/>
      <c r="B322" s="410" t="s">
        <v>528</v>
      </c>
      <c r="C322" s="131" t="s">
        <v>542</v>
      </c>
      <c r="D322" s="176"/>
      <c r="E322" s="22"/>
      <c r="F322" s="28">
        <f t="shared" ref="F322:AA322" si="124">F321+F319</f>
        <v>0</v>
      </c>
      <c r="G322" s="217">
        <f t="shared" si="124"/>
        <v>0</v>
      </c>
      <c r="H322" s="217">
        <f t="shared" si="124"/>
        <v>0</v>
      </c>
      <c r="I322" s="217">
        <f t="shared" si="124"/>
        <v>0</v>
      </c>
      <c r="J322" s="217">
        <f t="shared" si="124"/>
        <v>0</v>
      </c>
      <c r="K322" s="217">
        <f t="shared" si="124"/>
        <v>0</v>
      </c>
      <c r="L322" s="217">
        <f t="shared" si="124"/>
        <v>0</v>
      </c>
      <c r="M322" s="217">
        <f t="shared" si="124"/>
        <v>0</v>
      </c>
      <c r="N322" s="217">
        <f t="shared" si="124"/>
        <v>0</v>
      </c>
      <c r="O322" s="217">
        <f t="shared" si="124"/>
        <v>0</v>
      </c>
      <c r="P322" s="217">
        <f t="shared" si="124"/>
        <v>0</v>
      </c>
      <c r="Q322" s="217">
        <f t="shared" si="124"/>
        <v>0</v>
      </c>
      <c r="R322" s="217">
        <f t="shared" si="124"/>
        <v>0</v>
      </c>
      <c r="S322" s="217">
        <f t="shared" si="124"/>
        <v>0</v>
      </c>
      <c r="T322" s="217">
        <f t="shared" si="124"/>
        <v>0</v>
      </c>
      <c r="U322" s="217">
        <f t="shared" si="124"/>
        <v>0</v>
      </c>
      <c r="V322" s="217">
        <f t="shared" si="124"/>
        <v>0</v>
      </c>
      <c r="W322" s="217">
        <f t="shared" si="124"/>
        <v>0</v>
      </c>
      <c r="X322" s="217">
        <f t="shared" si="124"/>
        <v>0</v>
      </c>
      <c r="Y322" s="217">
        <f t="shared" si="124"/>
        <v>0</v>
      </c>
      <c r="Z322" s="217">
        <f t="shared" si="124"/>
        <v>0</v>
      </c>
      <c r="AA322" s="217">
        <f t="shared" si="124"/>
        <v>0</v>
      </c>
      <c r="AB322" s="36">
        <f t="shared" si="122"/>
        <v>0</v>
      </c>
      <c r="AC322" s="79" t="str">
        <f>CONCATENATE(IF(D318&lt;D322," * TB cases with documented HIV status "&amp;$D$20&amp;" "&amp;$D$21&amp;" is more than Total TB Cases New and relapsed"&amp;CHAR(10),""),IF(E318&lt;E322," * TB cases with documented HIV status "&amp;$D$20&amp;" "&amp;$E$21&amp;" is more than Total TB Cases New and relapsed"&amp;CHAR(10),""),IF(F318&lt;F322," * TB cases with documented HIV status "&amp;$F$20&amp;" "&amp;$F$21&amp;" is more than Total TB Cases New and relapsed"&amp;CHAR(10),""),IF(G318&lt;G322," * TB cases with documented HIV status "&amp;$F$20&amp;" "&amp;$G$21&amp;" is more than Total TB Cases New and relapsed"&amp;CHAR(10),""),IF(H318&lt;H322," * TB cases with documented HIV status "&amp;$H$20&amp;" "&amp;$H$21&amp;" is more than Total TB Cases New and relapsed"&amp;CHAR(10),""),IF(I318&lt;I322," * TB cases with documented HIV status "&amp;$H$20&amp;" "&amp;$I$21&amp;" is more than Total TB Cases New and relapsed"&amp;CHAR(10),""),IF(J318&lt;J322," * TB cases with documented HIV status "&amp;$J$20&amp;" "&amp;$J$21&amp;" is more than Total TB Cases New and relapsed"&amp;CHAR(10),""),IF(K318&lt;K322," * TB cases with documented HIV status "&amp;$J$20&amp;" "&amp;$K$21&amp;" is more than Total TB Cases New and relapsed"&amp;CHAR(10),""),IF(L318&lt;L322," * TB cases with documented HIV status "&amp;$L$20&amp;" "&amp;$L$21&amp;" is more than Total TB Cases New and relapsed"&amp;CHAR(10),""),IF(M318&lt;M322," * TB cases with documented HIV status "&amp;$L$20&amp;" "&amp;$M$21&amp;" is more than Total TB Cases New and relapsed"&amp;CHAR(10),""),IF(N318&lt;N322," * TB cases with documented HIV status "&amp;$N$20&amp;" "&amp;$N$21&amp;" is more than Total TB Cases New and relapsed"&amp;CHAR(10),""),IF(O318&lt;O322," * TB cases with documented HIV status "&amp;$N$20&amp;" "&amp;$O$21&amp;" is more than Total TB Cases New and relapsed"&amp;CHAR(10),""),IF(P318&lt;P322," * TB cases with documented HIV status "&amp;$P$20&amp;" "&amp;$P$21&amp;" is more than Total TB Cases New and relapsed"&amp;CHAR(10),""),IF(Q318&lt;Q322," * TB cases with documented HIV status "&amp;$P$20&amp;" "&amp;$Q$21&amp;" is more than Total TB Cases New and relapsed"&amp;CHAR(10),""),IF(R318&lt;R322," * TB cases with documented HIV status "&amp;$R$20&amp;" "&amp;$R$21&amp;" is more than Total TB Cases New and relapsed"&amp;CHAR(10),""),IF(S318&lt;S322," * TB cases with documented HIV status "&amp;$R$20&amp;" "&amp;$S$21&amp;" is more than Total TB Cases New and relapsed"&amp;CHAR(10),""),IF(T318&lt;T322," * TB cases with documented HIV status "&amp;$T$20&amp;" "&amp;$T$21&amp;" is more than Total TB Cases New and relapsed"&amp;CHAR(10),""),IF(U318&lt;U322," * TB cases with documented HIV status "&amp;$T$20&amp;" "&amp;$U$21&amp;" is more than Total TB Cases New and relapsed"&amp;CHAR(10),""),IF(V318&lt;V322," * TB cases with documented HIV status "&amp;$V$20&amp;" "&amp;$V$21&amp;" is more than Total TB Cases New and relapsed"&amp;CHAR(10),""),IF(W318&lt;W322," * TB cases with documented HIV status "&amp;$V$20&amp;" "&amp;$W$21&amp;" is more than Total TB Cases New and relapsed"&amp;CHAR(10),""),IF(X318&lt;X322," * TB cases with documented HIV status "&amp;$X$20&amp;" "&amp;$X$21&amp;" is more than Total TB Cases New and relapsed"&amp;CHAR(10),""),IF(Y318&lt;Y322," * TB cases with documented HIV status "&amp;$X$20&amp;" "&amp;$Y$21&amp;" is more than Total TB Cases New and relapsed"&amp;CHAR(10),""),IF(Z318&lt;Z322," * TB cases with documented HIV status "&amp;$Z$20&amp;" "&amp;$Z$21&amp;" is more than Total TB Cases New and relapsed"&amp;CHAR(10),""),IF(AA318&lt;AA322," * TB cases with documented HIV status "&amp;$Z$20&amp;" "&amp;$AA$21&amp;" is more than Total TB Cases New and relapsed"&amp;CHAR(10),""))</f>
        <v/>
      </c>
      <c r="AD322" s="717"/>
      <c r="AE322" s="80"/>
      <c r="AF322" s="720"/>
      <c r="AG322" s="403">
        <v>315</v>
      </c>
      <c r="AH322" s="310"/>
    </row>
    <row r="323" spans="1:34" x14ac:dyDescent="0.5">
      <c r="A323" s="589"/>
      <c r="B323" s="277" t="s">
        <v>551</v>
      </c>
      <c r="C323" s="131" t="s">
        <v>543</v>
      </c>
      <c r="D323" s="176"/>
      <c r="E323" s="22"/>
      <c r="F323" s="19"/>
      <c r="G323" s="19"/>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22"/>
        <v>0</v>
      </c>
      <c r="AC323" s="79" t="str">
        <f>CONCATENATE(IF(D321&lt;D323," * Newly Tested Positives "&amp;$D$20&amp;" "&amp;$D$21&amp;" is more than TB Cases newly tested for HIV"&amp;CHAR(10),""),IF(E321&lt;E323," * Newly Tested Positives "&amp;$D$20&amp;" "&amp;$E$21&amp;" is more than TB Cases newly tested for HIV"&amp;CHAR(10),""),IF(F321&lt;F323," * Newly Tested Positives "&amp;$F$20&amp;" "&amp;$F$21&amp;" is more than TB Cases newly tested for HIV"&amp;CHAR(10),""),IF(G321&lt;G323," * Newly Tested Positives "&amp;$F$20&amp;" "&amp;$G$21&amp;" is more than TB Cases newly tested for HIV"&amp;CHAR(10),""),IF(H321&lt;H323," * Newly Tested Positives "&amp;$H$20&amp;" "&amp;$H$21&amp;" is more than TB Cases newly tested for HIV"&amp;CHAR(10),""),IF(I321&lt;I323," * Newly Tested Positives "&amp;$H$20&amp;" "&amp;$I$21&amp;" is more than TB Cases newly tested for HIV"&amp;CHAR(10),""),IF(J321&lt;J323," * Newly Tested Positives "&amp;$J$20&amp;" "&amp;$J$21&amp;" is more than TB Cases newly tested for HIV"&amp;CHAR(10),""),IF(K321&lt;K323," * Newly Tested Positives "&amp;$J$20&amp;" "&amp;$K$21&amp;" is more than TB Cases newly tested for HIV"&amp;CHAR(10),""),IF(L321&lt;L323," * Newly Tested Positives "&amp;$L$20&amp;" "&amp;$L$21&amp;" is more than TB Cases newly tested for HIV"&amp;CHAR(10),""),IF(M321&lt;M323," * Newly Tested Positives "&amp;$L$20&amp;" "&amp;$M$21&amp;" is more than TB Cases newly tested for HIV"&amp;CHAR(10),""),IF(N321&lt;N323," * Newly Tested Positives "&amp;$N$20&amp;" "&amp;$N$21&amp;" is more than TB Cases newly tested for HIV"&amp;CHAR(10),""),IF(O321&lt;O323," * Newly Tested Positives "&amp;$N$20&amp;" "&amp;$O$21&amp;" is more than TB Cases newly tested for HIV"&amp;CHAR(10),""),IF(P321&lt;P323," * Newly Tested Positives "&amp;$P$20&amp;" "&amp;$P$21&amp;" is more than TB Cases newly tested for HIV"&amp;CHAR(10),""),IF(Q321&lt;Q323," * Newly Tested Positives "&amp;$P$20&amp;" "&amp;$Q$21&amp;" is more than TB Cases newly tested for HIV"&amp;CHAR(10),""),IF(R321&lt;R323," * Newly Tested Positives "&amp;$R$20&amp;" "&amp;$R$21&amp;" is more than TB Cases newly tested for HIV"&amp;CHAR(10),""),IF(S321&lt;S323," * Newly Tested Positives "&amp;$R$20&amp;" "&amp;$S$21&amp;" is more than TB Cases newly tested for HIV"&amp;CHAR(10),""),IF(T321&lt;T323," * Newly Tested Positives "&amp;$T$20&amp;" "&amp;$T$21&amp;" is more than TB Cases newly tested for HIV"&amp;CHAR(10),""),IF(U321&lt;U323," * Newly Tested Positives "&amp;$T$20&amp;" "&amp;$U$21&amp;" is more than TB Cases newly tested for HIV"&amp;CHAR(10),""),IF(V321&lt;V323," * Newly Tested Positives "&amp;$V$20&amp;" "&amp;$V$21&amp;" is more than TB Cases newly tested for HIV"&amp;CHAR(10),""),IF(W321&lt;W323," * Newly Tested Positives "&amp;$V$20&amp;" "&amp;$W$21&amp;" is more than TB Cases newly tested for HIV"&amp;CHAR(10),""),IF(X321&lt;X323," * Newly Tested Positives "&amp;$X$20&amp;" "&amp;$X$21&amp;" is more than TB Cases newly tested for HIV"&amp;CHAR(10),""),IF(Y321&lt;Y323," * Newly Tested Positives "&amp;$X$20&amp;" "&amp;$Y$21&amp;" is more than TB Cases newly tested for HIV"&amp;CHAR(10),""),IF(Z321&lt;Z323," * Newly Tested Positives "&amp;$Z$20&amp;" "&amp;$Z$21&amp;" is more than TB Cases newly tested for HIV"&amp;CHAR(10),""),IF(AA321&lt;AA323," * Newly Tested Positives "&amp;$Z$20&amp;" "&amp;$AA$21&amp;" is more than TB Cases newly tested for HIV"&amp;CHAR(10),""))</f>
        <v/>
      </c>
      <c r="AD323" s="717"/>
      <c r="AE323" s="80"/>
      <c r="AF323" s="720"/>
      <c r="AG323" s="403">
        <v>316</v>
      </c>
    </row>
    <row r="324" spans="1:34" ht="33" thickBot="1" x14ac:dyDescent="0.55000000000000004">
      <c r="A324" s="589"/>
      <c r="B324" s="411" t="s">
        <v>544</v>
      </c>
      <c r="C324" s="144" t="s">
        <v>545</v>
      </c>
      <c r="D324" s="177"/>
      <c r="E324" s="29"/>
      <c r="F324" s="87">
        <f t="shared" ref="F324:AA324" si="125">F323+F319</f>
        <v>0</v>
      </c>
      <c r="G324" s="87">
        <f t="shared" si="125"/>
        <v>0</v>
      </c>
      <c r="H324" s="87">
        <f t="shared" si="125"/>
        <v>0</v>
      </c>
      <c r="I324" s="87">
        <f t="shared" si="125"/>
        <v>0</v>
      </c>
      <c r="J324" s="87">
        <f t="shared" si="125"/>
        <v>0</v>
      </c>
      <c r="K324" s="87">
        <f t="shared" si="125"/>
        <v>0</v>
      </c>
      <c r="L324" s="87">
        <f t="shared" si="125"/>
        <v>0</v>
      </c>
      <c r="M324" s="87">
        <f t="shared" si="125"/>
        <v>0</v>
      </c>
      <c r="N324" s="87">
        <f t="shared" si="125"/>
        <v>0</v>
      </c>
      <c r="O324" s="87">
        <f t="shared" si="125"/>
        <v>0</v>
      </c>
      <c r="P324" s="87">
        <f t="shared" si="125"/>
        <v>0</v>
      </c>
      <c r="Q324" s="87">
        <f t="shared" si="125"/>
        <v>0</v>
      </c>
      <c r="R324" s="87">
        <f t="shared" si="125"/>
        <v>0</v>
      </c>
      <c r="S324" s="87">
        <f t="shared" si="125"/>
        <v>0</v>
      </c>
      <c r="T324" s="87">
        <f t="shared" si="125"/>
        <v>0</v>
      </c>
      <c r="U324" s="87">
        <f t="shared" si="125"/>
        <v>0</v>
      </c>
      <c r="V324" s="87">
        <f t="shared" si="125"/>
        <v>0</v>
      </c>
      <c r="W324" s="239">
        <f t="shared" si="125"/>
        <v>0</v>
      </c>
      <c r="X324" s="87">
        <f t="shared" si="125"/>
        <v>0</v>
      </c>
      <c r="Y324" s="87">
        <f t="shared" si="125"/>
        <v>0</v>
      </c>
      <c r="Z324" s="87">
        <f t="shared" si="125"/>
        <v>0</v>
      </c>
      <c r="AA324" s="87">
        <f t="shared" si="125"/>
        <v>0</v>
      </c>
      <c r="AB324" s="88">
        <f t="shared" si="122"/>
        <v>0</v>
      </c>
      <c r="AC324" s="82"/>
      <c r="AD324" s="717"/>
      <c r="AE324" s="80"/>
      <c r="AF324" s="720"/>
      <c r="AG324" s="403">
        <v>317</v>
      </c>
    </row>
    <row r="325" spans="1:34" x14ac:dyDescent="0.5">
      <c r="A325" s="589"/>
      <c r="B325" s="303" t="s">
        <v>548</v>
      </c>
      <c r="C325" s="263" t="s">
        <v>546</v>
      </c>
      <c r="D325" s="175"/>
      <c r="E325" s="77"/>
      <c r="F325" s="34"/>
      <c r="G325" s="34"/>
      <c r="H325" s="34"/>
      <c r="I325" s="34"/>
      <c r="J325" s="34"/>
      <c r="K325" s="34"/>
      <c r="L325" s="34"/>
      <c r="M325" s="34"/>
      <c r="N325" s="34"/>
      <c r="O325" s="34"/>
      <c r="P325" s="34"/>
      <c r="Q325" s="34"/>
      <c r="R325" s="34"/>
      <c r="S325" s="34"/>
      <c r="T325" s="34"/>
      <c r="U325" s="34"/>
      <c r="V325" s="34"/>
      <c r="W325" s="34"/>
      <c r="X325" s="34"/>
      <c r="Y325" s="34"/>
      <c r="Z325" s="34"/>
      <c r="AA325" s="34"/>
      <c r="AB325" s="35">
        <f t="shared" si="122"/>
        <v>0</v>
      </c>
      <c r="AC325" s="79"/>
      <c r="AD325" s="717"/>
      <c r="AE325" s="79" t="str">
        <f>CONCATENATE(IF(D323&gt;D325," * Newly Tested Positives "&amp;$D$20&amp;" "&amp;$D$21&amp;" is more than Total Positive Clients newly started on ART"&amp;CHAR(10),""),IF(E323&gt;E325," * Newly Tested Positives "&amp;$D$20&amp;" "&amp;$E$21&amp;" is more than Total Positive Clients newly started on ART"&amp;CHAR(10),""),IF(F323&gt;F325," * Newly Tested Positives "&amp;$F$20&amp;" "&amp;$F$21&amp;" is more than Total Positive Clients newly started on ART"&amp;CHAR(10),""),IF(G323&gt;G325," * Newly Tested Positives "&amp;$F$20&amp;" "&amp;$G$21&amp;" is more than Total Positive Clients newly started on ART"&amp;CHAR(10),""),IF(H323&gt;H325," * Newly Tested Positives "&amp;$H$20&amp;" "&amp;$H$21&amp;" is more than Total Positive Clients newly started on ART"&amp;CHAR(10),""),IF(I323&gt;I325," * Newly Tested Positives "&amp;$H$20&amp;" "&amp;$I$21&amp;" is more than Total Positive Clients newly started on ART"&amp;CHAR(10),""),IF(J323&gt;J325," * Newly Tested Positives "&amp;$J$20&amp;" "&amp;$J$21&amp;" is more than Total Positive Clients newly started on ART"&amp;CHAR(10),""),IF(K323&gt;K325," * Newly Tested Positives "&amp;$J$20&amp;" "&amp;$K$21&amp;" is more than Total Positive Clients newly started on ART"&amp;CHAR(10),""),IF(L323&gt;L325," * Newly Tested Positives "&amp;$L$20&amp;" "&amp;$L$21&amp;" is more than Total Positive Clients newly started on ART"&amp;CHAR(10),""),IF(M323&gt;M325," * Newly Tested Positives "&amp;$L$20&amp;" "&amp;$M$21&amp;" is more than Total Positive Clients newly started on ART"&amp;CHAR(10),""),IF(N323&gt;N325," * Newly Tested Positives "&amp;$N$20&amp;" "&amp;$N$21&amp;" is more than Total Positive Clients newly started on ART"&amp;CHAR(10),""),IF(O323&gt;O325," * Newly Tested Positives "&amp;$N$20&amp;" "&amp;$O$21&amp;" is more than Total Positive Clients newly started on ART"&amp;CHAR(10),""),IF(P323&gt;P325," * Newly Tested Positives "&amp;$P$20&amp;" "&amp;$P$21&amp;" is more than Total Positive Clients newly started on ART"&amp;CHAR(10),""),IF(Q323&gt;Q325," * Newly Tested Positives "&amp;$P$20&amp;" "&amp;$Q$21&amp;" is more than Total Positive Clients newly started on ART"&amp;CHAR(10),""),IF(R323&gt;R325," * Newly Tested Positives "&amp;$R$20&amp;" "&amp;$R$21&amp;" is more than Total Positive Clients newly started on ART"&amp;CHAR(10),""),IF(S323&gt;S325," * Newly Tested Positives "&amp;$R$20&amp;" "&amp;$S$21&amp;" is more than Total Positive Clients newly started on ART"&amp;CHAR(10),""),IF(T323&gt;T325," * Newly Tested Positives "&amp;$T$20&amp;" "&amp;$T$21&amp;" is more than Total Positive Clients newly started on ART"&amp;CHAR(10),""),IF(U323&gt;U325," * Newly Tested Positives "&amp;$T$20&amp;" "&amp;$U$21&amp;" is more than Total Positive Clients newly started on ART"&amp;CHAR(10),""),IF(V323&gt;V325," * Newly Tested Positives "&amp;$V$20&amp;" "&amp;$V$21&amp;" is more than Total Positive Clients newly started on ART"&amp;CHAR(10),""),IF(W323&gt;W325," * Newly Tested Positives "&amp;$V$20&amp;" "&amp;$W$21&amp;" is more than Total Positive Clients newly started on ART"&amp;CHAR(10),""),IF(X323&gt;X325," * Newly Tested Positives "&amp;$X$20&amp;" "&amp;$X$21&amp;" is more than Total Positive Clients newly started on ART"&amp;CHAR(10),""),IF(Y323&gt;Y325," * Newly Tested Positives "&amp;$X$20&amp;" "&amp;$Y$21&amp;" is more than Total Positive Clients newly started on ART"&amp;CHAR(10),""),IF(Z323&gt;Z325," * Newly Tested Positives "&amp;$Z$20&amp;" "&amp;$Z$21&amp;" is more than Total Positive Clients newly started on ART"&amp;CHAR(10),""),IF(AA323&gt;AA325," * Newly Tested Positives "&amp;$Z$20&amp;" "&amp;$AA$21&amp;" is more than Total Positive Clients newly started on ART"&amp;CHAR(10),""))</f>
        <v/>
      </c>
      <c r="AF325" s="720"/>
      <c r="AG325" s="403">
        <v>318</v>
      </c>
    </row>
    <row r="326" spans="1:34" x14ac:dyDescent="0.5">
      <c r="A326" s="589"/>
      <c r="B326" s="412" t="s">
        <v>550</v>
      </c>
      <c r="C326" s="131" t="s">
        <v>547</v>
      </c>
      <c r="D326" s="176"/>
      <c r="E326" s="22"/>
      <c r="F326" s="19"/>
      <c r="G326" s="213"/>
      <c r="H326" s="213"/>
      <c r="I326" s="213"/>
      <c r="J326" s="213"/>
      <c r="K326" s="213"/>
      <c r="L326" s="213"/>
      <c r="M326" s="213"/>
      <c r="N326" s="213"/>
      <c r="O326" s="213"/>
      <c r="P326" s="213"/>
      <c r="Q326" s="213"/>
      <c r="R326" s="213"/>
      <c r="S326" s="213"/>
      <c r="T326" s="213"/>
      <c r="U326" s="213"/>
      <c r="V326" s="213"/>
      <c r="W326" s="213"/>
      <c r="X326" s="213"/>
      <c r="Y326" s="213"/>
      <c r="Z326" s="213"/>
      <c r="AA326" s="213"/>
      <c r="AB326" s="36">
        <f t="shared" si="122"/>
        <v>0</v>
      </c>
      <c r="AC326" s="79" t="str">
        <f>CONCATENATE(IF(D319&lt;&gt;D326," * TB Cases Already on ART at entry in TB clinic "&amp;$D$20&amp;" "&amp;$D$21&amp;" is Not equal to  TB cases with known HIV +ve status"&amp;CHAR(10),""),IF(E319&lt;&gt;E326," * TB Cases Already on ART at entry in TB clinic "&amp;$D$20&amp;" "&amp;$E$21&amp;" is Not equal to  TB cases with known HIV +ve status"&amp;CHAR(10),""),IF(F319&lt;&gt;F326," * TB Cases Already on ART at entry in TB clinic "&amp;$F$20&amp;" "&amp;$F$21&amp;" is Not equal to  TB cases with known HIV +ve status"&amp;CHAR(10),""),IF(G319&lt;&gt;G326," * TB Cases Already on ART at entry in TB clinic "&amp;$F$20&amp;" "&amp;$G$21&amp;" is Not equal to  TB cases with known HIV +ve status"&amp;CHAR(10),""),IF(H319&lt;&gt;H326," * TB Cases Already on ART at entry in TB clinic "&amp;$H$20&amp;" "&amp;$H$21&amp;" is Not equal to  TB cases with known HIV +ve status"&amp;CHAR(10),""),IF(I319&lt;&gt;I326," * TB Cases Already on ART at entry in TB clinic "&amp;$H$20&amp;" "&amp;$I$21&amp;" is Not equal to  TB cases with known HIV +ve status"&amp;CHAR(10),""),IF(J319&lt;&gt;J326," * TB Cases Already on ART at entry in TB clinic "&amp;$J$20&amp;" "&amp;$J$21&amp;" is Not equal to  TB cases with known HIV +ve status"&amp;CHAR(10),""),IF(K319&lt;&gt;K326," * TB Cases Already on ART at entry in TB clinic "&amp;$J$20&amp;" "&amp;$K$21&amp;" is Not equal to  TB cases with known HIV +ve status"&amp;CHAR(10),""),IF(L319&lt;&gt;L326," * TB Cases Already on ART at entry in TB clinic "&amp;$L$20&amp;" "&amp;$L$21&amp;" is Not equal to  TB cases with known HIV +ve status"&amp;CHAR(10),""),IF(M319&lt;&gt;M326," * TB Cases Already on ART at entry in TB clinic "&amp;$L$20&amp;" "&amp;$M$21&amp;" is Not equal to  TB cases with known HIV +ve status"&amp;CHAR(10),""),IF(N319&lt;&gt;N326," * TB Cases Already on ART at entry in TB clinic "&amp;$N$20&amp;" "&amp;$N$21&amp;" is Not equal to  TB cases with known HIV +ve status"&amp;CHAR(10),""),IF(O319&lt;&gt;O326," * TB Cases Already on ART at entry in TB clinic "&amp;$N$20&amp;" "&amp;$O$21&amp;" is Not equal to  TB cases with known HIV +ve status"&amp;CHAR(10),""),IF(P319&lt;&gt;P326," * TB Cases Already on ART at entry in TB clinic "&amp;$P$20&amp;" "&amp;$P$21&amp;" is Not equal to  TB cases with known HIV +ve status"&amp;CHAR(10),""),IF(Q319&lt;&gt;Q326," * TB Cases Already on ART at entry in TB clinic "&amp;$P$20&amp;" "&amp;$Q$21&amp;" is Not equal to  TB cases with known HIV +ve status"&amp;CHAR(10),""),IF(R319&lt;&gt;R326," * TB Cases Already on ART at entry in TB clinic "&amp;$R$20&amp;" "&amp;$R$21&amp;" is Not equal to  TB cases with known HIV +ve status"&amp;CHAR(10),""),IF(S319&lt;&gt;S326," * TB Cases Already on ART at entry in TB clinic "&amp;$R$20&amp;" "&amp;$S$21&amp;" is Not equal to  TB cases with known HIV +ve status"&amp;CHAR(10),""),IF(T319&lt;&gt;T326," * TB Cases Already on ART at entry in TB clinic "&amp;$T$20&amp;" "&amp;$T$21&amp;" is Not equal to  TB cases with known HIV +ve status"&amp;CHAR(10),""),IF(U319&lt;&gt;U326," * TB Cases Already on ART at entry in TB clinic "&amp;$T$20&amp;" "&amp;$U$21&amp;" is Not equal to  TB cases with known HIV +ve status"&amp;CHAR(10),""),IF(V319&lt;&gt;V326," * TB Cases Already on ART at entry in TB clinic "&amp;$V$20&amp;" "&amp;$V$21&amp;" is Not equal to  TB cases with known HIV +ve status"&amp;CHAR(10),""),IF(W319&lt;&gt;W326," * TB Cases Already on ART at entry in TB clinic "&amp;$V$20&amp;" "&amp;$W$21&amp;" is Not equal to  TB cases with known HIV +ve status"&amp;CHAR(10),""),IF(X319&lt;&gt;X326," * TB Cases Already on ART at entry in TB clinic "&amp;$X$20&amp;" "&amp;$X$21&amp;" is Not equal to  TB cases with known HIV +ve status"&amp;CHAR(10),""),IF(Y319&lt;&gt;Y326," * TB Cases Already on ART at entry in TB clinic "&amp;$X$20&amp;" "&amp;$Y$21&amp;" is Not equal to  TB cases with known HIV +ve status"&amp;CHAR(10),""),IF(Z319&lt;&gt;Z326," * TB Cases Already on ART at entry in TB clinic "&amp;$Z$20&amp;" "&amp;$Z$21&amp;" is Not equal to  TB cases with known HIV +ve status"&amp;CHAR(10),""),IF(AA319&lt;&gt;AA326," * TB Cases Already on ART at entry in TB clinic "&amp;$Z$20&amp;" "&amp;$AA$21&amp;" is Not equal to  TB cases with known HIV +ve status"&amp;CHAR(10),""))</f>
        <v/>
      </c>
      <c r="AD326" s="717"/>
      <c r="AE326" s="80"/>
      <c r="AF326" s="720"/>
      <c r="AG326" s="403">
        <v>319</v>
      </c>
    </row>
    <row r="327" spans="1:34" ht="33" thickBot="1" x14ac:dyDescent="0.55000000000000004">
      <c r="A327" s="590"/>
      <c r="B327" s="413" t="s">
        <v>556</v>
      </c>
      <c r="C327" s="133" t="s">
        <v>555</v>
      </c>
      <c r="D327" s="113"/>
      <c r="E327" s="78"/>
      <c r="F327" s="75">
        <f t="shared" ref="F327:AA327" si="126">F326+F325</f>
        <v>0</v>
      </c>
      <c r="G327" s="75">
        <f t="shared" si="126"/>
        <v>0</v>
      </c>
      <c r="H327" s="75">
        <f t="shared" si="126"/>
        <v>0</v>
      </c>
      <c r="I327" s="75">
        <f t="shared" si="126"/>
        <v>0</v>
      </c>
      <c r="J327" s="75">
        <f t="shared" si="126"/>
        <v>0</v>
      </c>
      <c r="K327" s="75">
        <f t="shared" si="126"/>
        <v>0</v>
      </c>
      <c r="L327" s="75">
        <f t="shared" si="126"/>
        <v>0</v>
      </c>
      <c r="M327" s="75">
        <f t="shared" si="126"/>
        <v>0</v>
      </c>
      <c r="N327" s="75">
        <f t="shared" si="126"/>
        <v>0</v>
      </c>
      <c r="O327" s="75">
        <f t="shared" si="126"/>
        <v>0</v>
      </c>
      <c r="P327" s="75">
        <f t="shared" si="126"/>
        <v>0</v>
      </c>
      <c r="Q327" s="75">
        <f t="shared" si="126"/>
        <v>0</v>
      </c>
      <c r="R327" s="75">
        <f t="shared" si="126"/>
        <v>0</v>
      </c>
      <c r="S327" s="75">
        <f t="shared" si="126"/>
        <v>0</v>
      </c>
      <c r="T327" s="75">
        <f t="shared" si="126"/>
        <v>0</v>
      </c>
      <c r="U327" s="75">
        <f t="shared" si="126"/>
        <v>0</v>
      </c>
      <c r="V327" s="75">
        <f t="shared" si="126"/>
        <v>0</v>
      </c>
      <c r="W327" s="75">
        <f t="shared" si="126"/>
        <v>0</v>
      </c>
      <c r="X327" s="75">
        <f t="shared" si="126"/>
        <v>0</v>
      </c>
      <c r="Y327" s="75">
        <f t="shared" si="126"/>
        <v>0</v>
      </c>
      <c r="Z327" s="75">
        <f t="shared" si="126"/>
        <v>0</v>
      </c>
      <c r="AA327" s="75">
        <f t="shared" si="126"/>
        <v>0</v>
      </c>
      <c r="AB327" s="39">
        <f t="shared" si="122"/>
        <v>0</v>
      </c>
      <c r="AC327" s="79" t="str">
        <f>CONCATENATE(IF(D322&lt;D327," * HIV coinfected clients started on ART "&amp;$D$20&amp;" "&amp;$D$21&amp;" is more than TB cases with documented HIV status"&amp;CHAR(10),""),IF(E322&lt;E327," * HIV coinfected clients started on ART "&amp;$D$20&amp;" "&amp;$E$21&amp;" is more than TB cases with documented HIV status"&amp;CHAR(10),""),IF(F322&lt;F327," * HIV coinfected clients started on ART "&amp;$F$20&amp;" "&amp;$F$21&amp;" is more than TB cases with documented HIV status"&amp;CHAR(10),""),IF(G322&lt;G327," * HIV coinfected clients started on ART "&amp;$F$20&amp;" "&amp;$G$21&amp;" is more than TB cases with documented HIV status"&amp;CHAR(10),""),IF(H322&lt;H327," * HIV coinfected clients started on ART "&amp;$H$20&amp;" "&amp;$H$21&amp;" is more than TB cases with documented HIV status"&amp;CHAR(10),""),IF(I322&lt;I327," * HIV coinfected clients started on ART "&amp;$H$20&amp;" "&amp;$I$21&amp;" is more than TB cases with documented HIV status"&amp;CHAR(10),""),IF(J322&lt;J327," * HIV coinfected clients started on ART "&amp;$J$20&amp;" "&amp;$J$21&amp;" is more than TB cases with documented HIV status"&amp;CHAR(10),""),IF(K322&lt;K327," * HIV coinfected clients started on ART "&amp;$J$20&amp;" "&amp;$K$21&amp;" is more than TB cases with documented HIV status"&amp;CHAR(10),""),IF(L322&lt;L327," * HIV coinfected clients started on ART "&amp;$L$20&amp;" "&amp;$L$21&amp;" is more than TB cases with documented HIV status"&amp;CHAR(10),""),IF(M322&lt;M327," * HIV coinfected clients started on ART "&amp;$L$20&amp;" "&amp;$M$21&amp;" is more than TB cases with documented HIV status"&amp;CHAR(10),""),IF(N322&lt;N327," * HIV coinfected clients started on ART "&amp;$N$20&amp;" "&amp;$N$21&amp;" is more than TB cases with documented HIV status"&amp;CHAR(10),""),IF(O322&lt;O327," * HIV coinfected clients started on ART "&amp;$N$20&amp;" "&amp;$O$21&amp;" is more than TB cases with documented HIV status"&amp;CHAR(10),""),IF(P322&lt;P327," * HIV coinfected clients started on ART "&amp;$P$20&amp;" "&amp;$P$21&amp;" is more than TB cases with documented HIV status"&amp;CHAR(10),""),IF(Q322&lt;Q327," * HIV coinfected clients started on ART "&amp;$P$20&amp;" "&amp;$Q$21&amp;" is more than TB cases with documented HIV status"&amp;CHAR(10),""),IF(R322&lt;R327," * HIV coinfected clients started on ART "&amp;$R$20&amp;" "&amp;$R$21&amp;" is more than TB cases with documented HIV status"&amp;CHAR(10),""),IF(S322&lt;S327," * HIV coinfected clients started on ART "&amp;$R$20&amp;" "&amp;$S$21&amp;" is more than TB cases with documented HIV status"&amp;CHAR(10),""),IF(T322&lt;T327," * HIV coinfected clients started on ART "&amp;$T$20&amp;" "&amp;$T$21&amp;" is more than TB cases with documented HIV status"&amp;CHAR(10),""),IF(U322&lt;U327," * HIV coinfected clients started on ART "&amp;$T$20&amp;" "&amp;$U$21&amp;" is more than TB cases with documented HIV status"&amp;CHAR(10),""),IF(V322&lt;V327," * HIV coinfected clients started on ART "&amp;$V$20&amp;" "&amp;$V$21&amp;" is more than TB cases with documented HIV status"&amp;CHAR(10),""),IF(W322&lt;W327," * HIV coinfected clients started on ART "&amp;$V$20&amp;" "&amp;$W$21&amp;" is more than TB cases with documented HIV status"&amp;CHAR(10),""),IF(X322&lt;X327," * HIV coinfected clients started on ART "&amp;$X$20&amp;" "&amp;$X$21&amp;" is more than TB cases with documented HIV status"&amp;CHAR(10),""),IF(Y322&lt;Y327," * HIV coinfected clients started on ART "&amp;$X$20&amp;" "&amp;$Y$21&amp;" is more than TB cases with documented HIV status"&amp;CHAR(10),""),IF(Z322&lt;Z327," * HIV coinfected clients started on ART "&amp;$Z$20&amp;" "&amp;$Z$21&amp;" is more than TB cases with documented HIV status"&amp;CHAR(10),""),IF(AA322&lt;AA327," * HIV coinfected clients started on ART "&amp;$Z$20&amp;" "&amp;$AA$21&amp;" is more than TB cases with documented HIV status"&amp;CHAR(10),""))</f>
        <v/>
      </c>
      <c r="AD327" s="718"/>
      <c r="AE327" s="80"/>
      <c r="AF327" s="721"/>
      <c r="AG327" s="403">
        <v>320</v>
      </c>
    </row>
    <row r="328" spans="1:34" s="207" customFormat="1" ht="36" hidden="1" thickBot="1" x14ac:dyDescent="0.55000000000000004">
      <c r="A328" s="585" t="s">
        <v>1056</v>
      </c>
      <c r="B328" s="585"/>
      <c r="C328" s="585"/>
      <c r="D328" s="585"/>
      <c r="E328" s="585"/>
      <c r="F328" s="585"/>
      <c r="G328" s="585"/>
      <c r="H328" s="585"/>
      <c r="I328" s="585"/>
      <c r="J328" s="585"/>
      <c r="K328" s="585"/>
      <c r="L328" s="585"/>
      <c r="M328" s="585"/>
      <c r="N328" s="585"/>
      <c r="O328" s="585"/>
      <c r="P328" s="585"/>
      <c r="Q328" s="585"/>
      <c r="R328" s="585"/>
      <c r="S328" s="585"/>
      <c r="T328" s="585"/>
      <c r="U328" s="585"/>
      <c r="V328" s="585"/>
      <c r="W328" s="585"/>
      <c r="X328" s="585"/>
      <c r="Y328" s="585"/>
      <c r="Z328" s="585"/>
      <c r="AA328" s="585"/>
      <c r="AB328" s="585"/>
      <c r="AC328" s="586"/>
      <c r="AD328" s="585"/>
      <c r="AE328" s="760"/>
      <c r="AF328" s="587"/>
      <c r="AG328" s="404">
        <v>310</v>
      </c>
      <c r="AH328" s="310"/>
    </row>
    <row r="329" spans="1:34" s="207" customFormat="1" ht="36" hidden="1" thickBot="1" x14ac:dyDescent="0.55000000000000004">
      <c r="A329" s="303" t="s">
        <v>1058</v>
      </c>
      <c r="B329" s="303" t="s">
        <v>1057</v>
      </c>
      <c r="C329" s="260" t="s">
        <v>1055</v>
      </c>
      <c r="D329" s="472"/>
      <c r="E329" s="469"/>
      <c r="F329" s="472"/>
      <c r="G329" s="469"/>
      <c r="H329" s="472"/>
      <c r="I329" s="469"/>
      <c r="J329" s="222"/>
      <c r="K329" s="222"/>
      <c r="L329" s="222"/>
      <c r="M329" s="222"/>
      <c r="N329" s="222"/>
      <c r="O329" s="222"/>
      <c r="P329" s="222"/>
      <c r="Q329" s="222"/>
      <c r="R329" s="222"/>
      <c r="S329" s="222"/>
      <c r="T329" s="222"/>
      <c r="U329" s="222"/>
      <c r="V329" s="222"/>
      <c r="W329" s="222"/>
      <c r="X329" s="222"/>
      <c r="Y329" s="222"/>
      <c r="Z329" s="222"/>
      <c r="AA329" s="222"/>
      <c r="AB329" s="223">
        <f t="shared" ref="AB329" si="127">SUM(D329:AA329)</f>
        <v>0</v>
      </c>
      <c r="AC329" s="233"/>
      <c r="AD329" s="479"/>
      <c r="AE329" s="477" t="str">
        <f>CONCATENATE(IF(D327&gt;D329," * Newly Tested Positives "&amp;$D$20&amp;" "&amp;$D$21&amp;" is more than Total Positive Clients newly started on ART"&amp;CHAR(10),""),IF(E327&gt;E329," * Newly Tested Positives "&amp;$D$20&amp;" "&amp;$E$21&amp;" is more than Total Positive Clients newly started on ART"&amp;CHAR(10),""),IF(F327&gt;F329," * Newly Tested Positives "&amp;$F$20&amp;" "&amp;$F$21&amp;" is more than Total Positive Clients newly started on ART"&amp;CHAR(10),""),IF(G327&gt;G329," * Newly Tested Positives "&amp;$F$20&amp;" "&amp;$G$21&amp;" is more than Total Positive Clients newly started on ART"&amp;CHAR(10),""),IF(H327&gt;H329," * Newly Tested Positives "&amp;$H$20&amp;" "&amp;$H$21&amp;" is more than Total Positive Clients newly started on ART"&amp;CHAR(10),""),IF(I327&gt;I329," * Newly Tested Positives "&amp;$H$20&amp;" "&amp;$I$21&amp;" is more than Total Positive Clients newly started on ART"&amp;CHAR(10),""),IF(J327&gt;J329," * Newly Tested Positives "&amp;$J$20&amp;" "&amp;$J$21&amp;" is more than Total Positive Clients newly started on ART"&amp;CHAR(10),""),IF(K327&gt;K329," * Newly Tested Positives "&amp;$J$20&amp;" "&amp;$K$21&amp;" is more than Total Positive Clients newly started on ART"&amp;CHAR(10),""),IF(L327&gt;L329," * Newly Tested Positives "&amp;$L$20&amp;" "&amp;$L$21&amp;" is more than Total Positive Clients newly started on ART"&amp;CHAR(10),""),IF(M327&gt;M329," * Newly Tested Positives "&amp;$L$20&amp;" "&amp;$M$21&amp;" is more than Total Positive Clients newly started on ART"&amp;CHAR(10),""),IF(N327&gt;N329," * Newly Tested Positives "&amp;$N$20&amp;" "&amp;$N$21&amp;" is more than Total Positive Clients newly started on ART"&amp;CHAR(10),""),IF(O327&gt;O329," * Newly Tested Positives "&amp;$N$20&amp;" "&amp;$O$21&amp;" is more than Total Positive Clients newly started on ART"&amp;CHAR(10),""),IF(P327&gt;P329," * Newly Tested Positives "&amp;$P$20&amp;" "&amp;$P$21&amp;" is more than Total Positive Clients newly started on ART"&amp;CHAR(10),""),IF(Q327&gt;Q329," * Newly Tested Positives "&amp;$P$20&amp;" "&amp;$Q$21&amp;" is more than Total Positive Clients newly started on ART"&amp;CHAR(10),""),IF(R327&gt;R329," * Newly Tested Positives "&amp;$R$20&amp;" "&amp;$R$21&amp;" is more than Total Positive Clients newly started on ART"&amp;CHAR(10),""),IF(S327&gt;S329," * Newly Tested Positives "&amp;$R$20&amp;" "&amp;$S$21&amp;" is more than Total Positive Clients newly started on ART"&amp;CHAR(10),""),IF(T327&gt;T329," * Newly Tested Positives "&amp;$T$20&amp;" "&amp;$T$21&amp;" is more than Total Positive Clients newly started on ART"&amp;CHAR(10),""),IF(U327&gt;U329," * Newly Tested Positives "&amp;$T$20&amp;" "&amp;$U$21&amp;" is more than Total Positive Clients newly started on ART"&amp;CHAR(10),""),IF(V327&gt;V329," * Newly Tested Positives "&amp;$V$20&amp;" "&amp;$V$21&amp;" is more than Total Positive Clients newly started on ART"&amp;CHAR(10),""),IF(W327&gt;W329," * Newly Tested Positives "&amp;$V$20&amp;" "&amp;$W$21&amp;" is more than Total Positive Clients newly started on ART"&amp;CHAR(10),""),IF(X327&gt;X329," * Newly Tested Positives "&amp;$X$20&amp;" "&amp;$X$21&amp;" is more than Total Positive Clients newly started on ART"&amp;CHAR(10),""),IF(Y327&gt;Y329," * Newly Tested Positives "&amp;$X$20&amp;" "&amp;$Y$21&amp;" is more than Total Positive Clients newly started on ART"&amp;CHAR(10),""),IF(Z327&gt;Z329," * Newly Tested Positives "&amp;$Z$20&amp;" "&amp;$Z$21&amp;" is more than Total Positive Clients newly started on ART"&amp;CHAR(10),""),IF(AA327&gt;AA329," * Newly Tested Positives "&amp;$Z$20&amp;" "&amp;$AA$21&amp;" is more than Total Positive Clients newly started on ART"&amp;CHAR(10),""))</f>
        <v/>
      </c>
      <c r="AF329" s="478"/>
      <c r="AG329" s="403">
        <v>318</v>
      </c>
      <c r="AH329" s="310"/>
    </row>
    <row r="330" spans="1:34" ht="63" customHeight="1" thickBot="1" x14ac:dyDescent="0.6">
      <c r="A330" s="546" t="s">
        <v>470</v>
      </c>
      <c r="B330" s="467"/>
      <c r="F330" s="3"/>
      <c r="G330" s="3"/>
      <c r="I330" s="3"/>
      <c r="J330" s="3"/>
      <c r="M330" s="3"/>
      <c r="N330" s="3"/>
      <c r="O330" s="3"/>
      <c r="Q330" s="3"/>
      <c r="X330" s="3"/>
    </row>
    <row r="332" spans="1:34" ht="33" thickBot="1" x14ac:dyDescent="0.6">
      <c r="A332" s="538"/>
      <c r="B332" s="209"/>
      <c r="E332" s="3"/>
      <c r="F332" s="3"/>
      <c r="G332" s="3"/>
      <c r="H332" s="3"/>
      <c r="I332" s="3"/>
      <c r="J332" s="3"/>
      <c r="K332" s="3"/>
      <c r="L332" s="3"/>
      <c r="M332" s="3"/>
    </row>
    <row r="333" spans="1:34" s="417" customFormat="1" ht="41.25" customHeight="1" thickBot="1" x14ac:dyDescent="0.3">
      <c r="A333" s="793" t="s">
        <v>1031</v>
      </c>
      <c r="B333" s="794"/>
      <c r="C333" s="794"/>
      <c r="D333" s="794"/>
      <c r="E333" s="794"/>
      <c r="F333" s="794"/>
      <c r="G333" s="794"/>
      <c r="H333" s="794"/>
      <c r="I333" s="794"/>
      <c r="J333" s="794"/>
      <c r="K333" s="794"/>
      <c r="L333" s="794"/>
      <c r="M333" s="795" t="s">
        <v>1028</v>
      </c>
      <c r="N333" s="794"/>
      <c r="O333" s="794"/>
      <c r="P333" s="794"/>
      <c r="Q333" s="794"/>
      <c r="R333" s="794"/>
      <c r="S333" s="794"/>
      <c r="T333" s="794"/>
      <c r="U333" s="794"/>
      <c r="V333" s="794"/>
      <c r="W333" s="794"/>
      <c r="X333" s="794"/>
      <c r="Y333" s="794"/>
      <c r="Z333" s="794"/>
      <c r="AA333" s="794"/>
      <c r="AB333" s="794"/>
      <c r="AC333" s="794"/>
      <c r="AD333" s="794"/>
      <c r="AE333" s="794"/>
      <c r="AF333" s="796"/>
      <c r="AG333" s="416"/>
      <c r="AH333" s="416"/>
    </row>
    <row r="334" spans="1:34" ht="30.75" customHeight="1" x14ac:dyDescent="0.5">
      <c r="A334" s="784" t="str">
        <f>CONCATENATE(AD318,AD298,AD287,AD273,AD248,AD231,AD219,AD197,AD179,AD170,AD161,AD152,AD143,AD116,AD101,AD64,AD54,AD22,AD8)</f>
        <v/>
      </c>
      <c r="B334" s="785"/>
      <c r="C334" s="785"/>
      <c r="D334" s="785"/>
      <c r="E334" s="785"/>
      <c r="F334" s="785"/>
      <c r="G334" s="785"/>
      <c r="H334" s="785"/>
      <c r="I334" s="785"/>
      <c r="J334" s="785"/>
      <c r="K334" s="785"/>
      <c r="L334" s="786"/>
      <c r="M334" s="797" t="str">
        <f>IF(LEN(A334)&lt;=0,"","Please ensure you solve the errors appearing on the left . However, In the cases where the errors are valid and can be explained ( We expect this to be very rare cases), Please delete this message and type the  justification for the error here)")</f>
        <v/>
      </c>
      <c r="N334" s="798"/>
      <c r="O334" s="798"/>
      <c r="P334" s="798"/>
      <c r="Q334" s="798"/>
      <c r="R334" s="798"/>
      <c r="S334" s="798"/>
      <c r="T334" s="798"/>
      <c r="U334" s="798"/>
      <c r="V334" s="798"/>
      <c r="W334" s="798"/>
      <c r="X334" s="798"/>
      <c r="Y334" s="798"/>
      <c r="Z334" s="798"/>
      <c r="AA334" s="798"/>
      <c r="AB334" s="798"/>
      <c r="AC334" s="798"/>
      <c r="AD334" s="798"/>
      <c r="AE334" s="798"/>
      <c r="AF334" s="799"/>
    </row>
    <row r="335" spans="1:34" ht="25.5" customHeight="1" x14ac:dyDescent="0.5">
      <c r="A335" s="787"/>
      <c r="B335" s="788"/>
      <c r="C335" s="788"/>
      <c r="D335" s="788"/>
      <c r="E335" s="788"/>
      <c r="F335" s="788"/>
      <c r="G335" s="788"/>
      <c r="H335" s="788"/>
      <c r="I335" s="788"/>
      <c r="J335" s="788"/>
      <c r="K335" s="788"/>
      <c r="L335" s="789"/>
      <c r="M335" s="800"/>
      <c r="N335" s="801"/>
      <c r="O335" s="801"/>
      <c r="P335" s="801"/>
      <c r="Q335" s="801"/>
      <c r="R335" s="801"/>
      <c r="S335" s="801"/>
      <c r="T335" s="801"/>
      <c r="U335" s="801"/>
      <c r="V335" s="801"/>
      <c r="W335" s="801"/>
      <c r="X335" s="801"/>
      <c r="Y335" s="801"/>
      <c r="Z335" s="801"/>
      <c r="AA335" s="801"/>
      <c r="AB335" s="801"/>
      <c r="AC335" s="801"/>
      <c r="AD335" s="801"/>
      <c r="AE335" s="801"/>
      <c r="AF335" s="802"/>
    </row>
    <row r="336" spans="1:34" ht="30.75" customHeight="1" x14ac:dyDescent="0.5">
      <c r="A336" s="787"/>
      <c r="B336" s="788"/>
      <c r="C336" s="788"/>
      <c r="D336" s="788"/>
      <c r="E336" s="788"/>
      <c r="F336" s="788"/>
      <c r="G336" s="788"/>
      <c r="H336" s="788"/>
      <c r="I336" s="788"/>
      <c r="J336" s="788"/>
      <c r="K336" s="788"/>
      <c r="L336" s="789"/>
      <c r="M336" s="800"/>
      <c r="N336" s="801"/>
      <c r="O336" s="801"/>
      <c r="P336" s="801"/>
      <c r="Q336" s="801"/>
      <c r="R336" s="801"/>
      <c r="S336" s="801"/>
      <c r="T336" s="801"/>
      <c r="U336" s="801"/>
      <c r="V336" s="801"/>
      <c r="W336" s="801"/>
      <c r="X336" s="801"/>
      <c r="Y336" s="801"/>
      <c r="Z336" s="801"/>
      <c r="AA336" s="801"/>
      <c r="AB336" s="801"/>
      <c r="AC336" s="801"/>
      <c r="AD336" s="801"/>
      <c r="AE336" s="801"/>
      <c r="AF336" s="802"/>
    </row>
    <row r="337" spans="1:32" ht="25.5" customHeight="1" x14ac:dyDescent="0.5">
      <c r="A337" s="787"/>
      <c r="B337" s="788"/>
      <c r="C337" s="788"/>
      <c r="D337" s="788"/>
      <c r="E337" s="788"/>
      <c r="F337" s="788"/>
      <c r="G337" s="788"/>
      <c r="H337" s="788"/>
      <c r="I337" s="788"/>
      <c r="J337" s="788"/>
      <c r="K337" s="788"/>
      <c r="L337" s="789"/>
      <c r="M337" s="800"/>
      <c r="N337" s="801"/>
      <c r="O337" s="801"/>
      <c r="P337" s="801"/>
      <c r="Q337" s="801"/>
      <c r="R337" s="801"/>
      <c r="S337" s="801"/>
      <c r="T337" s="801"/>
      <c r="U337" s="801"/>
      <c r="V337" s="801"/>
      <c r="W337" s="801"/>
      <c r="X337" s="801"/>
      <c r="Y337" s="801"/>
      <c r="Z337" s="801"/>
      <c r="AA337" s="801"/>
      <c r="AB337" s="801"/>
      <c r="AC337" s="801"/>
      <c r="AD337" s="801"/>
      <c r="AE337" s="801"/>
      <c r="AF337" s="802"/>
    </row>
    <row r="338" spans="1:32" ht="25.5" customHeight="1" x14ac:dyDescent="0.5">
      <c r="A338" s="787"/>
      <c r="B338" s="788"/>
      <c r="C338" s="788"/>
      <c r="D338" s="788"/>
      <c r="E338" s="788"/>
      <c r="F338" s="788"/>
      <c r="G338" s="788"/>
      <c r="H338" s="788"/>
      <c r="I338" s="788"/>
      <c r="J338" s="788"/>
      <c r="K338" s="788"/>
      <c r="L338" s="789"/>
      <c r="M338" s="800"/>
      <c r="N338" s="801"/>
      <c r="O338" s="801"/>
      <c r="P338" s="801"/>
      <c r="Q338" s="801"/>
      <c r="R338" s="801"/>
      <c r="S338" s="801"/>
      <c r="T338" s="801"/>
      <c r="U338" s="801"/>
      <c r="V338" s="801"/>
      <c r="W338" s="801"/>
      <c r="X338" s="801"/>
      <c r="Y338" s="801"/>
      <c r="Z338" s="801"/>
      <c r="AA338" s="801"/>
      <c r="AB338" s="801"/>
      <c r="AC338" s="801"/>
      <c r="AD338" s="801"/>
      <c r="AE338" s="801"/>
      <c r="AF338" s="802"/>
    </row>
    <row r="339" spans="1:32" ht="25.5" customHeight="1" x14ac:dyDescent="0.5">
      <c r="A339" s="787"/>
      <c r="B339" s="788"/>
      <c r="C339" s="788"/>
      <c r="D339" s="788"/>
      <c r="E339" s="788"/>
      <c r="F339" s="788"/>
      <c r="G339" s="788"/>
      <c r="H339" s="788"/>
      <c r="I339" s="788"/>
      <c r="J339" s="788"/>
      <c r="K339" s="788"/>
      <c r="L339" s="789"/>
      <c r="M339" s="800"/>
      <c r="N339" s="801"/>
      <c r="O339" s="801"/>
      <c r="P339" s="801"/>
      <c r="Q339" s="801"/>
      <c r="R339" s="801"/>
      <c r="S339" s="801"/>
      <c r="T339" s="801"/>
      <c r="U339" s="801"/>
      <c r="V339" s="801"/>
      <c r="W339" s="801"/>
      <c r="X339" s="801"/>
      <c r="Y339" s="801"/>
      <c r="Z339" s="801"/>
      <c r="AA339" s="801"/>
      <c r="AB339" s="801"/>
      <c r="AC339" s="801"/>
      <c r="AD339" s="801"/>
      <c r="AE339" s="801"/>
      <c r="AF339" s="802"/>
    </row>
    <row r="340" spans="1:32" ht="25.5" customHeight="1" x14ac:dyDescent="0.5">
      <c r="A340" s="787"/>
      <c r="B340" s="788"/>
      <c r="C340" s="788"/>
      <c r="D340" s="788"/>
      <c r="E340" s="788"/>
      <c r="F340" s="788"/>
      <c r="G340" s="788"/>
      <c r="H340" s="788"/>
      <c r="I340" s="788"/>
      <c r="J340" s="788"/>
      <c r="K340" s="788"/>
      <c r="L340" s="789"/>
      <c r="M340" s="800"/>
      <c r="N340" s="801"/>
      <c r="O340" s="801"/>
      <c r="P340" s="801"/>
      <c r="Q340" s="801"/>
      <c r="R340" s="801"/>
      <c r="S340" s="801"/>
      <c r="T340" s="801"/>
      <c r="U340" s="801"/>
      <c r="V340" s="801"/>
      <c r="W340" s="801"/>
      <c r="X340" s="801"/>
      <c r="Y340" s="801"/>
      <c r="Z340" s="801"/>
      <c r="AA340" s="801"/>
      <c r="AB340" s="801"/>
      <c r="AC340" s="801"/>
      <c r="AD340" s="801"/>
      <c r="AE340" s="801"/>
      <c r="AF340" s="802"/>
    </row>
    <row r="341" spans="1:32" ht="25.5" customHeight="1" x14ac:dyDescent="0.5">
      <c r="A341" s="787"/>
      <c r="B341" s="788"/>
      <c r="C341" s="788"/>
      <c r="D341" s="788"/>
      <c r="E341" s="788"/>
      <c r="F341" s="788"/>
      <c r="G341" s="788"/>
      <c r="H341" s="788"/>
      <c r="I341" s="788"/>
      <c r="J341" s="788"/>
      <c r="K341" s="788"/>
      <c r="L341" s="789"/>
      <c r="M341" s="800"/>
      <c r="N341" s="801"/>
      <c r="O341" s="801"/>
      <c r="P341" s="801"/>
      <c r="Q341" s="801"/>
      <c r="R341" s="801"/>
      <c r="S341" s="801"/>
      <c r="T341" s="801"/>
      <c r="U341" s="801"/>
      <c r="V341" s="801"/>
      <c r="W341" s="801"/>
      <c r="X341" s="801"/>
      <c r="Y341" s="801"/>
      <c r="Z341" s="801"/>
      <c r="AA341" s="801"/>
      <c r="AB341" s="801"/>
      <c r="AC341" s="801"/>
      <c r="AD341" s="801"/>
      <c r="AE341" s="801"/>
      <c r="AF341" s="802"/>
    </row>
    <row r="342" spans="1:32" ht="25.5" customHeight="1" x14ac:dyDescent="0.5">
      <c r="A342" s="787"/>
      <c r="B342" s="788"/>
      <c r="C342" s="788"/>
      <c r="D342" s="788"/>
      <c r="E342" s="788"/>
      <c r="F342" s="788"/>
      <c r="G342" s="788"/>
      <c r="H342" s="788"/>
      <c r="I342" s="788"/>
      <c r="J342" s="788"/>
      <c r="K342" s="788"/>
      <c r="L342" s="789"/>
      <c r="M342" s="800"/>
      <c r="N342" s="801"/>
      <c r="O342" s="801"/>
      <c r="P342" s="801"/>
      <c r="Q342" s="801"/>
      <c r="R342" s="801"/>
      <c r="S342" s="801"/>
      <c r="T342" s="801"/>
      <c r="U342" s="801"/>
      <c r="V342" s="801"/>
      <c r="W342" s="801"/>
      <c r="X342" s="801"/>
      <c r="Y342" s="801"/>
      <c r="Z342" s="801"/>
      <c r="AA342" s="801"/>
      <c r="AB342" s="801"/>
      <c r="AC342" s="801"/>
      <c r="AD342" s="801"/>
      <c r="AE342" s="801"/>
      <c r="AF342" s="802"/>
    </row>
    <row r="343" spans="1:32" ht="25.5" customHeight="1" x14ac:dyDescent="0.5">
      <c r="A343" s="787"/>
      <c r="B343" s="788"/>
      <c r="C343" s="788"/>
      <c r="D343" s="788"/>
      <c r="E343" s="788"/>
      <c r="F343" s="788"/>
      <c r="G343" s="788"/>
      <c r="H343" s="788"/>
      <c r="I343" s="788"/>
      <c r="J343" s="788"/>
      <c r="K343" s="788"/>
      <c r="L343" s="789"/>
      <c r="M343" s="800"/>
      <c r="N343" s="801"/>
      <c r="O343" s="801"/>
      <c r="P343" s="801"/>
      <c r="Q343" s="801"/>
      <c r="R343" s="801"/>
      <c r="S343" s="801"/>
      <c r="T343" s="801"/>
      <c r="U343" s="801"/>
      <c r="V343" s="801"/>
      <c r="W343" s="801"/>
      <c r="X343" s="801"/>
      <c r="Y343" s="801"/>
      <c r="Z343" s="801"/>
      <c r="AA343" s="801"/>
      <c r="AB343" s="801"/>
      <c r="AC343" s="801"/>
      <c r="AD343" s="801"/>
      <c r="AE343" s="801"/>
      <c r="AF343" s="802"/>
    </row>
    <row r="344" spans="1:32" ht="25.5" customHeight="1" x14ac:dyDescent="0.5">
      <c r="A344" s="787"/>
      <c r="B344" s="788"/>
      <c r="C344" s="788"/>
      <c r="D344" s="788"/>
      <c r="E344" s="788"/>
      <c r="F344" s="788"/>
      <c r="G344" s="788"/>
      <c r="H344" s="788"/>
      <c r="I344" s="788"/>
      <c r="J344" s="788"/>
      <c r="K344" s="788"/>
      <c r="L344" s="789"/>
      <c r="M344" s="800"/>
      <c r="N344" s="801"/>
      <c r="O344" s="801"/>
      <c r="P344" s="801"/>
      <c r="Q344" s="801"/>
      <c r="R344" s="801"/>
      <c r="S344" s="801"/>
      <c r="T344" s="801"/>
      <c r="U344" s="801"/>
      <c r="V344" s="801"/>
      <c r="W344" s="801"/>
      <c r="X344" s="801"/>
      <c r="Y344" s="801"/>
      <c r="Z344" s="801"/>
      <c r="AA344" s="801"/>
      <c r="AB344" s="801"/>
      <c r="AC344" s="801"/>
      <c r="AD344" s="801"/>
      <c r="AE344" s="801"/>
      <c r="AF344" s="802"/>
    </row>
    <row r="345" spans="1:32" ht="25.5" customHeight="1" x14ac:dyDescent="0.5">
      <c r="A345" s="787"/>
      <c r="B345" s="788"/>
      <c r="C345" s="788"/>
      <c r="D345" s="788"/>
      <c r="E345" s="788"/>
      <c r="F345" s="788"/>
      <c r="G345" s="788"/>
      <c r="H345" s="788"/>
      <c r="I345" s="788"/>
      <c r="J345" s="788"/>
      <c r="K345" s="788"/>
      <c r="L345" s="789"/>
      <c r="M345" s="800"/>
      <c r="N345" s="801"/>
      <c r="O345" s="801"/>
      <c r="P345" s="801"/>
      <c r="Q345" s="801"/>
      <c r="R345" s="801"/>
      <c r="S345" s="801"/>
      <c r="T345" s="801"/>
      <c r="U345" s="801"/>
      <c r="V345" s="801"/>
      <c r="W345" s="801"/>
      <c r="X345" s="801"/>
      <c r="Y345" s="801"/>
      <c r="Z345" s="801"/>
      <c r="AA345" s="801"/>
      <c r="AB345" s="801"/>
      <c r="AC345" s="801"/>
      <c r="AD345" s="801"/>
      <c r="AE345" s="801"/>
      <c r="AF345" s="802"/>
    </row>
    <row r="346" spans="1:32" ht="25.5" customHeight="1" x14ac:dyDescent="0.5">
      <c r="A346" s="787"/>
      <c r="B346" s="788"/>
      <c r="C346" s="788"/>
      <c r="D346" s="788"/>
      <c r="E346" s="788"/>
      <c r="F346" s="788"/>
      <c r="G346" s="788"/>
      <c r="H346" s="788"/>
      <c r="I346" s="788"/>
      <c r="J346" s="788"/>
      <c r="K346" s="788"/>
      <c r="L346" s="789"/>
      <c r="M346" s="800"/>
      <c r="N346" s="801"/>
      <c r="O346" s="801"/>
      <c r="P346" s="801"/>
      <c r="Q346" s="801"/>
      <c r="R346" s="801"/>
      <c r="S346" s="801"/>
      <c r="T346" s="801"/>
      <c r="U346" s="801"/>
      <c r="V346" s="801"/>
      <c r="W346" s="801"/>
      <c r="X346" s="801"/>
      <c r="Y346" s="801"/>
      <c r="Z346" s="801"/>
      <c r="AA346" s="801"/>
      <c r="AB346" s="801"/>
      <c r="AC346" s="801"/>
      <c r="AD346" s="801"/>
      <c r="AE346" s="801"/>
      <c r="AF346" s="802"/>
    </row>
    <row r="347" spans="1:32" ht="25.5" customHeight="1" x14ac:dyDescent="0.5">
      <c r="A347" s="787"/>
      <c r="B347" s="788"/>
      <c r="C347" s="788"/>
      <c r="D347" s="788"/>
      <c r="E347" s="788"/>
      <c r="F347" s="788"/>
      <c r="G347" s="788"/>
      <c r="H347" s="788"/>
      <c r="I347" s="788"/>
      <c r="J347" s="788"/>
      <c r="K347" s="788"/>
      <c r="L347" s="789"/>
      <c r="M347" s="800"/>
      <c r="N347" s="801"/>
      <c r="O347" s="801"/>
      <c r="P347" s="801"/>
      <c r="Q347" s="801"/>
      <c r="R347" s="801"/>
      <c r="S347" s="801"/>
      <c r="T347" s="801"/>
      <c r="U347" s="801"/>
      <c r="V347" s="801"/>
      <c r="W347" s="801"/>
      <c r="X347" s="801"/>
      <c r="Y347" s="801"/>
      <c r="Z347" s="801"/>
      <c r="AA347" s="801"/>
      <c r="AB347" s="801"/>
      <c r="AC347" s="801"/>
      <c r="AD347" s="801"/>
      <c r="AE347" s="801"/>
      <c r="AF347" s="802"/>
    </row>
    <row r="348" spans="1:32" ht="25.5" customHeight="1" x14ac:dyDescent="0.5">
      <c r="A348" s="787"/>
      <c r="B348" s="788"/>
      <c r="C348" s="788"/>
      <c r="D348" s="788"/>
      <c r="E348" s="788"/>
      <c r="F348" s="788"/>
      <c r="G348" s="788"/>
      <c r="H348" s="788"/>
      <c r="I348" s="788"/>
      <c r="J348" s="788"/>
      <c r="K348" s="788"/>
      <c r="L348" s="789"/>
      <c r="M348" s="800"/>
      <c r="N348" s="801"/>
      <c r="O348" s="801"/>
      <c r="P348" s="801"/>
      <c r="Q348" s="801"/>
      <c r="R348" s="801"/>
      <c r="S348" s="801"/>
      <c r="T348" s="801"/>
      <c r="U348" s="801"/>
      <c r="V348" s="801"/>
      <c r="W348" s="801"/>
      <c r="X348" s="801"/>
      <c r="Y348" s="801"/>
      <c r="Z348" s="801"/>
      <c r="AA348" s="801"/>
      <c r="AB348" s="801"/>
      <c r="AC348" s="801"/>
      <c r="AD348" s="801"/>
      <c r="AE348" s="801"/>
      <c r="AF348" s="802"/>
    </row>
    <row r="349" spans="1:32" ht="25.5" customHeight="1" x14ac:dyDescent="0.5">
      <c r="A349" s="787"/>
      <c r="B349" s="788"/>
      <c r="C349" s="788"/>
      <c r="D349" s="788"/>
      <c r="E349" s="788"/>
      <c r="F349" s="788"/>
      <c r="G349" s="788"/>
      <c r="H349" s="788"/>
      <c r="I349" s="788"/>
      <c r="J349" s="788"/>
      <c r="K349" s="788"/>
      <c r="L349" s="789"/>
      <c r="M349" s="800"/>
      <c r="N349" s="801"/>
      <c r="O349" s="801"/>
      <c r="P349" s="801"/>
      <c r="Q349" s="801"/>
      <c r="R349" s="801"/>
      <c r="S349" s="801"/>
      <c r="T349" s="801"/>
      <c r="U349" s="801"/>
      <c r="V349" s="801"/>
      <c r="W349" s="801"/>
      <c r="X349" s="801"/>
      <c r="Y349" s="801"/>
      <c r="Z349" s="801"/>
      <c r="AA349" s="801"/>
      <c r="AB349" s="801"/>
      <c r="AC349" s="801"/>
      <c r="AD349" s="801"/>
      <c r="AE349" s="801"/>
      <c r="AF349" s="802"/>
    </row>
    <row r="350" spans="1:32" ht="25.5" customHeight="1" x14ac:dyDescent="0.5">
      <c r="A350" s="787"/>
      <c r="B350" s="788"/>
      <c r="C350" s="788"/>
      <c r="D350" s="788"/>
      <c r="E350" s="788"/>
      <c r="F350" s="788"/>
      <c r="G350" s="788"/>
      <c r="H350" s="788"/>
      <c r="I350" s="788"/>
      <c r="J350" s="788"/>
      <c r="K350" s="788"/>
      <c r="L350" s="789"/>
      <c r="M350" s="800"/>
      <c r="N350" s="801"/>
      <c r="O350" s="801"/>
      <c r="P350" s="801"/>
      <c r="Q350" s="801"/>
      <c r="R350" s="801"/>
      <c r="S350" s="801"/>
      <c r="T350" s="801"/>
      <c r="U350" s="801"/>
      <c r="V350" s="801"/>
      <c r="W350" s="801"/>
      <c r="X350" s="801"/>
      <c r="Y350" s="801"/>
      <c r="Z350" s="801"/>
      <c r="AA350" s="801"/>
      <c r="AB350" s="801"/>
      <c r="AC350" s="801"/>
      <c r="AD350" s="801"/>
      <c r="AE350" s="801"/>
      <c r="AF350" s="802"/>
    </row>
    <row r="351" spans="1:32" ht="25.5" customHeight="1" x14ac:dyDescent="0.5">
      <c r="A351" s="787"/>
      <c r="B351" s="788"/>
      <c r="C351" s="788"/>
      <c r="D351" s="788"/>
      <c r="E351" s="788"/>
      <c r="F351" s="788"/>
      <c r="G351" s="788"/>
      <c r="H351" s="788"/>
      <c r="I351" s="788"/>
      <c r="J351" s="788"/>
      <c r="K351" s="788"/>
      <c r="L351" s="789"/>
      <c r="M351" s="800"/>
      <c r="N351" s="801"/>
      <c r="O351" s="801"/>
      <c r="P351" s="801"/>
      <c r="Q351" s="801"/>
      <c r="R351" s="801"/>
      <c r="S351" s="801"/>
      <c r="T351" s="801"/>
      <c r="U351" s="801"/>
      <c r="V351" s="801"/>
      <c r="W351" s="801"/>
      <c r="X351" s="801"/>
      <c r="Y351" s="801"/>
      <c r="Z351" s="801"/>
      <c r="AA351" s="801"/>
      <c r="AB351" s="801"/>
      <c r="AC351" s="801"/>
      <c r="AD351" s="801"/>
      <c r="AE351" s="801"/>
      <c r="AF351" s="802"/>
    </row>
    <row r="352" spans="1:32" ht="25.5" customHeight="1" x14ac:dyDescent="0.5">
      <c r="A352" s="787"/>
      <c r="B352" s="788"/>
      <c r="C352" s="788"/>
      <c r="D352" s="788"/>
      <c r="E352" s="788"/>
      <c r="F352" s="788"/>
      <c r="G352" s="788"/>
      <c r="H352" s="788"/>
      <c r="I352" s="788"/>
      <c r="J352" s="788"/>
      <c r="K352" s="788"/>
      <c r="L352" s="789"/>
      <c r="M352" s="800"/>
      <c r="N352" s="801"/>
      <c r="O352" s="801"/>
      <c r="P352" s="801"/>
      <c r="Q352" s="801"/>
      <c r="R352" s="801"/>
      <c r="S352" s="801"/>
      <c r="T352" s="801"/>
      <c r="U352" s="801"/>
      <c r="V352" s="801"/>
      <c r="W352" s="801"/>
      <c r="X352" s="801"/>
      <c r="Y352" s="801"/>
      <c r="Z352" s="801"/>
      <c r="AA352" s="801"/>
      <c r="AB352" s="801"/>
      <c r="AC352" s="801"/>
      <c r="AD352" s="801"/>
      <c r="AE352" s="801"/>
      <c r="AF352" s="802"/>
    </row>
    <row r="353" spans="1:34" ht="25.5" customHeight="1" x14ac:dyDescent="0.5">
      <c r="A353" s="787"/>
      <c r="B353" s="788"/>
      <c r="C353" s="788"/>
      <c r="D353" s="788"/>
      <c r="E353" s="788"/>
      <c r="F353" s="788"/>
      <c r="G353" s="788"/>
      <c r="H353" s="788"/>
      <c r="I353" s="788"/>
      <c r="J353" s="788"/>
      <c r="K353" s="788"/>
      <c r="L353" s="789"/>
      <c r="M353" s="800"/>
      <c r="N353" s="801"/>
      <c r="O353" s="801"/>
      <c r="P353" s="801"/>
      <c r="Q353" s="801"/>
      <c r="R353" s="801"/>
      <c r="S353" s="801"/>
      <c r="T353" s="801"/>
      <c r="U353" s="801"/>
      <c r="V353" s="801"/>
      <c r="W353" s="801"/>
      <c r="X353" s="801"/>
      <c r="Y353" s="801"/>
      <c r="Z353" s="801"/>
      <c r="AA353" s="801"/>
      <c r="AB353" s="801"/>
      <c r="AC353" s="801"/>
      <c r="AD353" s="801"/>
      <c r="AE353" s="801"/>
      <c r="AF353" s="802"/>
    </row>
    <row r="354" spans="1:34" ht="26.25" customHeight="1" thickBot="1" x14ac:dyDescent="0.55000000000000004">
      <c r="A354" s="790"/>
      <c r="B354" s="791"/>
      <c r="C354" s="791"/>
      <c r="D354" s="791"/>
      <c r="E354" s="791"/>
      <c r="F354" s="791"/>
      <c r="G354" s="791"/>
      <c r="H354" s="791"/>
      <c r="I354" s="791"/>
      <c r="J354" s="791"/>
      <c r="K354" s="791"/>
      <c r="L354" s="792"/>
      <c r="M354" s="803"/>
      <c r="N354" s="804"/>
      <c r="O354" s="804"/>
      <c r="P354" s="804"/>
      <c r="Q354" s="804"/>
      <c r="R354" s="804"/>
      <c r="S354" s="804"/>
      <c r="T354" s="804"/>
      <c r="U354" s="804"/>
      <c r="V354" s="804"/>
      <c r="W354" s="804"/>
      <c r="X354" s="804"/>
      <c r="Y354" s="804"/>
      <c r="Z354" s="804"/>
      <c r="AA354" s="804"/>
      <c r="AB354" s="804"/>
      <c r="AC354" s="804"/>
      <c r="AD354" s="804"/>
      <c r="AE354" s="804"/>
      <c r="AF354" s="805"/>
    </row>
    <row r="355" spans="1:34" s="415" customFormat="1" ht="41.25" customHeight="1" thickBot="1" x14ac:dyDescent="0.8">
      <c r="A355" s="779" t="s">
        <v>1027</v>
      </c>
      <c r="B355" s="780"/>
      <c r="C355" s="780"/>
      <c r="D355" s="780"/>
      <c r="E355" s="780"/>
      <c r="F355" s="780"/>
      <c r="G355" s="780"/>
      <c r="H355" s="780"/>
      <c r="I355" s="780"/>
      <c r="J355" s="780"/>
      <c r="K355" s="780"/>
      <c r="L355" s="781"/>
      <c r="M355" s="782" t="s">
        <v>1029</v>
      </c>
      <c r="N355" s="782"/>
      <c r="O355" s="782"/>
      <c r="P355" s="782"/>
      <c r="Q355" s="782"/>
      <c r="R355" s="782"/>
      <c r="S355" s="782"/>
      <c r="T355" s="782"/>
      <c r="U355" s="782"/>
      <c r="V355" s="782"/>
      <c r="W355" s="782"/>
      <c r="X355" s="782"/>
      <c r="Y355" s="782"/>
      <c r="Z355" s="782"/>
      <c r="AA355" s="782"/>
      <c r="AB355" s="782"/>
      <c r="AC355" s="782"/>
      <c r="AD355" s="782"/>
      <c r="AE355" s="782"/>
      <c r="AF355" s="783"/>
      <c r="AG355" s="414"/>
      <c r="AH355" s="414"/>
    </row>
    <row r="356" spans="1:34" ht="30.75" customHeight="1" x14ac:dyDescent="0.5">
      <c r="A356" s="761" t="str">
        <f>CONCATENATE(AF318,AF298,AF287,AF273,AF248,AF231,AF219,AF197,AF143,AF116,AF101,AF64,AF54,AF22,AF8)</f>
        <v/>
      </c>
      <c r="B356" s="762"/>
      <c r="C356" s="762"/>
      <c r="D356" s="762"/>
      <c r="E356" s="762"/>
      <c r="F356" s="762"/>
      <c r="G356" s="762"/>
      <c r="H356" s="762"/>
      <c r="I356" s="762"/>
      <c r="J356" s="762"/>
      <c r="K356" s="762"/>
      <c r="L356" s="763"/>
      <c r="M356" s="770"/>
      <c r="N356" s="771"/>
      <c r="O356" s="771"/>
      <c r="P356" s="771"/>
      <c r="Q356" s="771"/>
      <c r="R356" s="771"/>
      <c r="S356" s="771"/>
      <c r="T356" s="771"/>
      <c r="U356" s="771"/>
      <c r="V356" s="771"/>
      <c r="W356" s="771"/>
      <c r="X356" s="771"/>
      <c r="Y356" s="771"/>
      <c r="Z356" s="771"/>
      <c r="AA356" s="771"/>
      <c r="AB356" s="771"/>
      <c r="AC356" s="771"/>
      <c r="AD356" s="771"/>
      <c r="AE356" s="771"/>
      <c r="AF356" s="772"/>
    </row>
    <row r="357" spans="1:34" ht="30.75" customHeight="1" x14ac:dyDescent="0.5">
      <c r="A357" s="764"/>
      <c r="B357" s="765"/>
      <c r="C357" s="765"/>
      <c r="D357" s="765"/>
      <c r="E357" s="765"/>
      <c r="F357" s="765"/>
      <c r="G357" s="765"/>
      <c r="H357" s="765"/>
      <c r="I357" s="765"/>
      <c r="J357" s="765"/>
      <c r="K357" s="765"/>
      <c r="L357" s="766"/>
      <c r="M357" s="773"/>
      <c r="N357" s="774"/>
      <c r="O357" s="774"/>
      <c r="P357" s="774"/>
      <c r="Q357" s="774"/>
      <c r="R357" s="774"/>
      <c r="S357" s="774"/>
      <c r="T357" s="774"/>
      <c r="U357" s="774"/>
      <c r="V357" s="774"/>
      <c r="W357" s="774"/>
      <c r="X357" s="774"/>
      <c r="Y357" s="774"/>
      <c r="Z357" s="774"/>
      <c r="AA357" s="774"/>
      <c r="AB357" s="774"/>
      <c r="AC357" s="774"/>
      <c r="AD357" s="774"/>
      <c r="AE357" s="774"/>
      <c r="AF357" s="775"/>
    </row>
    <row r="358" spans="1:34" ht="30.75" customHeight="1" x14ac:dyDescent="0.5">
      <c r="A358" s="764"/>
      <c r="B358" s="765"/>
      <c r="C358" s="765"/>
      <c r="D358" s="765"/>
      <c r="E358" s="765"/>
      <c r="F358" s="765"/>
      <c r="G358" s="765"/>
      <c r="H358" s="765"/>
      <c r="I358" s="765"/>
      <c r="J358" s="765"/>
      <c r="K358" s="765"/>
      <c r="L358" s="766"/>
      <c r="M358" s="773"/>
      <c r="N358" s="774"/>
      <c r="O358" s="774"/>
      <c r="P358" s="774"/>
      <c r="Q358" s="774"/>
      <c r="R358" s="774"/>
      <c r="S358" s="774"/>
      <c r="T358" s="774"/>
      <c r="U358" s="774"/>
      <c r="V358" s="774"/>
      <c r="W358" s="774"/>
      <c r="X358" s="774"/>
      <c r="Y358" s="774"/>
      <c r="Z358" s="774"/>
      <c r="AA358" s="774"/>
      <c r="AB358" s="774"/>
      <c r="AC358" s="774"/>
      <c r="AD358" s="774"/>
      <c r="AE358" s="774"/>
      <c r="AF358" s="775"/>
    </row>
    <row r="359" spans="1:34" ht="30.75" customHeight="1" x14ac:dyDescent="0.5">
      <c r="A359" s="764"/>
      <c r="B359" s="765"/>
      <c r="C359" s="765"/>
      <c r="D359" s="765"/>
      <c r="E359" s="765"/>
      <c r="F359" s="765"/>
      <c r="G359" s="765"/>
      <c r="H359" s="765"/>
      <c r="I359" s="765"/>
      <c r="J359" s="765"/>
      <c r="K359" s="765"/>
      <c r="L359" s="766"/>
      <c r="M359" s="773"/>
      <c r="N359" s="774"/>
      <c r="O359" s="774"/>
      <c r="P359" s="774"/>
      <c r="Q359" s="774"/>
      <c r="R359" s="774"/>
      <c r="S359" s="774"/>
      <c r="T359" s="774"/>
      <c r="U359" s="774"/>
      <c r="V359" s="774"/>
      <c r="W359" s="774"/>
      <c r="X359" s="774"/>
      <c r="Y359" s="774"/>
      <c r="Z359" s="774"/>
      <c r="AA359" s="774"/>
      <c r="AB359" s="774"/>
      <c r="AC359" s="774"/>
      <c r="AD359" s="774"/>
      <c r="AE359" s="774"/>
      <c r="AF359" s="775"/>
    </row>
    <row r="360" spans="1:34" ht="30.75" customHeight="1" x14ac:dyDescent="0.5">
      <c r="A360" s="764"/>
      <c r="B360" s="765"/>
      <c r="C360" s="765"/>
      <c r="D360" s="765"/>
      <c r="E360" s="765"/>
      <c r="F360" s="765"/>
      <c r="G360" s="765"/>
      <c r="H360" s="765"/>
      <c r="I360" s="765"/>
      <c r="J360" s="765"/>
      <c r="K360" s="765"/>
      <c r="L360" s="766"/>
      <c r="M360" s="773"/>
      <c r="N360" s="774"/>
      <c r="O360" s="774"/>
      <c r="P360" s="774"/>
      <c r="Q360" s="774"/>
      <c r="R360" s="774"/>
      <c r="S360" s="774"/>
      <c r="T360" s="774"/>
      <c r="U360" s="774"/>
      <c r="V360" s="774"/>
      <c r="W360" s="774"/>
      <c r="X360" s="774"/>
      <c r="Y360" s="774"/>
      <c r="Z360" s="774"/>
      <c r="AA360" s="774"/>
      <c r="AB360" s="774"/>
      <c r="AC360" s="774"/>
      <c r="AD360" s="774"/>
      <c r="AE360" s="774"/>
      <c r="AF360" s="775"/>
    </row>
    <row r="361" spans="1:34" ht="30.75" customHeight="1" x14ac:dyDescent="0.5">
      <c r="A361" s="764"/>
      <c r="B361" s="765"/>
      <c r="C361" s="765"/>
      <c r="D361" s="765"/>
      <c r="E361" s="765"/>
      <c r="F361" s="765"/>
      <c r="G361" s="765"/>
      <c r="H361" s="765"/>
      <c r="I361" s="765"/>
      <c r="J361" s="765"/>
      <c r="K361" s="765"/>
      <c r="L361" s="766"/>
      <c r="M361" s="773"/>
      <c r="N361" s="774"/>
      <c r="O361" s="774"/>
      <c r="P361" s="774"/>
      <c r="Q361" s="774"/>
      <c r="R361" s="774"/>
      <c r="S361" s="774"/>
      <c r="T361" s="774"/>
      <c r="U361" s="774"/>
      <c r="V361" s="774"/>
      <c r="W361" s="774"/>
      <c r="X361" s="774"/>
      <c r="Y361" s="774"/>
      <c r="Z361" s="774"/>
      <c r="AA361" s="774"/>
      <c r="AB361" s="774"/>
      <c r="AC361" s="774"/>
      <c r="AD361" s="774"/>
      <c r="AE361" s="774"/>
      <c r="AF361" s="775"/>
    </row>
    <row r="362" spans="1:34" ht="30.75" customHeight="1" x14ac:dyDescent="0.5">
      <c r="A362" s="764"/>
      <c r="B362" s="765"/>
      <c r="C362" s="765"/>
      <c r="D362" s="765"/>
      <c r="E362" s="765"/>
      <c r="F362" s="765"/>
      <c r="G362" s="765"/>
      <c r="H362" s="765"/>
      <c r="I362" s="765"/>
      <c r="J362" s="765"/>
      <c r="K362" s="765"/>
      <c r="L362" s="766"/>
      <c r="M362" s="773"/>
      <c r="N362" s="774"/>
      <c r="O362" s="774"/>
      <c r="P362" s="774"/>
      <c r="Q362" s="774"/>
      <c r="R362" s="774"/>
      <c r="S362" s="774"/>
      <c r="T362" s="774"/>
      <c r="U362" s="774"/>
      <c r="V362" s="774"/>
      <c r="W362" s="774"/>
      <c r="X362" s="774"/>
      <c r="Y362" s="774"/>
      <c r="Z362" s="774"/>
      <c r="AA362" s="774"/>
      <c r="AB362" s="774"/>
      <c r="AC362" s="774"/>
      <c r="AD362" s="774"/>
      <c r="AE362" s="774"/>
      <c r="AF362" s="775"/>
    </row>
    <row r="363" spans="1:34" ht="30.75" customHeight="1" x14ac:dyDescent="0.5">
      <c r="A363" s="764"/>
      <c r="B363" s="765"/>
      <c r="C363" s="765"/>
      <c r="D363" s="765"/>
      <c r="E363" s="765"/>
      <c r="F363" s="765"/>
      <c r="G363" s="765"/>
      <c r="H363" s="765"/>
      <c r="I363" s="765"/>
      <c r="J363" s="765"/>
      <c r="K363" s="765"/>
      <c r="L363" s="766"/>
      <c r="M363" s="773"/>
      <c r="N363" s="774"/>
      <c r="O363" s="774"/>
      <c r="P363" s="774"/>
      <c r="Q363" s="774"/>
      <c r="R363" s="774"/>
      <c r="S363" s="774"/>
      <c r="T363" s="774"/>
      <c r="U363" s="774"/>
      <c r="V363" s="774"/>
      <c r="W363" s="774"/>
      <c r="X363" s="774"/>
      <c r="Y363" s="774"/>
      <c r="Z363" s="774"/>
      <c r="AA363" s="774"/>
      <c r="AB363" s="774"/>
      <c r="AC363" s="774"/>
      <c r="AD363" s="774"/>
      <c r="AE363" s="774"/>
      <c r="AF363" s="775"/>
    </row>
    <row r="364" spans="1:34" ht="30.75" customHeight="1" x14ac:dyDescent="0.5">
      <c r="A364" s="764"/>
      <c r="B364" s="765"/>
      <c r="C364" s="765"/>
      <c r="D364" s="765"/>
      <c r="E364" s="765"/>
      <c r="F364" s="765"/>
      <c r="G364" s="765"/>
      <c r="H364" s="765"/>
      <c r="I364" s="765"/>
      <c r="J364" s="765"/>
      <c r="K364" s="765"/>
      <c r="L364" s="766"/>
      <c r="M364" s="773"/>
      <c r="N364" s="774"/>
      <c r="O364" s="774"/>
      <c r="P364" s="774"/>
      <c r="Q364" s="774"/>
      <c r="R364" s="774"/>
      <c r="S364" s="774"/>
      <c r="T364" s="774"/>
      <c r="U364" s="774"/>
      <c r="V364" s="774"/>
      <c r="W364" s="774"/>
      <c r="X364" s="774"/>
      <c r="Y364" s="774"/>
      <c r="Z364" s="774"/>
      <c r="AA364" s="774"/>
      <c r="AB364" s="774"/>
      <c r="AC364" s="774"/>
      <c r="AD364" s="774"/>
      <c r="AE364" s="774"/>
      <c r="AF364" s="775"/>
    </row>
    <row r="365" spans="1:34" ht="30.75" customHeight="1" x14ac:dyDescent="0.5">
      <c r="A365" s="764"/>
      <c r="B365" s="765"/>
      <c r="C365" s="765"/>
      <c r="D365" s="765"/>
      <c r="E365" s="765"/>
      <c r="F365" s="765"/>
      <c r="G365" s="765"/>
      <c r="H365" s="765"/>
      <c r="I365" s="765"/>
      <c r="J365" s="765"/>
      <c r="K365" s="765"/>
      <c r="L365" s="766"/>
      <c r="M365" s="773"/>
      <c r="N365" s="774"/>
      <c r="O365" s="774"/>
      <c r="P365" s="774"/>
      <c r="Q365" s="774"/>
      <c r="R365" s="774"/>
      <c r="S365" s="774"/>
      <c r="T365" s="774"/>
      <c r="U365" s="774"/>
      <c r="V365" s="774"/>
      <c r="W365" s="774"/>
      <c r="X365" s="774"/>
      <c r="Y365" s="774"/>
      <c r="Z365" s="774"/>
      <c r="AA365" s="774"/>
      <c r="AB365" s="774"/>
      <c r="AC365" s="774"/>
      <c r="AD365" s="774"/>
      <c r="AE365" s="774"/>
      <c r="AF365" s="775"/>
    </row>
    <row r="366" spans="1:34" ht="30.75" customHeight="1" x14ac:dyDescent="0.5">
      <c r="A366" s="764"/>
      <c r="B366" s="765"/>
      <c r="C366" s="765"/>
      <c r="D366" s="765"/>
      <c r="E366" s="765"/>
      <c r="F366" s="765"/>
      <c r="G366" s="765"/>
      <c r="H366" s="765"/>
      <c r="I366" s="765"/>
      <c r="J366" s="765"/>
      <c r="K366" s="765"/>
      <c r="L366" s="766"/>
      <c r="M366" s="773"/>
      <c r="N366" s="774"/>
      <c r="O366" s="774"/>
      <c r="P366" s="774"/>
      <c r="Q366" s="774"/>
      <c r="R366" s="774"/>
      <c r="S366" s="774"/>
      <c r="T366" s="774"/>
      <c r="U366" s="774"/>
      <c r="V366" s="774"/>
      <c r="W366" s="774"/>
      <c r="X366" s="774"/>
      <c r="Y366" s="774"/>
      <c r="Z366" s="774"/>
      <c r="AA366" s="774"/>
      <c r="AB366" s="774"/>
      <c r="AC366" s="774"/>
      <c r="AD366" s="774"/>
      <c r="AE366" s="774"/>
      <c r="AF366" s="775"/>
    </row>
    <row r="367" spans="1:34" ht="30.75" customHeight="1" x14ac:dyDescent="0.5">
      <c r="A367" s="764"/>
      <c r="B367" s="765"/>
      <c r="C367" s="765"/>
      <c r="D367" s="765"/>
      <c r="E367" s="765"/>
      <c r="F367" s="765"/>
      <c r="G367" s="765"/>
      <c r="H367" s="765"/>
      <c r="I367" s="765"/>
      <c r="J367" s="765"/>
      <c r="K367" s="765"/>
      <c r="L367" s="766"/>
      <c r="M367" s="773"/>
      <c r="N367" s="774"/>
      <c r="O367" s="774"/>
      <c r="P367" s="774"/>
      <c r="Q367" s="774"/>
      <c r="R367" s="774"/>
      <c r="S367" s="774"/>
      <c r="T367" s="774"/>
      <c r="U367" s="774"/>
      <c r="V367" s="774"/>
      <c r="W367" s="774"/>
      <c r="X367" s="774"/>
      <c r="Y367" s="774"/>
      <c r="Z367" s="774"/>
      <c r="AA367" s="774"/>
      <c r="AB367" s="774"/>
      <c r="AC367" s="774"/>
      <c r="AD367" s="774"/>
      <c r="AE367" s="774"/>
      <c r="AF367" s="775"/>
    </row>
    <row r="368" spans="1:34" ht="30.75" customHeight="1" x14ac:dyDescent="0.5">
      <c r="A368" s="764"/>
      <c r="B368" s="765"/>
      <c r="C368" s="765"/>
      <c r="D368" s="765"/>
      <c r="E368" s="765"/>
      <c r="F368" s="765"/>
      <c r="G368" s="765"/>
      <c r="H368" s="765"/>
      <c r="I368" s="765"/>
      <c r="J368" s="765"/>
      <c r="K368" s="765"/>
      <c r="L368" s="766"/>
      <c r="M368" s="773"/>
      <c r="N368" s="774"/>
      <c r="O368" s="774"/>
      <c r="P368" s="774"/>
      <c r="Q368" s="774"/>
      <c r="R368" s="774"/>
      <c r="S368" s="774"/>
      <c r="T368" s="774"/>
      <c r="U368" s="774"/>
      <c r="V368" s="774"/>
      <c r="W368" s="774"/>
      <c r="X368" s="774"/>
      <c r="Y368" s="774"/>
      <c r="Z368" s="774"/>
      <c r="AA368" s="774"/>
      <c r="AB368" s="774"/>
      <c r="AC368" s="774"/>
      <c r="AD368" s="774"/>
      <c r="AE368" s="774"/>
      <c r="AF368" s="775"/>
    </row>
    <row r="369" spans="1:32" ht="30.75" customHeight="1" x14ac:dyDescent="0.5">
      <c r="A369" s="764"/>
      <c r="B369" s="765"/>
      <c r="C369" s="765"/>
      <c r="D369" s="765"/>
      <c r="E369" s="765"/>
      <c r="F369" s="765"/>
      <c r="G369" s="765"/>
      <c r="H369" s="765"/>
      <c r="I369" s="765"/>
      <c r="J369" s="765"/>
      <c r="K369" s="765"/>
      <c r="L369" s="766"/>
      <c r="M369" s="773"/>
      <c r="N369" s="774"/>
      <c r="O369" s="774"/>
      <c r="P369" s="774"/>
      <c r="Q369" s="774"/>
      <c r="R369" s="774"/>
      <c r="S369" s="774"/>
      <c r="T369" s="774"/>
      <c r="U369" s="774"/>
      <c r="V369" s="774"/>
      <c r="W369" s="774"/>
      <c r="X369" s="774"/>
      <c r="Y369" s="774"/>
      <c r="Z369" s="774"/>
      <c r="AA369" s="774"/>
      <c r="AB369" s="774"/>
      <c r="AC369" s="774"/>
      <c r="AD369" s="774"/>
      <c r="AE369" s="774"/>
      <c r="AF369" s="775"/>
    </row>
    <row r="370" spans="1:32" ht="30.75" customHeight="1" x14ac:dyDescent="0.5">
      <c r="A370" s="764"/>
      <c r="B370" s="765"/>
      <c r="C370" s="765"/>
      <c r="D370" s="765"/>
      <c r="E370" s="765"/>
      <c r="F370" s="765"/>
      <c r="G370" s="765"/>
      <c r="H370" s="765"/>
      <c r="I370" s="765"/>
      <c r="J370" s="765"/>
      <c r="K370" s="765"/>
      <c r="L370" s="766"/>
      <c r="M370" s="773"/>
      <c r="N370" s="774"/>
      <c r="O370" s="774"/>
      <c r="P370" s="774"/>
      <c r="Q370" s="774"/>
      <c r="R370" s="774"/>
      <c r="S370" s="774"/>
      <c r="T370" s="774"/>
      <c r="U370" s="774"/>
      <c r="V370" s="774"/>
      <c r="W370" s="774"/>
      <c r="X370" s="774"/>
      <c r="Y370" s="774"/>
      <c r="Z370" s="774"/>
      <c r="AA370" s="774"/>
      <c r="AB370" s="774"/>
      <c r="AC370" s="774"/>
      <c r="AD370" s="774"/>
      <c r="AE370" s="774"/>
      <c r="AF370" s="775"/>
    </row>
    <row r="371" spans="1:32" ht="30.75" customHeight="1" x14ac:dyDescent="0.5">
      <c r="A371" s="764"/>
      <c r="B371" s="765"/>
      <c r="C371" s="765"/>
      <c r="D371" s="765"/>
      <c r="E371" s="765"/>
      <c r="F371" s="765"/>
      <c r="G371" s="765"/>
      <c r="H371" s="765"/>
      <c r="I371" s="765"/>
      <c r="J371" s="765"/>
      <c r="K371" s="765"/>
      <c r="L371" s="766"/>
      <c r="M371" s="773"/>
      <c r="N371" s="774"/>
      <c r="O371" s="774"/>
      <c r="P371" s="774"/>
      <c r="Q371" s="774"/>
      <c r="R371" s="774"/>
      <c r="S371" s="774"/>
      <c r="T371" s="774"/>
      <c r="U371" s="774"/>
      <c r="V371" s="774"/>
      <c r="W371" s="774"/>
      <c r="X371" s="774"/>
      <c r="Y371" s="774"/>
      <c r="Z371" s="774"/>
      <c r="AA371" s="774"/>
      <c r="AB371" s="774"/>
      <c r="AC371" s="774"/>
      <c r="AD371" s="774"/>
      <c r="AE371" s="774"/>
      <c r="AF371" s="775"/>
    </row>
    <row r="372" spans="1:32" ht="30.75" customHeight="1" x14ac:dyDescent="0.5">
      <c r="A372" s="764"/>
      <c r="B372" s="765"/>
      <c r="C372" s="765"/>
      <c r="D372" s="765"/>
      <c r="E372" s="765"/>
      <c r="F372" s="765"/>
      <c r="G372" s="765"/>
      <c r="H372" s="765"/>
      <c r="I372" s="765"/>
      <c r="J372" s="765"/>
      <c r="K372" s="765"/>
      <c r="L372" s="766"/>
      <c r="M372" s="773"/>
      <c r="N372" s="774"/>
      <c r="O372" s="774"/>
      <c r="P372" s="774"/>
      <c r="Q372" s="774"/>
      <c r="R372" s="774"/>
      <c r="S372" s="774"/>
      <c r="T372" s="774"/>
      <c r="U372" s="774"/>
      <c r="V372" s="774"/>
      <c r="W372" s="774"/>
      <c r="X372" s="774"/>
      <c r="Y372" s="774"/>
      <c r="Z372" s="774"/>
      <c r="AA372" s="774"/>
      <c r="AB372" s="774"/>
      <c r="AC372" s="774"/>
      <c r="AD372" s="774"/>
      <c r="AE372" s="774"/>
      <c r="AF372" s="775"/>
    </row>
    <row r="373" spans="1:32" ht="30.75" customHeight="1" x14ac:dyDescent="0.5">
      <c r="A373" s="764"/>
      <c r="B373" s="765"/>
      <c r="C373" s="765"/>
      <c r="D373" s="765"/>
      <c r="E373" s="765"/>
      <c r="F373" s="765"/>
      <c r="G373" s="765"/>
      <c r="H373" s="765"/>
      <c r="I373" s="765"/>
      <c r="J373" s="765"/>
      <c r="K373" s="765"/>
      <c r="L373" s="766"/>
      <c r="M373" s="773"/>
      <c r="N373" s="774"/>
      <c r="O373" s="774"/>
      <c r="P373" s="774"/>
      <c r="Q373" s="774"/>
      <c r="R373" s="774"/>
      <c r="S373" s="774"/>
      <c r="T373" s="774"/>
      <c r="U373" s="774"/>
      <c r="V373" s="774"/>
      <c r="W373" s="774"/>
      <c r="X373" s="774"/>
      <c r="Y373" s="774"/>
      <c r="Z373" s="774"/>
      <c r="AA373" s="774"/>
      <c r="AB373" s="774"/>
      <c r="AC373" s="774"/>
      <c r="AD373" s="774"/>
      <c r="AE373" s="774"/>
      <c r="AF373" s="775"/>
    </row>
    <row r="374" spans="1:32" ht="30.75" customHeight="1" x14ac:dyDescent="0.5">
      <c r="A374" s="764"/>
      <c r="B374" s="765"/>
      <c r="C374" s="765"/>
      <c r="D374" s="765"/>
      <c r="E374" s="765"/>
      <c r="F374" s="765"/>
      <c r="G374" s="765"/>
      <c r="H374" s="765"/>
      <c r="I374" s="765"/>
      <c r="J374" s="765"/>
      <c r="K374" s="765"/>
      <c r="L374" s="766"/>
      <c r="M374" s="773"/>
      <c r="N374" s="774"/>
      <c r="O374" s="774"/>
      <c r="P374" s="774"/>
      <c r="Q374" s="774"/>
      <c r="R374" s="774"/>
      <c r="S374" s="774"/>
      <c r="T374" s="774"/>
      <c r="U374" s="774"/>
      <c r="V374" s="774"/>
      <c r="W374" s="774"/>
      <c r="X374" s="774"/>
      <c r="Y374" s="774"/>
      <c r="Z374" s="774"/>
      <c r="AA374" s="774"/>
      <c r="AB374" s="774"/>
      <c r="AC374" s="774"/>
      <c r="AD374" s="774"/>
      <c r="AE374" s="774"/>
      <c r="AF374" s="775"/>
    </row>
    <row r="375" spans="1:32" ht="30.75" customHeight="1" x14ac:dyDescent="0.5">
      <c r="A375" s="764"/>
      <c r="B375" s="765"/>
      <c r="C375" s="765"/>
      <c r="D375" s="765"/>
      <c r="E375" s="765"/>
      <c r="F375" s="765"/>
      <c r="G375" s="765"/>
      <c r="H375" s="765"/>
      <c r="I375" s="765"/>
      <c r="J375" s="765"/>
      <c r="K375" s="765"/>
      <c r="L375" s="766"/>
      <c r="M375" s="773"/>
      <c r="N375" s="774"/>
      <c r="O375" s="774"/>
      <c r="P375" s="774"/>
      <c r="Q375" s="774"/>
      <c r="R375" s="774"/>
      <c r="S375" s="774"/>
      <c r="T375" s="774"/>
      <c r="U375" s="774"/>
      <c r="V375" s="774"/>
      <c r="W375" s="774"/>
      <c r="X375" s="774"/>
      <c r="Y375" s="774"/>
      <c r="Z375" s="774"/>
      <c r="AA375" s="774"/>
      <c r="AB375" s="774"/>
      <c r="AC375" s="774"/>
      <c r="AD375" s="774"/>
      <c r="AE375" s="774"/>
      <c r="AF375" s="775"/>
    </row>
    <row r="376" spans="1:32" ht="30.75" customHeight="1" x14ac:dyDescent="0.5">
      <c r="A376" s="764"/>
      <c r="B376" s="765"/>
      <c r="C376" s="765"/>
      <c r="D376" s="765"/>
      <c r="E376" s="765"/>
      <c r="F376" s="765"/>
      <c r="G376" s="765"/>
      <c r="H376" s="765"/>
      <c r="I376" s="765"/>
      <c r="J376" s="765"/>
      <c r="K376" s="765"/>
      <c r="L376" s="766"/>
      <c r="M376" s="773"/>
      <c r="N376" s="774"/>
      <c r="O376" s="774"/>
      <c r="P376" s="774"/>
      <c r="Q376" s="774"/>
      <c r="R376" s="774"/>
      <c r="S376" s="774"/>
      <c r="T376" s="774"/>
      <c r="U376" s="774"/>
      <c r="V376" s="774"/>
      <c r="W376" s="774"/>
      <c r="X376" s="774"/>
      <c r="Y376" s="774"/>
      <c r="Z376" s="774"/>
      <c r="AA376" s="774"/>
      <c r="AB376" s="774"/>
      <c r="AC376" s="774"/>
      <c r="AD376" s="774"/>
      <c r="AE376" s="774"/>
      <c r="AF376" s="775"/>
    </row>
    <row r="377" spans="1:32" ht="30.75" customHeight="1" x14ac:dyDescent="0.5">
      <c r="A377" s="764"/>
      <c r="B377" s="765"/>
      <c r="C377" s="765"/>
      <c r="D377" s="765"/>
      <c r="E377" s="765"/>
      <c r="F377" s="765"/>
      <c r="G377" s="765"/>
      <c r="H377" s="765"/>
      <c r="I377" s="765"/>
      <c r="J377" s="765"/>
      <c r="K377" s="765"/>
      <c r="L377" s="766"/>
      <c r="M377" s="773"/>
      <c r="N377" s="774"/>
      <c r="O377" s="774"/>
      <c r="P377" s="774"/>
      <c r="Q377" s="774"/>
      <c r="R377" s="774"/>
      <c r="S377" s="774"/>
      <c r="T377" s="774"/>
      <c r="U377" s="774"/>
      <c r="V377" s="774"/>
      <c r="W377" s="774"/>
      <c r="X377" s="774"/>
      <c r="Y377" s="774"/>
      <c r="Z377" s="774"/>
      <c r="AA377" s="774"/>
      <c r="AB377" s="774"/>
      <c r="AC377" s="774"/>
      <c r="AD377" s="774"/>
      <c r="AE377" s="774"/>
      <c r="AF377" s="775"/>
    </row>
    <row r="378" spans="1:32" ht="30.75" customHeight="1" x14ac:dyDescent="0.5">
      <c r="A378" s="764"/>
      <c r="B378" s="765"/>
      <c r="C378" s="765"/>
      <c r="D378" s="765"/>
      <c r="E378" s="765"/>
      <c r="F378" s="765"/>
      <c r="G378" s="765"/>
      <c r="H378" s="765"/>
      <c r="I378" s="765"/>
      <c r="J378" s="765"/>
      <c r="K378" s="765"/>
      <c r="L378" s="766"/>
      <c r="M378" s="773"/>
      <c r="N378" s="774"/>
      <c r="O378" s="774"/>
      <c r="P378" s="774"/>
      <c r="Q378" s="774"/>
      <c r="R378" s="774"/>
      <c r="S378" s="774"/>
      <c r="T378" s="774"/>
      <c r="U378" s="774"/>
      <c r="V378" s="774"/>
      <c r="W378" s="774"/>
      <c r="X378" s="774"/>
      <c r="Y378" s="774"/>
      <c r="Z378" s="774"/>
      <c r="AA378" s="774"/>
      <c r="AB378" s="774"/>
      <c r="AC378" s="774"/>
      <c r="AD378" s="774"/>
      <c r="AE378" s="774"/>
      <c r="AF378" s="775"/>
    </row>
    <row r="379" spans="1:32" ht="30.75" customHeight="1" x14ac:dyDescent="0.5">
      <c r="A379" s="764"/>
      <c r="B379" s="765"/>
      <c r="C379" s="765"/>
      <c r="D379" s="765"/>
      <c r="E379" s="765"/>
      <c r="F379" s="765"/>
      <c r="G379" s="765"/>
      <c r="H379" s="765"/>
      <c r="I379" s="765"/>
      <c r="J379" s="765"/>
      <c r="K379" s="765"/>
      <c r="L379" s="766"/>
      <c r="M379" s="773"/>
      <c r="N379" s="774"/>
      <c r="O379" s="774"/>
      <c r="P379" s="774"/>
      <c r="Q379" s="774"/>
      <c r="R379" s="774"/>
      <c r="S379" s="774"/>
      <c r="T379" s="774"/>
      <c r="U379" s="774"/>
      <c r="V379" s="774"/>
      <c r="W379" s="774"/>
      <c r="X379" s="774"/>
      <c r="Y379" s="774"/>
      <c r="Z379" s="774"/>
      <c r="AA379" s="774"/>
      <c r="AB379" s="774"/>
      <c r="AC379" s="774"/>
      <c r="AD379" s="774"/>
      <c r="AE379" s="774"/>
      <c r="AF379" s="775"/>
    </row>
    <row r="380" spans="1:32" ht="30.75" customHeight="1" x14ac:dyDescent="0.5">
      <c r="A380" s="764"/>
      <c r="B380" s="765"/>
      <c r="C380" s="765"/>
      <c r="D380" s="765"/>
      <c r="E380" s="765"/>
      <c r="F380" s="765"/>
      <c r="G380" s="765"/>
      <c r="H380" s="765"/>
      <c r="I380" s="765"/>
      <c r="J380" s="765"/>
      <c r="K380" s="765"/>
      <c r="L380" s="766"/>
      <c r="M380" s="773"/>
      <c r="N380" s="774"/>
      <c r="O380" s="774"/>
      <c r="P380" s="774"/>
      <c r="Q380" s="774"/>
      <c r="R380" s="774"/>
      <c r="S380" s="774"/>
      <c r="T380" s="774"/>
      <c r="U380" s="774"/>
      <c r="V380" s="774"/>
      <c r="W380" s="774"/>
      <c r="X380" s="774"/>
      <c r="Y380" s="774"/>
      <c r="Z380" s="774"/>
      <c r="AA380" s="774"/>
      <c r="AB380" s="774"/>
      <c r="AC380" s="774"/>
      <c r="AD380" s="774"/>
      <c r="AE380" s="774"/>
      <c r="AF380" s="775"/>
    </row>
    <row r="381" spans="1:32" ht="30.75" customHeight="1" x14ac:dyDescent="0.5">
      <c r="A381" s="764"/>
      <c r="B381" s="765"/>
      <c r="C381" s="765"/>
      <c r="D381" s="765"/>
      <c r="E381" s="765"/>
      <c r="F381" s="765"/>
      <c r="G381" s="765"/>
      <c r="H381" s="765"/>
      <c r="I381" s="765"/>
      <c r="J381" s="765"/>
      <c r="K381" s="765"/>
      <c r="L381" s="766"/>
      <c r="M381" s="773"/>
      <c r="N381" s="774"/>
      <c r="O381" s="774"/>
      <c r="P381" s="774"/>
      <c r="Q381" s="774"/>
      <c r="R381" s="774"/>
      <c r="S381" s="774"/>
      <c r="T381" s="774"/>
      <c r="U381" s="774"/>
      <c r="V381" s="774"/>
      <c r="W381" s="774"/>
      <c r="X381" s="774"/>
      <c r="Y381" s="774"/>
      <c r="Z381" s="774"/>
      <c r="AA381" s="774"/>
      <c r="AB381" s="774"/>
      <c r="AC381" s="774"/>
      <c r="AD381" s="774"/>
      <c r="AE381" s="774"/>
      <c r="AF381" s="775"/>
    </row>
    <row r="382" spans="1:32" ht="30.75" customHeight="1" x14ac:dyDescent="0.5">
      <c r="A382" s="764"/>
      <c r="B382" s="765"/>
      <c r="C382" s="765"/>
      <c r="D382" s="765"/>
      <c r="E382" s="765"/>
      <c r="F382" s="765"/>
      <c r="G382" s="765"/>
      <c r="H382" s="765"/>
      <c r="I382" s="765"/>
      <c r="J382" s="765"/>
      <c r="K382" s="765"/>
      <c r="L382" s="766"/>
      <c r="M382" s="773"/>
      <c r="N382" s="774"/>
      <c r="O382" s="774"/>
      <c r="P382" s="774"/>
      <c r="Q382" s="774"/>
      <c r="R382" s="774"/>
      <c r="S382" s="774"/>
      <c r="T382" s="774"/>
      <c r="U382" s="774"/>
      <c r="V382" s="774"/>
      <c r="W382" s="774"/>
      <c r="X382" s="774"/>
      <c r="Y382" s="774"/>
      <c r="Z382" s="774"/>
      <c r="AA382" s="774"/>
      <c r="AB382" s="774"/>
      <c r="AC382" s="774"/>
      <c r="AD382" s="774"/>
      <c r="AE382" s="774"/>
      <c r="AF382" s="775"/>
    </row>
    <row r="383" spans="1:32" ht="30.75" customHeight="1" x14ac:dyDescent="0.5">
      <c r="A383" s="764"/>
      <c r="B383" s="765"/>
      <c r="C383" s="765"/>
      <c r="D383" s="765"/>
      <c r="E383" s="765"/>
      <c r="F383" s="765"/>
      <c r="G383" s="765"/>
      <c r="H383" s="765"/>
      <c r="I383" s="765"/>
      <c r="J383" s="765"/>
      <c r="K383" s="765"/>
      <c r="L383" s="766"/>
      <c r="M383" s="773"/>
      <c r="N383" s="774"/>
      <c r="O383" s="774"/>
      <c r="P383" s="774"/>
      <c r="Q383" s="774"/>
      <c r="R383" s="774"/>
      <c r="S383" s="774"/>
      <c r="T383" s="774"/>
      <c r="U383" s="774"/>
      <c r="V383" s="774"/>
      <c r="W383" s="774"/>
      <c r="X383" s="774"/>
      <c r="Y383" s="774"/>
      <c r="Z383" s="774"/>
      <c r="AA383" s="774"/>
      <c r="AB383" s="774"/>
      <c r="AC383" s="774"/>
      <c r="AD383" s="774"/>
      <c r="AE383" s="774"/>
      <c r="AF383" s="775"/>
    </row>
    <row r="384" spans="1:32" ht="30.75" customHeight="1" x14ac:dyDescent="0.5">
      <c r="A384" s="764"/>
      <c r="B384" s="765"/>
      <c r="C384" s="765"/>
      <c r="D384" s="765"/>
      <c r="E384" s="765"/>
      <c r="F384" s="765"/>
      <c r="G384" s="765"/>
      <c r="H384" s="765"/>
      <c r="I384" s="765"/>
      <c r="J384" s="765"/>
      <c r="K384" s="765"/>
      <c r="L384" s="766"/>
      <c r="M384" s="773"/>
      <c r="N384" s="774"/>
      <c r="O384" s="774"/>
      <c r="P384" s="774"/>
      <c r="Q384" s="774"/>
      <c r="R384" s="774"/>
      <c r="S384" s="774"/>
      <c r="T384" s="774"/>
      <c r="U384" s="774"/>
      <c r="V384" s="774"/>
      <c r="W384" s="774"/>
      <c r="X384" s="774"/>
      <c r="Y384" s="774"/>
      <c r="Z384" s="774"/>
      <c r="AA384" s="774"/>
      <c r="AB384" s="774"/>
      <c r="AC384" s="774"/>
      <c r="AD384" s="774"/>
      <c r="AE384" s="774"/>
      <c r="AF384" s="775"/>
    </row>
    <row r="385" spans="1:32" ht="30.75" customHeight="1" thickBot="1" x14ac:dyDescent="0.55000000000000004">
      <c r="A385" s="767"/>
      <c r="B385" s="768"/>
      <c r="C385" s="768"/>
      <c r="D385" s="768"/>
      <c r="E385" s="768"/>
      <c r="F385" s="768"/>
      <c r="G385" s="768"/>
      <c r="H385" s="768"/>
      <c r="I385" s="768"/>
      <c r="J385" s="768"/>
      <c r="K385" s="768"/>
      <c r="L385" s="769"/>
      <c r="M385" s="776"/>
      <c r="N385" s="777"/>
      <c r="O385" s="777"/>
      <c r="P385" s="777"/>
      <c r="Q385" s="777"/>
      <c r="R385" s="777"/>
      <c r="S385" s="777"/>
      <c r="T385" s="777"/>
      <c r="U385" s="777"/>
      <c r="V385" s="777"/>
      <c r="W385" s="777"/>
      <c r="X385" s="777"/>
      <c r="Y385" s="777"/>
      <c r="Z385" s="777"/>
      <c r="AA385" s="777"/>
      <c r="AB385" s="777"/>
      <c r="AC385" s="777"/>
      <c r="AD385" s="777"/>
      <c r="AE385" s="777"/>
      <c r="AF385" s="778"/>
    </row>
  </sheetData>
  <sheetProtection selectLockedCells="1"/>
  <mergeCells count="361">
    <mergeCell ref="A328:AF328"/>
    <mergeCell ref="A356:L385"/>
    <mergeCell ref="M356:AF385"/>
    <mergeCell ref="A355:L355"/>
    <mergeCell ref="M355:AF355"/>
    <mergeCell ref="A334:L354"/>
    <mergeCell ref="A333:L333"/>
    <mergeCell ref="M333:AF333"/>
    <mergeCell ref="M334:AF354"/>
    <mergeCell ref="AD152:AD160"/>
    <mergeCell ref="AD161:AD169"/>
    <mergeCell ref="AD170:AD178"/>
    <mergeCell ref="AD179:AD193"/>
    <mergeCell ref="AD248:AD272"/>
    <mergeCell ref="AD273:AD286"/>
    <mergeCell ref="AF248:AF272"/>
    <mergeCell ref="AF273:AF286"/>
    <mergeCell ref="AD197:AD218"/>
    <mergeCell ref="AD219:AD227"/>
    <mergeCell ref="AF197:AF218"/>
    <mergeCell ref="AF219:AF227"/>
    <mergeCell ref="A190:A193"/>
    <mergeCell ref="AC195:AC196"/>
    <mergeCell ref="AD141:AD142"/>
    <mergeCell ref="AD116:AD139"/>
    <mergeCell ref="AD114:AD115"/>
    <mergeCell ref="Z141:AA141"/>
    <mergeCell ref="A284:A286"/>
    <mergeCell ref="A273:A283"/>
    <mergeCell ref="D229:E229"/>
    <mergeCell ref="F229:G229"/>
    <mergeCell ref="H229:I229"/>
    <mergeCell ref="A217:A218"/>
    <mergeCell ref="A181:A182"/>
    <mergeCell ref="A195:A196"/>
    <mergeCell ref="A183:A189"/>
    <mergeCell ref="B195:B196"/>
    <mergeCell ref="C195:C196"/>
    <mergeCell ref="L141:M141"/>
    <mergeCell ref="A211:A216"/>
    <mergeCell ref="A234:A235"/>
    <mergeCell ref="AB246:AB247"/>
    <mergeCell ref="A231:A233"/>
    <mergeCell ref="A238:A240"/>
    <mergeCell ref="AD143:AD151"/>
    <mergeCell ref="AD318:AD327"/>
    <mergeCell ref="AF318:AF327"/>
    <mergeCell ref="AD64:AD97"/>
    <mergeCell ref="A236:A237"/>
    <mergeCell ref="A207:A210"/>
    <mergeCell ref="AF298:AF316"/>
    <mergeCell ref="A304:A309"/>
    <mergeCell ref="C99:C100"/>
    <mergeCell ref="B141:B142"/>
    <mergeCell ref="A75:A78"/>
    <mergeCell ref="A179:A180"/>
    <mergeCell ref="AD296:AD297"/>
    <mergeCell ref="D114:K115"/>
    <mergeCell ref="AD298:AD316"/>
    <mergeCell ref="AE296:AE297"/>
    <mergeCell ref="X246:Y246"/>
    <mergeCell ref="J229:K229"/>
    <mergeCell ref="Z195:AA195"/>
    <mergeCell ref="AC141:AC142"/>
    <mergeCell ref="AC211:AC212"/>
    <mergeCell ref="AC217:AC218"/>
    <mergeCell ref="AC207:AC208"/>
    <mergeCell ref="AC203:AC204"/>
    <mergeCell ref="X141:Y141"/>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N296:O296"/>
    <mergeCell ref="P296:Q296"/>
    <mergeCell ref="R296:S296"/>
    <mergeCell ref="T296:U296"/>
    <mergeCell ref="AC296:AC297"/>
    <mergeCell ref="V141:W141"/>
    <mergeCell ref="AB195:AB196"/>
    <mergeCell ref="AB229:AB230"/>
    <mergeCell ref="T195:U195"/>
    <mergeCell ref="R195:S195"/>
    <mergeCell ref="N195:O195"/>
    <mergeCell ref="P195:Q195"/>
    <mergeCell ref="AB141:AB142"/>
    <mergeCell ref="P141:Q141"/>
    <mergeCell ref="R141:S141"/>
    <mergeCell ref="T141:U141"/>
    <mergeCell ref="A228:AF228"/>
    <mergeCell ref="AF229:AF230"/>
    <mergeCell ref="C229:C230"/>
    <mergeCell ref="AF231:AF244"/>
    <mergeCell ref="A287:A294"/>
    <mergeCell ref="A219:A221"/>
    <mergeCell ref="A225:A227"/>
    <mergeCell ref="B229:B230"/>
    <mergeCell ref="A105:A106"/>
    <mergeCell ref="A107:A108"/>
    <mergeCell ref="A132:A139"/>
    <mergeCell ref="A124:A131"/>
    <mergeCell ref="A116:A123"/>
    <mergeCell ref="C114:C115"/>
    <mergeCell ref="A152:A160"/>
    <mergeCell ref="A161:A169"/>
    <mergeCell ref="A170:A178"/>
    <mergeCell ref="A143:A151"/>
    <mergeCell ref="A4:C4"/>
    <mergeCell ref="C20:C21"/>
    <mergeCell ref="B20:B21"/>
    <mergeCell ref="A20:A21"/>
    <mergeCell ref="A99:A100"/>
    <mergeCell ref="B99:B100"/>
    <mergeCell ref="A101:A102"/>
    <mergeCell ref="A103:A104"/>
    <mergeCell ref="A203:A206"/>
    <mergeCell ref="A194:AF194"/>
    <mergeCell ref="A140:AF140"/>
    <mergeCell ref="A113:AF113"/>
    <mergeCell ref="N141:O141"/>
    <mergeCell ref="J195:K195"/>
    <mergeCell ref="D141:E141"/>
    <mergeCell ref="F141:G141"/>
    <mergeCell ref="H141:I141"/>
    <mergeCell ref="J141:K141"/>
    <mergeCell ref="C141:C142"/>
    <mergeCell ref="AC114:AC115"/>
    <mergeCell ref="R114:S114"/>
    <mergeCell ref="T114:U114"/>
    <mergeCell ref="V114:W114"/>
    <mergeCell ref="X114:Y114"/>
    <mergeCell ref="J99:K99"/>
    <mergeCell ref="AF114:AF115"/>
    <mergeCell ref="L114:M114"/>
    <mergeCell ref="N114:O114"/>
    <mergeCell ref="P114:Q114"/>
    <mergeCell ref="L99:M99"/>
    <mergeCell ref="N99:O99"/>
    <mergeCell ref="D99:E99"/>
    <mergeCell ref="F99:G99"/>
    <mergeCell ref="H99:I99"/>
    <mergeCell ref="Z114:AA114"/>
    <mergeCell ref="AB114:AB115"/>
    <mergeCell ref="A310:A316"/>
    <mergeCell ref="V296:W296"/>
    <mergeCell ref="X296:Y296"/>
    <mergeCell ref="D246:E246"/>
    <mergeCell ref="F246:G246"/>
    <mergeCell ref="Z246:AA246"/>
    <mergeCell ref="B246:B247"/>
    <mergeCell ref="A296:A297"/>
    <mergeCell ref="B296:B297"/>
    <mergeCell ref="A298:A303"/>
    <mergeCell ref="C296:C297"/>
    <mergeCell ref="Z296:AA296"/>
    <mergeCell ref="L296:M296"/>
    <mergeCell ref="H296:I296"/>
    <mergeCell ref="J296:K296"/>
    <mergeCell ref="V246:W246"/>
    <mergeCell ref="N246:O246"/>
    <mergeCell ref="P246:Q246"/>
    <mergeCell ref="R246:S246"/>
    <mergeCell ref="T246:U246"/>
    <mergeCell ref="C246:C247"/>
    <mergeCell ref="A246:A247"/>
    <mergeCell ref="D296:E296"/>
    <mergeCell ref="F296:G29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AE5:AE6"/>
    <mergeCell ref="A45:A46"/>
    <mergeCell ref="A8:A10"/>
    <mergeCell ref="A197:A202"/>
    <mergeCell ref="A64:A67"/>
    <mergeCell ref="AF141:AF142"/>
    <mergeCell ref="AF195:AF196"/>
    <mergeCell ref="AF143:AF193"/>
    <mergeCell ref="AE195:AE196"/>
    <mergeCell ref="AC190:AC191"/>
    <mergeCell ref="AC188:AC189"/>
    <mergeCell ref="AE99:AE100"/>
    <mergeCell ref="AC52:AC53"/>
    <mergeCell ref="AE141:AE142"/>
    <mergeCell ref="AC62:AC63"/>
    <mergeCell ref="AE62:AE63"/>
    <mergeCell ref="AF116:AF139"/>
    <mergeCell ref="A62:A63"/>
    <mergeCell ref="V99:W99"/>
    <mergeCell ref="X99:Y99"/>
    <mergeCell ref="Z99:AA99"/>
    <mergeCell ref="F195:G195"/>
    <mergeCell ref="H195:I195"/>
    <mergeCell ref="AB52:AB53"/>
    <mergeCell ref="A222:A224"/>
    <mergeCell ref="AD287:AD294"/>
    <mergeCell ref="H246:I246"/>
    <mergeCell ref="J246:K246"/>
    <mergeCell ref="L246:M246"/>
    <mergeCell ref="A229:A230"/>
    <mergeCell ref="A242:A244"/>
    <mergeCell ref="AC246:AC247"/>
    <mergeCell ref="AC229:AC230"/>
    <mergeCell ref="V229:W229"/>
    <mergeCell ref="X229:Y229"/>
    <mergeCell ref="Z229:AA229"/>
    <mergeCell ref="L229:M229"/>
    <mergeCell ref="N229:O229"/>
    <mergeCell ref="P229:Q229"/>
    <mergeCell ref="R229:S229"/>
    <mergeCell ref="T229:U229"/>
    <mergeCell ref="A11:A13"/>
    <mergeCell ref="A15:A17"/>
    <mergeCell ref="AD8:AD18"/>
    <mergeCell ref="AF8:AF18"/>
    <mergeCell ref="AE229:AE230"/>
    <mergeCell ref="AD231:AD244"/>
    <mergeCell ref="L195:M195"/>
    <mergeCell ref="D195:E195"/>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317:AF317"/>
    <mergeCell ref="A318:A327"/>
    <mergeCell ref="A249:A254"/>
    <mergeCell ref="A257:A258"/>
    <mergeCell ref="A265:A272"/>
    <mergeCell ref="A80:A85"/>
    <mergeCell ref="AF296:AF297"/>
    <mergeCell ref="A295:AF295"/>
    <mergeCell ref="A245:AF245"/>
    <mergeCell ref="A259:A264"/>
    <mergeCell ref="AF246:AF247"/>
    <mergeCell ref="AE246:AE247"/>
    <mergeCell ref="AD229:AD230"/>
    <mergeCell ref="AD246:AD247"/>
    <mergeCell ref="A109:A110"/>
    <mergeCell ref="A114:A115"/>
    <mergeCell ref="B114:B115"/>
    <mergeCell ref="A141:A142"/>
    <mergeCell ref="A111:A112"/>
    <mergeCell ref="AB296:AB297"/>
    <mergeCell ref="AF287:AF294"/>
    <mergeCell ref="V195:W195"/>
    <mergeCell ref="X195:Y195"/>
    <mergeCell ref="AD195:AD196"/>
  </mergeCells>
  <phoneticPr fontId="3" type="noConversion"/>
  <conditionalFormatting sqref="AC22">
    <cfRule type="notContainsBlanks" dxfId="940" priority="1489">
      <formula>LEN(TRIM(AC22))&gt;0</formula>
    </cfRule>
  </conditionalFormatting>
  <conditionalFormatting sqref="AC26:AC27">
    <cfRule type="notContainsBlanks" dxfId="939" priority="1490">
      <formula>LEN(TRIM(AC26))&gt;0</formula>
    </cfRule>
  </conditionalFormatting>
  <conditionalFormatting sqref="AC31:AC32">
    <cfRule type="notContainsBlanks" dxfId="938" priority="1493">
      <formula>LEN(TRIM(AC31))&gt;0</formula>
    </cfRule>
  </conditionalFormatting>
  <conditionalFormatting sqref="AC33:AC34">
    <cfRule type="notContainsBlanks" dxfId="937" priority="1491">
      <formula>LEN(TRIM(AC33))&gt;0</formula>
    </cfRule>
  </conditionalFormatting>
  <conditionalFormatting sqref="AC35:AC36">
    <cfRule type="notContainsBlanks" dxfId="936" priority="1484">
      <formula>LEN(TRIM(AC35))&gt;0</formula>
    </cfRule>
  </conditionalFormatting>
  <conditionalFormatting sqref="AC37:AC38">
    <cfRule type="notContainsBlanks" dxfId="935" priority="1483">
      <formula>LEN(TRIM(AC37))&gt;0</formula>
    </cfRule>
  </conditionalFormatting>
  <conditionalFormatting sqref="AC39:AC40">
    <cfRule type="notContainsBlanks" dxfId="934" priority="1482">
      <formula>LEN(TRIM(AC39))&gt;0</formula>
    </cfRule>
  </conditionalFormatting>
  <conditionalFormatting sqref="AC41:AC42">
    <cfRule type="notContainsBlanks" dxfId="933" priority="1481">
      <formula>LEN(TRIM(AC41))&gt;0</formula>
    </cfRule>
  </conditionalFormatting>
  <conditionalFormatting sqref="AC43:AC44">
    <cfRule type="notContainsBlanks" dxfId="932" priority="1480">
      <formula>LEN(TRIM(AC43))&gt;0</formula>
    </cfRule>
  </conditionalFormatting>
  <conditionalFormatting sqref="AC45:AC46">
    <cfRule type="notContainsBlanks" dxfId="931" priority="1479">
      <formula>LEN(TRIM(AC45))&gt;0</formula>
    </cfRule>
  </conditionalFormatting>
  <conditionalFormatting sqref="AC47:AC48">
    <cfRule type="notContainsBlanks" dxfId="930" priority="1478">
      <formula>LEN(TRIM(AC47))&gt;0</formula>
    </cfRule>
  </conditionalFormatting>
  <conditionalFormatting sqref="AC49:AC50">
    <cfRule type="notContainsBlanks" dxfId="929" priority="1477">
      <formula>LEN(TRIM(AC49))&gt;0</formula>
    </cfRule>
  </conditionalFormatting>
  <conditionalFormatting sqref="AC64 AC66:AC67">
    <cfRule type="notContainsBlanks" dxfId="928" priority="1494">
      <formula>LEN(TRIM(AC64))&gt;0</formula>
    </cfRule>
  </conditionalFormatting>
  <conditionalFormatting sqref="AC68:AC74">
    <cfRule type="notContainsBlanks" dxfId="927" priority="1495">
      <formula>LEN(TRIM(AC68))&gt;0</formula>
    </cfRule>
  </conditionalFormatting>
  <conditionalFormatting sqref="AC86:AC87">
    <cfRule type="notContainsBlanks" dxfId="926" priority="1474">
      <formula>LEN(TRIM(AC86))&gt;0</formula>
    </cfRule>
  </conditionalFormatting>
  <conditionalFormatting sqref="AC101">
    <cfRule type="notContainsBlanks" dxfId="925" priority="1473">
      <formula>LEN(TRIM(AC101))&gt;0</formula>
    </cfRule>
  </conditionalFormatting>
  <conditionalFormatting sqref="AC24">
    <cfRule type="notContainsBlanks" dxfId="924" priority="1472">
      <formula>LEN(TRIM(AC24))&gt;0</formula>
    </cfRule>
  </conditionalFormatting>
  <conditionalFormatting sqref="AC102">
    <cfRule type="notContainsBlanks" dxfId="923" priority="1471">
      <formula>LEN(TRIM(AC102))&gt;0</formula>
    </cfRule>
  </conditionalFormatting>
  <conditionalFormatting sqref="AC103">
    <cfRule type="notContainsBlanks" dxfId="922" priority="1470">
      <formula>LEN(TRIM(AC103))&gt;0</formula>
    </cfRule>
  </conditionalFormatting>
  <conditionalFormatting sqref="AC104">
    <cfRule type="notContainsBlanks" dxfId="921" priority="1469">
      <formula>LEN(TRIM(AC104))&gt;0</formula>
    </cfRule>
  </conditionalFormatting>
  <conditionalFormatting sqref="AC117">
    <cfRule type="notContainsBlanks" dxfId="920" priority="1468">
      <formula>LEN(TRIM(AC117))&gt;0</formula>
    </cfRule>
  </conditionalFormatting>
  <conditionalFormatting sqref="AC180">
    <cfRule type="notContainsBlanks" dxfId="919" priority="1465">
      <formula>LEN(TRIM(AC180))&gt;0</formula>
    </cfRule>
  </conditionalFormatting>
  <conditionalFormatting sqref="AC183">
    <cfRule type="notContainsBlanks" dxfId="918" priority="1464">
      <formula>LEN(TRIM(AC183))&gt;0</formula>
    </cfRule>
  </conditionalFormatting>
  <conditionalFormatting sqref="AC184:AC185">
    <cfRule type="notContainsBlanks" dxfId="917" priority="1463">
      <formula>LEN(TRIM(AC184))&gt;0</formula>
    </cfRule>
  </conditionalFormatting>
  <conditionalFormatting sqref="AC186:AC187 AC199 AC201 AC290:AC292 AC259:AC272 AC278">
    <cfRule type="notContainsBlanks" dxfId="916" priority="1462">
      <formula>LEN(TRIM(AC186))&gt;0</formula>
    </cfRule>
  </conditionalFormatting>
  <conditionalFormatting sqref="AC188:AC189">
    <cfRule type="notContainsBlanks" dxfId="915" priority="1461">
      <formula>LEN(TRIM(AC188))&gt;0</formula>
    </cfRule>
  </conditionalFormatting>
  <conditionalFormatting sqref="AC190:AC191">
    <cfRule type="notContainsBlanks" dxfId="914" priority="1460">
      <formula>LEN(TRIM(AC190))&gt;0</formula>
    </cfRule>
  </conditionalFormatting>
  <conditionalFormatting sqref="AC192">
    <cfRule type="notContainsBlanks" dxfId="913" priority="1459">
      <formula>LEN(TRIM(AC192))&gt;0</formula>
    </cfRule>
  </conditionalFormatting>
  <conditionalFormatting sqref="AC193">
    <cfRule type="notContainsBlanks" dxfId="912" priority="1458">
      <formula>LEN(TRIM(AC193))&gt;0</formula>
    </cfRule>
  </conditionalFormatting>
  <conditionalFormatting sqref="AC197">
    <cfRule type="notContainsBlanks" dxfId="911" priority="1457">
      <formula>LEN(TRIM(AC197))&gt;0</formula>
    </cfRule>
  </conditionalFormatting>
  <conditionalFormatting sqref="AC198">
    <cfRule type="notContainsBlanks" dxfId="910" priority="1456">
      <formula>LEN(TRIM(AC198))&gt;0</formula>
    </cfRule>
  </conditionalFormatting>
  <conditionalFormatting sqref="AC200:AC202">
    <cfRule type="notContainsBlanks" dxfId="909" priority="1454">
      <formula>LEN(TRIM(AC200))&gt;0</formula>
    </cfRule>
  </conditionalFormatting>
  <conditionalFormatting sqref="AC203:AC204 AC206">
    <cfRule type="notContainsBlanks" dxfId="908" priority="1453">
      <formula>LEN(TRIM(AC203))&gt;0</formula>
    </cfRule>
  </conditionalFormatting>
  <conditionalFormatting sqref="AC207:AC208 AC210">
    <cfRule type="notContainsBlanks" dxfId="907" priority="1452">
      <formula>LEN(TRIM(AC207))&gt;0</formula>
    </cfRule>
  </conditionalFormatting>
  <conditionalFormatting sqref="AC211:AC212 AC214 AC216">
    <cfRule type="notContainsBlanks" dxfId="906" priority="1451">
      <formula>LEN(TRIM(AC211))&gt;0</formula>
    </cfRule>
  </conditionalFormatting>
  <conditionalFormatting sqref="AC217:AC226">
    <cfRule type="notContainsBlanks" dxfId="905" priority="1450">
      <formula>LEN(TRIM(AC217))&gt;0</formula>
    </cfRule>
  </conditionalFormatting>
  <conditionalFormatting sqref="AC232:AC235">
    <cfRule type="notContainsBlanks" dxfId="904" priority="1449">
      <formula>LEN(TRIM(AC232))&gt;0</formula>
    </cfRule>
  </conditionalFormatting>
  <conditionalFormatting sqref="AC236:AC237">
    <cfRule type="notContainsBlanks" dxfId="903" priority="1448">
      <formula>LEN(TRIM(AC236))&gt;0</formula>
    </cfRule>
  </conditionalFormatting>
  <conditionalFormatting sqref="AC238:AC240">
    <cfRule type="notContainsBlanks" dxfId="902" priority="1447">
      <formula>LEN(TRIM(AC238))&gt;0</formula>
    </cfRule>
  </conditionalFormatting>
  <conditionalFormatting sqref="AC242">
    <cfRule type="notContainsBlanks" dxfId="901" priority="1446">
      <formula>LEN(TRIM(AC242))&gt;0</formula>
    </cfRule>
  </conditionalFormatting>
  <conditionalFormatting sqref="AC243">
    <cfRule type="notContainsBlanks" dxfId="900" priority="1445">
      <formula>LEN(TRIM(AC243))&gt;0</formula>
    </cfRule>
  </conditionalFormatting>
  <conditionalFormatting sqref="AC244">
    <cfRule type="notContainsBlanks" dxfId="899" priority="1444">
      <formula>LEN(TRIM(AC244))&gt;0</formula>
    </cfRule>
  </conditionalFormatting>
  <conditionalFormatting sqref="AC248:AC254">
    <cfRule type="notContainsBlanks" dxfId="898" priority="1443">
      <formula>LEN(TRIM(AC248))&gt;0</formula>
    </cfRule>
  </conditionalFormatting>
  <conditionalFormatting sqref="AC255:AC257">
    <cfRule type="notContainsBlanks" priority="1442">
      <formula>LEN(TRIM(AC255))&gt;0</formula>
    </cfRule>
  </conditionalFormatting>
  <conditionalFormatting sqref="AC304:AC306">
    <cfRule type="notContainsBlanks" dxfId="897" priority="1440">
      <formula>LEN(TRIM(AC304))&gt;0</formula>
    </cfRule>
  </conditionalFormatting>
  <conditionalFormatting sqref="AE33">
    <cfRule type="notContainsBlanks" dxfId="896" priority="1433">
      <formula>LEN(TRIM(AE33))&gt;0</formula>
    </cfRule>
  </conditionalFormatting>
  <conditionalFormatting sqref="AE197:AF197">
    <cfRule type="notContainsBlanks" dxfId="895" priority="1432">
      <formula>LEN(TRIM(AE197))&gt;0</formula>
    </cfRule>
  </conditionalFormatting>
  <conditionalFormatting sqref="AE198">
    <cfRule type="notContainsBlanks" dxfId="894" priority="1431">
      <formula>LEN(TRIM(AE198))&gt;0</formula>
    </cfRule>
  </conditionalFormatting>
  <conditionalFormatting sqref="AE54:AF54 AE101:AF101 AE116:AF116 AE143:AF143 AE231:AF231 AE248:AF248 AE64:AF66 AE22:AF22 AE55:AE60 AE67:AE97 AE102:AE112 AE117:AE139 AE180:AE193 AE23:AE50 AF298 AE304:AE316 AE199:AE221 AE225:AE226 AE290:AE292 AE232:AE244 AE249:AE272 AE278">
    <cfRule type="notContainsBlanks" dxfId="893" priority="1430">
      <formula>LEN(TRIM(AE22))&gt;0</formula>
    </cfRule>
  </conditionalFormatting>
  <conditionalFormatting sqref="AE35">
    <cfRule type="notContainsBlanks" dxfId="892" priority="1429">
      <formula>LEN(TRIM(AE35))&gt;0</formula>
    </cfRule>
  </conditionalFormatting>
  <conditionalFormatting sqref="AE47">
    <cfRule type="notContainsBlanks" dxfId="891" priority="1423">
      <formula>LEN(TRIM(AE47))&gt;0</formula>
    </cfRule>
  </conditionalFormatting>
  <conditionalFormatting sqref="AE37">
    <cfRule type="notContainsBlanks" dxfId="890" priority="1428">
      <formula>LEN(TRIM(AE37))&gt;0</formula>
    </cfRule>
  </conditionalFormatting>
  <conditionalFormatting sqref="AE39">
    <cfRule type="notContainsBlanks" dxfId="889" priority="1427">
      <formula>LEN(TRIM(AE39))&gt;0</formula>
    </cfRule>
  </conditionalFormatting>
  <conditionalFormatting sqref="AE41">
    <cfRule type="notContainsBlanks" dxfId="888" priority="1426">
      <formula>LEN(TRIM(AE41))&gt;0</formula>
    </cfRule>
  </conditionalFormatting>
  <conditionalFormatting sqref="AE43">
    <cfRule type="notContainsBlanks" dxfId="887" priority="1425">
      <formula>LEN(TRIM(AE43))&gt;0</formula>
    </cfRule>
  </conditionalFormatting>
  <conditionalFormatting sqref="AE45">
    <cfRule type="notContainsBlanks" dxfId="886" priority="1424">
      <formula>LEN(TRIM(AE45))&gt;0</formula>
    </cfRule>
  </conditionalFormatting>
  <conditionalFormatting sqref="AD22:AD50 AD54:AD60 AD64 AD101:AD112 AD116:AD139 AD143 AD231:AD244 AD248 AD298 AD197">
    <cfRule type="notContainsBlanks" dxfId="885" priority="1659">
      <formula>LEN(TRIM(AD22))&gt;0</formula>
    </cfRule>
  </conditionalFormatting>
  <conditionalFormatting sqref="D258:AB258">
    <cfRule type="cellIs" dxfId="884" priority="1420" operator="equal">
      <formula>0</formula>
    </cfRule>
  </conditionalFormatting>
  <conditionalFormatting sqref="D271:AA271">
    <cfRule type="cellIs" dxfId="883" priority="1419" operator="equal">
      <formula>0</formula>
    </cfRule>
  </conditionalFormatting>
  <conditionalFormatting sqref="D271:AA271">
    <cfRule type="cellIs" dxfId="882" priority="1418" operator="equal">
      <formula>0</formula>
    </cfRule>
  </conditionalFormatting>
  <conditionalFormatting sqref="D50:F50 D49:AA49">
    <cfRule type="cellIs" dxfId="881" priority="1417" operator="equal">
      <formula>0</formula>
    </cfRule>
  </conditionalFormatting>
  <conditionalFormatting sqref="AB22:AB26 AB54:AB60 AB101:AB112 AB310:AB316 AB298:AB308 AB43 AB45 AB33 AB28:AB31 AB47:AB49 AB35:AB41 AB180 AB259:AB283 AB116:AB139 AB182:AB193 AB64:AB95 AB197:AB226 AB231:AB244 AB248:AB257">
    <cfRule type="cellIs" dxfId="880" priority="1414" operator="equal">
      <formula>0</formula>
    </cfRule>
  </conditionalFormatting>
  <conditionalFormatting sqref="D50:F50 D271:AA271 D258:AB258 D49:AA49">
    <cfRule type="cellIs" dxfId="879" priority="1413" operator="equal">
      <formula>0</formula>
    </cfRule>
  </conditionalFormatting>
  <conditionalFormatting sqref="A1">
    <cfRule type="cellIs" dxfId="878" priority="1412" operator="equal">
      <formula>0</formula>
    </cfRule>
  </conditionalFormatting>
  <conditionalFormatting sqref="D309:AB309">
    <cfRule type="cellIs" dxfId="877" priority="1409" operator="equal">
      <formula>0</formula>
    </cfRule>
  </conditionalFormatting>
  <conditionalFormatting sqref="AB42">
    <cfRule type="cellIs" dxfId="876" priority="1408" operator="equal">
      <formula>0</formula>
    </cfRule>
  </conditionalFormatting>
  <conditionalFormatting sqref="AB44">
    <cfRule type="cellIs" dxfId="875" priority="1407" operator="equal">
      <formula>0</formula>
    </cfRule>
  </conditionalFormatting>
  <conditionalFormatting sqref="AB34">
    <cfRule type="cellIs" dxfId="874" priority="1406" operator="equal">
      <formula>0</formula>
    </cfRule>
  </conditionalFormatting>
  <conditionalFormatting sqref="AB32">
    <cfRule type="cellIs" dxfId="873" priority="1405" operator="equal">
      <formula>0</formula>
    </cfRule>
  </conditionalFormatting>
  <conditionalFormatting sqref="AB27">
    <cfRule type="cellIs" dxfId="872" priority="1404" operator="equal">
      <formula>0</formula>
    </cfRule>
  </conditionalFormatting>
  <conditionalFormatting sqref="AB46">
    <cfRule type="cellIs" dxfId="871" priority="1403" operator="equal">
      <formula>0</formula>
    </cfRule>
  </conditionalFormatting>
  <conditionalFormatting sqref="G50:AB50">
    <cfRule type="cellIs" dxfId="870" priority="1385" operator="equal">
      <formula>0</formula>
    </cfRule>
  </conditionalFormatting>
  <conditionalFormatting sqref="G50:AB50">
    <cfRule type="cellIs" dxfId="869" priority="1384" operator="equal">
      <formula>0</formula>
    </cfRule>
  </conditionalFormatting>
  <conditionalFormatting sqref="D103:AA103 D101:AA101">
    <cfRule type="expression" dxfId="868" priority="1373">
      <formula>D103&gt;D101</formula>
    </cfRule>
  </conditionalFormatting>
  <conditionalFormatting sqref="D104:AA104 D102:AA102">
    <cfRule type="expression" dxfId="867" priority="1372">
      <formula>D104&gt;D102</formula>
    </cfRule>
  </conditionalFormatting>
  <conditionalFormatting sqref="D183:AA183">
    <cfRule type="expression" dxfId="866" priority="1369">
      <formula>D184&gt;D183</formula>
    </cfRule>
  </conditionalFormatting>
  <conditionalFormatting sqref="D184:AA184">
    <cfRule type="expression" dxfId="865" priority="1368">
      <formula>D185&gt;D184</formula>
    </cfRule>
  </conditionalFormatting>
  <conditionalFormatting sqref="K186 M186 O186 Q186 S186 U186 W186 Y186 AA186">
    <cfRule type="expression" dxfId="864" priority="1367">
      <formula>K187&gt;K186</formula>
    </cfRule>
  </conditionalFormatting>
  <conditionalFormatting sqref="D188:AA188">
    <cfRule type="expression" dxfId="863" priority="1366">
      <formula>D189&gt;D188</formula>
    </cfRule>
  </conditionalFormatting>
  <conditionalFormatting sqref="D190:AA190">
    <cfRule type="expression" dxfId="862" priority="1363">
      <formula>D193&gt;D190</formula>
    </cfRule>
    <cfRule type="expression" dxfId="861" priority="1365">
      <formula>D191&gt;D190</formula>
    </cfRule>
  </conditionalFormatting>
  <conditionalFormatting sqref="D191:AA191">
    <cfRule type="expression" dxfId="860" priority="1364">
      <formula>D192&gt;D191</formula>
    </cfRule>
  </conditionalFormatting>
  <conditionalFormatting sqref="K197">
    <cfRule type="expression" dxfId="859" priority="1362">
      <formula>(K198+K199)&gt;K197</formula>
    </cfRule>
  </conditionalFormatting>
  <conditionalFormatting sqref="K199">
    <cfRule type="expression" dxfId="858" priority="876">
      <formula>K199&gt;K197</formula>
    </cfRule>
    <cfRule type="expression" dxfId="857" priority="1361">
      <formula>K200&gt;K199</formula>
    </cfRule>
  </conditionalFormatting>
  <conditionalFormatting sqref="K203">
    <cfRule type="expression" dxfId="856" priority="1360">
      <formula>K204&gt;K203</formula>
    </cfRule>
  </conditionalFormatting>
  <conditionalFormatting sqref="K207">
    <cfRule type="expression" dxfId="855" priority="1359">
      <formula>K208&gt;K207</formula>
    </cfRule>
  </conditionalFormatting>
  <conditionalFormatting sqref="K211">
    <cfRule type="expression" dxfId="854" priority="1358">
      <formula>K212&gt;K211</formula>
    </cfRule>
  </conditionalFormatting>
  <conditionalFormatting sqref="M197">
    <cfRule type="expression" dxfId="853" priority="1357">
      <formula>(M198+M199)&gt;M197</formula>
    </cfRule>
  </conditionalFormatting>
  <conditionalFormatting sqref="M199">
    <cfRule type="expression" dxfId="852" priority="1356">
      <formula>M200&gt;M199</formula>
    </cfRule>
  </conditionalFormatting>
  <conditionalFormatting sqref="M203">
    <cfRule type="expression" dxfId="851" priority="1355">
      <formula>M204&gt;M203</formula>
    </cfRule>
  </conditionalFormatting>
  <conditionalFormatting sqref="M207">
    <cfRule type="expression" dxfId="850" priority="1354">
      <formula>M208&gt;M207</formula>
    </cfRule>
  </conditionalFormatting>
  <conditionalFormatting sqref="M211">
    <cfRule type="expression" dxfId="849" priority="1353">
      <formula>M212&gt;M211</formula>
    </cfRule>
  </conditionalFormatting>
  <conditionalFormatting sqref="O197">
    <cfRule type="expression" dxfId="848" priority="1352">
      <formula>(O198+O199)&gt;O197</formula>
    </cfRule>
  </conditionalFormatting>
  <conditionalFormatting sqref="O199">
    <cfRule type="expression" dxfId="847" priority="1351">
      <formula>O200&gt;O199</formula>
    </cfRule>
  </conditionalFormatting>
  <conditionalFormatting sqref="O203">
    <cfRule type="expression" dxfId="846" priority="1350">
      <formula>O204&gt;O203</formula>
    </cfRule>
  </conditionalFormatting>
  <conditionalFormatting sqref="O207">
    <cfRule type="expression" dxfId="845" priority="1349">
      <formula>O208&gt;O207</formula>
    </cfRule>
  </conditionalFormatting>
  <conditionalFormatting sqref="O211">
    <cfRule type="expression" dxfId="844" priority="1348">
      <formula>O212&gt;O211</formula>
    </cfRule>
  </conditionalFormatting>
  <conditionalFormatting sqref="Q197">
    <cfRule type="expression" dxfId="843" priority="1347">
      <formula>(Q198+Q199)&gt;Q197</formula>
    </cfRule>
  </conditionalFormatting>
  <conditionalFormatting sqref="Q199">
    <cfRule type="expression" dxfId="842" priority="1346">
      <formula>Q200&gt;Q199</formula>
    </cfRule>
  </conditionalFormatting>
  <conditionalFormatting sqref="Q203">
    <cfRule type="expression" dxfId="841" priority="1345">
      <formula>Q204&gt;Q203</formula>
    </cfRule>
  </conditionalFormatting>
  <conditionalFormatting sqref="Q207">
    <cfRule type="expression" dxfId="840" priority="1344">
      <formula>Q208&gt;Q207</formula>
    </cfRule>
  </conditionalFormatting>
  <conditionalFormatting sqref="Q211">
    <cfRule type="expression" dxfId="839" priority="1343">
      <formula>Q212&gt;Q211</formula>
    </cfRule>
  </conditionalFormatting>
  <conditionalFormatting sqref="S197">
    <cfRule type="expression" dxfId="838" priority="1342">
      <formula>(S198+S199)&gt;S197</formula>
    </cfRule>
  </conditionalFormatting>
  <conditionalFormatting sqref="S199">
    <cfRule type="expression" dxfId="837" priority="1341">
      <formula>S200&gt;S199</formula>
    </cfRule>
  </conditionalFormatting>
  <conditionalFormatting sqref="S203">
    <cfRule type="expression" dxfId="836" priority="1340">
      <formula>S204&gt;S203</formula>
    </cfRule>
  </conditionalFormatting>
  <conditionalFormatting sqref="S207">
    <cfRule type="expression" dxfId="835" priority="1339">
      <formula>S208&gt;S207</formula>
    </cfRule>
  </conditionalFormatting>
  <conditionalFormatting sqref="S211">
    <cfRule type="expression" dxfId="834" priority="1338">
      <formula>S212&gt;S211</formula>
    </cfRule>
  </conditionalFormatting>
  <conditionalFormatting sqref="U197">
    <cfRule type="expression" dxfId="833" priority="1337">
      <formula>(U198+U199)&gt;U197</formula>
    </cfRule>
  </conditionalFormatting>
  <conditionalFormatting sqref="U199">
    <cfRule type="expression" dxfId="832" priority="1336">
      <formula>U200&gt;U199</formula>
    </cfRule>
  </conditionalFormatting>
  <conditionalFormatting sqref="U203">
    <cfRule type="expression" dxfId="831" priority="1335">
      <formula>U204&gt;U203</formula>
    </cfRule>
  </conditionalFormatting>
  <conditionalFormatting sqref="U207">
    <cfRule type="expression" dxfId="830" priority="1334">
      <formula>U208&gt;U207</formula>
    </cfRule>
  </conditionalFormatting>
  <conditionalFormatting sqref="U211">
    <cfRule type="expression" dxfId="829" priority="1333">
      <formula>U212&gt;U211</formula>
    </cfRule>
  </conditionalFormatting>
  <conditionalFormatting sqref="W197">
    <cfRule type="expression" dxfId="828" priority="1332">
      <formula>(W198+W199)&gt;W197</formula>
    </cfRule>
  </conditionalFormatting>
  <conditionalFormatting sqref="W199">
    <cfRule type="expression" dxfId="827" priority="1331">
      <formula>W200&gt;W199</formula>
    </cfRule>
  </conditionalFormatting>
  <conditionalFormatting sqref="W203">
    <cfRule type="expression" dxfId="826" priority="1330">
      <formula>W204&gt;W203</formula>
    </cfRule>
  </conditionalFormatting>
  <conditionalFormatting sqref="W207">
    <cfRule type="expression" dxfId="825" priority="1329">
      <formula>W208&gt;W207</formula>
    </cfRule>
  </conditionalFormatting>
  <conditionalFormatting sqref="W211">
    <cfRule type="expression" dxfId="824" priority="1328">
      <formula>W212&gt;W211</formula>
    </cfRule>
  </conditionalFormatting>
  <conditionalFormatting sqref="Y197">
    <cfRule type="expression" dxfId="823" priority="1327">
      <formula>(Y198+Y199)&gt;Y197</formula>
    </cfRule>
  </conditionalFormatting>
  <conditionalFormatting sqref="Y199">
    <cfRule type="expression" dxfId="822" priority="1326">
      <formula>Y200&gt;Y199</formula>
    </cfRule>
  </conditionalFormatting>
  <conditionalFormatting sqref="Y203">
    <cfRule type="expression" dxfId="821" priority="1325">
      <formula>Y204&gt;Y203</formula>
    </cfRule>
  </conditionalFormatting>
  <conditionalFormatting sqref="Y207">
    <cfRule type="expression" dxfId="820" priority="1324">
      <formula>Y208&gt;Y207</formula>
    </cfRule>
  </conditionalFormatting>
  <conditionalFormatting sqref="Y211">
    <cfRule type="expression" dxfId="819" priority="1323">
      <formula>Y212&gt;Y211</formula>
    </cfRule>
  </conditionalFormatting>
  <conditionalFormatting sqref="J217">
    <cfRule type="expression" dxfId="818" priority="1322">
      <formula>J218&gt;J217</formula>
    </cfRule>
  </conditionalFormatting>
  <conditionalFormatting sqref="L217">
    <cfRule type="expression" dxfId="817" priority="1321">
      <formula>L218&gt;L217</formula>
    </cfRule>
  </conditionalFormatting>
  <conditionalFormatting sqref="N217">
    <cfRule type="expression" dxfId="816" priority="1320">
      <formula>N218&gt;N217</formula>
    </cfRule>
  </conditionalFormatting>
  <conditionalFormatting sqref="P217">
    <cfRule type="expression" dxfId="815" priority="1319">
      <formula>P218&gt;P217</formula>
    </cfRule>
  </conditionalFormatting>
  <conditionalFormatting sqref="R217">
    <cfRule type="expression" dxfId="814" priority="1318">
      <formula>R218&gt;R217</formula>
    </cfRule>
  </conditionalFormatting>
  <conditionalFormatting sqref="T217">
    <cfRule type="expression" dxfId="813" priority="1317">
      <formula>T218&gt;T217</formula>
    </cfRule>
  </conditionalFormatting>
  <conditionalFormatting sqref="V217">
    <cfRule type="expression" dxfId="812" priority="1316">
      <formula>V218&gt;V217</formula>
    </cfRule>
  </conditionalFormatting>
  <conditionalFormatting sqref="X217">
    <cfRule type="expression" dxfId="811" priority="1315">
      <formula>X218&gt;X217</formula>
    </cfRule>
  </conditionalFormatting>
  <conditionalFormatting sqref="Z217">
    <cfRule type="expression" dxfId="810" priority="1314">
      <formula>Z218&gt;Z217</formula>
    </cfRule>
  </conditionalFormatting>
  <conditionalFormatting sqref="K198">
    <cfRule type="expression" dxfId="809" priority="869">
      <formula>K198&gt;K197</formula>
    </cfRule>
    <cfRule type="expression" dxfId="808" priority="1313">
      <formula>K231&gt;K198</formula>
    </cfRule>
  </conditionalFormatting>
  <conditionalFormatting sqref="M198">
    <cfRule type="expression" dxfId="807" priority="1312">
      <formula>M231&gt;M198</formula>
    </cfRule>
  </conditionalFormatting>
  <conditionalFormatting sqref="O198">
    <cfRule type="expression" dxfId="806" priority="1311">
      <formula>O231&gt;O198</formula>
    </cfRule>
  </conditionalFormatting>
  <conditionalFormatting sqref="Q198">
    <cfRule type="expression" dxfId="805" priority="1310">
      <formula>Q231&gt;Q198</formula>
    </cfRule>
  </conditionalFormatting>
  <conditionalFormatting sqref="S198">
    <cfRule type="expression" dxfId="804" priority="1309">
      <formula>S231&gt;S198</formula>
    </cfRule>
  </conditionalFormatting>
  <conditionalFormatting sqref="U198">
    <cfRule type="expression" dxfId="803" priority="1308">
      <formula>U231&gt;U198</formula>
    </cfRule>
  </conditionalFormatting>
  <conditionalFormatting sqref="W198">
    <cfRule type="expression" dxfId="802" priority="1307">
      <formula>W231&gt;W198</formula>
    </cfRule>
  </conditionalFormatting>
  <conditionalFormatting sqref="Y198">
    <cfRule type="expression" dxfId="801" priority="1306">
      <formula>Y231&gt;Y198</formula>
    </cfRule>
  </conditionalFormatting>
  <conditionalFormatting sqref="K200 M200 O200 Q200 S200 U200 W200 Y200">
    <cfRule type="expression" dxfId="800" priority="1305">
      <formula>K232&gt;K200</formula>
    </cfRule>
  </conditionalFormatting>
  <conditionalFormatting sqref="M197">
    <cfRule type="expression" dxfId="799" priority="1301">
      <formula>(M198+M199)&gt;M197</formula>
    </cfRule>
  </conditionalFormatting>
  <conditionalFormatting sqref="M199">
    <cfRule type="expression" dxfId="798" priority="1300">
      <formula>M200&gt;M199</formula>
    </cfRule>
  </conditionalFormatting>
  <conditionalFormatting sqref="M203">
    <cfRule type="expression" dxfId="797" priority="1299">
      <formula>M204&gt;M203</formula>
    </cfRule>
  </conditionalFormatting>
  <conditionalFormatting sqref="M207">
    <cfRule type="expression" dxfId="796" priority="1298">
      <formula>M208&gt;M207</formula>
    </cfRule>
  </conditionalFormatting>
  <conditionalFormatting sqref="M211">
    <cfRule type="expression" dxfId="795" priority="1297">
      <formula>M212&gt;M211</formula>
    </cfRule>
  </conditionalFormatting>
  <conditionalFormatting sqref="M198">
    <cfRule type="expression" dxfId="794" priority="1296">
      <formula>M231&gt;M198</formula>
    </cfRule>
  </conditionalFormatting>
  <conditionalFormatting sqref="K210 M210 O210 Q210 S210 U210 W210 Y210">
    <cfRule type="expression" dxfId="793" priority="1294">
      <formula>K237&gt;K210</formula>
    </cfRule>
  </conditionalFormatting>
  <conditionalFormatting sqref="O197">
    <cfRule type="expression" dxfId="792" priority="1292">
      <formula>(O198+O199)&gt;O197</formula>
    </cfRule>
  </conditionalFormatting>
  <conditionalFormatting sqref="O199">
    <cfRule type="expression" dxfId="791" priority="1291">
      <formula>O200&gt;O199</formula>
    </cfRule>
  </conditionalFormatting>
  <conditionalFormatting sqref="O203">
    <cfRule type="expression" dxfId="790" priority="1290">
      <formula>O204&gt;O203</formula>
    </cfRule>
  </conditionalFormatting>
  <conditionalFormatting sqref="O207">
    <cfRule type="expression" dxfId="789" priority="1289">
      <formula>O208&gt;O207</formula>
    </cfRule>
  </conditionalFormatting>
  <conditionalFormatting sqref="O211">
    <cfRule type="expression" dxfId="788" priority="1288">
      <formula>O212&gt;O211</formula>
    </cfRule>
  </conditionalFormatting>
  <conditionalFormatting sqref="O198">
    <cfRule type="expression" dxfId="787" priority="1287">
      <formula>O231&gt;O198</formula>
    </cfRule>
  </conditionalFormatting>
  <conditionalFormatting sqref="Q197">
    <cfRule type="expression" dxfId="786" priority="1283">
      <formula>(Q198+Q199)&gt;Q197</formula>
    </cfRule>
  </conditionalFormatting>
  <conditionalFormatting sqref="Q199">
    <cfRule type="expression" dxfId="785" priority="1282">
      <formula>Q200&gt;Q199</formula>
    </cfRule>
  </conditionalFormatting>
  <conditionalFormatting sqref="Q203">
    <cfRule type="expression" dxfId="784" priority="1281">
      <formula>Q204&gt;Q203</formula>
    </cfRule>
  </conditionalFormatting>
  <conditionalFormatting sqref="Q207">
    <cfRule type="expression" dxfId="783" priority="1280">
      <formula>Q208&gt;Q207</formula>
    </cfRule>
  </conditionalFormatting>
  <conditionalFormatting sqref="Q211">
    <cfRule type="expression" dxfId="782" priority="1279">
      <formula>Q212&gt;Q211</formula>
    </cfRule>
  </conditionalFormatting>
  <conditionalFormatting sqref="Q198">
    <cfRule type="expression" dxfId="781" priority="1278">
      <formula>Q231&gt;Q198</formula>
    </cfRule>
  </conditionalFormatting>
  <conditionalFormatting sqref="S197">
    <cfRule type="expression" dxfId="780" priority="1274">
      <formula>(S198+S199)&gt;S197</formula>
    </cfRule>
  </conditionalFormatting>
  <conditionalFormatting sqref="S199">
    <cfRule type="expression" dxfId="779" priority="1273">
      <formula>S200&gt;S199</formula>
    </cfRule>
  </conditionalFormatting>
  <conditionalFormatting sqref="S203">
    <cfRule type="expression" dxfId="778" priority="1272">
      <formula>S204&gt;S203</formula>
    </cfRule>
  </conditionalFormatting>
  <conditionalFormatting sqref="S207">
    <cfRule type="expression" dxfId="777" priority="1271">
      <formula>S208&gt;S207</formula>
    </cfRule>
  </conditionalFormatting>
  <conditionalFormatting sqref="S211">
    <cfRule type="expression" dxfId="776" priority="1270">
      <formula>S212&gt;S211</formula>
    </cfRule>
  </conditionalFormatting>
  <conditionalFormatting sqref="S198">
    <cfRule type="expression" dxfId="775" priority="1269">
      <formula>S231&gt;S198</formula>
    </cfRule>
  </conditionalFormatting>
  <conditionalFormatting sqref="U197">
    <cfRule type="expression" dxfId="774" priority="1265">
      <formula>(U198+U199)&gt;U197</formula>
    </cfRule>
  </conditionalFormatting>
  <conditionalFormatting sqref="U199">
    <cfRule type="expression" dxfId="773" priority="1264">
      <formula>U200&gt;U199</formula>
    </cfRule>
  </conditionalFormatting>
  <conditionalFormatting sqref="U203">
    <cfRule type="expression" dxfId="772" priority="1263">
      <formula>U204&gt;U203</formula>
    </cfRule>
  </conditionalFormatting>
  <conditionalFormatting sqref="U207">
    <cfRule type="expression" dxfId="771" priority="1262">
      <formula>U208&gt;U207</formula>
    </cfRule>
  </conditionalFormatting>
  <conditionalFormatting sqref="U211">
    <cfRule type="expression" dxfId="770" priority="1261">
      <formula>U212&gt;U211</formula>
    </cfRule>
  </conditionalFormatting>
  <conditionalFormatting sqref="U198">
    <cfRule type="expression" dxfId="769" priority="1260">
      <formula>U231&gt;U198</formula>
    </cfRule>
  </conditionalFormatting>
  <conditionalFormatting sqref="W197">
    <cfRule type="expression" dxfId="768" priority="1256">
      <formula>(W198+W199)&gt;W197</formula>
    </cfRule>
  </conditionalFormatting>
  <conditionalFormatting sqref="W199">
    <cfRule type="expression" dxfId="767" priority="1255">
      <formula>W200&gt;W199</formula>
    </cfRule>
  </conditionalFormatting>
  <conditionalFormatting sqref="W203">
    <cfRule type="expression" dxfId="766" priority="1254">
      <formula>W204&gt;W203</formula>
    </cfRule>
  </conditionalFormatting>
  <conditionalFormatting sqref="W207">
    <cfRule type="expression" dxfId="765" priority="1253">
      <formula>W208&gt;W207</formula>
    </cfRule>
  </conditionalFormatting>
  <conditionalFormatting sqref="W211">
    <cfRule type="expression" dxfId="764" priority="1252">
      <formula>W212&gt;W211</formula>
    </cfRule>
  </conditionalFormatting>
  <conditionalFormatting sqref="W198">
    <cfRule type="expression" dxfId="763" priority="1251">
      <formula>W231&gt;W198</formula>
    </cfRule>
  </conditionalFormatting>
  <conditionalFormatting sqref="Y197">
    <cfRule type="expression" dxfId="762" priority="1247">
      <formula>(Y198+Y199)&gt;Y197</formula>
    </cfRule>
  </conditionalFormatting>
  <conditionalFormatting sqref="Y199">
    <cfRule type="expression" dxfId="761" priority="1246">
      <formula>Y200&gt;Y199</formula>
    </cfRule>
  </conditionalFormatting>
  <conditionalFormatting sqref="Y203">
    <cfRule type="expression" dxfId="760" priority="1245">
      <formula>Y204&gt;Y203</formula>
    </cfRule>
  </conditionalFormatting>
  <conditionalFormatting sqref="Y207">
    <cfRule type="expression" dxfId="759" priority="1244">
      <formula>Y208&gt;Y207</formula>
    </cfRule>
  </conditionalFormatting>
  <conditionalFormatting sqref="Y211">
    <cfRule type="expression" dxfId="758" priority="1243">
      <formula>Y212&gt;Y211</formula>
    </cfRule>
  </conditionalFormatting>
  <conditionalFormatting sqref="Y198">
    <cfRule type="expression" dxfId="757" priority="1242">
      <formula>Y231&gt;Y198</formula>
    </cfRule>
  </conditionalFormatting>
  <conditionalFormatting sqref="K241 M241 O241 Q241 S241 U241 W241 Y241">
    <cfRule type="expression" dxfId="756" priority="1238">
      <formula>K241&gt;K258</formula>
    </cfRule>
  </conditionalFormatting>
  <conditionalFormatting sqref="D271:AA271">
    <cfRule type="expression" dxfId="755" priority="1228">
      <formula>D271&lt;&gt;D258</formula>
    </cfRule>
  </conditionalFormatting>
  <conditionalFormatting sqref="F26:AA26">
    <cfRule type="expression" dxfId="754" priority="1211">
      <formula>F27&gt;F26</formula>
    </cfRule>
  </conditionalFormatting>
  <conditionalFormatting sqref="F31:AA31">
    <cfRule type="expression" dxfId="753" priority="1210">
      <formula>F32&gt;F31</formula>
    </cfRule>
  </conditionalFormatting>
  <conditionalFormatting sqref="F33:AA33">
    <cfRule type="expression" dxfId="752" priority="1209">
      <formula>F34&gt;F33</formula>
    </cfRule>
  </conditionalFormatting>
  <conditionalFormatting sqref="F35">
    <cfRule type="expression" dxfId="751" priority="1208">
      <formula>F36&gt;F35</formula>
    </cfRule>
  </conditionalFormatting>
  <conditionalFormatting sqref="G35">
    <cfRule type="expression" dxfId="750" priority="1207">
      <formula>G36&gt;G35</formula>
    </cfRule>
  </conditionalFormatting>
  <conditionalFormatting sqref="F37:G37">
    <cfRule type="expression" dxfId="749" priority="1206">
      <formula>F38&gt;F37</formula>
    </cfRule>
  </conditionalFormatting>
  <conditionalFormatting sqref="F39:AA39">
    <cfRule type="expression" dxfId="748" priority="1205">
      <formula>F40&gt;F39</formula>
    </cfRule>
  </conditionalFormatting>
  <conditionalFormatting sqref="F41:AA41">
    <cfRule type="expression" dxfId="747" priority="1204">
      <formula>F42&gt;F41</formula>
    </cfRule>
  </conditionalFormatting>
  <conditionalFormatting sqref="F43:AA43">
    <cfRule type="expression" dxfId="746" priority="1203">
      <formula>F44&gt;F43</formula>
    </cfRule>
  </conditionalFormatting>
  <conditionalFormatting sqref="L45:AA45">
    <cfRule type="expression" dxfId="745" priority="1202">
      <formula>L46&gt;L45</formula>
    </cfRule>
  </conditionalFormatting>
  <conditionalFormatting sqref="L47">
    <cfRule type="expression" dxfId="744" priority="1201">
      <formula>L48&gt;L47</formula>
    </cfRule>
  </conditionalFormatting>
  <conditionalFormatting sqref="N47">
    <cfRule type="expression" dxfId="743" priority="1200">
      <formula>N48&gt;N47</formula>
    </cfRule>
  </conditionalFormatting>
  <conditionalFormatting sqref="P47">
    <cfRule type="expression" dxfId="742" priority="1199">
      <formula>P48&gt;P47</formula>
    </cfRule>
  </conditionalFormatting>
  <conditionalFormatting sqref="R47">
    <cfRule type="expression" dxfId="741" priority="1198">
      <formula>R48&gt;R47</formula>
    </cfRule>
  </conditionalFormatting>
  <conditionalFormatting sqref="T47">
    <cfRule type="expression" dxfId="740" priority="1197">
      <formula>T48&gt;T47</formula>
    </cfRule>
  </conditionalFormatting>
  <conditionalFormatting sqref="V47">
    <cfRule type="expression" dxfId="739" priority="1196">
      <formula>V48&gt;V47</formula>
    </cfRule>
  </conditionalFormatting>
  <conditionalFormatting sqref="X47">
    <cfRule type="expression" dxfId="738" priority="1195">
      <formula>X48&gt;X47</formula>
    </cfRule>
  </conditionalFormatting>
  <conditionalFormatting sqref="Z47">
    <cfRule type="expression" dxfId="737" priority="1194">
      <formula>Z48&gt;Z47</formula>
    </cfRule>
  </conditionalFormatting>
  <conditionalFormatting sqref="AC10 AC13 AC17:AC18">
    <cfRule type="notContainsBlanks" dxfId="736" priority="1192">
      <formula>LEN(TRIM(AC10))&gt;0</formula>
    </cfRule>
  </conditionalFormatting>
  <conditionalFormatting sqref="AE8:AF8 AE9:AE18">
    <cfRule type="notContainsBlanks" dxfId="735" priority="1191">
      <formula>LEN(TRIM(AE8))&gt;0</formula>
    </cfRule>
  </conditionalFormatting>
  <conditionalFormatting sqref="AD8">
    <cfRule type="notContainsBlanks" dxfId="734" priority="1660">
      <formula>LEN(TRIM(AD8))&gt;0</formula>
    </cfRule>
  </conditionalFormatting>
  <conditionalFormatting sqref="Y201">
    <cfRule type="cellIs" dxfId="733" priority="1179" operator="equal">
      <formula>0</formula>
    </cfRule>
  </conditionalFormatting>
  <conditionalFormatting sqref="W201">
    <cfRule type="cellIs" dxfId="732" priority="1178" operator="equal">
      <formula>0</formula>
    </cfRule>
  </conditionalFormatting>
  <conditionalFormatting sqref="U201">
    <cfRule type="cellIs" dxfId="731" priority="1177" operator="equal">
      <formula>0</formula>
    </cfRule>
  </conditionalFormatting>
  <conditionalFormatting sqref="S201">
    <cfRule type="cellIs" dxfId="730" priority="1176" operator="equal">
      <formula>0</formula>
    </cfRule>
  </conditionalFormatting>
  <conditionalFormatting sqref="Q201">
    <cfRule type="cellIs" dxfId="729" priority="1175" operator="equal">
      <formula>0</formula>
    </cfRule>
  </conditionalFormatting>
  <conditionalFormatting sqref="O201">
    <cfRule type="cellIs" dxfId="728" priority="1174" operator="equal">
      <formula>0</formula>
    </cfRule>
  </conditionalFormatting>
  <conditionalFormatting sqref="M201">
    <cfRule type="cellIs" dxfId="727" priority="1173" operator="equal">
      <formula>0</formula>
    </cfRule>
  </conditionalFormatting>
  <conditionalFormatting sqref="K201">
    <cfRule type="cellIs" dxfId="726" priority="1172" operator="equal">
      <formula>0</formula>
    </cfRule>
  </conditionalFormatting>
  <conditionalFormatting sqref="B201">
    <cfRule type="cellIs" dxfId="725" priority="1171" operator="equal">
      <formula>0</formula>
    </cfRule>
  </conditionalFormatting>
  <conditionalFormatting sqref="B202">
    <cfRule type="cellIs" dxfId="724" priority="1170" operator="equal">
      <formula>0</formula>
    </cfRule>
  </conditionalFormatting>
  <conditionalFormatting sqref="K202">
    <cfRule type="cellIs" dxfId="723" priority="1162" operator="equal">
      <formula>0</formula>
    </cfRule>
  </conditionalFormatting>
  <conditionalFormatting sqref="M202">
    <cfRule type="cellIs" dxfId="722" priority="1161" operator="equal">
      <formula>0</formula>
    </cfRule>
  </conditionalFormatting>
  <conditionalFormatting sqref="O202">
    <cfRule type="cellIs" dxfId="721" priority="1160" operator="equal">
      <formula>0</formula>
    </cfRule>
  </conditionalFormatting>
  <conditionalFormatting sqref="Q202">
    <cfRule type="cellIs" dxfId="720" priority="1159" operator="equal">
      <formula>0</formula>
    </cfRule>
  </conditionalFormatting>
  <conditionalFormatting sqref="S202">
    <cfRule type="cellIs" dxfId="719" priority="1158" operator="equal">
      <formula>0</formula>
    </cfRule>
  </conditionalFormatting>
  <conditionalFormatting sqref="U202">
    <cfRule type="cellIs" dxfId="718" priority="1157" operator="equal">
      <formula>0</formula>
    </cfRule>
  </conditionalFormatting>
  <conditionalFormatting sqref="W202">
    <cfRule type="cellIs" dxfId="717" priority="1156" operator="equal">
      <formula>0</formula>
    </cfRule>
  </conditionalFormatting>
  <conditionalFormatting sqref="Y202">
    <cfRule type="cellIs" dxfId="716" priority="1155" operator="equal">
      <formula>0</formula>
    </cfRule>
  </conditionalFormatting>
  <conditionalFormatting sqref="K215">
    <cfRule type="expression" dxfId="715" priority="1496">
      <formula>K241&gt;K215</formula>
    </cfRule>
  </conditionalFormatting>
  <conditionalFormatting sqref="K212">
    <cfRule type="expression" dxfId="714" priority="54">
      <formula>K244&gt;K214+K212</formula>
    </cfRule>
    <cfRule type="expression" dxfId="713" priority="1497">
      <formula>K238&gt;K212</formula>
    </cfRule>
  </conditionalFormatting>
  <conditionalFormatting sqref="M201 O201 Q201 S201 U201 W201 Y201 K201">
    <cfRule type="expression" dxfId="712" priority="1498">
      <formula>K236&gt;K201</formula>
    </cfRule>
  </conditionalFormatting>
  <conditionalFormatting sqref="K233">
    <cfRule type="cellIs" dxfId="711" priority="1154" operator="equal">
      <formula>0</formula>
    </cfRule>
  </conditionalFormatting>
  <conditionalFormatting sqref="O233">
    <cfRule type="cellIs" dxfId="710" priority="1145" operator="equal">
      <formula>0</formula>
    </cfRule>
  </conditionalFormatting>
  <conditionalFormatting sqref="M233">
    <cfRule type="cellIs" dxfId="709" priority="1146" operator="equal">
      <formula>0</formula>
    </cfRule>
  </conditionalFormatting>
  <conditionalFormatting sqref="Q233">
    <cfRule type="cellIs" dxfId="708" priority="1144" operator="equal">
      <formula>0</formula>
    </cfRule>
  </conditionalFormatting>
  <conditionalFormatting sqref="S233">
    <cfRule type="cellIs" dxfId="707" priority="1143" operator="equal">
      <formula>0</formula>
    </cfRule>
  </conditionalFormatting>
  <conditionalFormatting sqref="U233">
    <cfRule type="cellIs" dxfId="706" priority="1142" operator="equal">
      <formula>0</formula>
    </cfRule>
  </conditionalFormatting>
  <conditionalFormatting sqref="W233">
    <cfRule type="cellIs" dxfId="705" priority="1141" operator="equal">
      <formula>0</formula>
    </cfRule>
  </conditionalFormatting>
  <conditionalFormatting sqref="Y233">
    <cfRule type="cellIs" dxfId="704" priority="1140" operator="equal">
      <formula>0</formula>
    </cfRule>
  </conditionalFormatting>
  <conditionalFormatting sqref="B233">
    <cfRule type="cellIs" dxfId="703" priority="1139" operator="equal">
      <formula>0</formula>
    </cfRule>
  </conditionalFormatting>
  <conditionalFormatting sqref="B221">
    <cfRule type="cellIs" dxfId="702" priority="1138" operator="equal">
      <formula>0</formula>
    </cfRule>
  </conditionalFormatting>
  <conditionalFormatting sqref="B224">
    <cfRule type="cellIs" dxfId="701" priority="1125" operator="equal">
      <formula>0</formula>
    </cfRule>
  </conditionalFormatting>
  <conditionalFormatting sqref="AC227">
    <cfRule type="notContainsBlanks" dxfId="700" priority="1115">
      <formula>LEN(TRIM(AC227))&gt;0</formula>
    </cfRule>
  </conditionalFormatting>
  <conditionalFormatting sqref="AE227">
    <cfRule type="notContainsBlanks" dxfId="699" priority="1114">
      <formula>LEN(TRIM(AE227))&gt;0</formula>
    </cfRule>
  </conditionalFormatting>
  <conditionalFormatting sqref="AB227">
    <cfRule type="cellIs" dxfId="698" priority="1113" operator="equal">
      <formula>0</formula>
    </cfRule>
  </conditionalFormatting>
  <conditionalFormatting sqref="B227">
    <cfRule type="cellIs" dxfId="697" priority="1102" operator="equal">
      <formula>0</formula>
    </cfRule>
  </conditionalFormatting>
  <conditionalFormatting sqref="AC179">
    <cfRule type="notContainsBlanks" dxfId="696" priority="1101">
      <formula>LEN(TRIM(AC179))&gt;0</formula>
    </cfRule>
  </conditionalFormatting>
  <conditionalFormatting sqref="AE179:AF179">
    <cfRule type="notContainsBlanks" dxfId="695" priority="1100">
      <formula>LEN(TRIM(AE179))&gt;0</formula>
    </cfRule>
  </conditionalFormatting>
  <conditionalFormatting sqref="AD179">
    <cfRule type="notContainsBlanks" dxfId="694" priority="1661">
      <formula>LEN(TRIM(AD179))&gt;0</formula>
    </cfRule>
  </conditionalFormatting>
  <conditionalFormatting sqref="AB179">
    <cfRule type="cellIs" dxfId="693" priority="1097" operator="equal">
      <formula>0</formula>
    </cfRule>
  </conditionalFormatting>
  <conditionalFormatting sqref="AC144:AC145 AC147 AC149:AC151">
    <cfRule type="notContainsBlanks" dxfId="692" priority="1095">
      <formula>LEN(TRIM(AC144))&gt;0</formula>
    </cfRule>
  </conditionalFormatting>
  <conditionalFormatting sqref="AE144:AF151">
    <cfRule type="notContainsBlanks" dxfId="691" priority="1094">
      <formula>LEN(TRIM(AE144))&gt;0</formula>
    </cfRule>
  </conditionalFormatting>
  <conditionalFormatting sqref="AB144:AB151">
    <cfRule type="cellIs" dxfId="690" priority="1091" operator="equal">
      <formula>0</formula>
    </cfRule>
  </conditionalFormatting>
  <conditionalFormatting sqref="D143:AB143">
    <cfRule type="cellIs" dxfId="689" priority="1089" operator="equal">
      <formula>0</formula>
    </cfRule>
  </conditionalFormatting>
  <conditionalFormatting sqref="AE318 AE323:AE324">
    <cfRule type="notContainsBlanks" dxfId="688" priority="1085">
      <formula>LEN(TRIM(AE318))&gt;0</formula>
    </cfRule>
  </conditionalFormatting>
  <conditionalFormatting sqref="AB318">
    <cfRule type="cellIs" dxfId="687" priority="1084" operator="equal">
      <formula>0</formula>
    </cfRule>
  </conditionalFormatting>
  <conditionalFormatting sqref="AC324">
    <cfRule type="notContainsBlanks" dxfId="686" priority="1086">
      <formula>LEN(TRIM(AC324))&gt;0</formula>
    </cfRule>
  </conditionalFormatting>
  <conditionalFormatting sqref="AC319:AC320">
    <cfRule type="notContainsBlanks" dxfId="685" priority="1083">
      <formula>LEN(TRIM(AC319))&gt;0</formula>
    </cfRule>
  </conditionalFormatting>
  <conditionalFormatting sqref="AE319:AE322">
    <cfRule type="notContainsBlanks" dxfId="684" priority="1080">
      <formula>LEN(TRIM(AE319))&gt;0</formula>
    </cfRule>
  </conditionalFormatting>
  <conditionalFormatting sqref="F321:AA321 D319:AA319">
    <cfRule type="cellIs" dxfId="683" priority="1078" operator="equal">
      <formula>0</formula>
    </cfRule>
  </conditionalFormatting>
  <conditionalFormatting sqref="AB319:AB327">
    <cfRule type="cellIs" dxfId="682" priority="1077" operator="equal">
      <formula>0</formula>
    </cfRule>
  </conditionalFormatting>
  <conditionalFormatting sqref="B320">
    <cfRule type="cellIs" dxfId="681" priority="1073" operator="equal">
      <formula>0</formula>
    </cfRule>
  </conditionalFormatting>
  <conditionalFormatting sqref="B322">
    <cfRule type="cellIs" dxfId="680" priority="1072" operator="equal">
      <formula>0</formula>
    </cfRule>
  </conditionalFormatting>
  <conditionalFormatting sqref="F320:AA320">
    <cfRule type="cellIs" dxfId="679" priority="1071" operator="equal">
      <formula>0</formula>
    </cfRule>
  </conditionalFormatting>
  <conditionalFormatting sqref="F322:AA322">
    <cfRule type="cellIs" dxfId="678" priority="1069" operator="equal">
      <formula>0</formula>
    </cfRule>
  </conditionalFormatting>
  <conditionalFormatting sqref="AE326">
    <cfRule type="notContainsBlanks" dxfId="677" priority="1067">
      <formula>LEN(TRIM(AE326))&gt;0</formula>
    </cfRule>
  </conditionalFormatting>
  <conditionalFormatting sqref="AE327">
    <cfRule type="notContainsBlanks" dxfId="676" priority="1063">
      <formula>LEN(TRIM(AE327))&gt;0</formula>
    </cfRule>
  </conditionalFormatting>
  <conditionalFormatting sqref="F324:AA324">
    <cfRule type="cellIs" dxfId="675" priority="1060" operator="equal">
      <formula>0</formula>
    </cfRule>
  </conditionalFormatting>
  <conditionalFormatting sqref="B324">
    <cfRule type="cellIs" dxfId="674" priority="1059" operator="equal">
      <formula>0</formula>
    </cfRule>
  </conditionalFormatting>
  <conditionalFormatting sqref="B327">
    <cfRule type="cellIs" dxfId="673" priority="1058" operator="equal">
      <formula>0</formula>
    </cfRule>
  </conditionalFormatting>
  <conditionalFormatting sqref="F327:AA327">
    <cfRule type="cellIs" dxfId="672" priority="1057" operator="equal">
      <formula>0</formula>
    </cfRule>
  </conditionalFormatting>
  <conditionalFormatting sqref="J67:AA67">
    <cfRule type="expression" dxfId="671" priority="1516">
      <formula>J67&gt;J64</formula>
    </cfRule>
  </conditionalFormatting>
  <conditionalFormatting sqref="D278:AA278">
    <cfRule type="expression" dxfId="670" priority="1519">
      <formula>D278&gt;D258</formula>
    </cfRule>
  </conditionalFormatting>
  <conditionalFormatting sqref="D278:AA278">
    <cfRule type="expression" dxfId="669" priority="1521">
      <formula>(D258*0.7)&gt;D278</formula>
    </cfRule>
  </conditionalFormatting>
  <conditionalFormatting sqref="D257:AA257">
    <cfRule type="cellIs" dxfId="668" priority="1054" operator="equal">
      <formula>0</formula>
    </cfRule>
  </conditionalFormatting>
  <conditionalFormatting sqref="AB257">
    <cfRule type="cellIs" dxfId="667" priority="1053" operator="equal">
      <formula>0</formula>
    </cfRule>
  </conditionalFormatting>
  <conditionalFormatting sqref="D248:AA248">
    <cfRule type="cellIs" dxfId="666" priority="1050" operator="equal">
      <formula>0</formula>
    </cfRule>
  </conditionalFormatting>
  <conditionalFormatting sqref="D248:AA248">
    <cfRule type="cellIs" dxfId="665" priority="1049" operator="equal">
      <formula>0</formula>
    </cfRule>
  </conditionalFormatting>
  <conditionalFormatting sqref="J79:AA79">
    <cfRule type="cellIs" dxfId="664" priority="1045" operator="equal">
      <formula>0</formula>
    </cfRule>
  </conditionalFormatting>
  <conditionalFormatting sqref="B79">
    <cfRule type="cellIs" dxfId="663" priority="1048" operator="equal">
      <formula>0</formula>
    </cfRule>
  </conditionalFormatting>
  <conditionalFormatting sqref="J79:AA79">
    <cfRule type="cellIs" dxfId="662" priority="1046" operator="equal">
      <formula>0</formula>
    </cfRule>
  </conditionalFormatting>
  <conditionalFormatting sqref="J79:AA79">
    <cfRule type="expression" dxfId="661" priority="1047">
      <formula>J112&gt;J79</formula>
    </cfRule>
  </conditionalFormatting>
  <conditionalFormatting sqref="B68">
    <cfRule type="cellIs" dxfId="660" priority="1044" operator="equal">
      <formula>0</formula>
    </cfRule>
  </conditionalFormatting>
  <conditionalFormatting sqref="J68:AA68">
    <cfRule type="cellIs" dxfId="659" priority="1041" operator="equal">
      <formula>0</formula>
    </cfRule>
  </conditionalFormatting>
  <conditionalFormatting sqref="J68:AA68">
    <cfRule type="cellIs" dxfId="658" priority="1042" operator="equal">
      <formula>0</formula>
    </cfRule>
  </conditionalFormatting>
  <conditionalFormatting sqref="J68:AA68">
    <cfRule type="expression" dxfId="657" priority="1043">
      <formula>J101&gt;J68</formula>
    </cfRule>
  </conditionalFormatting>
  <conditionalFormatting sqref="AC275">
    <cfRule type="notContainsBlanks" dxfId="656" priority="1009">
      <formula>LEN(TRIM(AC275))&gt;0</formula>
    </cfRule>
  </conditionalFormatting>
  <conditionalFormatting sqref="AE275">
    <cfRule type="notContainsBlanks" dxfId="655" priority="1008">
      <formula>LEN(TRIM(AE275))&gt;0</formula>
    </cfRule>
  </conditionalFormatting>
  <conditionalFormatting sqref="AC274:AC275">
    <cfRule type="notContainsBlanks" dxfId="654" priority="1005">
      <formula>LEN(TRIM(AC274))&gt;0</formula>
    </cfRule>
  </conditionalFormatting>
  <conditionalFormatting sqref="AE273:AE275">
    <cfRule type="notContainsBlanks" dxfId="653" priority="1004">
      <formula>LEN(TRIM(AE273))&gt;0</formula>
    </cfRule>
  </conditionalFormatting>
  <conditionalFormatting sqref="AE286">
    <cfRule type="notContainsBlanks" dxfId="652" priority="992">
      <formula>LEN(TRIM(AE286))&gt;0</formula>
    </cfRule>
  </conditionalFormatting>
  <conditionalFormatting sqref="AB286">
    <cfRule type="cellIs" dxfId="651" priority="991" operator="equal">
      <formula>0</formula>
    </cfRule>
  </conditionalFormatting>
  <conditionalFormatting sqref="AE283">
    <cfRule type="notContainsBlanks" dxfId="650" priority="996">
      <formula>LEN(TRIM(AE283))&gt;0</formula>
    </cfRule>
  </conditionalFormatting>
  <conditionalFormatting sqref="AC285 AC287">
    <cfRule type="notContainsBlanks" dxfId="649" priority="989">
      <formula>LEN(TRIM(AC285))&gt;0</formula>
    </cfRule>
  </conditionalFormatting>
  <conditionalFormatting sqref="AE285:AE287">
    <cfRule type="notContainsBlanks" dxfId="648" priority="988">
      <formula>LEN(TRIM(AE285))&gt;0</formula>
    </cfRule>
  </conditionalFormatting>
  <conditionalFormatting sqref="AB285:AB286">
    <cfRule type="cellIs" dxfId="647" priority="987" operator="equal">
      <formula>0</formula>
    </cfRule>
  </conditionalFormatting>
  <conditionalFormatting sqref="D275:AA275">
    <cfRule type="cellIs" dxfId="646" priority="983" operator="equal">
      <formula>0</formula>
    </cfRule>
  </conditionalFormatting>
  <conditionalFormatting sqref="D275:AA275">
    <cfRule type="cellIs" dxfId="645" priority="982" operator="equal">
      <formula>0</formula>
    </cfRule>
  </conditionalFormatting>
  <conditionalFormatting sqref="D275:AA275">
    <cfRule type="cellIs" dxfId="644" priority="981" operator="equal">
      <formula>0</formula>
    </cfRule>
  </conditionalFormatting>
  <conditionalFormatting sqref="AC276:AC281">
    <cfRule type="notContainsBlanks" dxfId="643" priority="977">
      <formula>LEN(TRIM(AC276))&gt;0</formula>
    </cfRule>
  </conditionalFormatting>
  <conditionalFormatting sqref="AE276:AE282">
    <cfRule type="notContainsBlanks" dxfId="642" priority="976">
      <formula>LEN(TRIM(AE276))&gt;0</formula>
    </cfRule>
  </conditionalFormatting>
  <conditionalFormatting sqref="AC284">
    <cfRule type="notContainsBlanks" dxfId="641" priority="968">
      <formula>LEN(TRIM(AC284))&gt;0</formula>
    </cfRule>
  </conditionalFormatting>
  <conditionalFormatting sqref="AE284">
    <cfRule type="notContainsBlanks" dxfId="640" priority="967">
      <formula>LEN(TRIM(AE284))&gt;0</formula>
    </cfRule>
  </conditionalFormatting>
  <conditionalFormatting sqref="AB284">
    <cfRule type="cellIs" dxfId="639" priority="966" operator="equal">
      <formula>0</formula>
    </cfRule>
  </conditionalFormatting>
  <conditionalFormatting sqref="D286:AA286">
    <cfRule type="cellIs" dxfId="638" priority="964" operator="equal">
      <formula>0</formula>
    </cfRule>
  </conditionalFormatting>
  <conditionalFormatting sqref="D286:AA286">
    <cfRule type="cellIs" dxfId="637" priority="963" operator="equal">
      <formula>0</formula>
    </cfRule>
  </conditionalFormatting>
  <conditionalFormatting sqref="D286:AA286">
    <cfRule type="cellIs" dxfId="636" priority="962" operator="equal">
      <formula>0</formula>
    </cfRule>
  </conditionalFormatting>
  <conditionalFormatting sqref="AC288">
    <cfRule type="notContainsBlanks" dxfId="635" priority="957">
      <formula>LEN(TRIM(AC288))&gt;0</formula>
    </cfRule>
  </conditionalFormatting>
  <conditionalFormatting sqref="AE288">
    <cfRule type="notContainsBlanks" dxfId="634" priority="956">
      <formula>LEN(TRIM(AE288))&gt;0</formula>
    </cfRule>
  </conditionalFormatting>
  <conditionalFormatting sqref="D288:AA288">
    <cfRule type="cellIs" dxfId="633" priority="955" operator="equal">
      <formula>0</formula>
    </cfRule>
  </conditionalFormatting>
  <conditionalFormatting sqref="AB288">
    <cfRule type="cellIs" dxfId="632" priority="954" operator="equal">
      <formula>0</formula>
    </cfRule>
  </conditionalFormatting>
  <conditionalFormatting sqref="D288:AA288">
    <cfRule type="cellIs" dxfId="631" priority="953" operator="equal">
      <formula>0</formula>
    </cfRule>
  </conditionalFormatting>
  <conditionalFormatting sqref="AC289">
    <cfRule type="notContainsBlanks" dxfId="630" priority="951">
      <formula>LEN(TRIM(AC289))&gt;0</formula>
    </cfRule>
  </conditionalFormatting>
  <conditionalFormatting sqref="AE289">
    <cfRule type="notContainsBlanks" dxfId="629" priority="950">
      <formula>LEN(TRIM(AE289))&gt;0</formula>
    </cfRule>
  </conditionalFormatting>
  <conditionalFormatting sqref="AB289:AB294">
    <cfRule type="cellIs" dxfId="628" priority="949" operator="equal">
      <formula>0</formula>
    </cfRule>
  </conditionalFormatting>
  <conditionalFormatting sqref="AC294">
    <cfRule type="notContainsBlanks" dxfId="627" priority="941">
      <formula>LEN(TRIM(AC294))&gt;0</formula>
    </cfRule>
  </conditionalFormatting>
  <conditionalFormatting sqref="AE294">
    <cfRule type="notContainsBlanks" dxfId="626" priority="940">
      <formula>LEN(TRIM(AE294))&gt;0</formula>
    </cfRule>
  </conditionalFormatting>
  <conditionalFormatting sqref="AC293">
    <cfRule type="notContainsBlanks" dxfId="625" priority="944">
      <formula>LEN(TRIM(AC293))&gt;0</formula>
    </cfRule>
  </conditionalFormatting>
  <conditionalFormatting sqref="AE293">
    <cfRule type="notContainsBlanks" dxfId="624" priority="943">
      <formula>LEN(TRIM(AE293))&gt;0</formula>
    </cfRule>
  </conditionalFormatting>
  <conditionalFormatting sqref="D287:AB287">
    <cfRule type="cellIs" dxfId="623" priority="913" operator="equal">
      <formula>0</formula>
    </cfRule>
  </conditionalFormatting>
  <conditionalFormatting sqref="D287:AB287">
    <cfRule type="cellIs" dxfId="622" priority="912" operator="equal">
      <formula>0</formula>
    </cfRule>
  </conditionalFormatting>
  <conditionalFormatting sqref="D287:AB287">
    <cfRule type="cellIs" dxfId="621" priority="911" operator="equal">
      <formula>0</formula>
    </cfRule>
  </conditionalFormatting>
  <conditionalFormatting sqref="AC8">
    <cfRule type="notContainsBlanks" dxfId="620" priority="904">
      <formula>LEN(TRIM(AC8))&gt;0</formula>
    </cfRule>
  </conditionalFormatting>
  <conditionalFormatting sqref="AC9">
    <cfRule type="notContainsBlanks" dxfId="619" priority="903">
      <formula>LEN(TRIM(AC9))&gt;0</formula>
    </cfRule>
  </conditionalFormatting>
  <conditionalFormatting sqref="J64:AA64">
    <cfRule type="expression" dxfId="618" priority="902">
      <formula>J67&gt;J64</formula>
    </cfRule>
  </conditionalFormatting>
  <conditionalFormatting sqref="J66:AA66">
    <cfRule type="expression" dxfId="617" priority="901">
      <formula>J66&gt;J65</formula>
    </cfRule>
  </conditionalFormatting>
  <conditionalFormatting sqref="J65:AA65">
    <cfRule type="expression" dxfId="616" priority="900">
      <formula>J66&gt;J65</formula>
    </cfRule>
  </conditionalFormatting>
  <conditionalFormatting sqref="AC65">
    <cfRule type="notContainsBlanks" dxfId="615" priority="899">
      <formula>LEN(TRIM(AC65))&gt;0</formula>
    </cfRule>
  </conditionalFormatting>
  <conditionalFormatting sqref="J79:AA79">
    <cfRule type="expression" dxfId="614" priority="898">
      <formula>J79&lt;J68</formula>
    </cfRule>
  </conditionalFormatting>
  <conditionalFormatting sqref="J68:AA68">
    <cfRule type="expression" dxfId="613" priority="897">
      <formula>J68&gt;J79</formula>
    </cfRule>
  </conditionalFormatting>
  <conditionalFormatting sqref="AC79">
    <cfRule type="notContainsBlanks" dxfId="612" priority="896">
      <formula>LEN(TRIM(AC79))&gt;0</formula>
    </cfRule>
  </conditionalFormatting>
  <conditionalFormatting sqref="J67:AA67">
    <cfRule type="expression" dxfId="611" priority="895">
      <formula>J68&gt;J67</formula>
    </cfRule>
  </conditionalFormatting>
  <conditionalFormatting sqref="J79:AA79 D258:AB258">
    <cfRule type="expression" dxfId="610" priority="894">
      <formula>D78&gt;D79</formula>
    </cfRule>
  </conditionalFormatting>
  <conditionalFormatting sqref="J78:AA78">
    <cfRule type="expression" dxfId="609" priority="893">
      <formula>J78&gt;J79</formula>
    </cfRule>
  </conditionalFormatting>
  <conditionalFormatting sqref="AC78">
    <cfRule type="notContainsBlanks" dxfId="608" priority="892">
      <formula>LEN(TRIM(AC78))&gt;0</formula>
    </cfRule>
  </conditionalFormatting>
  <conditionalFormatting sqref="J75:AA75">
    <cfRule type="expression" dxfId="607" priority="889">
      <formula>J75&gt;J79</formula>
    </cfRule>
  </conditionalFormatting>
  <conditionalFormatting sqref="J79:AA79">
    <cfRule type="expression" dxfId="606" priority="888">
      <formula>J75&gt;J79</formula>
    </cfRule>
  </conditionalFormatting>
  <conditionalFormatting sqref="AC75">
    <cfRule type="notContainsBlanks" dxfId="605" priority="887">
      <formula>LEN(TRIM(AC75))&gt;0</formula>
    </cfRule>
  </conditionalFormatting>
  <conditionalFormatting sqref="J87:AA87">
    <cfRule type="expression" dxfId="604" priority="886">
      <formula>J87&gt;J86</formula>
    </cfRule>
  </conditionalFormatting>
  <conditionalFormatting sqref="J86:AA86">
    <cfRule type="expression" dxfId="603" priority="885">
      <formula>J87&gt;J86</formula>
    </cfRule>
  </conditionalFormatting>
  <conditionalFormatting sqref="J86:AA86">
    <cfRule type="expression" dxfId="602" priority="884">
      <formula>(J86+J87+J88)&gt;J79</formula>
    </cfRule>
  </conditionalFormatting>
  <conditionalFormatting sqref="J79:AA79">
    <cfRule type="expression" dxfId="601" priority="883">
      <formula>(J86+J87+J88)&gt;J79</formula>
    </cfRule>
  </conditionalFormatting>
  <conditionalFormatting sqref="J88:AA88">
    <cfRule type="expression" dxfId="600" priority="882">
      <formula>(J86+J87+J88)&gt;J79</formula>
    </cfRule>
  </conditionalFormatting>
  <conditionalFormatting sqref="D103:AA103">
    <cfRule type="expression" dxfId="599" priority="881">
      <formula>D103&gt;D101</formula>
    </cfRule>
  </conditionalFormatting>
  <conditionalFormatting sqref="D104:AA104">
    <cfRule type="expression" dxfId="598" priority="880">
      <formula>D104&gt;D102</formula>
    </cfRule>
  </conditionalFormatting>
  <conditionalFormatting sqref="M197">
    <cfRule type="expression" dxfId="597" priority="875">
      <formula>(M198+M199)&gt;M197</formula>
    </cfRule>
  </conditionalFormatting>
  <conditionalFormatting sqref="O197">
    <cfRule type="expression" dxfId="596" priority="874">
      <formula>(O198+O199)&gt;O197</formula>
    </cfRule>
  </conditionalFormatting>
  <conditionalFormatting sqref="Q197">
    <cfRule type="expression" dxfId="595" priority="873">
      <formula>(Q198+Q199)&gt;Q197</formula>
    </cfRule>
  </conditionalFormatting>
  <conditionalFormatting sqref="U197">
    <cfRule type="expression" dxfId="594" priority="872">
      <formula>(U198+U199)&gt;U197</formula>
    </cfRule>
  </conditionalFormatting>
  <conditionalFormatting sqref="W197">
    <cfRule type="expression" dxfId="593" priority="871">
      <formula>(W198+W199)&gt;W197</formula>
    </cfRule>
  </conditionalFormatting>
  <conditionalFormatting sqref="Y197">
    <cfRule type="expression" dxfId="592" priority="870">
      <formula>(Y198+Y199)&gt;Y197</formula>
    </cfRule>
  </conditionalFormatting>
  <conditionalFormatting sqref="M198">
    <cfRule type="expression" dxfId="591" priority="867">
      <formula>M198&gt;M197</formula>
    </cfRule>
    <cfRule type="expression" dxfId="590" priority="868">
      <formula>M231&gt;M198</formula>
    </cfRule>
  </conditionalFormatting>
  <conditionalFormatting sqref="O198">
    <cfRule type="expression" dxfId="589" priority="865">
      <formula>O198&gt;O197</formula>
    </cfRule>
    <cfRule type="expression" dxfId="588" priority="866">
      <formula>O231&gt;O198</formula>
    </cfRule>
  </conditionalFormatting>
  <conditionalFormatting sqref="Q198">
    <cfRule type="expression" dxfId="587" priority="863">
      <formula>Q198&gt;Q197</formula>
    </cfRule>
    <cfRule type="expression" dxfId="586" priority="864">
      <formula>Q231&gt;Q198</formula>
    </cfRule>
  </conditionalFormatting>
  <conditionalFormatting sqref="S198">
    <cfRule type="expression" dxfId="585" priority="861">
      <formula>S198&gt;S197</formula>
    </cfRule>
    <cfRule type="expression" dxfId="584" priority="862">
      <formula>S231&gt;S198</formula>
    </cfRule>
  </conditionalFormatting>
  <conditionalFormatting sqref="U198">
    <cfRule type="expression" dxfId="583" priority="859">
      <formula>U198&gt;U197</formula>
    </cfRule>
    <cfRule type="expression" dxfId="582" priority="860">
      <formula>U231&gt;U198</formula>
    </cfRule>
  </conditionalFormatting>
  <conditionalFormatting sqref="W198">
    <cfRule type="expression" dxfId="581" priority="857">
      <formula>W198&gt;W197</formula>
    </cfRule>
    <cfRule type="expression" dxfId="580" priority="858">
      <formula>W231&gt;W198</formula>
    </cfRule>
  </conditionalFormatting>
  <conditionalFormatting sqref="Y198">
    <cfRule type="expression" dxfId="579" priority="855">
      <formula>Y198&gt;Y197</formula>
    </cfRule>
    <cfRule type="expression" dxfId="578" priority="856">
      <formula>Y231&gt;Y198</formula>
    </cfRule>
  </conditionalFormatting>
  <conditionalFormatting sqref="K200">
    <cfRule type="expression" dxfId="577" priority="854">
      <formula>K200&gt;K199</formula>
    </cfRule>
  </conditionalFormatting>
  <conditionalFormatting sqref="M200">
    <cfRule type="expression" dxfId="576" priority="853">
      <formula>M200&gt;M199</formula>
    </cfRule>
  </conditionalFormatting>
  <conditionalFormatting sqref="O200">
    <cfRule type="expression" dxfId="575" priority="852">
      <formula>O200&gt;O199</formula>
    </cfRule>
  </conditionalFormatting>
  <conditionalFormatting sqref="Q200">
    <cfRule type="expression" dxfId="574" priority="851">
      <formula>Q200&gt;Q199</formula>
    </cfRule>
  </conditionalFormatting>
  <conditionalFormatting sqref="S200">
    <cfRule type="expression" dxfId="573" priority="850">
      <formula>S200&gt;S199</formula>
    </cfRule>
  </conditionalFormatting>
  <conditionalFormatting sqref="U200">
    <cfRule type="expression" dxfId="572" priority="849">
      <formula>U200&gt;U199</formula>
    </cfRule>
  </conditionalFormatting>
  <conditionalFormatting sqref="W200">
    <cfRule type="expression" dxfId="571" priority="848">
      <formula>W200&gt;W199</formula>
    </cfRule>
  </conditionalFormatting>
  <conditionalFormatting sqref="Y200">
    <cfRule type="expression" dxfId="570" priority="847">
      <formula>Y200&gt;Y199</formula>
    </cfRule>
  </conditionalFormatting>
  <conditionalFormatting sqref="K204">
    <cfRule type="expression" dxfId="569" priority="675">
      <formula>K234&lt;&gt;K204</formula>
    </cfRule>
    <cfRule type="expression" dxfId="568" priority="846">
      <formula>K204&gt;K203</formula>
    </cfRule>
  </conditionalFormatting>
  <conditionalFormatting sqref="M204">
    <cfRule type="expression" dxfId="567" priority="845">
      <formula>M204&gt;M203</formula>
    </cfRule>
  </conditionalFormatting>
  <conditionalFormatting sqref="O204">
    <cfRule type="expression" dxfId="566" priority="844">
      <formula>O204&gt;O203</formula>
    </cfRule>
  </conditionalFormatting>
  <conditionalFormatting sqref="Q204">
    <cfRule type="expression" dxfId="565" priority="843">
      <formula>Q204&gt;Q203</formula>
    </cfRule>
  </conditionalFormatting>
  <conditionalFormatting sqref="S204">
    <cfRule type="expression" dxfId="564" priority="842">
      <formula>S204&gt;S203</formula>
    </cfRule>
  </conditionalFormatting>
  <conditionalFormatting sqref="U204">
    <cfRule type="expression" dxfId="563" priority="841">
      <formula>U204&gt;U203</formula>
    </cfRule>
  </conditionalFormatting>
  <conditionalFormatting sqref="W204">
    <cfRule type="expression" dxfId="562" priority="840">
      <formula>W204&gt;W203</formula>
    </cfRule>
  </conditionalFormatting>
  <conditionalFormatting sqref="Y204">
    <cfRule type="expression" dxfId="561" priority="839">
      <formula>Y204&gt;Y203</formula>
    </cfRule>
  </conditionalFormatting>
  <conditionalFormatting sqref="AC205">
    <cfRule type="notContainsBlanks" dxfId="560" priority="838">
      <formula>LEN(TRIM(AC205))&gt;0</formula>
    </cfRule>
  </conditionalFormatting>
  <conditionalFormatting sqref="K205">
    <cfRule type="expression" dxfId="559" priority="837">
      <formula>K206&gt;K205</formula>
    </cfRule>
  </conditionalFormatting>
  <conditionalFormatting sqref="K206">
    <cfRule type="expression" dxfId="558" priority="616">
      <formula>K235&lt;&gt;K206</formula>
    </cfRule>
    <cfRule type="expression" dxfId="557" priority="836">
      <formula>K206&gt;K205</formula>
    </cfRule>
  </conditionalFormatting>
  <conditionalFormatting sqref="M205">
    <cfRule type="expression" dxfId="556" priority="835">
      <formula>M206&gt;M205</formula>
    </cfRule>
  </conditionalFormatting>
  <conditionalFormatting sqref="M206">
    <cfRule type="expression" dxfId="555" priority="834">
      <formula>M206&gt;M205</formula>
    </cfRule>
  </conditionalFormatting>
  <conditionalFormatting sqref="O205">
    <cfRule type="expression" dxfId="554" priority="833">
      <formula>O206&gt;O205</formula>
    </cfRule>
  </conditionalFormatting>
  <conditionalFormatting sqref="O206">
    <cfRule type="expression" dxfId="553" priority="832">
      <formula>O206&gt;O205</formula>
    </cfRule>
  </conditionalFormatting>
  <conditionalFormatting sqref="Q205">
    <cfRule type="expression" dxfId="552" priority="831">
      <formula>Q206&gt;Q205</formula>
    </cfRule>
  </conditionalFormatting>
  <conditionalFormatting sqref="Q206">
    <cfRule type="expression" dxfId="551" priority="830">
      <formula>Q206&gt;Q205</formula>
    </cfRule>
  </conditionalFormatting>
  <conditionalFormatting sqref="S205">
    <cfRule type="expression" dxfId="550" priority="829">
      <formula>S206&gt;S205</formula>
    </cfRule>
  </conditionalFormatting>
  <conditionalFormatting sqref="S206">
    <cfRule type="expression" dxfId="549" priority="828">
      <formula>S206&gt;S205</formula>
    </cfRule>
  </conditionalFormatting>
  <conditionalFormatting sqref="U205">
    <cfRule type="expression" dxfId="548" priority="827">
      <formula>U206&gt;U205</formula>
    </cfRule>
  </conditionalFormatting>
  <conditionalFormatting sqref="U206">
    <cfRule type="expression" dxfId="547" priority="826">
      <formula>U206&gt;U205</formula>
    </cfRule>
  </conditionalFormatting>
  <conditionalFormatting sqref="W205">
    <cfRule type="expression" dxfId="546" priority="825">
      <formula>W206&gt;W205</formula>
    </cfRule>
  </conditionalFormatting>
  <conditionalFormatting sqref="W206">
    <cfRule type="expression" dxfId="545" priority="824">
      <formula>W206&gt;W205</formula>
    </cfRule>
  </conditionalFormatting>
  <conditionalFormatting sqref="Y205">
    <cfRule type="expression" dxfId="544" priority="823">
      <formula>Y206&gt;Y205</formula>
    </cfRule>
  </conditionalFormatting>
  <conditionalFormatting sqref="Y206">
    <cfRule type="expression" dxfId="543" priority="822">
      <formula>Y206&gt;Y205</formula>
    </cfRule>
  </conditionalFormatting>
  <conditionalFormatting sqref="AC209">
    <cfRule type="notContainsBlanks" dxfId="542" priority="821">
      <formula>LEN(TRIM(AC209))&gt;0</formula>
    </cfRule>
  </conditionalFormatting>
  <conditionalFormatting sqref="K210">
    <cfRule type="expression" dxfId="541" priority="820">
      <formula>K210&gt;K209</formula>
    </cfRule>
  </conditionalFormatting>
  <conditionalFormatting sqref="M210">
    <cfRule type="expression" dxfId="540" priority="818">
      <formula>M210&gt;M209</formula>
    </cfRule>
  </conditionalFormatting>
  <conditionalFormatting sqref="M209">
    <cfRule type="expression" dxfId="539" priority="817">
      <formula>M210&gt;M209</formula>
    </cfRule>
  </conditionalFormatting>
  <conditionalFormatting sqref="O210">
    <cfRule type="expression" dxfId="538" priority="816">
      <formula>O210&gt;O209</formula>
    </cfRule>
  </conditionalFormatting>
  <conditionalFormatting sqref="O209">
    <cfRule type="expression" dxfId="537" priority="815">
      <formula>O210&gt;O209</formula>
    </cfRule>
  </conditionalFormatting>
  <conditionalFormatting sqref="Q210">
    <cfRule type="expression" dxfId="536" priority="814">
      <formula>Q210&gt;Q209</formula>
    </cfRule>
  </conditionalFormatting>
  <conditionalFormatting sqref="Q209">
    <cfRule type="expression" dxfId="535" priority="813">
      <formula>Q210&gt;Q209</formula>
    </cfRule>
  </conditionalFormatting>
  <conditionalFormatting sqref="S210">
    <cfRule type="expression" dxfId="534" priority="812">
      <formula>S210&gt;S209</formula>
    </cfRule>
  </conditionalFormatting>
  <conditionalFormatting sqref="S209">
    <cfRule type="expression" dxfId="533" priority="811">
      <formula>S210&gt;S209</formula>
    </cfRule>
  </conditionalFormatting>
  <conditionalFormatting sqref="U210">
    <cfRule type="expression" dxfId="532" priority="810">
      <formula>U210&gt;U209</formula>
    </cfRule>
  </conditionalFormatting>
  <conditionalFormatting sqref="U209">
    <cfRule type="expression" dxfId="531" priority="809">
      <formula>U210&gt;U209</formula>
    </cfRule>
  </conditionalFormatting>
  <conditionalFormatting sqref="W210">
    <cfRule type="expression" dxfId="530" priority="808">
      <formula>W210&gt;W209</formula>
    </cfRule>
  </conditionalFormatting>
  <conditionalFormatting sqref="W209">
    <cfRule type="expression" dxfId="529" priority="807">
      <formula>W210&gt;W209</formula>
    </cfRule>
  </conditionalFormatting>
  <conditionalFormatting sqref="Y210">
    <cfRule type="expression" dxfId="528" priority="806">
      <formula>Y210&gt;Y209</formula>
    </cfRule>
  </conditionalFormatting>
  <conditionalFormatting sqref="Y209">
    <cfRule type="expression" dxfId="527" priority="805">
      <formula>Y210&gt;Y209</formula>
    </cfRule>
  </conditionalFormatting>
  <conditionalFormatting sqref="Q211">
    <cfRule type="expression" dxfId="526" priority="803">
      <formula>Q212&gt;Q211</formula>
    </cfRule>
  </conditionalFormatting>
  <conditionalFormatting sqref="Q211">
    <cfRule type="expression" dxfId="525" priority="802">
      <formula>Q212&gt;Q211</formula>
    </cfRule>
  </conditionalFormatting>
  <conditionalFormatting sqref="S211">
    <cfRule type="expression" dxfId="524" priority="801">
      <formula>S212&gt;S211</formula>
    </cfRule>
  </conditionalFormatting>
  <conditionalFormatting sqref="S211">
    <cfRule type="expression" dxfId="523" priority="800">
      <formula>S212&gt;S211</formula>
    </cfRule>
  </conditionalFormatting>
  <conditionalFormatting sqref="U211">
    <cfRule type="expression" dxfId="522" priority="799">
      <formula>U212&gt;U211</formula>
    </cfRule>
  </conditionalFormatting>
  <conditionalFormatting sqref="U211">
    <cfRule type="expression" dxfId="521" priority="798">
      <formula>U212&gt;U211</formula>
    </cfRule>
  </conditionalFormatting>
  <conditionalFormatting sqref="W211">
    <cfRule type="expression" dxfId="520" priority="797">
      <formula>W212&gt;W211</formula>
    </cfRule>
  </conditionalFormatting>
  <conditionalFormatting sqref="W211">
    <cfRule type="expression" dxfId="519" priority="796">
      <formula>W212&gt;W211</formula>
    </cfRule>
  </conditionalFormatting>
  <conditionalFormatting sqref="Y211">
    <cfRule type="expression" dxfId="518" priority="795">
      <formula>Y212&gt;Y211</formula>
    </cfRule>
  </conditionalFormatting>
  <conditionalFormatting sqref="Y211">
    <cfRule type="expression" dxfId="517" priority="794">
      <formula>Y212&gt;Y211</formula>
    </cfRule>
  </conditionalFormatting>
  <conditionalFormatting sqref="K212">
    <cfRule type="expression" dxfId="516" priority="793">
      <formula>K238&gt;K212</formula>
    </cfRule>
  </conditionalFormatting>
  <conditionalFormatting sqref="K212">
    <cfRule type="expression" dxfId="515" priority="792">
      <formula>K212&gt;K211</formula>
    </cfRule>
  </conditionalFormatting>
  <conditionalFormatting sqref="K213">
    <cfRule type="expression" dxfId="514" priority="784">
      <formula>K214&gt;K213</formula>
    </cfRule>
  </conditionalFormatting>
  <conditionalFormatting sqref="M213">
    <cfRule type="expression" dxfId="513" priority="780">
      <formula>M214&gt;M213</formula>
    </cfRule>
  </conditionalFormatting>
  <conditionalFormatting sqref="O213">
    <cfRule type="expression" dxfId="512" priority="776">
      <formula>O214&gt;O213</formula>
    </cfRule>
  </conditionalFormatting>
  <conditionalFormatting sqref="Q213">
    <cfRule type="expression" dxfId="511" priority="772">
      <formula>Q214&gt;Q213</formula>
    </cfRule>
  </conditionalFormatting>
  <conditionalFormatting sqref="S213">
    <cfRule type="expression" dxfId="510" priority="768">
      <formula>S214&gt;S213</formula>
    </cfRule>
  </conditionalFormatting>
  <conditionalFormatting sqref="U213">
    <cfRule type="expression" dxfId="509" priority="764">
      <formula>U214&gt;U213</formula>
    </cfRule>
  </conditionalFormatting>
  <conditionalFormatting sqref="W213">
    <cfRule type="expression" dxfId="508" priority="760">
      <formula>W214&gt;W213</formula>
    </cfRule>
  </conditionalFormatting>
  <conditionalFormatting sqref="Y213">
    <cfRule type="expression" dxfId="507" priority="756">
      <formula>Y214&gt;Y213</formula>
    </cfRule>
  </conditionalFormatting>
  <conditionalFormatting sqref="K215">
    <cfRule type="expression" dxfId="506" priority="752">
      <formula>K216&gt;K215</formula>
    </cfRule>
  </conditionalFormatting>
  <conditionalFormatting sqref="M215">
    <cfRule type="expression" dxfId="505" priority="748">
      <formula>M216&gt;M215</formula>
    </cfRule>
  </conditionalFormatting>
  <conditionalFormatting sqref="O215">
    <cfRule type="expression" dxfId="504" priority="744">
      <formula>O216&gt;O215</formula>
    </cfRule>
  </conditionalFormatting>
  <conditionalFormatting sqref="Q215">
    <cfRule type="expression" dxfId="503" priority="740">
      <formula>Q216&gt;Q215</formula>
    </cfRule>
  </conditionalFormatting>
  <conditionalFormatting sqref="Q216">
    <cfRule type="expression" dxfId="502" priority="738">
      <formula>Q216&gt;Q215</formula>
    </cfRule>
  </conditionalFormatting>
  <conditionalFormatting sqref="AC213">
    <cfRule type="notContainsBlanks" dxfId="501" priority="721">
      <formula>LEN(TRIM(AC213))&gt;0</formula>
    </cfRule>
  </conditionalFormatting>
  <conditionalFormatting sqref="AC215">
    <cfRule type="notContainsBlanks" dxfId="500" priority="720">
      <formula>LEN(TRIM(AC215))&gt;0</formula>
    </cfRule>
  </conditionalFormatting>
  <conditionalFormatting sqref="D219:E220">
    <cfRule type="cellIs" dxfId="499" priority="719" operator="equal">
      <formula>0</formula>
    </cfRule>
  </conditionalFormatting>
  <conditionalFormatting sqref="D221:E221">
    <cfRule type="expression" dxfId="498" priority="701">
      <formula>D224&gt;D221</formula>
    </cfRule>
    <cfRule type="cellIs" dxfId="497" priority="716" operator="equal">
      <formula>0</formula>
    </cfRule>
  </conditionalFormatting>
  <conditionalFormatting sqref="D222:E223">
    <cfRule type="cellIs" dxfId="496" priority="715" operator="equal">
      <formula>0</formula>
    </cfRule>
  </conditionalFormatting>
  <conditionalFormatting sqref="D224:E224">
    <cfRule type="expression" dxfId="495" priority="702">
      <formula>D224&gt;D221</formula>
    </cfRule>
    <cfRule type="cellIs" dxfId="494" priority="712" operator="equal">
      <formula>0</formula>
    </cfRule>
  </conditionalFormatting>
  <conditionalFormatting sqref="D227:E227">
    <cfRule type="expression" dxfId="493" priority="118">
      <formula>D225&lt;&gt;D248</formula>
    </cfRule>
    <cfRule type="cellIs" dxfId="492" priority="709" operator="equal">
      <formula>0</formula>
    </cfRule>
  </conditionalFormatting>
  <conditionalFormatting sqref="D219:E220">
    <cfRule type="expression" dxfId="491" priority="707">
      <formula>D222&gt;D219</formula>
    </cfRule>
  </conditionalFormatting>
  <conditionalFormatting sqref="D222:E223">
    <cfRule type="expression" dxfId="490" priority="706">
      <formula>D222&gt;D219</formula>
    </cfRule>
  </conditionalFormatting>
  <conditionalFormatting sqref="D225:E226">
    <cfRule type="cellIs" dxfId="489" priority="705" operator="equal">
      <formula>0</formula>
    </cfRule>
  </conditionalFormatting>
  <conditionalFormatting sqref="D225:E226">
    <cfRule type="expression" dxfId="488" priority="704">
      <formula>D225&gt;D222</formula>
    </cfRule>
  </conditionalFormatting>
  <conditionalFormatting sqref="AE222:AE224">
    <cfRule type="notContainsBlanks" dxfId="487" priority="1554">
      <formula>LEN(TRIM(AE222))&gt;0</formula>
    </cfRule>
  </conditionalFormatting>
  <conditionalFormatting sqref="D225:E226">
    <cfRule type="expression" dxfId="486" priority="700">
      <formula>D222&gt;D225</formula>
    </cfRule>
  </conditionalFormatting>
  <conditionalFormatting sqref="D222:E223">
    <cfRule type="expression" dxfId="485" priority="699">
      <formula>D222&gt;D225</formula>
    </cfRule>
  </conditionalFormatting>
  <conditionalFormatting sqref="K231">
    <cfRule type="expression" dxfId="484" priority="698">
      <formula>K231&gt;K198</formula>
    </cfRule>
  </conditionalFormatting>
  <conditionalFormatting sqref="M231">
    <cfRule type="expression" dxfId="483" priority="697">
      <formula>M231&gt;M198</formula>
    </cfRule>
  </conditionalFormatting>
  <conditionalFormatting sqref="O231">
    <cfRule type="expression" dxfId="482" priority="696">
      <formula>O231&gt;O198</formula>
    </cfRule>
  </conditionalFormatting>
  <conditionalFormatting sqref="Q231">
    <cfRule type="expression" dxfId="481" priority="695">
      <formula>Q231&gt;Q198</formula>
    </cfRule>
  </conditionalFormatting>
  <conditionalFormatting sqref="S231">
    <cfRule type="expression" dxfId="480" priority="694">
      <formula>S231&gt;S198</formula>
    </cfRule>
  </conditionalFormatting>
  <conditionalFormatting sqref="U231">
    <cfRule type="expression" dxfId="479" priority="693">
      <formula>U231&gt;U198</formula>
    </cfRule>
  </conditionalFormatting>
  <conditionalFormatting sqref="W231">
    <cfRule type="expression" dxfId="478" priority="692">
      <formula>W231&gt;W198</formula>
    </cfRule>
  </conditionalFormatting>
  <conditionalFormatting sqref="Y231">
    <cfRule type="expression" dxfId="477" priority="691">
      <formula>Y231&gt;Y198</formula>
    </cfRule>
  </conditionalFormatting>
  <conditionalFormatting sqref="K234">
    <cfRule type="expression" dxfId="476" priority="676">
      <formula>K234&lt;&gt;K204</formula>
    </cfRule>
  </conditionalFormatting>
  <conditionalFormatting sqref="M204">
    <cfRule type="expression" dxfId="475" priority="673">
      <formula>M234&lt;&gt;M204</formula>
    </cfRule>
    <cfRule type="expression" dxfId="474" priority="674">
      <formula>M204&gt;M203</formula>
    </cfRule>
  </conditionalFormatting>
  <conditionalFormatting sqref="O204">
    <cfRule type="expression" dxfId="473" priority="671">
      <formula>O234&lt;&gt;O204</formula>
    </cfRule>
    <cfRule type="expression" dxfId="472" priority="672">
      <formula>O204&gt;O203</formula>
    </cfRule>
  </conditionalFormatting>
  <conditionalFormatting sqref="Q204">
    <cfRule type="expression" dxfId="471" priority="669">
      <formula>Q234&lt;&gt;Q204</formula>
    </cfRule>
    <cfRule type="expression" dxfId="470" priority="670">
      <formula>Q204&gt;Q203</formula>
    </cfRule>
  </conditionalFormatting>
  <conditionalFormatting sqref="S204">
    <cfRule type="expression" dxfId="469" priority="667">
      <formula>S234&lt;&gt;S204</formula>
    </cfRule>
    <cfRule type="expression" dxfId="468" priority="668">
      <formula>S204&gt;S203</formula>
    </cfRule>
  </conditionalFormatting>
  <conditionalFormatting sqref="U204">
    <cfRule type="expression" dxfId="467" priority="665">
      <formula>U234&lt;&gt;U204</formula>
    </cfRule>
    <cfRule type="expression" dxfId="466" priority="666">
      <formula>U204&gt;U203</formula>
    </cfRule>
  </conditionalFormatting>
  <conditionalFormatting sqref="W204">
    <cfRule type="expression" dxfId="465" priority="663">
      <formula>W234&lt;&gt;W204</formula>
    </cfRule>
    <cfRule type="expression" dxfId="464" priority="664">
      <formula>W204&gt;W203</formula>
    </cfRule>
  </conditionalFormatting>
  <conditionalFormatting sqref="Y204">
    <cfRule type="expression" dxfId="463" priority="661">
      <formula>Y234&lt;&gt;Y204</formula>
    </cfRule>
    <cfRule type="expression" dxfId="462" priority="662">
      <formula>Y204&gt;Y203</formula>
    </cfRule>
  </conditionalFormatting>
  <conditionalFormatting sqref="M234">
    <cfRule type="cellIs" dxfId="461" priority="660" operator="equal">
      <formula>0</formula>
    </cfRule>
  </conditionalFormatting>
  <conditionalFormatting sqref="M234">
    <cfRule type="expression" dxfId="460" priority="659">
      <formula>M234&lt;&gt;M204</formula>
    </cfRule>
  </conditionalFormatting>
  <conditionalFormatting sqref="O234">
    <cfRule type="cellIs" dxfId="459" priority="658" operator="equal">
      <formula>0</formula>
    </cfRule>
  </conditionalFormatting>
  <conditionalFormatting sqref="O234">
    <cfRule type="expression" dxfId="458" priority="657">
      <formula>O234&lt;&gt;O204</formula>
    </cfRule>
  </conditionalFormatting>
  <conditionalFormatting sqref="Q234">
    <cfRule type="cellIs" dxfId="457" priority="656" operator="equal">
      <formula>0</formula>
    </cfRule>
  </conditionalFormatting>
  <conditionalFormatting sqref="Q234">
    <cfRule type="expression" dxfId="456" priority="655">
      <formula>Q234&lt;&gt;Q204</formula>
    </cfRule>
  </conditionalFormatting>
  <conditionalFormatting sqref="S234">
    <cfRule type="cellIs" dxfId="455" priority="654" operator="equal">
      <formula>0</formula>
    </cfRule>
  </conditionalFormatting>
  <conditionalFormatting sqref="S234">
    <cfRule type="expression" dxfId="454" priority="653">
      <formula>S234&lt;&gt;S204</formula>
    </cfRule>
  </conditionalFormatting>
  <conditionalFormatting sqref="U234">
    <cfRule type="cellIs" dxfId="453" priority="652" operator="equal">
      <formula>0</formula>
    </cfRule>
  </conditionalFormatting>
  <conditionalFormatting sqref="U234">
    <cfRule type="expression" dxfId="452" priority="651">
      <formula>U234&lt;&gt;U204</formula>
    </cfRule>
  </conditionalFormatting>
  <conditionalFormatting sqref="W234">
    <cfRule type="cellIs" dxfId="451" priority="650" operator="equal">
      <formula>0</formula>
    </cfRule>
  </conditionalFormatting>
  <conditionalFormatting sqref="W234">
    <cfRule type="expression" dxfId="450" priority="649">
      <formula>W234&lt;&gt;W204</formula>
    </cfRule>
  </conditionalFormatting>
  <conditionalFormatting sqref="Y234">
    <cfRule type="cellIs" dxfId="449" priority="648" operator="equal">
      <formula>0</formula>
    </cfRule>
  </conditionalFormatting>
  <conditionalFormatting sqref="Y234">
    <cfRule type="expression" dxfId="448" priority="647">
      <formula>Y234&lt;&gt;Y204</formula>
    </cfRule>
  </conditionalFormatting>
  <conditionalFormatting sqref="K235">
    <cfRule type="expression" dxfId="447" priority="646">
      <formula>K235&lt;&gt;K206</formula>
    </cfRule>
  </conditionalFormatting>
  <conditionalFormatting sqref="M205">
    <cfRule type="expression" dxfId="446" priority="644">
      <formula>M206&gt;M205</formula>
    </cfRule>
  </conditionalFormatting>
  <conditionalFormatting sqref="O205">
    <cfRule type="expression" dxfId="445" priority="642">
      <formula>O206&gt;O205</formula>
    </cfRule>
  </conditionalFormatting>
  <conditionalFormatting sqref="Q205">
    <cfRule type="expression" dxfId="444" priority="640">
      <formula>Q206&gt;Q205</formula>
    </cfRule>
  </conditionalFormatting>
  <conditionalFormatting sqref="S205">
    <cfRule type="expression" dxfId="443" priority="638">
      <formula>S206&gt;S205</formula>
    </cfRule>
  </conditionalFormatting>
  <conditionalFormatting sqref="U205">
    <cfRule type="expression" dxfId="442" priority="636">
      <formula>U206&gt;U205</formula>
    </cfRule>
  </conditionalFormatting>
  <conditionalFormatting sqref="W205">
    <cfRule type="expression" dxfId="441" priority="634">
      <formula>W206&gt;W205</formula>
    </cfRule>
  </conditionalFormatting>
  <conditionalFormatting sqref="Y205">
    <cfRule type="expression" dxfId="440" priority="632">
      <formula>Y206&gt;Y205</formula>
    </cfRule>
  </conditionalFormatting>
  <conditionalFormatting sqref="M235">
    <cfRule type="cellIs" dxfId="439" priority="630" operator="equal">
      <formula>0</formula>
    </cfRule>
  </conditionalFormatting>
  <conditionalFormatting sqref="M235">
    <cfRule type="expression" dxfId="438" priority="629">
      <formula>M235&lt;&gt;M206</formula>
    </cfRule>
  </conditionalFormatting>
  <conditionalFormatting sqref="O235">
    <cfRule type="cellIs" dxfId="437" priority="628" operator="equal">
      <formula>0</formula>
    </cfRule>
  </conditionalFormatting>
  <conditionalFormatting sqref="O235">
    <cfRule type="expression" dxfId="436" priority="627">
      <formula>O235&lt;&gt;O206</formula>
    </cfRule>
  </conditionalFormatting>
  <conditionalFormatting sqref="Q235">
    <cfRule type="cellIs" dxfId="435" priority="626" operator="equal">
      <formula>0</formula>
    </cfRule>
  </conditionalFormatting>
  <conditionalFormatting sqref="Q235">
    <cfRule type="expression" dxfId="434" priority="625">
      <formula>Q235&lt;&gt;Q206</formula>
    </cfRule>
  </conditionalFormatting>
  <conditionalFormatting sqref="S235">
    <cfRule type="cellIs" dxfId="433" priority="624" operator="equal">
      <formula>0</formula>
    </cfRule>
  </conditionalFormatting>
  <conditionalFormatting sqref="S235">
    <cfRule type="expression" dxfId="432" priority="623">
      <formula>S235&lt;&gt;S206</formula>
    </cfRule>
  </conditionalFormatting>
  <conditionalFormatting sqref="U235">
    <cfRule type="cellIs" dxfId="431" priority="622" operator="equal">
      <formula>0</formula>
    </cfRule>
  </conditionalFormatting>
  <conditionalFormatting sqref="U235">
    <cfRule type="expression" dxfId="430" priority="621">
      <formula>U235&lt;&gt;U206</formula>
    </cfRule>
  </conditionalFormatting>
  <conditionalFormatting sqref="W235">
    <cfRule type="cellIs" dxfId="429" priority="620" operator="equal">
      <formula>0</formula>
    </cfRule>
  </conditionalFormatting>
  <conditionalFormatting sqref="W235">
    <cfRule type="expression" dxfId="428" priority="619">
      <formula>W235&lt;&gt;W206</formula>
    </cfRule>
  </conditionalFormatting>
  <conditionalFormatting sqref="Y235">
    <cfRule type="cellIs" dxfId="427" priority="618" operator="equal">
      <formula>0</formula>
    </cfRule>
  </conditionalFormatting>
  <conditionalFormatting sqref="Y235">
    <cfRule type="expression" dxfId="426" priority="617">
      <formula>Y235&lt;&gt;Y206</formula>
    </cfRule>
  </conditionalFormatting>
  <conditionalFormatting sqref="M206">
    <cfRule type="expression" dxfId="425" priority="614">
      <formula>M235&lt;&gt;M206</formula>
    </cfRule>
    <cfRule type="expression" dxfId="424" priority="615">
      <formula>M206&gt;M205</formula>
    </cfRule>
  </conditionalFormatting>
  <conditionalFormatting sqref="O206">
    <cfRule type="expression" dxfId="423" priority="612">
      <formula>O235&lt;&gt;O206</formula>
    </cfRule>
    <cfRule type="expression" dxfId="422" priority="613">
      <formula>O206&gt;O205</formula>
    </cfRule>
  </conditionalFormatting>
  <conditionalFormatting sqref="Q206">
    <cfRule type="expression" dxfId="421" priority="610">
      <formula>Q235&lt;&gt;Q206</formula>
    </cfRule>
    <cfRule type="expression" dxfId="420" priority="611">
      <formula>Q206&gt;Q205</formula>
    </cfRule>
  </conditionalFormatting>
  <conditionalFormatting sqref="S206">
    <cfRule type="expression" dxfId="419" priority="608">
      <formula>S235&lt;&gt;S206</formula>
    </cfRule>
    <cfRule type="expression" dxfId="418" priority="609">
      <formula>S206&gt;S205</formula>
    </cfRule>
  </conditionalFormatting>
  <conditionalFormatting sqref="U206">
    <cfRule type="expression" dxfId="417" priority="606">
      <formula>U235&lt;&gt;U206</formula>
    </cfRule>
    <cfRule type="expression" dxfId="416" priority="607">
      <formula>U206&gt;U205</formula>
    </cfRule>
  </conditionalFormatting>
  <conditionalFormatting sqref="W206">
    <cfRule type="expression" dxfId="415" priority="604">
      <formula>W235&lt;&gt;W206</formula>
    </cfRule>
    <cfRule type="expression" dxfId="414" priority="605">
      <formula>W206&gt;W205</formula>
    </cfRule>
  </conditionalFormatting>
  <conditionalFormatting sqref="Y206">
    <cfRule type="expression" dxfId="413" priority="602">
      <formula>Y235&lt;&gt;Y206</formula>
    </cfRule>
    <cfRule type="expression" dxfId="412" priority="603">
      <formula>Y206&gt;Y205</formula>
    </cfRule>
  </conditionalFormatting>
  <conditionalFormatting sqref="O239">
    <cfRule type="expression" dxfId="411" priority="601">
      <formula>O239&gt;O214</formula>
    </cfRule>
  </conditionalFormatting>
  <conditionalFormatting sqref="Q239">
    <cfRule type="expression" dxfId="410" priority="600">
      <formula>Q239&gt;Q214</formula>
    </cfRule>
  </conditionalFormatting>
  <conditionalFormatting sqref="S239">
    <cfRule type="expression" dxfId="409" priority="599">
      <formula>S239&gt;S214</formula>
    </cfRule>
  </conditionalFormatting>
  <conditionalFormatting sqref="U239">
    <cfRule type="expression" dxfId="408" priority="598">
      <formula>U239&gt;U214</formula>
    </cfRule>
  </conditionalFormatting>
  <conditionalFormatting sqref="W239">
    <cfRule type="expression" dxfId="407" priority="597">
      <formula>W239&gt;W214</formula>
    </cfRule>
  </conditionalFormatting>
  <conditionalFormatting sqref="Y239">
    <cfRule type="expression" dxfId="406" priority="596">
      <formula>Y239&gt;Y214</formula>
    </cfRule>
  </conditionalFormatting>
  <conditionalFormatting sqref="M239">
    <cfRule type="expression" dxfId="405" priority="595">
      <formula>M239&gt;M214</formula>
    </cfRule>
  </conditionalFormatting>
  <conditionalFormatting sqref="K239">
    <cfRule type="expression" dxfId="404" priority="594">
      <formula>K239&gt;K214</formula>
    </cfRule>
  </conditionalFormatting>
  <conditionalFormatting sqref="K214 M214 O214 Q214 S214 U214 W214 Y214">
    <cfRule type="expression" dxfId="403" priority="589">
      <formula>K239&gt;K214</formula>
    </cfRule>
  </conditionalFormatting>
  <conditionalFormatting sqref="K214 M214 O214 Q214 S214 U214 W214 Y214">
    <cfRule type="expression" dxfId="402" priority="590">
      <formula>K214&gt;K213</formula>
    </cfRule>
  </conditionalFormatting>
  <conditionalFormatting sqref="K240">
    <cfRule type="expression" dxfId="401" priority="556">
      <formula>K240&gt;K216</formula>
    </cfRule>
  </conditionalFormatting>
  <conditionalFormatting sqref="Q216">
    <cfRule type="expression" dxfId="400" priority="543">
      <formula>Q240&gt;Q216</formula>
    </cfRule>
  </conditionalFormatting>
  <conditionalFormatting sqref="Q216">
    <cfRule type="expression" dxfId="399" priority="544">
      <formula>Q216&gt;Q215</formula>
    </cfRule>
  </conditionalFormatting>
  <conditionalFormatting sqref="M240">
    <cfRule type="expression" dxfId="398" priority="526">
      <formula>M240&gt;M216</formula>
    </cfRule>
  </conditionalFormatting>
  <conditionalFormatting sqref="O240">
    <cfRule type="expression" dxfId="397" priority="525">
      <formula>O240&gt;O216</formula>
    </cfRule>
  </conditionalFormatting>
  <conditionalFormatting sqref="Q240">
    <cfRule type="expression" dxfId="396" priority="524">
      <formula>Q240&gt;Q216</formula>
    </cfRule>
  </conditionalFormatting>
  <conditionalFormatting sqref="S240">
    <cfRule type="expression" dxfId="395" priority="523">
      <formula>S240&gt;S216</formula>
    </cfRule>
  </conditionalFormatting>
  <conditionalFormatting sqref="U240">
    <cfRule type="expression" dxfId="394" priority="522">
      <formula>U240&gt;U216</formula>
    </cfRule>
  </conditionalFormatting>
  <conditionalFormatting sqref="W240">
    <cfRule type="expression" dxfId="393" priority="521">
      <formula>W240&gt;W216</formula>
    </cfRule>
  </conditionalFormatting>
  <conditionalFormatting sqref="Y240">
    <cfRule type="expression" dxfId="392" priority="520">
      <formula>Y240&gt;Y216</formula>
    </cfRule>
  </conditionalFormatting>
  <conditionalFormatting sqref="D248:AA248">
    <cfRule type="expression" dxfId="391" priority="519">
      <formula>D248&gt;D258</formula>
    </cfRule>
  </conditionalFormatting>
  <conditionalFormatting sqref="D258:AB258">
    <cfRule type="expression" dxfId="390" priority="518">
      <formula>D248&gt;D258</formula>
    </cfRule>
  </conditionalFormatting>
  <conditionalFormatting sqref="D249:AA254">
    <cfRule type="expression" dxfId="389" priority="517">
      <formula>D249&gt;D259</formula>
    </cfRule>
  </conditionalFormatting>
  <conditionalFormatting sqref="D259:AA264">
    <cfRule type="expression" dxfId="388" priority="516">
      <formula>D249&gt;D259</formula>
    </cfRule>
  </conditionalFormatting>
  <conditionalFormatting sqref="D257:AA257">
    <cfRule type="expression" dxfId="387" priority="515">
      <formula>D257&gt;D258</formula>
    </cfRule>
  </conditionalFormatting>
  <conditionalFormatting sqref="AC257">
    <cfRule type="notContainsBlanks" dxfId="386" priority="513">
      <formula>LEN(TRIM(AC257))&gt;0</formula>
    </cfRule>
  </conditionalFormatting>
  <conditionalFormatting sqref="J271:AA271">
    <cfRule type="expression" dxfId="385" priority="512">
      <formula>J271&lt;&gt;J258</formula>
    </cfRule>
  </conditionalFormatting>
  <conditionalFormatting sqref="D258:AB258">
    <cfRule type="expression" dxfId="384" priority="511">
      <formula>D271&lt;&gt;D258</formula>
    </cfRule>
  </conditionalFormatting>
  <conditionalFormatting sqref="K258:AA258">
    <cfRule type="expression" dxfId="383" priority="510">
      <formula>K241&gt;K258</formula>
    </cfRule>
  </conditionalFormatting>
  <conditionalFormatting sqref="D278:AA278">
    <cfRule type="expression" dxfId="382" priority="508">
      <formula>D273&gt;D278</formula>
    </cfRule>
  </conditionalFormatting>
  <conditionalFormatting sqref="D278:AA278">
    <cfRule type="expression" dxfId="381" priority="506">
      <formula>D274&gt;D278</formula>
    </cfRule>
  </conditionalFormatting>
  <conditionalFormatting sqref="D278:AA278">
    <cfRule type="cellIs" dxfId="380" priority="505" operator="equal">
      <formula>0</formula>
    </cfRule>
  </conditionalFormatting>
  <conditionalFormatting sqref="D283:AA283">
    <cfRule type="expression" dxfId="379" priority="504">
      <formula>D283&gt;SUM(D279:D281)</formula>
    </cfRule>
  </conditionalFormatting>
  <conditionalFormatting sqref="D282:AA282">
    <cfRule type="cellIs" dxfId="378" priority="503" operator="equal">
      <formula>0</formula>
    </cfRule>
  </conditionalFormatting>
  <conditionalFormatting sqref="D282:AA282">
    <cfRule type="expression" dxfId="377" priority="502">
      <formula>E283&gt;(E279+E280+E281)</formula>
    </cfRule>
  </conditionalFormatting>
  <conditionalFormatting sqref="AC282">
    <cfRule type="notContainsBlanks" dxfId="376" priority="501">
      <formula>LEN(TRIM(AC282))&gt;0</formula>
    </cfRule>
  </conditionalFormatting>
  <conditionalFormatting sqref="D278:AA278">
    <cfRule type="expression" dxfId="375" priority="499">
      <formula>D282&gt;D278</formula>
    </cfRule>
  </conditionalFormatting>
  <conditionalFormatting sqref="AC283">
    <cfRule type="notContainsBlanks" dxfId="374" priority="498">
      <formula>LEN(TRIM(AC283))&gt;0</formula>
    </cfRule>
  </conditionalFormatting>
  <conditionalFormatting sqref="D286:AA286">
    <cfRule type="expression" dxfId="373" priority="497">
      <formula>D286&gt;D278</formula>
    </cfRule>
  </conditionalFormatting>
  <conditionalFormatting sqref="D278:AA278">
    <cfRule type="expression" dxfId="372" priority="496">
      <formula>D286&gt;D278</formula>
    </cfRule>
  </conditionalFormatting>
  <conditionalFormatting sqref="AC286">
    <cfRule type="notContainsBlanks" dxfId="371" priority="495">
      <formula>LEN(TRIM(AC286))&gt;0</formula>
    </cfRule>
  </conditionalFormatting>
  <conditionalFormatting sqref="AC286">
    <cfRule type="notContainsBlanks" dxfId="370" priority="494">
      <formula>LEN(TRIM(AC286))&gt;0</formula>
    </cfRule>
  </conditionalFormatting>
  <conditionalFormatting sqref="D258:AA258">
    <cfRule type="expression" dxfId="369" priority="491">
      <formula>D278&gt;D258</formula>
    </cfRule>
  </conditionalFormatting>
  <conditionalFormatting sqref="AC273">
    <cfRule type="notContainsBlanks" dxfId="368" priority="490">
      <formula>LEN(TRIM(AC273))&gt;0</formula>
    </cfRule>
  </conditionalFormatting>
  <conditionalFormatting sqref="D258:AA258">
    <cfRule type="expression" dxfId="367" priority="489">
      <formula>SUM(D101:D102)&gt;D258</formula>
    </cfRule>
  </conditionalFormatting>
  <conditionalFormatting sqref="K232">
    <cfRule type="expression" dxfId="366" priority="486">
      <formula>K232&gt;K248 &amp; EXACT($I$3,"1") &amp; EXACT($E$3,"1")</formula>
    </cfRule>
  </conditionalFormatting>
  <conditionalFormatting sqref="D288:AA288">
    <cfRule type="expression" dxfId="365" priority="484">
      <formula>D289&gt;D288</formula>
    </cfRule>
  </conditionalFormatting>
  <conditionalFormatting sqref="D310:AA316">
    <cfRule type="expression" dxfId="364" priority="483">
      <formula>D310&gt;D$304</formula>
    </cfRule>
  </conditionalFormatting>
  <conditionalFormatting sqref="D304:AA304">
    <cfRule type="expression" dxfId="363" priority="482">
      <formula>D310&gt;D$304</formula>
    </cfRule>
  </conditionalFormatting>
  <conditionalFormatting sqref="F321:AA321">
    <cfRule type="expression" dxfId="362" priority="481">
      <formula>F321&gt;F318</formula>
    </cfRule>
  </conditionalFormatting>
  <conditionalFormatting sqref="D318:AA318">
    <cfRule type="expression" dxfId="361" priority="480">
      <formula>D321&gt;D318</formula>
    </cfRule>
  </conditionalFormatting>
  <conditionalFormatting sqref="AD318">
    <cfRule type="notContainsBlanks" dxfId="360" priority="479">
      <formula>LEN(TRIM(AD318))&gt;0</formula>
    </cfRule>
  </conditionalFormatting>
  <conditionalFormatting sqref="F323:AA323">
    <cfRule type="expression" dxfId="359" priority="478">
      <formula>F323&gt;F321</formula>
    </cfRule>
  </conditionalFormatting>
  <conditionalFormatting sqref="F321:AA321">
    <cfRule type="expression" dxfId="358" priority="477">
      <formula>F323&gt;F321</formula>
    </cfRule>
  </conditionalFormatting>
  <conditionalFormatting sqref="F326:AA326">
    <cfRule type="expression" dxfId="357" priority="476">
      <formula>F326&lt;&gt;F319</formula>
    </cfRule>
  </conditionalFormatting>
  <conditionalFormatting sqref="D319:AA319">
    <cfRule type="expression" dxfId="356" priority="475">
      <formula>D326&lt;&gt;D319</formula>
    </cfRule>
  </conditionalFormatting>
  <conditionalFormatting sqref="F325:AA325">
    <cfRule type="expression" dxfId="355" priority="474">
      <formula>F325&gt;F323</formula>
    </cfRule>
  </conditionalFormatting>
  <conditionalFormatting sqref="F323:AA323">
    <cfRule type="expression" dxfId="354" priority="473">
      <formula>F325&gt;F323</formula>
    </cfRule>
  </conditionalFormatting>
  <conditionalFormatting sqref="AC318">
    <cfRule type="notContainsBlanks" dxfId="353" priority="471">
      <formula>LEN(TRIM(AC318))&gt;0</formula>
    </cfRule>
  </conditionalFormatting>
  <conditionalFormatting sqref="AC321">
    <cfRule type="notContainsBlanks" dxfId="352" priority="470">
      <formula>LEN(TRIM(AC321))&gt;0</formula>
    </cfRule>
  </conditionalFormatting>
  <conditionalFormatting sqref="AC322">
    <cfRule type="notContainsBlanks" dxfId="351" priority="469">
      <formula>LEN(TRIM(AC322))&gt;0</formula>
    </cfRule>
  </conditionalFormatting>
  <conditionalFormatting sqref="F322:AA322">
    <cfRule type="expression" dxfId="350" priority="468">
      <formula>F322&gt;F318</formula>
    </cfRule>
  </conditionalFormatting>
  <conditionalFormatting sqref="F320:AB320">
    <cfRule type="cellIs" dxfId="349" priority="467" operator="lessThan">
      <formula>0</formula>
    </cfRule>
  </conditionalFormatting>
  <conditionalFormatting sqref="D318:AA318">
    <cfRule type="expression" dxfId="348" priority="466">
      <formula>D322&gt;D318</formula>
    </cfRule>
  </conditionalFormatting>
  <conditionalFormatting sqref="AC323">
    <cfRule type="notContainsBlanks" dxfId="347" priority="465">
      <formula>LEN(TRIM(AC323))&gt;0</formula>
    </cfRule>
  </conditionalFormatting>
  <conditionalFormatting sqref="AE325">
    <cfRule type="notContainsBlanks" dxfId="346" priority="1575">
      <formula>LEN(TRIM(AE325))&gt;0</formula>
    </cfRule>
  </conditionalFormatting>
  <conditionalFormatting sqref="AF318">
    <cfRule type="notContainsBlanks" dxfId="345" priority="463">
      <formula>LEN(TRIM(AF318))&gt;0</formula>
    </cfRule>
  </conditionalFormatting>
  <conditionalFormatting sqref="AC325">
    <cfRule type="notContainsBlanks" dxfId="344" priority="462">
      <formula>LEN(TRIM(AC325))&gt;0</formula>
    </cfRule>
  </conditionalFormatting>
  <conditionalFormatting sqref="AC327">
    <cfRule type="notContainsBlanks" dxfId="343" priority="461">
      <formula>LEN(TRIM(AC327))&gt;0</formula>
    </cfRule>
  </conditionalFormatting>
  <conditionalFormatting sqref="AC326">
    <cfRule type="notContainsBlanks" dxfId="342" priority="460">
      <formula>LEN(TRIM(AC326))&gt;0</formula>
    </cfRule>
  </conditionalFormatting>
  <conditionalFormatting sqref="J80:AA85">
    <cfRule type="expression" dxfId="341" priority="459">
      <formula>J69&gt;J80</formula>
    </cfRule>
  </conditionalFormatting>
  <conditionalFormatting sqref="J69:AA74">
    <cfRule type="expression" dxfId="340" priority="458">
      <formula>J69&gt;J80</formula>
    </cfRule>
  </conditionalFormatting>
  <conditionalFormatting sqref="F321:AA321">
    <cfRule type="expression" dxfId="339" priority="437">
      <formula>F321&lt;F320</formula>
    </cfRule>
  </conditionalFormatting>
  <conditionalFormatting sqref="F320:AA320">
    <cfRule type="expression" dxfId="338" priority="436">
      <formula>F321&lt;F320</formula>
    </cfRule>
  </conditionalFormatting>
  <conditionalFormatting sqref="F325:AA325">
    <cfRule type="expression" dxfId="337" priority="435">
      <formula>F323&gt;F325</formula>
    </cfRule>
  </conditionalFormatting>
  <conditionalFormatting sqref="F323:AA323">
    <cfRule type="expression" dxfId="336" priority="434">
      <formula>F323&gt;F325</formula>
    </cfRule>
  </conditionalFormatting>
  <conditionalFormatting sqref="D294:AA294">
    <cfRule type="expression" dxfId="335" priority="433">
      <formula>D294&gt;D289</formula>
    </cfRule>
  </conditionalFormatting>
  <conditionalFormatting sqref="D289:AA289">
    <cfRule type="expression" dxfId="334" priority="432">
      <formula>D294&gt;D289</formula>
    </cfRule>
  </conditionalFormatting>
  <conditionalFormatting sqref="D293:AA293">
    <cfRule type="expression" dxfId="333" priority="430">
      <formula>D293&gt;SUM(D292,D291,D290)</formula>
    </cfRule>
  </conditionalFormatting>
  <conditionalFormatting sqref="D292:AA292">
    <cfRule type="expression" dxfId="332" priority="429">
      <formula>D293&gt;SUM(D292,D291,D290)</formula>
    </cfRule>
  </conditionalFormatting>
  <conditionalFormatting sqref="D291:AA291">
    <cfRule type="expression" dxfId="331" priority="428">
      <formula>D293&gt;SUM(D292,D291,D290)</formula>
    </cfRule>
  </conditionalFormatting>
  <conditionalFormatting sqref="D290:AA290">
    <cfRule type="expression" dxfId="330" priority="427">
      <formula>D293&gt;SUM(D292,D291,D290)</formula>
    </cfRule>
  </conditionalFormatting>
  <conditionalFormatting sqref="D274:AA274">
    <cfRule type="expression" dxfId="329" priority="426">
      <formula>D285&gt;D274</formula>
    </cfRule>
  </conditionalFormatting>
  <conditionalFormatting sqref="D285:AA285">
    <cfRule type="expression" dxfId="328" priority="425">
      <formula>D285&gt;D274</formula>
    </cfRule>
  </conditionalFormatting>
  <conditionalFormatting sqref="K209">
    <cfRule type="expression" dxfId="327" priority="424">
      <formula>K210&gt;K209</formula>
    </cfRule>
  </conditionalFormatting>
  <conditionalFormatting sqref="K237">
    <cfRule type="expression" dxfId="326" priority="423">
      <formula>K237&gt;K210</formula>
    </cfRule>
  </conditionalFormatting>
  <conditionalFormatting sqref="M237">
    <cfRule type="expression" dxfId="325" priority="422">
      <formula>M237&gt;M210</formula>
    </cfRule>
  </conditionalFormatting>
  <conditionalFormatting sqref="O237">
    <cfRule type="expression" dxfId="324" priority="421">
      <formula>O237&gt;O210</formula>
    </cfRule>
  </conditionalFormatting>
  <conditionalFormatting sqref="Q237">
    <cfRule type="expression" dxfId="323" priority="420">
      <formula>Q237&gt;Q210</formula>
    </cfRule>
  </conditionalFormatting>
  <conditionalFormatting sqref="S237">
    <cfRule type="expression" dxfId="322" priority="419">
      <formula>S237&gt;S210</formula>
    </cfRule>
  </conditionalFormatting>
  <conditionalFormatting sqref="U237">
    <cfRule type="expression" dxfId="321" priority="418">
      <formula>U237&gt;U210</formula>
    </cfRule>
  </conditionalFormatting>
  <conditionalFormatting sqref="W237">
    <cfRule type="expression" dxfId="320" priority="417">
      <formula>W237&gt;W210</formula>
    </cfRule>
  </conditionalFormatting>
  <conditionalFormatting sqref="Y237">
    <cfRule type="expression" dxfId="319" priority="416">
      <formula>Y237&gt;Y210</formula>
    </cfRule>
  </conditionalFormatting>
  <conditionalFormatting sqref="D18:AB18">
    <cfRule type="cellIs" dxfId="318" priority="415" operator="equal">
      <formula>0</formula>
    </cfRule>
  </conditionalFormatting>
  <conditionalFormatting sqref="AC11">
    <cfRule type="notContainsBlanks" dxfId="317" priority="414">
      <formula>LEN(TRIM(AC11))&gt;0</formula>
    </cfRule>
  </conditionalFormatting>
  <conditionalFormatting sqref="AC12">
    <cfRule type="notContainsBlanks" dxfId="316" priority="413">
      <formula>LEN(TRIM(AC12))&gt;0</formula>
    </cfRule>
  </conditionalFormatting>
  <conditionalFormatting sqref="AC16">
    <cfRule type="notContainsBlanks" dxfId="315" priority="411">
      <formula>LEN(TRIM(AC16))&gt;0</formula>
    </cfRule>
  </conditionalFormatting>
  <conditionalFormatting sqref="AC15">
    <cfRule type="notContainsBlanks" dxfId="314" priority="410">
      <formula>LEN(TRIM(AC15))&gt;0</formula>
    </cfRule>
  </conditionalFormatting>
  <conditionalFormatting sqref="D14:AA14">
    <cfRule type="cellIs" dxfId="313" priority="394" operator="equal">
      <formula>0</formula>
    </cfRule>
  </conditionalFormatting>
  <conditionalFormatting sqref="AC14">
    <cfRule type="notContainsBlanks" dxfId="312" priority="393">
      <formula>LEN(TRIM(AC14))&gt;0</formula>
    </cfRule>
  </conditionalFormatting>
  <conditionalFormatting sqref="D14:AA14">
    <cfRule type="expression" dxfId="311" priority="392">
      <formula>D49&gt;D14</formula>
    </cfRule>
  </conditionalFormatting>
  <conditionalFormatting sqref="D49:AA49">
    <cfRule type="expression" dxfId="310" priority="391">
      <formula>D49&gt;D14</formula>
    </cfRule>
  </conditionalFormatting>
  <conditionalFormatting sqref="M127:M128">
    <cfRule type="expression" dxfId="309" priority="356">
      <formula>(M131+M130+M129)&gt;M127</formula>
    </cfRule>
    <cfRule type="cellIs" dxfId="308" priority="373" operator="equal">
      <formula>0</formula>
    </cfRule>
  </conditionalFormatting>
  <conditionalFormatting sqref="M129">
    <cfRule type="expression" dxfId="307" priority="355">
      <formula>(M131+M130+M129)&gt;M127</formula>
    </cfRule>
  </conditionalFormatting>
  <conditionalFormatting sqref="M130">
    <cfRule type="expression" dxfId="306" priority="354">
      <formula>(M131+M130+M129)&gt;M127</formula>
    </cfRule>
  </conditionalFormatting>
  <conditionalFormatting sqref="M131">
    <cfRule type="expression" dxfId="305" priority="353">
      <formula>(M131+M130+M129)&gt;M127</formula>
    </cfRule>
  </conditionalFormatting>
  <conditionalFormatting sqref="O127:O128">
    <cfRule type="expression" dxfId="304" priority="351">
      <formula>(O131+O130+O129)&gt;O127</formula>
    </cfRule>
    <cfRule type="cellIs" dxfId="303" priority="352" operator="equal">
      <formula>0</formula>
    </cfRule>
  </conditionalFormatting>
  <conditionalFormatting sqref="O129">
    <cfRule type="expression" dxfId="302" priority="350">
      <formula>(O131+O130+O129)&gt;O127</formula>
    </cfRule>
  </conditionalFormatting>
  <conditionalFormatting sqref="O130">
    <cfRule type="expression" dxfId="301" priority="349">
      <formula>(O131+O130+O129)&gt;O127</formula>
    </cfRule>
  </conditionalFormatting>
  <conditionalFormatting sqref="O131">
    <cfRule type="expression" dxfId="300" priority="348">
      <formula>(O131+O130+O129)&gt;O127</formula>
    </cfRule>
  </conditionalFormatting>
  <conditionalFormatting sqref="Q127:Q128">
    <cfRule type="expression" dxfId="299" priority="346">
      <formula>(Q131+Q130+Q129)&gt;Q127</formula>
    </cfRule>
    <cfRule type="cellIs" dxfId="298" priority="347" operator="equal">
      <formula>0</formula>
    </cfRule>
  </conditionalFormatting>
  <conditionalFormatting sqref="Q129">
    <cfRule type="expression" dxfId="297" priority="345">
      <formula>(Q131+Q130+Q129)&gt;Q127</formula>
    </cfRule>
  </conditionalFormatting>
  <conditionalFormatting sqref="Q130">
    <cfRule type="expression" dxfId="296" priority="344">
      <formula>(Q131+Q130+Q129)&gt;Q127</formula>
    </cfRule>
  </conditionalFormatting>
  <conditionalFormatting sqref="Q131">
    <cfRule type="expression" dxfId="295" priority="343">
      <formula>(Q131+Q130+Q129)&gt;Q127</formula>
    </cfRule>
  </conditionalFormatting>
  <conditionalFormatting sqref="S127:S128">
    <cfRule type="expression" dxfId="294" priority="341">
      <formula>(S131+S130+S129)&gt;S127</formula>
    </cfRule>
    <cfRule type="cellIs" dxfId="293" priority="342" operator="equal">
      <formula>0</formula>
    </cfRule>
  </conditionalFormatting>
  <conditionalFormatting sqref="S129">
    <cfRule type="expression" dxfId="292" priority="340">
      <formula>(S131+S130+S129)&gt;S127</formula>
    </cfRule>
  </conditionalFormatting>
  <conditionalFormatting sqref="S130">
    <cfRule type="expression" dxfId="291" priority="339">
      <formula>(S131+S130+S129)&gt;S127</formula>
    </cfRule>
  </conditionalFormatting>
  <conditionalFormatting sqref="S131">
    <cfRule type="expression" dxfId="290" priority="338">
      <formula>(S131+S130+S129)&gt;S127</formula>
    </cfRule>
  </conditionalFormatting>
  <conditionalFormatting sqref="U127:U128">
    <cfRule type="expression" dxfId="289" priority="336">
      <formula>(U131+U130+U129)&gt;U127</formula>
    </cfRule>
    <cfRule type="cellIs" dxfId="288" priority="337" operator="equal">
      <formula>0</formula>
    </cfRule>
  </conditionalFormatting>
  <conditionalFormatting sqref="U129">
    <cfRule type="expression" dxfId="287" priority="335">
      <formula>(U131+U130+U129)&gt;U127</formula>
    </cfRule>
  </conditionalFormatting>
  <conditionalFormatting sqref="U130">
    <cfRule type="expression" dxfId="286" priority="334">
      <formula>(U131+U130+U129)&gt;U127</formula>
    </cfRule>
  </conditionalFormatting>
  <conditionalFormatting sqref="U131">
    <cfRule type="expression" dxfId="285" priority="333">
      <formula>(U131+U130+U129)&gt;U127</formula>
    </cfRule>
  </conditionalFormatting>
  <conditionalFormatting sqref="W127:W128">
    <cfRule type="expression" dxfId="284" priority="331">
      <formula>(W131+W130+W129)&gt;W127</formula>
    </cfRule>
    <cfRule type="cellIs" dxfId="283" priority="332" operator="equal">
      <formula>0</formula>
    </cfRule>
  </conditionalFormatting>
  <conditionalFormatting sqref="W129">
    <cfRule type="expression" dxfId="282" priority="330">
      <formula>(W131+W130+W129)&gt;W127</formula>
    </cfRule>
  </conditionalFormatting>
  <conditionalFormatting sqref="W130">
    <cfRule type="expression" dxfId="281" priority="329">
      <formula>(W131+W130+W129)&gt;W127</formula>
    </cfRule>
  </conditionalFormatting>
  <conditionalFormatting sqref="W131">
    <cfRule type="expression" dxfId="280" priority="328">
      <formula>(W131+W130+W129)&gt;W127</formula>
    </cfRule>
  </conditionalFormatting>
  <conditionalFormatting sqref="Y127:Y128">
    <cfRule type="expression" dxfId="279" priority="326">
      <formula>(Y131+Y130+Y129)&gt;Y127</formula>
    </cfRule>
    <cfRule type="cellIs" dxfId="278" priority="327" operator="equal">
      <formula>0</formula>
    </cfRule>
  </conditionalFormatting>
  <conditionalFormatting sqref="Y129">
    <cfRule type="expression" dxfId="277" priority="325">
      <formula>(Y131+Y130+Y129)&gt;Y127</formula>
    </cfRule>
  </conditionalFormatting>
  <conditionalFormatting sqref="Y130">
    <cfRule type="expression" dxfId="276" priority="324">
      <formula>(Y131+Y130+Y129)&gt;Y127</formula>
    </cfRule>
  </conditionalFormatting>
  <conditionalFormatting sqref="Y131">
    <cfRule type="expression" dxfId="275" priority="323">
      <formula>(Y131+Y130+Y129)&gt;Y127</formula>
    </cfRule>
  </conditionalFormatting>
  <conditionalFormatting sqref="AA127:AA128">
    <cfRule type="expression" dxfId="274" priority="321">
      <formula>(AA131+AA130+AA129)&gt;AA127</formula>
    </cfRule>
    <cfRule type="cellIs" dxfId="273" priority="322" operator="equal">
      <formula>0</formula>
    </cfRule>
  </conditionalFormatting>
  <conditionalFormatting sqref="AA129">
    <cfRule type="expression" dxfId="272" priority="320">
      <formula>(AA131+AA130+AA129)&gt;AA127</formula>
    </cfRule>
  </conditionalFormatting>
  <conditionalFormatting sqref="AA130">
    <cfRule type="expression" dxfId="271" priority="319">
      <formula>(AA131+AA130+AA129)&gt;AA127</formula>
    </cfRule>
  </conditionalFormatting>
  <conditionalFormatting sqref="AA131">
    <cfRule type="expression" dxfId="270" priority="318">
      <formula>(AA131+AA130+AA129)&gt;AA127</formula>
    </cfRule>
  </conditionalFormatting>
  <conditionalFormatting sqref="M119:M120">
    <cfRule type="cellIs" dxfId="269" priority="316" operator="equal">
      <formula>0</formula>
    </cfRule>
  </conditionalFormatting>
  <conditionalFormatting sqref="M121">
    <cfRule type="expression" dxfId="268" priority="314">
      <formula>(M123+M122+M121)&gt;M119</formula>
    </cfRule>
  </conditionalFormatting>
  <conditionalFormatting sqref="M122">
    <cfRule type="expression" dxfId="267" priority="313">
      <formula>(M123+M122+M121)&gt;M119</formula>
    </cfRule>
  </conditionalFormatting>
  <conditionalFormatting sqref="M123">
    <cfRule type="expression" dxfId="266" priority="312">
      <formula>(M123+M122+M121)&gt;M119</formula>
    </cfRule>
  </conditionalFormatting>
  <conditionalFormatting sqref="O119">
    <cfRule type="expression" dxfId="265" priority="310">
      <formula>(O123+O122+O121)&gt;O119</formula>
    </cfRule>
    <cfRule type="cellIs" dxfId="264" priority="311" operator="equal">
      <formula>0</formula>
    </cfRule>
  </conditionalFormatting>
  <conditionalFormatting sqref="O121">
    <cfRule type="expression" dxfId="263" priority="309">
      <formula>(O123+O122+O121)&gt;O119</formula>
    </cfRule>
  </conditionalFormatting>
  <conditionalFormatting sqref="O122">
    <cfRule type="expression" dxfId="262" priority="308">
      <formula>(O123+O122+O121)&gt;O119</formula>
    </cfRule>
  </conditionalFormatting>
  <conditionalFormatting sqref="O123">
    <cfRule type="expression" dxfId="261" priority="307">
      <formula>(O123+O122+O121)&gt;O119</formula>
    </cfRule>
  </conditionalFormatting>
  <conditionalFormatting sqref="Q119">
    <cfRule type="expression" dxfId="260" priority="305">
      <formula>(Q123+Q122+Q121)&gt;Q119</formula>
    </cfRule>
    <cfRule type="cellIs" dxfId="259" priority="306" operator="equal">
      <formula>0</formula>
    </cfRule>
  </conditionalFormatting>
  <conditionalFormatting sqref="Q121">
    <cfRule type="expression" dxfId="258" priority="304">
      <formula>(Q123+Q122+Q121)&gt;Q119</formula>
    </cfRule>
  </conditionalFormatting>
  <conditionalFormatting sqref="Q122">
    <cfRule type="expression" dxfId="257" priority="303">
      <formula>(Q123+Q122+Q121)&gt;Q119</formula>
    </cfRule>
  </conditionalFormatting>
  <conditionalFormatting sqref="Q123">
    <cfRule type="expression" dxfId="256" priority="302">
      <formula>(Q123+Q122+Q121)&gt;Q119</formula>
    </cfRule>
  </conditionalFormatting>
  <conditionalFormatting sqref="S119">
    <cfRule type="expression" dxfId="255" priority="300">
      <formula>(S123+S122+S121)&gt;S119</formula>
    </cfRule>
    <cfRule type="cellIs" dxfId="254" priority="301" operator="equal">
      <formula>0</formula>
    </cfRule>
  </conditionalFormatting>
  <conditionalFormatting sqref="S121">
    <cfRule type="expression" dxfId="253" priority="299">
      <formula>(S123+S122+S121)&gt;S119</formula>
    </cfRule>
  </conditionalFormatting>
  <conditionalFormatting sqref="S122">
    <cfRule type="expression" dxfId="252" priority="298">
      <formula>(S123+S122+S121)&gt;S119</formula>
    </cfRule>
  </conditionalFormatting>
  <conditionalFormatting sqref="S123">
    <cfRule type="expression" dxfId="251" priority="297">
      <formula>(S123+S122+S121)&gt;S119</formula>
    </cfRule>
  </conditionalFormatting>
  <conditionalFormatting sqref="U119">
    <cfRule type="expression" dxfId="250" priority="295">
      <formula>(U123+U122+U121)&gt;U119</formula>
    </cfRule>
    <cfRule type="cellIs" dxfId="249" priority="296" operator="equal">
      <formula>0</formula>
    </cfRule>
  </conditionalFormatting>
  <conditionalFormatting sqref="U121">
    <cfRule type="expression" dxfId="248" priority="294">
      <formula>(U123+U122+U121)&gt;U119</formula>
    </cfRule>
  </conditionalFormatting>
  <conditionalFormatting sqref="U122">
    <cfRule type="expression" dxfId="247" priority="293">
      <formula>(U123+U122+U121)&gt;U119</formula>
    </cfRule>
  </conditionalFormatting>
  <conditionalFormatting sqref="U123">
    <cfRule type="expression" dxfId="246" priority="292">
      <formula>(U123+U122+U121)&gt;U119</formula>
    </cfRule>
  </conditionalFormatting>
  <conditionalFormatting sqref="W119">
    <cfRule type="expression" dxfId="245" priority="290">
      <formula>(W123+W122+W121)&gt;W119</formula>
    </cfRule>
    <cfRule type="cellIs" dxfId="244" priority="291" operator="equal">
      <formula>0</formula>
    </cfRule>
  </conditionalFormatting>
  <conditionalFormatting sqref="W121">
    <cfRule type="expression" dxfId="243" priority="289">
      <formula>(W123+W122+W121)&gt;W119</formula>
    </cfRule>
  </conditionalFormatting>
  <conditionalFormatting sqref="W122">
    <cfRule type="expression" dxfId="242" priority="288">
      <formula>(W123+W122+W121)&gt;W119</formula>
    </cfRule>
  </conditionalFormatting>
  <conditionalFormatting sqref="W123">
    <cfRule type="expression" dxfId="241" priority="287">
      <formula>(W123+W122+W121)&gt;W119</formula>
    </cfRule>
  </conditionalFormatting>
  <conditionalFormatting sqref="Y119">
    <cfRule type="expression" dxfId="240" priority="285">
      <formula>(Y123+Y122+Y121)&gt;Y119</formula>
    </cfRule>
    <cfRule type="cellIs" dxfId="239" priority="286" operator="equal">
      <formula>0</formula>
    </cfRule>
  </conditionalFormatting>
  <conditionalFormatting sqref="Y121">
    <cfRule type="expression" dxfId="238" priority="284">
      <formula>(Y123+Y122+Y121)&gt;Y119</formula>
    </cfRule>
  </conditionalFormatting>
  <conditionalFormatting sqref="Y122">
    <cfRule type="expression" dxfId="237" priority="283">
      <formula>(Y123+Y122+Y121)&gt;Y119</formula>
    </cfRule>
  </conditionalFormatting>
  <conditionalFormatting sqref="Y123">
    <cfRule type="expression" dxfId="236" priority="282">
      <formula>(Y123+Y122+Y121)&gt;Y119</formula>
    </cfRule>
  </conditionalFormatting>
  <conditionalFormatting sqref="AA119">
    <cfRule type="expression" dxfId="235" priority="280">
      <formula>(AA123+AA122+AA121)&gt;AA119</formula>
    </cfRule>
    <cfRule type="cellIs" dxfId="234" priority="281" operator="equal">
      <formula>0</formula>
    </cfRule>
  </conditionalFormatting>
  <conditionalFormatting sqref="AA121">
    <cfRule type="expression" dxfId="233" priority="279">
      <formula>(AA123+AA122+AA121)&gt;AA119</formula>
    </cfRule>
  </conditionalFormatting>
  <conditionalFormatting sqref="AA122">
    <cfRule type="expression" dxfId="232" priority="278">
      <formula>(AA123+AA122+AA121)&gt;AA119</formula>
    </cfRule>
  </conditionalFormatting>
  <conditionalFormatting sqref="AA123">
    <cfRule type="expression" dxfId="231" priority="277">
      <formula>(AA123+AA122+AA121)&gt;AA119</formula>
    </cfRule>
  </conditionalFormatting>
  <conditionalFormatting sqref="M135:M136">
    <cfRule type="expression" dxfId="230" priority="275">
      <formula>(M139+M138+M137)&gt;M135</formula>
    </cfRule>
    <cfRule type="cellIs" dxfId="229" priority="276" operator="equal">
      <formula>0</formula>
    </cfRule>
  </conditionalFormatting>
  <conditionalFormatting sqref="M137">
    <cfRule type="expression" dxfId="228" priority="274">
      <formula>(M139+M138+M137)&gt;M135</formula>
    </cfRule>
  </conditionalFormatting>
  <conditionalFormatting sqref="M138">
    <cfRule type="expression" dxfId="227" priority="273">
      <formula>(M139+M138+M137)&gt;M135</formula>
    </cfRule>
  </conditionalFormatting>
  <conditionalFormatting sqref="M139">
    <cfRule type="expression" dxfId="226" priority="272">
      <formula>(M139+M138+M137)&gt;M135</formula>
    </cfRule>
  </conditionalFormatting>
  <conditionalFormatting sqref="O135:O136">
    <cfRule type="expression" dxfId="225" priority="270">
      <formula>(O139+O138+O137)&gt;O135</formula>
    </cfRule>
    <cfRule type="cellIs" dxfId="224" priority="271" operator="equal">
      <formula>0</formula>
    </cfRule>
  </conditionalFormatting>
  <conditionalFormatting sqref="O137">
    <cfRule type="expression" dxfId="223" priority="269">
      <formula>(O139+O138+O137)&gt;O135</formula>
    </cfRule>
  </conditionalFormatting>
  <conditionalFormatting sqref="O138">
    <cfRule type="expression" dxfId="222" priority="268">
      <formula>(O139+O138+O137)&gt;O135</formula>
    </cfRule>
  </conditionalFormatting>
  <conditionalFormatting sqref="O139">
    <cfRule type="expression" dxfId="221" priority="267">
      <formula>(O139+O138+O137)&gt;O135</formula>
    </cfRule>
  </conditionalFormatting>
  <conditionalFormatting sqref="Q135:Q136">
    <cfRule type="expression" dxfId="220" priority="265">
      <formula>(Q139+Q138+Q137)&gt;Q135</formula>
    </cfRule>
    <cfRule type="cellIs" dxfId="219" priority="266" operator="equal">
      <formula>0</formula>
    </cfRule>
  </conditionalFormatting>
  <conditionalFormatting sqref="Q137">
    <cfRule type="expression" dxfId="218" priority="264">
      <formula>(Q139+Q138+Q137)&gt;Q135</formula>
    </cfRule>
  </conditionalFormatting>
  <conditionalFormatting sqref="Q138">
    <cfRule type="expression" dxfId="217" priority="263">
      <formula>(Q139+Q138+Q137)&gt;Q135</formula>
    </cfRule>
  </conditionalFormatting>
  <conditionalFormatting sqref="Q139">
    <cfRule type="expression" dxfId="216" priority="262">
      <formula>(Q139+Q138+Q137)&gt;Q135</formula>
    </cfRule>
  </conditionalFormatting>
  <conditionalFormatting sqref="S135:S136">
    <cfRule type="expression" dxfId="215" priority="260">
      <formula>(S139+S138+S137)&gt;S135</formula>
    </cfRule>
    <cfRule type="cellIs" dxfId="214" priority="261" operator="equal">
      <formula>0</formula>
    </cfRule>
  </conditionalFormatting>
  <conditionalFormatting sqref="S137">
    <cfRule type="expression" dxfId="213" priority="259">
      <formula>(S139+S138+S137)&gt;S135</formula>
    </cfRule>
  </conditionalFormatting>
  <conditionalFormatting sqref="S138">
    <cfRule type="expression" dxfId="212" priority="258">
      <formula>(S139+S138+S137)&gt;S135</formula>
    </cfRule>
  </conditionalFormatting>
  <conditionalFormatting sqref="S139">
    <cfRule type="expression" dxfId="211" priority="257">
      <formula>(S139+S138+S137)&gt;S135</formula>
    </cfRule>
  </conditionalFormatting>
  <conditionalFormatting sqref="U135:U136">
    <cfRule type="expression" dxfId="210" priority="255">
      <formula>(U139+U138+U137)&gt;U135</formula>
    </cfRule>
    <cfRule type="cellIs" dxfId="209" priority="256" operator="equal">
      <formula>0</formula>
    </cfRule>
  </conditionalFormatting>
  <conditionalFormatting sqref="U137">
    <cfRule type="expression" dxfId="208" priority="254">
      <formula>(U139+U138+U137)&gt;U135</formula>
    </cfRule>
  </conditionalFormatting>
  <conditionalFormatting sqref="U138">
    <cfRule type="expression" dxfId="207" priority="253">
      <formula>(U139+U138+U137)&gt;U135</formula>
    </cfRule>
  </conditionalFormatting>
  <conditionalFormatting sqref="U139">
    <cfRule type="expression" dxfId="206" priority="252">
      <formula>(U139+U138+U137)&gt;U135</formula>
    </cfRule>
  </conditionalFormatting>
  <conditionalFormatting sqref="W135:W136">
    <cfRule type="expression" dxfId="205" priority="250">
      <formula>(W139+W138+W137)&gt;W135</formula>
    </cfRule>
    <cfRule type="cellIs" dxfId="204" priority="251" operator="equal">
      <formula>0</formula>
    </cfRule>
  </conditionalFormatting>
  <conditionalFormatting sqref="W137">
    <cfRule type="expression" dxfId="203" priority="249">
      <formula>(W139+W138+W137)&gt;W135</formula>
    </cfRule>
  </conditionalFormatting>
  <conditionalFormatting sqref="W138">
    <cfRule type="expression" dxfId="202" priority="248">
      <formula>(W139+W138+W137)&gt;W135</formula>
    </cfRule>
  </conditionalFormatting>
  <conditionalFormatting sqref="W139">
    <cfRule type="expression" dxfId="201" priority="247">
      <formula>(W139+W138+W137)&gt;W135</formula>
    </cfRule>
  </conditionalFormatting>
  <conditionalFormatting sqref="Y135:Y136">
    <cfRule type="expression" dxfId="200" priority="245">
      <formula>(Y139+Y138+Y137)&gt;Y135</formula>
    </cfRule>
    <cfRule type="cellIs" dxfId="199" priority="246" operator="equal">
      <formula>0</formula>
    </cfRule>
  </conditionalFormatting>
  <conditionalFormatting sqref="Y137">
    <cfRule type="expression" dxfId="198" priority="244">
      <formula>(Y139+Y138+Y137)&gt;Y135</formula>
    </cfRule>
  </conditionalFormatting>
  <conditionalFormatting sqref="Y138">
    <cfRule type="expression" dxfId="197" priority="243">
      <formula>(Y139+Y138+Y137)&gt;Y135</formula>
    </cfRule>
  </conditionalFormatting>
  <conditionalFormatting sqref="Y139">
    <cfRule type="expression" dxfId="196" priority="242">
      <formula>(Y139+Y138+Y137)&gt;Y135</formula>
    </cfRule>
  </conditionalFormatting>
  <conditionalFormatting sqref="AA135:AA136">
    <cfRule type="expression" dxfId="195" priority="240">
      <formula>(AA139+AA138+AA137)&gt;AA135</formula>
    </cfRule>
    <cfRule type="cellIs" dxfId="194" priority="241" operator="equal">
      <formula>0</formula>
    </cfRule>
  </conditionalFormatting>
  <conditionalFormatting sqref="AA137">
    <cfRule type="expression" dxfId="193" priority="239">
      <formula>(AA139+AA138+AA137)&gt;AA135</formula>
    </cfRule>
  </conditionalFormatting>
  <conditionalFormatting sqref="AA138">
    <cfRule type="expression" dxfId="192" priority="238">
      <formula>(AA139+AA138+AA137)&gt;AA135</formula>
    </cfRule>
  </conditionalFormatting>
  <conditionalFormatting sqref="AA139">
    <cfRule type="expression" dxfId="191" priority="237">
      <formula>(AA139+AA138+AA137)&gt;AA135</formula>
    </cfRule>
  </conditionalFormatting>
  <conditionalFormatting sqref="AE152:AF152">
    <cfRule type="notContainsBlanks" dxfId="190" priority="233">
      <formula>LEN(TRIM(AE152))&gt;0</formula>
    </cfRule>
  </conditionalFormatting>
  <conditionalFormatting sqref="AB153:AB178">
    <cfRule type="cellIs" dxfId="189" priority="231" operator="equal">
      <formula>0</formula>
    </cfRule>
  </conditionalFormatting>
  <conditionalFormatting sqref="AE153:AF160">
    <cfRule type="notContainsBlanks" dxfId="188" priority="229">
      <formula>LEN(TRIM(AE153))&gt;0</formula>
    </cfRule>
  </conditionalFormatting>
  <conditionalFormatting sqref="AE161:AF161">
    <cfRule type="notContainsBlanks" dxfId="187" priority="220">
      <formula>LEN(TRIM(AE161))&gt;0</formula>
    </cfRule>
  </conditionalFormatting>
  <conditionalFormatting sqref="AE162:AF169">
    <cfRule type="notContainsBlanks" dxfId="186" priority="216">
      <formula>LEN(TRIM(AE162))&gt;0</formula>
    </cfRule>
  </conditionalFormatting>
  <conditionalFormatting sqref="AE170:AF170">
    <cfRule type="notContainsBlanks" dxfId="185" priority="207">
      <formula>LEN(TRIM(AE170))&gt;0</formula>
    </cfRule>
  </conditionalFormatting>
  <conditionalFormatting sqref="AE171:AF178">
    <cfRule type="notContainsBlanks" dxfId="184" priority="203">
      <formula>LEN(TRIM(AE171))&gt;0</formula>
    </cfRule>
  </conditionalFormatting>
  <conditionalFormatting sqref="D101:AA101">
    <cfRule type="expression" dxfId="183" priority="1657">
      <formula>SUM(D101:D102)&gt;D258</formula>
    </cfRule>
  </conditionalFormatting>
  <conditionalFormatting sqref="D102:E102">
    <cfRule type="expression" dxfId="182" priority="1658">
      <formula>SUM(D101:D102)&gt;D258</formula>
    </cfRule>
  </conditionalFormatting>
  <conditionalFormatting sqref="D145:AA145">
    <cfRule type="cellIs" dxfId="181" priority="196" operator="equal">
      <formula>0</formula>
    </cfRule>
  </conditionalFormatting>
  <conditionalFormatting sqref="D179:AB179 D180:AA180 AB181">
    <cfRule type="cellIs" dxfId="180" priority="195" operator="equal">
      <formula>0</formula>
    </cfRule>
  </conditionalFormatting>
  <conditionalFormatting sqref="D183:AA183">
    <cfRule type="expression" dxfId="179" priority="194">
      <formula>D183&gt;D179</formula>
    </cfRule>
  </conditionalFormatting>
  <conditionalFormatting sqref="D179:AA179">
    <cfRule type="expression" dxfId="178" priority="193">
      <formula>D183&gt;D179</formula>
    </cfRule>
  </conditionalFormatting>
  <conditionalFormatting sqref="AB152">
    <cfRule type="cellIs" dxfId="177" priority="192" operator="equal">
      <formula>0</formula>
    </cfRule>
  </conditionalFormatting>
  <conditionalFormatting sqref="AB12:AB13">
    <cfRule type="cellIs" dxfId="176" priority="190" operator="equal">
      <formula>0</formula>
    </cfRule>
  </conditionalFormatting>
  <conditionalFormatting sqref="AB14">
    <cfRule type="cellIs" dxfId="175" priority="189" operator="equal">
      <formula>0</formula>
    </cfRule>
  </conditionalFormatting>
  <conditionalFormatting sqref="AB15:AB17">
    <cfRule type="cellIs" dxfId="174" priority="188" operator="equal">
      <formula>0</formula>
    </cfRule>
  </conditionalFormatting>
  <conditionalFormatting sqref="D144:AA144">
    <cfRule type="expression" dxfId="173" priority="186">
      <formula>D144&gt;D143</formula>
    </cfRule>
  </conditionalFormatting>
  <conditionalFormatting sqref="D143:AA143">
    <cfRule type="expression" dxfId="172" priority="185">
      <formula>D144&gt;D143</formula>
    </cfRule>
  </conditionalFormatting>
  <conditionalFormatting sqref="D145:AA145">
    <cfRule type="expression" dxfId="171" priority="184">
      <formula>D145&gt;D144</formula>
    </cfRule>
  </conditionalFormatting>
  <conditionalFormatting sqref="D144:AA144">
    <cfRule type="expression" dxfId="170" priority="183">
      <formula>D145&gt;D144</formula>
    </cfRule>
  </conditionalFormatting>
  <conditionalFormatting sqref="D180:AA180">
    <cfRule type="expression" dxfId="169" priority="182">
      <formula>D180&gt;D179</formula>
    </cfRule>
  </conditionalFormatting>
  <conditionalFormatting sqref="D179:AA179">
    <cfRule type="expression" dxfId="168" priority="181">
      <formula>D180&gt;D179</formula>
    </cfRule>
  </conditionalFormatting>
  <conditionalFormatting sqref="AC146">
    <cfRule type="notContainsBlanks" dxfId="167" priority="180">
      <formula>LEN(TRIM(AC146))&gt;0</formula>
    </cfRule>
  </conditionalFormatting>
  <conditionalFormatting sqref="AD152">
    <cfRule type="notContainsBlanks" dxfId="166" priority="179">
      <formula>LEN(TRIM(AD152))&gt;0</formula>
    </cfRule>
  </conditionalFormatting>
  <conditionalFormatting sqref="AD161">
    <cfRule type="notContainsBlanks" dxfId="165" priority="178">
      <formula>LEN(TRIM(AD161))&gt;0</formula>
    </cfRule>
  </conditionalFormatting>
  <conditionalFormatting sqref="AD170">
    <cfRule type="notContainsBlanks" dxfId="164" priority="177">
      <formula>LEN(TRIM(AD170))&gt;0</formula>
    </cfRule>
  </conditionalFormatting>
  <conditionalFormatting sqref="D147:AA147">
    <cfRule type="expression" dxfId="163" priority="176">
      <formula>D147&gt;D146</formula>
    </cfRule>
  </conditionalFormatting>
  <conditionalFormatting sqref="D146:AA146">
    <cfRule type="expression" dxfId="162" priority="175">
      <formula>D147&gt;D146</formula>
    </cfRule>
  </conditionalFormatting>
  <conditionalFormatting sqref="AC143">
    <cfRule type="notContainsBlanks" dxfId="161" priority="174">
      <formula>LEN(TRIM(AC143))&gt;0</formula>
    </cfRule>
  </conditionalFormatting>
  <conditionalFormatting sqref="AC148">
    <cfRule type="notContainsBlanks" dxfId="160" priority="173">
      <formula>LEN(TRIM(AC148))&gt;0</formula>
    </cfRule>
  </conditionalFormatting>
  <conditionalFormatting sqref="D149:AA149">
    <cfRule type="expression" dxfId="159" priority="172">
      <formula>D149&gt;D148</formula>
    </cfRule>
  </conditionalFormatting>
  <conditionalFormatting sqref="D148:AA148">
    <cfRule type="expression" dxfId="158" priority="171">
      <formula>D149&gt;D148</formula>
    </cfRule>
  </conditionalFormatting>
  <conditionalFormatting sqref="AC153:AC154 AC156 AC158:AC160">
    <cfRule type="notContainsBlanks" dxfId="157" priority="170">
      <formula>LEN(TRIM(AC153))&gt;0</formula>
    </cfRule>
  </conditionalFormatting>
  <conditionalFormatting sqref="AC155">
    <cfRule type="notContainsBlanks" dxfId="156" priority="169">
      <formula>LEN(TRIM(AC155))&gt;0</formula>
    </cfRule>
  </conditionalFormatting>
  <conditionalFormatting sqref="AC152">
    <cfRule type="notContainsBlanks" dxfId="155" priority="168">
      <formula>LEN(TRIM(AC152))&gt;0</formula>
    </cfRule>
  </conditionalFormatting>
  <conditionalFormatting sqref="AC157">
    <cfRule type="notContainsBlanks" dxfId="154" priority="167">
      <formula>LEN(TRIM(AC157))&gt;0</formula>
    </cfRule>
  </conditionalFormatting>
  <conditionalFormatting sqref="AC162:AC163 AC165 AC167:AC169">
    <cfRule type="notContainsBlanks" dxfId="153" priority="166">
      <formula>LEN(TRIM(AC162))&gt;0</formula>
    </cfRule>
  </conditionalFormatting>
  <conditionalFormatting sqref="AC164">
    <cfRule type="notContainsBlanks" dxfId="152" priority="165">
      <formula>LEN(TRIM(AC164))&gt;0</formula>
    </cfRule>
  </conditionalFormatting>
  <conditionalFormatting sqref="AC161">
    <cfRule type="notContainsBlanks" dxfId="151" priority="164">
      <formula>LEN(TRIM(AC161))&gt;0</formula>
    </cfRule>
  </conditionalFormatting>
  <conditionalFormatting sqref="AC166">
    <cfRule type="notContainsBlanks" dxfId="150" priority="163">
      <formula>LEN(TRIM(AC166))&gt;0</formula>
    </cfRule>
  </conditionalFormatting>
  <conditionalFormatting sqref="AC171:AC172 AC174 AC176:AC178">
    <cfRule type="notContainsBlanks" dxfId="149" priority="162">
      <formula>LEN(TRIM(AC171))&gt;0</formula>
    </cfRule>
  </conditionalFormatting>
  <conditionalFormatting sqref="AC173">
    <cfRule type="notContainsBlanks" dxfId="148" priority="161">
      <formula>LEN(TRIM(AC173))&gt;0</formula>
    </cfRule>
  </conditionalFormatting>
  <conditionalFormatting sqref="AC170">
    <cfRule type="notContainsBlanks" dxfId="147" priority="160">
      <formula>LEN(TRIM(AC170))&gt;0</formula>
    </cfRule>
  </conditionalFormatting>
  <conditionalFormatting sqref="AC175">
    <cfRule type="notContainsBlanks" dxfId="146" priority="159">
      <formula>LEN(TRIM(AC175))&gt;0</formula>
    </cfRule>
  </conditionalFormatting>
  <conditionalFormatting sqref="D152:AA152">
    <cfRule type="cellIs" dxfId="145" priority="158" operator="equal">
      <formula>0</formula>
    </cfRule>
  </conditionalFormatting>
  <conditionalFormatting sqref="D154:AA154">
    <cfRule type="cellIs" dxfId="144" priority="157" operator="equal">
      <formula>0</formula>
    </cfRule>
  </conditionalFormatting>
  <conditionalFormatting sqref="D153:AA153">
    <cfRule type="expression" dxfId="143" priority="156">
      <formula>D153&gt;D152</formula>
    </cfRule>
  </conditionalFormatting>
  <conditionalFormatting sqref="D152:AA152">
    <cfRule type="expression" dxfId="142" priority="155">
      <formula>D153&gt;D152</formula>
    </cfRule>
  </conditionalFormatting>
  <conditionalFormatting sqref="D154:AA154">
    <cfRule type="expression" dxfId="141" priority="154">
      <formula>D154&gt;D153</formula>
    </cfRule>
  </conditionalFormatting>
  <conditionalFormatting sqref="D153:AA153">
    <cfRule type="expression" dxfId="140" priority="153">
      <formula>D154&gt;D153</formula>
    </cfRule>
  </conditionalFormatting>
  <conditionalFormatting sqref="D156:AA156">
    <cfRule type="expression" dxfId="139" priority="152">
      <formula>D156&gt;D155</formula>
    </cfRule>
  </conditionalFormatting>
  <conditionalFormatting sqref="D155:AA155">
    <cfRule type="expression" dxfId="138" priority="151">
      <formula>D156&gt;D155</formula>
    </cfRule>
  </conditionalFormatting>
  <conditionalFormatting sqref="D158:AA158">
    <cfRule type="expression" dxfId="137" priority="150">
      <formula>D158&gt;D157</formula>
    </cfRule>
  </conditionalFormatting>
  <conditionalFormatting sqref="D157:AA157">
    <cfRule type="expression" dxfId="136" priority="149">
      <formula>D158&gt;D157</formula>
    </cfRule>
  </conditionalFormatting>
  <conditionalFormatting sqref="D163:AA163">
    <cfRule type="cellIs" dxfId="135" priority="147" operator="equal">
      <formula>0</formula>
    </cfRule>
  </conditionalFormatting>
  <conditionalFormatting sqref="D162:AA162">
    <cfRule type="expression" dxfId="134" priority="146">
      <formula>D162&gt;D161</formula>
    </cfRule>
  </conditionalFormatting>
  <conditionalFormatting sqref="D161:AA161">
    <cfRule type="expression" dxfId="133" priority="145">
      <formula>D162&gt;D161</formula>
    </cfRule>
  </conditionalFormatting>
  <conditionalFormatting sqref="D163:AA163">
    <cfRule type="expression" dxfId="132" priority="144">
      <formula>D163&gt;D162</formula>
    </cfRule>
  </conditionalFormatting>
  <conditionalFormatting sqref="D162:AA162">
    <cfRule type="expression" dxfId="131" priority="143">
      <formula>D163&gt;D162</formula>
    </cfRule>
  </conditionalFormatting>
  <conditionalFormatting sqref="D165:AA165">
    <cfRule type="expression" dxfId="130" priority="142">
      <formula>D165&gt;D164</formula>
    </cfRule>
  </conditionalFormatting>
  <conditionalFormatting sqref="D164:AA164">
    <cfRule type="expression" dxfId="129" priority="141">
      <formula>D165&gt;D164</formula>
    </cfRule>
  </conditionalFormatting>
  <conditionalFormatting sqref="D167:AA167">
    <cfRule type="expression" dxfId="128" priority="140">
      <formula>D167&gt;D166</formula>
    </cfRule>
  </conditionalFormatting>
  <conditionalFormatting sqref="D166:AA166">
    <cfRule type="expression" dxfId="127" priority="139">
      <formula>D167&gt;D166</formula>
    </cfRule>
  </conditionalFormatting>
  <conditionalFormatting sqref="D170:AA170">
    <cfRule type="cellIs" dxfId="126" priority="138" operator="equal">
      <formula>0</formula>
    </cfRule>
  </conditionalFormatting>
  <conditionalFormatting sqref="D172:AA172">
    <cfRule type="cellIs" dxfId="125" priority="137" operator="equal">
      <formula>0</formula>
    </cfRule>
  </conditionalFormatting>
  <conditionalFormatting sqref="D171:AA171">
    <cfRule type="expression" dxfId="124" priority="136">
      <formula>D171&gt;D170</formula>
    </cfRule>
  </conditionalFormatting>
  <conditionalFormatting sqref="D170:AA170">
    <cfRule type="expression" dxfId="123" priority="135">
      <formula>D171&gt;D170</formula>
    </cfRule>
  </conditionalFormatting>
  <conditionalFormatting sqref="D172:AA172">
    <cfRule type="expression" dxfId="122" priority="134">
      <formula>D172&gt;D171</formula>
    </cfRule>
  </conditionalFormatting>
  <conditionalFormatting sqref="D171:AA171">
    <cfRule type="expression" dxfId="121" priority="133">
      <formula>D172&gt;D171</formula>
    </cfRule>
  </conditionalFormatting>
  <conditionalFormatting sqref="D174:AA174">
    <cfRule type="expression" dxfId="120" priority="132">
      <formula>D174&gt;D173</formula>
    </cfRule>
  </conditionalFormatting>
  <conditionalFormatting sqref="D173:AA173">
    <cfRule type="expression" dxfId="119" priority="131">
      <formula>D174&gt;D173</formula>
    </cfRule>
  </conditionalFormatting>
  <conditionalFormatting sqref="D176:AA176">
    <cfRule type="expression" dxfId="118" priority="130">
      <formula>D176&gt;D175</formula>
    </cfRule>
  </conditionalFormatting>
  <conditionalFormatting sqref="D175:AA175">
    <cfRule type="expression" dxfId="117" priority="129">
      <formula>D176&gt;D175</formula>
    </cfRule>
  </conditionalFormatting>
  <conditionalFormatting sqref="K187 M187 O187 Q187 S187 U187 W187 Y187 AA187">
    <cfRule type="expression" dxfId="116" priority="128">
      <formula>K187&gt;K186</formula>
    </cfRule>
  </conditionalFormatting>
  <conditionalFormatting sqref="D189:AA189">
    <cfRule type="expression" dxfId="115" priority="127">
      <formula>D189&gt;D188</formula>
    </cfRule>
  </conditionalFormatting>
  <conditionalFormatting sqref="K186 M186 O186 Q186 S186 U186 W186 Y186 AA186">
    <cfRule type="expression" dxfId="114" priority="126">
      <formula>K186&gt;K179</formula>
    </cfRule>
  </conditionalFormatting>
  <conditionalFormatting sqref="D179:AA179">
    <cfRule type="expression" dxfId="113" priority="125">
      <formula>D186&gt;D179</formula>
    </cfRule>
  </conditionalFormatting>
  <conditionalFormatting sqref="D282:AA282">
    <cfRule type="expression" dxfId="112" priority="124">
      <formula>D282&gt;D278</formula>
    </cfRule>
  </conditionalFormatting>
  <conditionalFormatting sqref="AD273:AD286">
    <cfRule type="notContainsBlanks" dxfId="111" priority="123">
      <formula>LEN(TRIM(AD273))&gt;0</formula>
    </cfRule>
  </conditionalFormatting>
  <conditionalFormatting sqref="D286:AA286">
    <cfRule type="expression" dxfId="110" priority="122">
      <formula>D286&gt;D283</formula>
    </cfRule>
  </conditionalFormatting>
  <conditionalFormatting sqref="D283:AA283">
    <cfRule type="expression" dxfId="109" priority="121">
      <formula>D286&gt;D283</formula>
    </cfRule>
  </conditionalFormatting>
  <conditionalFormatting sqref="AD219:AD227">
    <cfRule type="notContainsBlanks" dxfId="108" priority="120">
      <formula>LEN(TRIM(AD219))&gt;0</formula>
    </cfRule>
  </conditionalFormatting>
  <conditionalFormatting sqref="AF219:AF227">
    <cfRule type="notContainsBlanks" dxfId="107" priority="116">
      <formula>LEN(TRIM(AF219))&gt;0</formula>
    </cfRule>
  </conditionalFormatting>
  <conditionalFormatting sqref="AB11">
    <cfRule type="cellIs" dxfId="106" priority="111" operator="equal">
      <formula>0</formula>
    </cfRule>
  </conditionalFormatting>
  <conditionalFormatting sqref="AB11">
    <cfRule type="cellIs" dxfId="105" priority="109" operator="equal">
      <formula>0</formula>
    </cfRule>
  </conditionalFormatting>
  <conditionalFormatting sqref="D181:AA182">
    <cfRule type="cellIs" dxfId="104" priority="107" operator="equal">
      <formula>0</formula>
    </cfRule>
  </conditionalFormatting>
  <conditionalFormatting sqref="D181:AA181">
    <cfRule type="expression" dxfId="103" priority="106">
      <formula>D185&gt;D181</formula>
    </cfRule>
  </conditionalFormatting>
  <conditionalFormatting sqref="D182:AA182">
    <cfRule type="expression" dxfId="102" priority="105">
      <formula>D182&gt;D181</formula>
    </cfRule>
  </conditionalFormatting>
  <conditionalFormatting sqref="D181:AA181">
    <cfRule type="expression" dxfId="101" priority="104">
      <formula>D182&gt;D181</formula>
    </cfRule>
  </conditionalFormatting>
  <conditionalFormatting sqref="D181:AA181">
    <cfRule type="expression" dxfId="100" priority="103">
      <formula>D188&gt;D181</formula>
    </cfRule>
  </conditionalFormatting>
  <conditionalFormatting sqref="S215">
    <cfRule type="expression" dxfId="99" priority="102">
      <formula>S216&gt;S215</formula>
    </cfRule>
  </conditionalFormatting>
  <conditionalFormatting sqref="U215">
    <cfRule type="expression" dxfId="98" priority="101">
      <formula>U216&gt;U215</formula>
    </cfRule>
  </conditionalFormatting>
  <conditionalFormatting sqref="W215">
    <cfRule type="expression" dxfId="97" priority="100">
      <formula>W216&gt;W215</formula>
    </cfRule>
  </conditionalFormatting>
  <conditionalFormatting sqref="Y215">
    <cfRule type="expression" dxfId="96" priority="99">
      <formula>Y216&gt;Y215</formula>
    </cfRule>
  </conditionalFormatting>
  <conditionalFormatting sqref="O216">
    <cfRule type="expression" dxfId="95" priority="98">
      <formula>O216&gt;O215</formula>
    </cfRule>
  </conditionalFormatting>
  <conditionalFormatting sqref="O216">
    <cfRule type="expression" dxfId="94" priority="96">
      <formula>O240&gt;O216</formula>
    </cfRule>
  </conditionalFormatting>
  <conditionalFormatting sqref="O216">
    <cfRule type="expression" dxfId="93" priority="97">
      <formula>O216&gt;O215</formula>
    </cfRule>
  </conditionalFormatting>
  <conditionalFormatting sqref="M216">
    <cfRule type="expression" dxfId="92" priority="95">
      <formula>M216&gt;M215</formula>
    </cfRule>
  </conditionalFormatting>
  <conditionalFormatting sqref="M216">
    <cfRule type="expression" dxfId="91" priority="93">
      <formula>M240&gt;M216</formula>
    </cfRule>
  </conditionalFormatting>
  <conditionalFormatting sqref="M216">
    <cfRule type="expression" dxfId="90" priority="94">
      <formula>M216&gt;M215</formula>
    </cfRule>
  </conditionalFormatting>
  <conditionalFormatting sqref="K216">
    <cfRule type="expression" dxfId="89" priority="92">
      <formula>K216&gt;K215</formula>
    </cfRule>
  </conditionalFormatting>
  <conditionalFormatting sqref="K216">
    <cfRule type="expression" dxfId="88" priority="90">
      <formula>K240&gt;K216</formula>
    </cfRule>
  </conditionalFormatting>
  <conditionalFormatting sqref="K216">
    <cfRule type="expression" dxfId="87" priority="91">
      <formula>K216&gt;K215</formula>
    </cfRule>
  </conditionalFormatting>
  <conditionalFormatting sqref="S216">
    <cfRule type="expression" dxfId="86" priority="89">
      <formula>S216&gt;S215</formula>
    </cfRule>
  </conditionalFormatting>
  <conditionalFormatting sqref="S216">
    <cfRule type="expression" dxfId="85" priority="87">
      <formula>S240&gt;S216</formula>
    </cfRule>
  </conditionalFormatting>
  <conditionalFormatting sqref="S216">
    <cfRule type="expression" dxfId="84" priority="88">
      <formula>S216&gt;S215</formula>
    </cfRule>
  </conditionalFormatting>
  <conditionalFormatting sqref="U216">
    <cfRule type="expression" dxfId="83" priority="86">
      <formula>U216&gt;U215</formula>
    </cfRule>
  </conditionalFormatting>
  <conditionalFormatting sqref="U216">
    <cfRule type="expression" dxfId="82" priority="84">
      <formula>U240&gt;U216</formula>
    </cfRule>
  </conditionalFormatting>
  <conditionalFormatting sqref="U216">
    <cfRule type="expression" dxfId="81" priority="85">
      <formula>U216&gt;U215</formula>
    </cfRule>
  </conditionalFormatting>
  <conditionalFormatting sqref="W216">
    <cfRule type="expression" dxfId="80" priority="83">
      <formula>W216&gt;W215</formula>
    </cfRule>
  </conditionalFormatting>
  <conditionalFormatting sqref="W216">
    <cfRule type="expression" dxfId="79" priority="81">
      <formula>W240&gt;W216</formula>
    </cfRule>
  </conditionalFormatting>
  <conditionalFormatting sqref="W216">
    <cfRule type="expression" dxfId="78" priority="82">
      <formula>W216&gt;W215</formula>
    </cfRule>
  </conditionalFormatting>
  <conditionalFormatting sqref="Y216">
    <cfRule type="expression" dxfId="77" priority="80">
      <formula>Y216&gt;Y215</formula>
    </cfRule>
  </conditionalFormatting>
  <conditionalFormatting sqref="Y216">
    <cfRule type="expression" dxfId="76" priority="78">
      <formula>Y240&gt;Y216</formula>
    </cfRule>
  </conditionalFormatting>
  <conditionalFormatting sqref="Y216">
    <cfRule type="expression" dxfId="75" priority="79">
      <formula>Y216&gt;Y215</formula>
    </cfRule>
  </conditionalFormatting>
  <conditionalFormatting sqref="D282:AA282">
    <cfRule type="expression" dxfId="74" priority="77">
      <formula>D282&gt;D275</formula>
    </cfRule>
  </conditionalFormatting>
  <conditionalFormatting sqref="D275:AA275">
    <cfRule type="expression" dxfId="73" priority="76">
      <formula>D282&gt;D275</formula>
    </cfRule>
  </conditionalFormatting>
  <conditionalFormatting sqref="AF273:AF286">
    <cfRule type="notContainsBlanks" dxfId="72" priority="75">
      <formula>LEN(TRIM(AF273))&gt;0</formula>
    </cfRule>
  </conditionalFormatting>
  <conditionalFormatting sqref="D273:AA273">
    <cfRule type="expression" dxfId="71" priority="74">
      <formula>D273&gt;D284</formula>
    </cfRule>
  </conditionalFormatting>
  <conditionalFormatting sqref="D284:AA284">
    <cfRule type="expression" dxfId="70" priority="73">
      <formula>D273&gt;D284</formula>
    </cfRule>
  </conditionalFormatting>
  <conditionalFormatting sqref="D274:AA274">
    <cfRule type="expression" dxfId="69" priority="72">
      <formula>D274&gt;D285</formula>
    </cfRule>
  </conditionalFormatting>
  <conditionalFormatting sqref="D285:AA285">
    <cfRule type="expression" dxfId="68" priority="71">
      <formula>D274&gt;D285</formula>
    </cfRule>
  </conditionalFormatting>
  <conditionalFormatting sqref="K244">
    <cfRule type="expression" dxfId="67" priority="70">
      <formula>K244&gt;K214+K212</formula>
    </cfRule>
  </conditionalFormatting>
  <conditionalFormatting sqref="M244">
    <cfRule type="expression" dxfId="66" priority="69">
      <formula>M244&gt;M214+M212</formula>
    </cfRule>
  </conditionalFormatting>
  <conditionalFormatting sqref="O244">
    <cfRule type="expression" dxfId="65" priority="68">
      <formula>O244&gt;O214+O212</formula>
    </cfRule>
  </conditionalFormatting>
  <conditionalFormatting sqref="Q244">
    <cfRule type="expression" dxfId="64" priority="67">
      <formula>Q244&gt;Q214+Q212</formula>
    </cfRule>
  </conditionalFormatting>
  <conditionalFormatting sqref="S244">
    <cfRule type="expression" dxfId="63" priority="66">
      <formula>S244&gt;S214+S212</formula>
    </cfRule>
  </conditionalFormatting>
  <conditionalFormatting sqref="U244">
    <cfRule type="expression" dxfId="62" priority="65">
      <formula>U244&gt;U214+U212</formula>
    </cfRule>
  </conditionalFormatting>
  <conditionalFormatting sqref="W244">
    <cfRule type="expression" dxfId="61" priority="64">
      <formula>W244&gt;W214+W212</formula>
    </cfRule>
  </conditionalFormatting>
  <conditionalFormatting sqref="Y244">
    <cfRule type="expression" dxfId="60" priority="63">
      <formula>Y244&gt;Y214+Y212</formula>
    </cfRule>
  </conditionalFormatting>
  <conditionalFormatting sqref="K214">
    <cfRule type="expression" dxfId="59" priority="62">
      <formula>K244&gt;K214+K212</formula>
    </cfRule>
  </conditionalFormatting>
  <conditionalFormatting sqref="M214">
    <cfRule type="expression" dxfId="58" priority="61">
      <formula>M244&gt;M214+M212</formula>
    </cfRule>
  </conditionalFormatting>
  <conditionalFormatting sqref="O214">
    <cfRule type="expression" dxfId="57" priority="60">
      <formula>O244&gt;O214+O212</formula>
    </cfRule>
  </conditionalFormatting>
  <conditionalFormatting sqref="Q214">
    <cfRule type="expression" dxfId="56" priority="59">
      <formula>Q244&gt;Q214+Q212</formula>
    </cfRule>
  </conditionalFormatting>
  <conditionalFormatting sqref="S214">
    <cfRule type="expression" dxfId="55" priority="58">
      <formula>S244&gt;S214+S212</formula>
    </cfRule>
  </conditionalFormatting>
  <conditionalFormatting sqref="U214">
    <cfRule type="expression" dxfId="54" priority="57">
      <formula>U244&gt;U214+U212</formula>
    </cfRule>
  </conditionalFormatting>
  <conditionalFormatting sqref="W214">
    <cfRule type="expression" dxfId="53" priority="56">
      <formula>W244&gt;W214+W212</formula>
    </cfRule>
  </conditionalFormatting>
  <conditionalFormatting sqref="Y214">
    <cfRule type="expression" dxfId="52" priority="55">
      <formula>Y244&gt;Y214+Y212</formula>
    </cfRule>
  </conditionalFormatting>
  <conditionalFormatting sqref="M212">
    <cfRule type="expression" dxfId="51" priority="50">
      <formula>M244&gt;M214+M212</formula>
    </cfRule>
    <cfRule type="expression" dxfId="50" priority="53">
      <formula>M238&gt;M212</formula>
    </cfRule>
  </conditionalFormatting>
  <conditionalFormatting sqref="M212">
    <cfRule type="expression" dxfId="49" priority="52">
      <formula>M238&gt;M212</formula>
    </cfRule>
  </conditionalFormatting>
  <conditionalFormatting sqref="M212">
    <cfRule type="expression" dxfId="48" priority="51">
      <formula>M212&gt;M211</formula>
    </cfRule>
  </conditionalFormatting>
  <conditionalFormatting sqref="O212">
    <cfRule type="expression" dxfId="47" priority="46">
      <formula>O244&gt;O214+O212</formula>
    </cfRule>
    <cfRule type="expression" dxfId="46" priority="49">
      <formula>O238&gt;O212</formula>
    </cfRule>
  </conditionalFormatting>
  <conditionalFormatting sqref="O212">
    <cfRule type="expression" dxfId="45" priority="48">
      <formula>O238&gt;O212</formula>
    </cfRule>
  </conditionalFormatting>
  <conditionalFormatting sqref="O212">
    <cfRule type="expression" dxfId="44" priority="47">
      <formula>O212&gt;O211</formula>
    </cfRule>
  </conditionalFormatting>
  <conditionalFormatting sqref="Q212">
    <cfRule type="expression" dxfId="43" priority="42">
      <formula>Q244&gt;Q214+Q212</formula>
    </cfRule>
    <cfRule type="expression" dxfId="42" priority="45">
      <formula>Q238&gt;Q212</formula>
    </cfRule>
  </conditionalFormatting>
  <conditionalFormatting sqref="Q212">
    <cfRule type="expression" dxfId="41" priority="44">
      <formula>Q238&gt;Q212</formula>
    </cfRule>
  </conditionalFormatting>
  <conditionalFormatting sqref="Q212">
    <cfRule type="expression" dxfId="40" priority="43">
      <formula>Q212&gt;Q211</formula>
    </cfRule>
  </conditionalFormatting>
  <conditionalFormatting sqref="S212">
    <cfRule type="expression" dxfId="39" priority="38">
      <formula>S244&gt;S214+S212</formula>
    </cfRule>
    <cfRule type="expression" dxfId="38" priority="41">
      <formula>S238&gt;S212</formula>
    </cfRule>
  </conditionalFormatting>
  <conditionalFormatting sqref="S212">
    <cfRule type="expression" dxfId="37" priority="40">
      <formula>S238&gt;S212</formula>
    </cfRule>
  </conditionalFormatting>
  <conditionalFormatting sqref="S212">
    <cfRule type="expression" dxfId="36" priority="39">
      <formula>S212&gt;S211</formula>
    </cfRule>
  </conditionalFormatting>
  <conditionalFormatting sqref="U212">
    <cfRule type="expression" dxfId="35" priority="34">
      <formula>U244&gt;U214+U212</formula>
    </cfRule>
    <cfRule type="expression" dxfId="34" priority="37">
      <formula>U238&gt;U212</formula>
    </cfRule>
  </conditionalFormatting>
  <conditionalFormatting sqref="U212">
    <cfRule type="expression" dxfId="33" priority="36">
      <formula>U238&gt;U212</formula>
    </cfRule>
  </conditionalFormatting>
  <conditionalFormatting sqref="U212">
    <cfRule type="expression" dxfId="32" priority="35">
      <formula>U212&gt;U211</formula>
    </cfRule>
  </conditionalFormatting>
  <conditionalFormatting sqref="W212">
    <cfRule type="expression" dxfId="31" priority="30">
      <formula>W244&gt;W214+W212</formula>
    </cfRule>
    <cfRule type="expression" dxfId="30" priority="33">
      <formula>W238&gt;W212</formula>
    </cfRule>
  </conditionalFormatting>
  <conditionalFormatting sqref="W212">
    <cfRule type="expression" dxfId="29" priority="32">
      <formula>W238&gt;W212</formula>
    </cfRule>
  </conditionalFormatting>
  <conditionalFormatting sqref="W212">
    <cfRule type="expression" dxfId="28" priority="31">
      <formula>W212&gt;W211</formula>
    </cfRule>
  </conditionalFormatting>
  <conditionalFormatting sqref="Y212">
    <cfRule type="expression" dxfId="27" priority="26">
      <formula>Y244&gt;Y214+Y212</formula>
    </cfRule>
    <cfRule type="expression" dxfId="26" priority="29">
      <formula>Y238&gt;Y212</formula>
    </cfRule>
  </conditionalFormatting>
  <conditionalFormatting sqref="Y212">
    <cfRule type="expression" dxfId="25" priority="28">
      <formula>Y238&gt;Y212</formula>
    </cfRule>
  </conditionalFormatting>
  <conditionalFormatting sqref="Y212">
    <cfRule type="expression" dxfId="24" priority="27">
      <formula>Y212&gt;Y211</formula>
    </cfRule>
  </conditionalFormatting>
  <conditionalFormatting sqref="J55:AA55">
    <cfRule type="cellIs" dxfId="23" priority="25" operator="equal">
      <formula>0</formula>
    </cfRule>
  </conditionalFormatting>
  <conditionalFormatting sqref="AB10">
    <cfRule type="cellIs" dxfId="22" priority="24" operator="equal">
      <formula>0</formula>
    </cfRule>
  </conditionalFormatting>
  <conditionalFormatting sqref="AB8:AB9">
    <cfRule type="cellIs" dxfId="21" priority="23" operator="equal">
      <formula>0</formula>
    </cfRule>
  </conditionalFormatting>
  <conditionalFormatting sqref="AB329">
    <cfRule type="cellIs" dxfId="20" priority="21" operator="equal">
      <formula>0</formula>
    </cfRule>
  </conditionalFormatting>
  <conditionalFormatting sqref="J329:AA329">
    <cfRule type="expression" dxfId="19" priority="20">
      <formula>J329&gt;J327</formula>
    </cfRule>
  </conditionalFormatting>
  <conditionalFormatting sqref="AE329">
    <cfRule type="notContainsBlanks" dxfId="18" priority="22">
      <formula>LEN(TRIM(AE329))&gt;0</formula>
    </cfRule>
  </conditionalFormatting>
  <conditionalFormatting sqref="AC329">
    <cfRule type="notContainsBlanks" dxfId="17" priority="19">
      <formula>LEN(TRIM(AC329))&gt;0</formula>
    </cfRule>
  </conditionalFormatting>
  <conditionalFormatting sqref="J329:AA329">
    <cfRule type="expression" dxfId="16" priority="18">
      <formula>J327&gt;J329</formula>
    </cfRule>
  </conditionalFormatting>
  <conditionalFormatting sqref="J59:AA59">
    <cfRule type="expression" dxfId="15" priority="16">
      <formula>J60&gt;J59</formula>
    </cfRule>
  </conditionalFormatting>
  <conditionalFormatting sqref="D256:AA256">
    <cfRule type="expression" dxfId="14" priority="15">
      <formula>D256&gt;D248</formula>
    </cfRule>
  </conditionalFormatting>
  <conditionalFormatting sqref="D248:AA248">
    <cfRule type="expression" dxfId="13" priority="14">
      <formula>D256&gt;D248</formula>
    </cfRule>
  </conditionalFormatting>
  <conditionalFormatting sqref="D227:E227">
    <cfRule type="expression" dxfId="12" priority="13">
      <formula>D227&lt;&gt;D248</formula>
    </cfRule>
  </conditionalFormatting>
  <conditionalFormatting sqref="D248:E248">
    <cfRule type="expression" dxfId="11" priority="12">
      <formula>D227&lt;&gt;D248</formula>
    </cfRule>
  </conditionalFormatting>
  <conditionalFormatting sqref="O120">
    <cfRule type="cellIs" dxfId="10" priority="11" operator="equal">
      <formula>0</formula>
    </cfRule>
  </conditionalFormatting>
  <conditionalFormatting sqref="Q120">
    <cfRule type="cellIs" dxfId="9" priority="10" operator="equal">
      <formula>0</formula>
    </cfRule>
  </conditionalFormatting>
  <conditionalFormatting sqref="S120">
    <cfRule type="cellIs" dxfId="8" priority="9" operator="equal">
      <formula>0</formula>
    </cfRule>
  </conditionalFormatting>
  <conditionalFormatting sqref="U120">
    <cfRule type="cellIs" dxfId="7" priority="8" operator="equal">
      <formula>0</formula>
    </cfRule>
  </conditionalFormatting>
  <conditionalFormatting sqref="W120">
    <cfRule type="cellIs" dxfId="6" priority="7" operator="equal">
      <formula>0</formula>
    </cfRule>
  </conditionalFormatting>
  <conditionalFormatting sqref="Y120">
    <cfRule type="cellIs" dxfId="5" priority="6" operator="equal">
      <formula>0</formula>
    </cfRule>
  </conditionalFormatting>
  <conditionalFormatting sqref="AA120">
    <cfRule type="cellIs" dxfId="4" priority="5" operator="equal">
      <formula>0</formula>
    </cfRule>
  </conditionalFormatting>
  <conditionalFormatting sqref="J65:AA65">
    <cfRule type="expression" dxfId="3" priority="4">
      <formula>J65&gt;J64</formula>
    </cfRule>
  </conditionalFormatting>
  <conditionalFormatting sqref="J64:AA64">
    <cfRule type="expression" dxfId="2" priority="3">
      <formula>J65&gt;J64</formula>
    </cfRule>
  </conditionalFormatting>
  <conditionalFormatting sqref="J67:AA67">
    <cfRule type="expression" dxfId="1" priority="2">
      <formula>J67&gt;(J65-J66)</formula>
    </cfRule>
  </conditionalFormatting>
  <conditionalFormatting sqref="J65:AA65">
    <cfRule type="expression" dxfId="0" priority="1">
      <formula>J67&gt;(J65-J66)</formula>
    </cfRule>
  </conditionalFormatting>
  <dataValidations count="2">
    <dataValidation type="whole" allowBlank="1" showInputMessage="1" showErrorMessage="1" errorTitle="Non-Numeric or abnormal value" error="Enter Numbers only between 0 and 99999" sqref="E310:AA316 D8:AA18 E259:AA286 D116:AA139 D22:AA48 AB96:AB97 E287:AB287 E309:AB309 D304:D316 E248:AA257 E258:AB258 D101:AA112 E304:AA308 E153:AA193 AB18 AB143 D143:D193 E143:AA151 E152:AB152 D231:AA244 E288:AA294 D248:D294 D54:AA60 AB11 AB181 D329:AA329 D197:AA227 D318:AA327 D64:AA97" xr:uid="{B89F7BEB-D895-441B-9690-CF40DBC25312}">
      <formula1>0</formula1>
      <formula2>99999</formula2>
    </dataValidation>
    <dataValidation type="whole" allowBlank="1" showInputMessage="1" showErrorMessage="1" errorTitle="Numeric Characters Error" error="Enter Numeric Characters only between range 0 and 2000" sqref="D298:AA303"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41 J246 J296 J229 J19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1ed6e237-7a44-4d6d-bfbc-e270d277b5a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2021-03-16T15:07:59Z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