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Projects\InternalSystem\web\"/>
    </mc:Choice>
  </mc:AlternateContent>
  <workbookProtection workbookPassword="CC71" lockStructure="1"/>
  <bookViews>
    <workbookView xWindow="0" yWindow="0" windowWidth="19200" windowHeight="6900" activeTab="1"/>
  </bookViews>
  <sheets>
    <sheet name="InstructionsForm1A" sheetId="4" r:id="rId1"/>
    <sheet name="Jul" sheetId="1" r:id="rId2"/>
  </sheets>
  <definedNames>
    <definedName name="_xlnm._FilterDatabase" localSheetId="0" hidden="1">InstructionsForm1A!$B$2:$F$381</definedName>
    <definedName name="ART">Jul!$D$332</definedName>
    <definedName name="CXCA">Jul!$M$196</definedName>
    <definedName name="GEND_GBV">Jul!$D$259</definedName>
    <definedName name="HAART">Jul!$K$313</definedName>
    <definedName name="HIV_TEST">Jul!$F$22</definedName>
    <definedName name="HTS_SELF">Jul!$J$111</definedName>
    <definedName name="IPT">Jul!$D$167</definedName>
    <definedName name="PMTCT_TST">Jul!$K$277</definedName>
    <definedName name="PREP">Jul!$J$123</definedName>
    <definedName name="_xlnm.Print_Area" localSheetId="0">InstructionsForm1A!$B$1:$F$381</definedName>
    <definedName name="_xlnm.Print_Area" localSheetId="1">Jul!$A$1:$AJ$482</definedName>
    <definedName name="_xlnm.Print_Titles" localSheetId="1">Jul!$1:$6</definedName>
    <definedName name="TB">Jul!$D$401</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56" i="1" l="1"/>
  <c r="D56" i="1" l="1"/>
  <c r="E54" i="1"/>
  <c r="E55" i="1"/>
  <c r="E57" i="1" s="1"/>
  <c r="D54" i="1"/>
  <c r="AK186" i="1"/>
  <c r="AK185" i="1"/>
  <c r="AJ180" i="1"/>
  <c r="AJ192" i="1"/>
  <c r="AJ191" i="1"/>
  <c r="AJ190" i="1"/>
  <c r="AJ189" i="1"/>
  <c r="AJ188" i="1"/>
  <c r="AJ187" i="1"/>
  <c r="AJ186" i="1"/>
  <c r="AJ185" i="1"/>
  <c r="AK184" i="1"/>
  <c r="AJ184" i="1"/>
  <c r="AK183" i="1"/>
  <c r="AJ183" i="1"/>
  <c r="AJ182" i="1"/>
  <c r="AK181" i="1"/>
  <c r="AJ181" i="1"/>
  <c r="AL180" i="1" l="1"/>
  <c r="AL370" i="1"/>
  <c r="AK61" i="1" l="1"/>
  <c r="AK59" i="1"/>
  <c r="AJ51" i="1"/>
  <c r="H472" i="1" l="1"/>
  <c r="I472" i="1"/>
  <c r="J472" i="1"/>
  <c r="K472" i="1"/>
  <c r="L472" i="1"/>
  <c r="M472" i="1"/>
  <c r="N472" i="1"/>
  <c r="O472" i="1"/>
  <c r="P472" i="1"/>
  <c r="Q472" i="1"/>
  <c r="R472" i="1"/>
  <c r="S472" i="1"/>
  <c r="T472" i="1"/>
  <c r="U472" i="1"/>
  <c r="V472" i="1"/>
  <c r="W472" i="1"/>
  <c r="X472" i="1"/>
  <c r="Y472" i="1"/>
  <c r="Z472" i="1"/>
  <c r="AA472" i="1"/>
  <c r="G472" i="1"/>
  <c r="AH315" i="1" l="1"/>
  <c r="AF315" i="1"/>
  <c r="AD315" i="1"/>
  <c r="AB315" i="1"/>
  <c r="AA314" i="1"/>
  <c r="AA315" i="1"/>
  <c r="AA316" i="1"/>
  <c r="AA317" i="1"/>
  <c r="AA318" i="1"/>
  <c r="AA319" i="1"/>
  <c r="AA320" i="1"/>
  <c r="AA321" i="1"/>
  <c r="AA322" i="1"/>
  <c r="AK322" i="1" s="1"/>
  <c r="AA323" i="1"/>
  <c r="AK323" i="1" s="1"/>
  <c r="AA313" i="1"/>
  <c r="AJ323" i="1"/>
  <c r="AJ166" i="1"/>
  <c r="AJ161" i="1" l="1"/>
  <c r="AJ148" i="1"/>
  <c r="AJ149" i="1"/>
  <c r="AJ150" i="1"/>
  <c r="AJ151" i="1"/>
  <c r="AJ152" i="1"/>
  <c r="AJ153" i="1"/>
  <c r="AJ154" i="1"/>
  <c r="AJ155" i="1"/>
  <c r="AJ156" i="1"/>
  <c r="AJ157" i="1"/>
  <c r="AJ158" i="1"/>
  <c r="AJ159" i="1"/>
  <c r="AJ160" i="1"/>
  <c r="AJ62" i="1" l="1"/>
  <c r="AJ61" i="1"/>
  <c r="AJ60" i="1"/>
  <c r="AJ59" i="1"/>
  <c r="AM61" i="1" l="1"/>
  <c r="AM59" i="1"/>
  <c r="AJ298" i="1" l="1"/>
  <c r="AK297" i="1"/>
  <c r="AJ297" i="1"/>
  <c r="AK126" i="1"/>
  <c r="AK118" i="1"/>
  <c r="AK116" i="1"/>
  <c r="AL111" i="1" s="1"/>
  <c r="AK51" i="1"/>
  <c r="AK32" i="1"/>
  <c r="AJ32" i="1"/>
  <c r="AA197" i="1" l="1"/>
  <c r="AA198" i="1"/>
  <c r="AA200" i="1"/>
  <c r="AA201" i="1"/>
  <c r="AA202" i="1"/>
  <c r="AA203" i="1"/>
  <c r="AA204" i="1"/>
  <c r="AA205" i="1"/>
  <c r="AA206" i="1"/>
  <c r="AA208" i="1"/>
  <c r="AA209" i="1"/>
  <c r="AA210" i="1"/>
  <c r="AA211" i="1"/>
  <c r="AA212" i="1"/>
  <c r="AA213" i="1"/>
  <c r="AA214" i="1"/>
  <c r="AA216" i="1"/>
  <c r="AA217" i="1"/>
  <c r="AA218" i="1"/>
  <c r="AA219" i="1"/>
  <c r="AA196" i="1"/>
  <c r="AI199" i="1"/>
  <c r="AI207" i="1"/>
  <c r="AI215" i="1"/>
  <c r="AG199" i="1"/>
  <c r="AG207" i="1"/>
  <c r="AG215" i="1"/>
  <c r="AE199" i="1"/>
  <c r="AE207" i="1"/>
  <c r="AE215" i="1"/>
  <c r="AC199" i="1"/>
  <c r="AC207" i="1"/>
  <c r="AC215" i="1"/>
  <c r="AA339" i="1"/>
  <c r="Z339" i="1"/>
  <c r="AA367" i="1"/>
  <c r="Z367" i="1"/>
  <c r="AA368" i="1"/>
  <c r="Z368" i="1"/>
  <c r="AB369" i="1"/>
  <c r="AC369" i="1"/>
  <c r="AD369" i="1"/>
  <c r="AE369" i="1"/>
  <c r="AF369" i="1"/>
  <c r="AG369" i="1"/>
  <c r="AH369" i="1"/>
  <c r="AI369" i="1"/>
  <c r="Z332" i="1"/>
  <c r="AA332" i="1"/>
  <c r="Z333" i="1"/>
  <c r="AA333" i="1"/>
  <c r="Z334" i="1"/>
  <c r="AA334" i="1"/>
  <c r="Z335" i="1"/>
  <c r="AA335" i="1"/>
  <c r="Z336" i="1"/>
  <c r="AA336" i="1"/>
  <c r="AA337" i="1"/>
  <c r="Z337" i="1"/>
  <c r="AB331" i="1"/>
  <c r="AC331" i="1"/>
  <c r="AD331" i="1"/>
  <c r="AE331" i="1"/>
  <c r="AF331" i="1"/>
  <c r="AG331" i="1"/>
  <c r="AH331" i="1"/>
  <c r="AI331" i="1"/>
  <c r="AA369" i="1" l="1"/>
  <c r="AA207" i="1"/>
  <c r="AA199" i="1"/>
  <c r="AA215" i="1"/>
  <c r="F472" i="1"/>
  <c r="L481" i="1" l="1"/>
  <c r="M481" i="1"/>
  <c r="N481" i="1"/>
  <c r="O481" i="1"/>
  <c r="P481" i="1"/>
  <c r="Q481" i="1"/>
  <c r="R481" i="1"/>
  <c r="S481" i="1"/>
  <c r="T481" i="1"/>
  <c r="U481" i="1"/>
  <c r="V481" i="1"/>
  <c r="W481" i="1"/>
  <c r="X481" i="1"/>
  <c r="Y481" i="1"/>
  <c r="Z481" i="1"/>
  <c r="AA481" i="1"/>
  <c r="F462" i="1" l="1"/>
  <c r="G462" i="1"/>
  <c r="H462" i="1"/>
  <c r="I462" i="1"/>
  <c r="J462" i="1"/>
  <c r="K462" i="1"/>
  <c r="M462" i="1"/>
  <c r="N462" i="1"/>
  <c r="O462" i="1"/>
  <c r="P462" i="1"/>
  <c r="Q462" i="1"/>
  <c r="R462" i="1"/>
  <c r="S462" i="1"/>
  <c r="T462" i="1"/>
  <c r="U462" i="1"/>
  <c r="V462" i="1"/>
  <c r="W462" i="1"/>
  <c r="X462" i="1"/>
  <c r="Y462" i="1"/>
  <c r="Z462" i="1"/>
  <c r="AA462" i="1"/>
  <c r="M457" i="1"/>
  <c r="N457" i="1"/>
  <c r="O457" i="1"/>
  <c r="P457" i="1"/>
  <c r="Q457" i="1"/>
  <c r="R457" i="1"/>
  <c r="S457" i="1"/>
  <c r="T457" i="1"/>
  <c r="U457" i="1"/>
  <c r="V457" i="1"/>
  <c r="W457" i="1"/>
  <c r="X457" i="1"/>
  <c r="Y457" i="1"/>
  <c r="Z457" i="1"/>
  <c r="AA457" i="1"/>
  <c r="H452" i="1"/>
  <c r="I452" i="1"/>
  <c r="J452" i="1"/>
  <c r="K452" i="1"/>
  <c r="L452" i="1"/>
  <c r="M452" i="1"/>
  <c r="N452" i="1"/>
  <c r="O452" i="1"/>
  <c r="P452" i="1"/>
  <c r="Q452" i="1"/>
  <c r="R452" i="1"/>
  <c r="S452" i="1"/>
  <c r="T452" i="1"/>
  <c r="U452" i="1"/>
  <c r="V452" i="1"/>
  <c r="W452" i="1"/>
  <c r="X452" i="1"/>
  <c r="Y452" i="1"/>
  <c r="Z452" i="1"/>
  <c r="AA452" i="1"/>
  <c r="F452" i="1"/>
  <c r="G452" i="1"/>
  <c r="F442" i="1"/>
  <c r="H442" i="1"/>
  <c r="I442" i="1"/>
  <c r="J442" i="1"/>
  <c r="K442" i="1"/>
  <c r="L442" i="1"/>
  <c r="M442" i="1"/>
  <c r="N442" i="1"/>
  <c r="O442" i="1"/>
  <c r="P442" i="1"/>
  <c r="Q442" i="1"/>
  <c r="R442" i="1"/>
  <c r="S442" i="1"/>
  <c r="T442" i="1"/>
  <c r="U442" i="1"/>
  <c r="V442" i="1"/>
  <c r="W442" i="1"/>
  <c r="X442" i="1"/>
  <c r="Y442" i="1"/>
  <c r="Z442" i="1"/>
  <c r="AA442" i="1"/>
  <c r="H437" i="1"/>
  <c r="I437" i="1"/>
  <c r="J437" i="1"/>
  <c r="K437" i="1"/>
  <c r="L437" i="1"/>
  <c r="M437" i="1"/>
  <c r="N437" i="1"/>
  <c r="O437" i="1"/>
  <c r="P437" i="1"/>
  <c r="Q437" i="1"/>
  <c r="R437" i="1"/>
  <c r="S437" i="1"/>
  <c r="T437" i="1"/>
  <c r="U437" i="1"/>
  <c r="V437" i="1"/>
  <c r="W437" i="1"/>
  <c r="X437" i="1"/>
  <c r="Y437" i="1"/>
  <c r="Z437" i="1"/>
  <c r="AA437" i="1"/>
  <c r="F437" i="1"/>
  <c r="H432" i="1"/>
  <c r="I432" i="1"/>
  <c r="J432" i="1"/>
  <c r="K432" i="1"/>
  <c r="L432" i="1"/>
  <c r="M432" i="1"/>
  <c r="N432" i="1"/>
  <c r="O432" i="1"/>
  <c r="P432" i="1"/>
  <c r="Q432" i="1"/>
  <c r="R432" i="1"/>
  <c r="S432" i="1"/>
  <c r="T432" i="1"/>
  <c r="U432" i="1"/>
  <c r="V432" i="1"/>
  <c r="W432" i="1"/>
  <c r="X432" i="1"/>
  <c r="Y432" i="1"/>
  <c r="Z432" i="1"/>
  <c r="AA432" i="1"/>
  <c r="F432" i="1"/>
  <c r="J427" i="1"/>
  <c r="AK452" i="1" l="1"/>
  <c r="I427" i="1"/>
  <c r="K427" i="1"/>
  <c r="L427" i="1"/>
  <c r="M427" i="1"/>
  <c r="N427" i="1"/>
  <c r="O427" i="1"/>
  <c r="P427" i="1"/>
  <c r="Q427" i="1"/>
  <c r="R427" i="1"/>
  <c r="S427" i="1"/>
  <c r="T427" i="1"/>
  <c r="U427" i="1"/>
  <c r="V427" i="1"/>
  <c r="W427" i="1"/>
  <c r="X427" i="1"/>
  <c r="Y427" i="1"/>
  <c r="Z427" i="1"/>
  <c r="AA427" i="1"/>
  <c r="F427" i="1"/>
  <c r="G427" i="1"/>
  <c r="I422" i="1"/>
  <c r="J422" i="1"/>
  <c r="K422" i="1"/>
  <c r="L422" i="1"/>
  <c r="M422" i="1"/>
  <c r="N422" i="1"/>
  <c r="O422" i="1"/>
  <c r="P422" i="1"/>
  <c r="Q422" i="1"/>
  <c r="R422" i="1"/>
  <c r="S422" i="1"/>
  <c r="T422" i="1"/>
  <c r="U422" i="1"/>
  <c r="V422" i="1"/>
  <c r="W422" i="1"/>
  <c r="X422" i="1"/>
  <c r="Y422" i="1"/>
  <c r="Z422" i="1"/>
  <c r="AA422" i="1"/>
  <c r="F422" i="1"/>
  <c r="G422" i="1"/>
  <c r="J417" i="1"/>
  <c r="K417" i="1"/>
  <c r="L417" i="1"/>
  <c r="M417" i="1"/>
  <c r="N417" i="1"/>
  <c r="O417" i="1"/>
  <c r="P417" i="1"/>
  <c r="Q417" i="1"/>
  <c r="R417" i="1"/>
  <c r="S417" i="1"/>
  <c r="T417" i="1"/>
  <c r="U417" i="1"/>
  <c r="V417" i="1"/>
  <c r="W417" i="1"/>
  <c r="X417" i="1"/>
  <c r="Y417" i="1"/>
  <c r="Z417" i="1"/>
  <c r="AA417" i="1"/>
  <c r="G417" i="1"/>
  <c r="H417" i="1"/>
  <c r="I417" i="1"/>
  <c r="F417" i="1" l="1"/>
  <c r="AK417" i="1" s="1"/>
  <c r="H422" i="1"/>
  <c r="AK422" i="1" s="1"/>
  <c r="K127" i="1" l="1"/>
  <c r="L127" i="1"/>
  <c r="M127" i="1"/>
  <c r="N127" i="1"/>
  <c r="O127" i="1"/>
  <c r="P127" i="1"/>
  <c r="Q127" i="1"/>
  <c r="R127" i="1"/>
  <c r="S127" i="1"/>
  <c r="T127" i="1"/>
  <c r="U127" i="1"/>
  <c r="V127" i="1"/>
  <c r="W127" i="1"/>
  <c r="X127" i="1"/>
  <c r="Y127" i="1"/>
  <c r="Z127" i="1"/>
  <c r="AA127" i="1"/>
  <c r="J127" i="1"/>
  <c r="AK127" i="1" l="1"/>
  <c r="AK472" i="1"/>
  <c r="H467" i="1"/>
  <c r="I467" i="1"/>
  <c r="J467" i="1"/>
  <c r="K467" i="1"/>
  <c r="L467" i="1"/>
  <c r="M467" i="1"/>
  <c r="N467" i="1"/>
  <c r="O467" i="1"/>
  <c r="P467" i="1"/>
  <c r="Q467" i="1"/>
  <c r="R467" i="1"/>
  <c r="S467" i="1"/>
  <c r="T467" i="1"/>
  <c r="U467" i="1"/>
  <c r="V467" i="1"/>
  <c r="W467" i="1"/>
  <c r="X467" i="1"/>
  <c r="Y467" i="1"/>
  <c r="Z467" i="1"/>
  <c r="AA467" i="1"/>
  <c r="F467" i="1"/>
  <c r="H427" i="1"/>
  <c r="AK427" i="1" s="1"/>
  <c r="G432" i="1"/>
  <c r="AK432" i="1" s="1"/>
  <c r="G437" i="1"/>
  <c r="AK437" i="1" s="1"/>
  <c r="G442" i="1"/>
  <c r="AK442" i="1" s="1"/>
  <c r="G457" i="1"/>
  <c r="H457" i="1"/>
  <c r="I457" i="1"/>
  <c r="J457" i="1"/>
  <c r="K457" i="1"/>
  <c r="L457" i="1"/>
  <c r="F457" i="1"/>
  <c r="L462" i="1"/>
  <c r="AK462" i="1" s="1"/>
  <c r="AK103" i="1"/>
  <c r="AK102" i="1"/>
  <c r="AK99" i="1"/>
  <c r="AK98" i="1"/>
  <c r="AK95" i="1"/>
  <c r="AK94" i="1"/>
  <c r="AK91" i="1"/>
  <c r="AK90" i="1"/>
  <c r="AK87" i="1"/>
  <c r="AK86" i="1"/>
  <c r="AK83" i="1"/>
  <c r="AK82" i="1"/>
  <c r="AK79" i="1"/>
  <c r="AK78" i="1"/>
  <c r="AK75" i="1"/>
  <c r="AK74" i="1"/>
  <c r="AK71" i="1"/>
  <c r="AK70" i="1"/>
  <c r="AK67" i="1"/>
  <c r="AK66" i="1"/>
  <c r="AJ73" i="1"/>
  <c r="AJ72" i="1"/>
  <c r="AJ69" i="1"/>
  <c r="AJ68" i="1"/>
  <c r="AL66" i="1" l="1"/>
  <c r="AK467" i="1"/>
  <c r="Z355" i="1"/>
  <c r="AA355" i="1"/>
  <c r="Z342" i="1"/>
  <c r="AA342" i="1"/>
  <c r="Z343" i="1"/>
  <c r="AA343" i="1"/>
  <c r="Z344" i="1"/>
  <c r="AA344" i="1"/>
  <c r="Z345" i="1"/>
  <c r="AA345" i="1"/>
  <c r="Z346" i="1"/>
  <c r="AA346" i="1"/>
  <c r="Z347" i="1"/>
  <c r="AA347" i="1"/>
  <c r="Z348" i="1"/>
  <c r="AA348" i="1"/>
  <c r="Z349" i="1"/>
  <c r="AA349" i="1"/>
  <c r="Z350" i="1"/>
  <c r="AA350" i="1"/>
  <c r="Z351" i="1"/>
  <c r="AA351" i="1"/>
  <c r="Z352" i="1"/>
  <c r="AA352" i="1"/>
  <c r="Z353" i="1"/>
  <c r="AA353" i="1"/>
  <c r="AA340" i="1"/>
  <c r="Z340" i="1"/>
  <c r="AI354" i="1"/>
  <c r="AH354" i="1"/>
  <c r="AI341" i="1"/>
  <c r="AH341" i="1"/>
  <c r="G478" i="1" l="1"/>
  <c r="H478" i="1"/>
  <c r="I478" i="1"/>
  <c r="J478" i="1"/>
  <c r="K478" i="1"/>
  <c r="L478" i="1"/>
  <c r="M478" i="1"/>
  <c r="N478" i="1"/>
  <c r="O478" i="1"/>
  <c r="P478" i="1"/>
  <c r="Q478" i="1"/>
  <c r="R478" i="1"/>
  <c r="S478" i="1"/>
  <c r="T478" i="1"/>
  <c r="U478" i="1"/>
  <c r="V478" i="1"/>
  <c r="W478" i="1"/>
  <c r="X478" i="1"/>
  <c r="Y478" i="1"/>
  <c r="Z478" i="1"/>
  <c r="AA478" i="1"/>
  <c r="G479" i="1"/>
  <c r="H479" i="1"/>
  <c r="I479" i="1"/>
  <c r="J479" i="1"/>
  <c r="K479" i="1"/>
  <c r="L479" i="1"/>
  <c r="M479" i="1"/>
  <c r="N479" i="1"/>
  <c r="O479" i="1"/>
  <c r="P479" i="1"/>
  <c r="Q479" i="1"/>
  <c r="R479" i="1"/>
  <c r="S479" i="1"/>
  <c r="T479" i="1"/>
  <c r="U479" i="1"/>
  <c r="V479" i="1"/>
  <c r="W479" i="1"/>
  <c r="X479" i="1"/>
  <c r="Y479" i="1"/>
  <c r="Z479" i="1"/>
  <c r="AA479" i="1"/>
  <c r="G480" i="1"/>
  <c r="H480" i="1"/>
  <c r="I480" i="1"/>
  <c r="J480" i="1"/>
  <c r="K480" i="1"/>
  <c r="L480" i="1"/>
  <c r="M480" i="1"/>
  <c r="N480" i="1"/>
  <c r="O480" i="1"/>
  <c r="P480" i="1"/>
  <c r="Q480" i="1"/>
  <c r="R480" i="1"/>
  <c r="S480" i="1"/>
  <c r="T480" i="1"/>
  <c r="U480" i="1"/>
  <c r="V480" i="1"/>
  <c r="W480" i="1"/>
  <c r="X480" i="1"/>
  <c r="Y480" i="1"/>
  <c r="Z480" i="1"/>
  <c r="AA480" i="1"/>
  <c r="F478" i="1"/>
  <c r="F479" i="1"/>
  <c r="F480" i="1"/>
  <c r="AM481" i="1"/>
  <c r="AM480" i="1"/>
  <c r="AM479" i="1"/>
  <c r="AM476" i="1"/>
  <c r="AM475" i="1"/>
  <c r="AJ475" i="1"/>
  <c r="AM474" i="1"/>
  <c r="AJ474" i="1"/>
  <c r="AK473" i="1"/>
  <c r="AJ473" i="1"/>
  <c r="AM471" i="1"/>
  <c r="AM470" i="1"/>
  <c r="AJ470" i="1"/>
  <c r="AM469" i="1"/>
  <c r="AJ469" i="1"/>
  <c r="AK468" i="1"/>
  <c r="AJ468" i="1"/>
  <c r="AM466" i="1"/>
  <c r="AM465" i="1"/>
  <c r="AJ465" i="1"/>
  <c r="AM464" i="1"/>
  <c r="AJ464" i="1"/>
  <c r="AK463" i="1"/>
  <c r="AJ463" i="1"/>
  <c r="AM461" i="1"/>
  <c r="AM460" i="1"/>
  <c r="AJ460" i="1"/>
  <c r="AM459" i="1"/>
  <c r="AJ459" i="1"/>
  <c r="AK458" i="1"/>
  <c r="AJ458" i="1"/>
  <c r="K461" i="1"/>
  <c r="K481" i="1" s="1"/>
  <c r="J461" i="1"/>
  <c r="J481" i="1" s="1"/>
  <c r="I461" i="1"/>
  <c r="I481" i="1" s="1"/>
  <c r="H461" i="1"/>
  <c r="H481" i="1" s="1"/>
  <c r="G461" i="1"/>
  <c r="G481" i="1" s="1"/>
  <c r="F461" i="1"/>
  <c r="AM456" i="1"/>
  <c r="AM455" i="1"/>
  <c r="AJ455" i="1"/>
  <c r="AM454" i="1"/>
  <c r="AJ454" i="1"/>
  <c r="AK453" i="1"/>
  <c r="AJ453" i="1"/>
  <c r="AM451" i="1"/>
  <c r="AM450" i="1"/>
  <c r="AJ450" i="1"/>
  <c r="AM449" i="1"/>
  <c r="AJ449" i="1"/>
  <c r="AK448" i="1"/>
  <c r="AJ448" i="1"/>
  <c r="AM446" i="1"/>
  <c r="AM445" i="1"/>
  <c r="AJ445" i="1"/>
  <c r="AM444" i="1"/>
  <c r="AJ444" i="1"/>
  <c r="AK443" i="1"/>
  <c r="AJ443" i="1"/>
  <c r="AM441" i="1"/>
  <c r="AM440" i="1"/>
  <c r="AJ440" i="1"/>
  <c r="AM439" i="1"/>
  <c r="AJ439" i="1"/>
  <c r="AK438" i="1"/>
  <c r="AJ438" i="1"/>
  <c r="AM436" i="1"/>
  <c r="AM435" i="1"/>
  <c r="AJ435" i="1"/>
  <c r="AM434" i="1"/>
  <c r="AJ434" i="1"/>
  <c r="AK433" i="1"/>
  <c r="AJ433" i="1"/>
  <c r="AM431" i="1"/>
  <c r="AM430" i="1"/>
  <c r="AJ430" i="1"/>
  <c r="AM429" i="1"/>
  <c r="AJ429" i="1"/>
  <c r="AK428" i="1"/>
  <c r="AJ428" i="1"/>
  <c r="AM426" i="1"/>
  <c r="AM425" i="1"/>
  <c r="AJ425" i="1"/>
  <c r="AM424" i="1"/>
  <c r="AJ424" i="1"/>
  <c r="AK423" i="1"/>
  <c r="AJ423" i="1"/>
  <c r="AM421" i="1"/>
  <c r="AM420" i="1"/>
  <c r="AJ420" i="1"/>
  <c r="AM419" i="1"/>
  <c r="AJ419" i="1"/>
  <c r="AK418" i="1"/>
  <c r="AJ418" i="1"/>
  <c r="F481" i="1" l="1"/>
  <c r="AK457" i="1"/>
  <c r="AK478" i="1"/>
  <c r="AM463" i="1"/>
  <c r="AM443" i="1"/>
  <c r="AM428" i="1"/>
  <c r="AM433" i="1"/>
  <c r="AM438" i="1"/>
  <c r="AM458" i="1"/>
  <c r="AM423" i="1"/>
  <c r="AM468" i="1"/>
  <c r="AM448" i="1"/>
  <c r="AM453" i="1"/>
  <c r="AJ456" i="1"/>
  <c r="AJ461" i="1"/>
  <c r="AJ466" i="1"/>
  <c r="AJ480" i="1"/>
  <c r="AJ478" i="1"/>
  <c r="AJ471" i="1"/>
  <c r="AJ479" i="1"/>
  <c r="AM473" i="1"/>
  <c r="AJ441" i="1"/>
  <c r="AJ462" i="1"/>
  <c r="AJ457" i="1"/>
  <c r="AJ467" i="1"/>
  <c r="AJ452" i="1"/>
  <c r="AJ437" i="1"/>
  <c r="AJ426" i="1"/>
  <c r="AJ431" i="1"/>
  <c r="AJ427" i="1"/>
  <c r="AJ422" i="1"/>
  <c r="AJ417" i="1"/>
  <c r="AJ421" i="1"/>
  <c r="AM418" i="1"/>
  <c r="AM478" i="1" l="1"/>
  <c r="AB354" i="1" l="1"/>
  <c r="AC354" i="1"/>
  <c r="AD354" i="1"/>
  <c r="AE354" i="1"/>
  <c r="AF354" i="1"/>
  <c r="AG354" i="1"/>
  <c r="AA354" i="1" l="1"/>
  <c r="Z354" i="1"/>
  <c r="D55" i="1"/>
  <c r="D57" i="1" s="1"/>
  <c r="AA331" i="1"/>
  <c r="Y331" i="1"/>
  <c r="W331" i="1"/>
  <c r="U331" i="1"/>
  <c r="S331" i="1"/>
  <c r="Q331" i="1"/>
  <c r="O331" i="1"/>
  <c r="M331" i="1"/>
  <c r="AB341" i="1" l="1"/>
  <c r="AC341" i="1"/>
  <c r="AD341" i="1"/>
  <c r="AE341" i="1"/>
  <c r="AF341" i="1"/>
  <c r="AG341" i="1"/>
  <c r="AK52" i="1"/>
  <c r="AJ53" i="1"/>
  <c r="AJ52" i="1"/>
  <c r="AJ102" i="1"/>
  <c r="AJ103" i="1"/>
  <c r="AJ106" i="1"/>
  <c r="AJ107" i="1"/>
  <c r="AJ99" i="1"/>
  <c r="AJ98" i="1"/>
  <c r="AJ95" i="1"/>
  <c r="AJ94" i="1"/>
  <c r="AJ91" i="1"/>
  <c r="AJ90" i="1"/>
  <c r="AJ87" i="1"/>
  <c r="AJ86" i="1"/>
  <c r="AJ83" i="1"/>
  <c r="AJ82" i="1"/>
  <c r="AJ79" i="1"/>
  <c r="AJ78" i="1"/>
  <c r="AJ75" i="1"/>
  <c r="AJ74" i="1"/>
  <c r="AJ71" i="1"/>
  <c r="AJ70" i="1"/>
  <c r="AJ67" i="1"/>
  <c r="AJ26" i="1"/>
  <c r="AA341" i="1" l="1"/>
  <c r="Z341" i="1"/>
  <c r="AJ66" i="1"/>
  <c r="AJ138" i="1"/>
  <c r="AK327" i="1" l="1"/>
  <c r="AK325" i="1"/>
  <c r="AM325" i="1"/>
  <c r="AM318" i="1"/>
  <c r="AM317" i="1"/>
  <c r="AM316" i="1"/>
  <c r="AJ403" i="1" l="1"/>
  <c r="AQ21" i="1" l="1"/>
  <c r="AQ20" i="1"/>
  <c r="AQ19" i="1"/>
  <c r="AQ4" i="1"/>
  <c r="AQ3" i="1"/>
  <c r="AP21" i="1"/>
  <c r="AP20" i="1"/>
  <c r="AP19" i="1"/>
  <c r="AP4" i="1"/>
  <c r="AP3" i="1"/>
  <c r="A3" i="1" l="1"/>
  <c r="G404" i="1" l="1"/>
  <c r="H404" i="1"/>
  <c r="I404" i="1"/>
  <c r="J404" i="1"/>
  <c r="K404" i="1"/>
  <c r="L404" i="1"/>
  <c r="M404" i="1"/>
  <c r="N404" i="1"/>
  <c r="O404" i="1"/>
  <c r="P404" i="1"/>
  <c r="Q404" i="1"/>
  <c r="R404" i="1"/>
  <c r="S404" i="1"/>
  <c r="T404" i="1"/>
  <c r="U404" i="1"/>
  <c r="V404" i="1"/>
  <c r="W404" i="1"/>
  <c r="X404" i="1"/>
  <c r="Y404" i="1"/>
  <c r="Z404" i="1"/>
  <c r="AA404" i="1"/>
  <c r="F404" i="1"/>
  <c r="Y199" i="1" l="1"/>
  <c r="W199" i="1"/>
  <c r="U199" i="1"/>
  <c r="S199" i="1"/>
  <c r="Q199" i="1"/>
  <c r="O199" i="1"/>
  <c r="M199" i="1"/>
  <c r="Y215" i="1"/>
  <c r="W215" i="1"/>
  <c r="U215" i="1"/>
  <c r="S215" i="1"/>
  <c r="Q215" i="1"/>
  <c r="O215" i="1"/>
  <c r="M215" i="1"/>
  <c r="Y207" i="1"/>
  <c r="W207" i="1"/>
  <c r="U207" i="1"/>
  <c r="S207" i="1"/>
  <c r="Q207" i="1"/>
  <c r="O207" i="1"/>
  <c r="AK197" i="1" l="1"/>
  <c r="AK213" i="1"/>
  <c r="AK124" i="1"/>
  <c r="AK125" i="1"/>
  <c r="AJ339" i="1" l="1"/>
  <c r="G44" i="1"/>
  <c r="G55" i="1" s="1"/>
  <c r="G57" i="1" s="1"/>
  <c r="H44" i="1"/>
  <c r="H55" i="1" s="1"/>
  <c r="H57" i="1" s="1"/>
  <c r="I44" i="1"/>
  <c r="I55" i="1" s="1"/>
  <c r="I57" i="1" s="1"/>
  <c r="J44" i="1"/>
  <c r="J55" i="1" s="1"/>
  <c r="J57" i="1" s="1"/>
  <c r="K44" i="1"/>
  <c r="K55" i="1" s="1"/>
  <c r="K57" i="1" s="1"/>
  <c r="L44" i="1"/>
  <c r="L55" i="1" s="1"/>
  <c r="L57" i="1" s="1"/>
  <c r="M44" i="1"/>
  <c r="M55" i="1" s="1"/>
  <c r="M57" i="1" s="1"/>
  <c r="N44" i="1"/>
  <c r="N55" i="1" s="1"/>
  <c r="N57" i="1" s="1"/>
  <c r="O44" i="1"/>
  <c r="O55" i="1" s="1"/>
  <c r="O57" i="1" s="1"/>
  <c r="P44" i="1"/>
  <c r="P55" i="1" s="1"/>
  <c r="P57" i="1" s="1"/>
  <c r="Q44" i="1"/>
  <c r="Q55" i="1" s="1"/>
  <c r="Q57" i="1" s="1"/>
  <c r="R44" i="1"/>
  <c r="R55" i="1" s="1"/>
  <c r="R57" i="1" s="1"/>
  <c r="S44" i="1"/>
  <c r="S55" i="1" s="1"/>
  <c r="S57" i="1" s="1"/>
  <c r="T44" i="1"/>
  <c r="T55" i="1" s="1"/>
  <c r="T57" i="1" s="1"/>
  <c r="U44" i="1"/>
  <c r="U55" i="1" s="1"/>
  <c r="U57" i="1" s="1"/>
  <c r="V44" i="1"/>
  <c r="V55" i="1" s="1"/>
  <c r="V57" i="1" s="1"/>
  <c r="W44" i="1"/>
  <c r="W55" i="1" s="1"/>
  <c r="W57" i="1" s="1"/>
  <c r="X44" i="1"/>
  <c r="X55" i="1" s="1"/>
  <c r="X57" i="1" s="1"/>
  <c r="Y44" i="1"/>
  <c r="Y55" i="1" s="1"/>
  <c r="Y57" i="1" s="1"/>
  <c r="Z44" i="1"/>
  <c r="Z55" i="1" s="1"/>
  <c r="Z57" i="1" s="1"/>
  <c r="AA44" i="1"/>
  <c r="AA55" i="1" s="1"/>
  <c r="AA57" i="1" s="1"/>
  <c r="F44" i="1"/>
  <c r="F55" i="1" s="1"/>
  <c r="F57" i="1" s="1"/>
  <c r="M447" i="1" l="1"/>
  <c r="Q447" i="1"/>
  <c r="X447" i="1"/>
  <c r="T447" i="1"/>
  <c r="P447" i="1"/>
  <c r="L447" i="1"/>
  <c r="H447" i="1"/>
  <c r="Y447" i="1"/>
  <c r="F447" i="1"/>
  <c r="AA447" i="1"/>
  <c r="W447" i="1"/>
  <c r="S447" i="1"/>
  <c r="O447" i="1"/>
  <c r="K447" i="1"/>
  <c r="G447" i="1"/>
  <c r="U447" i="1"/>
  <c r="I447" i="1"/>
  <c r="Z447" i="1"/>
  <c r="V447" i="1"/>
  <c r="R447" i="1"/>
  <c r="N447" i="1"/>
  <c r="J447" i="1"/>
  <c r="AJ451" i="1"/>
  <c r="G43" i="1"/>
  <c r="H43" i="1"/>
  <c r="I43" i="1"/>
  <c r="J43" i="1"/>
  <c r="K43" i="1"/>
  <c r="L43" i="1"/>
  <c r="M43" i="1"/>
  <c r="N43" i="1"/>
  <c r="O43" i="1"/>
  <c r="P43" i="1"/>
  <c r="Q43" i="1"/>
  <c r="R43" i="1"/>
  <c r="S43" i="1"/>
  <c r="T43" i="1"/>
  <c r="U43" i="1"/>
  <c r="V43" i="1"/>
  <c r="W43" i="1"/>
  <c r="X43" i="1"/>
  <c r="Y43" i="1"/>
  <c r="Z43" i="1"/>
  <c r="AA43" i="1"/>
  <c r="F43" i="1"/>
  <c r="E331" i="1"/>
  <c r="E309" i="1"/>
  <c r="AA56" i="1" l="1"/>
  <c r="AA54" i="1"/>
  <c r="O56" i="1"/>
  <c r="O54" i="1"/>
  <c r="N56" i="1"/>
  <c r="N54" i="1"/>
  <c r="S56" i="1"/>
  <c r="S54" i="1"/>
  <c r="G56" i="1"/>
  <c r="G54" i="1"/>
  <c r="V56" i="1"/>
  <c r="V54" i="1"/>
  <c r="R56" i="1"/>
  <c r="R54" i="1"/>
  <c r="J56" i="1"/>
  <c r="J54" i="1"/>
  <c r="Y56" i="1"/>
  <c r="Y54" i="1"/>
  <c r="Q56" i="1"/>
  <c r="Q54" i="1"/>
  <c r="M56" i="1"/>
  <c r="M54" i="1"/>
  <c r="I56" i="1"/>
  <c r="I54" i="1"/>
  <c r="W56" i="1"/>
  <c r="W54" i="1"/>
  <c r="K56" i="1"/>
  <c r="K54" i="1"/>
  <c r="Z56" i="1"/>
  <c r="Z54" i="1"/>
  <c r="U56" i="1"/>
  <c r="U54" i="1"/>
  <c r="F56" i="1"/>
  <c r="F54" i="1"/>
  <c r="X56" i="1"/>
  <c r="X54" i="1"/>
  <c r="T56" i="1"/>
  <c r="T54" i="1"/>
  <c r="P56" i="1"/>
  <c r="P54" i="1"/>
  <c r="L56" i="1"/>
  <c r="L54" i="1"/>
  <c r="H56" i="1"/>
  <c r="H54" i="1"/>
  <c r="AJ447" i="1"/>
  <c r="AJ57" i="1"/>
  <c r="AK447" i="1"/>
  <c r="AL417" i="1" s="1"/>
  <c r="F477" i="1"/>
  <c r="R477" i="1"/>
  <c r="Z477" i="1"/>
  <c r="P477" i="1"/>
  <c r="N477" i="1"/>
  <c r="V477" i="1"/>
  <c r="G477" i="1"/>
  <c r="AJ432" i="1"/>
  <c r="H477" i="1"/>
  <c r="T477" i="1"/>
  <c r="I477" i="1"/>
  <c r="J477" i="1"/>
  <c r="X477" i="1"/>
  <c r="L477" i="1"/>
  <c r="AJ442" i="1"/>
  <c r="AJ446" i="1"/>
  <c r="AJ8" i="1"/>
  <c r="AJ56" i="1" l="1"/>
  <c r="AJ436" i="1"/>
  <c r="F331" i="1"/>
  <c r="G331" i="1"/>
  <c r="H331" i="1"/>
  <c r="I331" i="1"/>
  <c r="J331" i="1"/>
  <c r="K331" i="1"/>
  <c r="L331" i="1"/>
  <c r="N331" i="1"/>
  <c r="P331" i="1"/>
  <c r="R331" i="1"/>
  <c r="T331" i="1"/>
  <c r="V331" i="1"/>
  <c r="X331" i="1"/>
  <c r="Z331" i="1"/>
  <c r="AJ413" i="1" l="1"/>
  <c r="AJ9" i="1"/>
  <c r="AJ10" i="1"/>
  <c r="K112" i="1" l="1"/>
  <c r="L112" i="1"/>
  <c r="M112" i="1"/>
  <c r="N112" i="1"/>
  <c r="O112" i="1"/>
  <c r="P112" i="1"/>
  <c r="Q112" i="1"/>
  <c r="R112" i="1"/>
  <c r="S112" i="1"/>
  <c r="T112" i="1"/>
  <c r="U112" i="1"/>
  <c r="V112" i="1"/>
  <c r="W112" i="1"/>
  <c r="X112" i="1"/>
  <c r="Y112" i="1"/>
  <c r="Z112" i="1"/>
  <c r="AA112" i="1"/>
  <c r="J112" i="1"/>
  <c r="Y477" i="1" l="1"/>
  <c r="U477" i="1"/>
  <c r="Q477" i="1"/>
  <c r="M477" i="1"/>
  <c r="AA477" i="1"/>
  <c r="W477" i="1"/>
  <c r="S477" i="1"/>
  <c r="O477" i="1"/>
  <c r="AJ472" i="1"/>
  <c r="K477" i="1"/>
  <c r="AM357" i="1"/>
  <c r="AM356" i="1"/>
  <c r="E358" i="1"/>
  <c r="F358" i="1"/>
  <c r="G358" i="1"/>
  <c r="H358" i="1"/>
  <c r="I358" i="1"/>
  <c r="J358" i="1"/>
  <c r="K358" i="1"/>
  <c r="L358" i="1"/>
  <c r="M358" i="1"/>
  <c r="N358" i="1"/>
  <c r="O358" i="1"/>
  <c r="P358" i="1"/>
  <c r="Q358" i="1"/>
  <c r="R358" i="1"/>
  <c r="S358" i="1"/>
  <c r="T358" i="1"/>
  <c r="U358" i="1"/>
  <c r="V358" i="1"/>
  <c r="W358" i="1"/>
  <c r="X358" i="1"/>
  <c r="Y358" i="1"/>
  <c r="Z358" i="1"/>
  <c r="AA358" i="1"/>
  <c r="E365" i="1"/>
  <c r="F365" i="1"/>
  <c r="G365" i="1"/>
  <c r="H365" i="1"/>
  <c r="I365" i="1"/>
  <c r="J365" i="1"/>
  <c r="K365" i="1"/>
  <c r="L365" i="1"/>
  <c r="M365" i="1"/>
  <c r="N365" i="1"/>
  <c r="O365" i="1"/>
  <c r="P365" i="1"/>
  <c r="Q365" i="1"/>
  <c r="R365" i="1"/>
  <c r="S365" i="1"/>
  <c r="T365" i="1"/>
  <c r="U365" i="1"/>
  <c r="V365" i="1"/>
  <c r="W365" i="1"/>
  <c r="X365" i="1"/>
  <c r="Y365" i="1"/>
  <c r="Z365" i="1"/>
  <c r="AA365" i="1"/>
  <c r="AJ481" i="1" l="1"/>
  <c r="AJ477" i="1"/>
  <c r="AJ476" i="1"/>
  <c r="AK8" i="1"/>
  <c r="AK9" i="1"/>
  <c r="G406" i="1" l="1"/>
  <c r="H406" i="1"/>
  <c r="I406" i="1"/>
  <c r="J406" i="1"/>
  <c r="K406" i="1"/>
  <c r="L406" i="1"/>
  <c r="M406" i="1"/>
  <c r="N406" i="1"/>
  <c r="O406" i="1"/>
  <c r="P406" i="1"/>
  <c r="Q406" i="1"/>
  <c r="R406" i="1"/>
  <c r="S406" i="1"/>
  <c r="T406" i="1"/>
  <c r="U406" i="1"/>
  <c r="V406" i="1"/>
  <c r="W406" i="1"/>
  <c r="X406" i="1"/>
  <c r="Y406" i="1"/>
  <c r="Z406" i="1"/>
  <c r="AA406" i="1"/>
  <c r="W408" i="1"/>
  <c r="AJ373" i="1"/>
  <c r="AJ374" i="1"/>
  <c r="AJ375" i="1"/>
  <c r="AJ376" i="1"/>
  <c r="AJ377" i="1"/>
  <c r="E370" i="1"/>
  <c r="F370" i="1"/>
  <c r="G370" i="1"/>
  <c r="H370" i="1"/>
  <c r="I370" i="1"/>
  <c r="J370" i="1"/>
  <c r="K370" i="1"/>
  <c r="L370" i="1"/>
  <c r="M370" i="1"/>
  <c r="N370" i="1"/>
  <c r="O370" i="1"/>
  <c r="P370" i="1"/>
  <c r="Q370" i="1"/>
  <c r="R370" i="1"/>
  <c r="S370" i="1"/>
  <c r="T370" i="1"/>
  <c r="U370" i="1"/>
  <c r="V370" i="1"/>
  <c r="W370" i="1"/>
  <c r="X370" i="1"/>
  <c r="Y370" i="1"/>
  <c r="Z370" i="1"/>
  <c r="AA370" i="1"/>
  <c r="D370" i="1"/>
  <c r="AJ319" i="1"/>
  <c r="AJ318" i="1"/>
  <c r="AJ322" i="1"/>
  <c r="AJ321" i="1"/>
  <c r="AJ316" i="1"/>
  <c r="AJ317" i="1"/>
  <c r="AJ289" i="1"/>
  <c r="AJ290" i="1"/>
  <c r="AJ142" i="1"/>
  <c r="AJ143" i="1"/>
  <c r="AJ144" i="1"/>
  <c r="AJ145" i="1"/>
  <c r="AJ141" i="1"/>
  <c r="AJ140" i="1"/>
  <c r="AJ134" i="1"/>
  <c r="AJ136" i="1"/>
  <c r="AJ137" i="1"/>
  <c r="AJ135" i="1"/>
  <c r="AJ128" i="1"/>
  <c r="AJ129" i="1"/>
  <c r="AJ130" i="1"/>
  <c r="AJ132" i="1"/>
  <c r="AJ133" i="1"/>
  <c r="AJ125" i="1"/>
  <c r="AJ124" i="1"/>
  <c r="AJ127" i="1" l="1"/>
  <c r="D309" i="1"/>
  <c r="E369" i="1"/>
  <c r="F369" i="1"/>
  <c r="G369" i="1"/>
  <c r="H369" i="1"/>
  <c r="I369" i="1"/>
  <c r="J369" i="1"/>
  <c r="K369" i="1"/>
  <c r="L369" i="1"/>
  <c r="M369" i="1"/>
  <c r="N369" i="1"/>
  <c r="O369" i="1"/>
  <c r="P369" i="1"/>
  <c r="Q369" i="1"/>
  <c r="R369" i="1"/>
  <c r="S369" i="1"/>
  <c r="T369" i="1"/>
  <c r="U369" i="1"/>
  <c r="V369" i="1"/>
  <c r="W369" i="1"/>
  <c r="X369" i="1"/>
  <c r="Y369" i="1"/>
  <c r="Z369" i="1"/>
  <c r="AN370" i="1"/>
  <c r="D365" i="1"/>
  <c r="AK266" i="1" l="1"/>
  <c r="AK267" i="1"/>
  <c r="AK264" i="1"/>
  <c r="AK255" i="1"/>
  <c r="AK246" i="1"/>
  <c r="AK244" i="1"/>
  <c r="AK241" i="1"/>
  <c r="AK237" i="1"/>
  <c r="AK235" i="1"/>
  <c r="E250" i="1"/>
  <c r="F250" i="1"/>
  <c r="G250" i="1"/>
  <c r="H250" i="1"/>
  <c r="I250" i="1"/>
  <c r="J250" i="1"/>
  <c r="K250" i="1"/>
  <c r="L250" i="1"/>
  <c r="M250" i="1"/>
  <c r="N250" i="1"/>
  <c r="O250" i="1"/>
  <c r="P250" i="1"/>
  <c r="Q250" i="1"/>
  <c r="R250" i="1"/>
  <c r="S250" i="1"/>
  <c r="T250" i="1"/>
  <c r="U250" i="1"/>
  <c r="V250" i="1"/>
  <c r="W250" i="1"/>
  <c r="X250" i="1"/>
  <c r="Y250" i="1"/>
  <c r="Z250" i="1"/>
  <c r="AA250" i="1"/>
  <c r="D250" i="1"/>
  <c r="E232" i="1"/>
  <c r="F232" i="1"/>
  <c r="G232" i="1"/>
  <c r="H232" i="1"/>
  <c r="I232" i="1"/>
  <c r="J232" i="1"/>
  <c r="K232" i="1"/>
  <c r="L232" i="1"/>
  <c r="M232" i="1"/>
  <c r="N232" i="1"/>
  <c r="O232" i="1"/>
  <c r="P232" i="1"/>
  <c r="Q232" i="1"/>
  <c r="R232" i="1"/>
  <c r="S232" i="1"/>
  <c r="T232" i="1"/>
  <c r="U232" i="1"/>
  <c r="V232" i="1"/>
  <c r="W232" i="1"/>
  <c r="X232" i="1"/>
  <c r="Y232" i="1"/>
  <c r="Z232" i="1"/>
  <c r="AA232" i="1"/>
  <c r="D232" i="1"/>
  <c r="AA252" i="1"/>
  <c r="Z252" i="1"/>
  <c r="Y252" i="1"/>
  <c r="X252" i="1"/>
  <c r="W252" i="1"/>
  <c r="V252" i="1"/>
  <c r="U252" i="1"/>
  <c r="T252" i="1"/>
  <c r="S252" i="1"/>
  <c r="R252" i="1"/>
  <c r="Q252" i="1"/>
  <c r="P252" i="1"/>
  <c r="O252" i="1"/>
  <c r="N252" i="1"/>
  <c r="M252" i="1"/>
  <c r="L252" i="1"/>
  <c r="K252" i="1"/>
  <c r="J252" i="1"/>
  <c r="I252" i="1"/>
  <c r="H252" i="1"/>
  <c r="G252" i="1"/>
  <c r="F252" i="1"/>
  <c r="E252" i="1"/>
  <c r="D252" i="1"/>
  <c r="AA243" i="1"/>
  <c r="Z243" i="1"/>
  <c r="Y243" i="1"/>
  <c r="X243" i="1"/>
  <c r="W243" i="1"/>
  <c r="V243" i="1"/>
  <c r="U243" i="1"/>
  <c r="T243" i="1"/>
  <c r="S243" i="1"/>
  <c r="R243" i="1"/>
  <c r="Q243" i="1"/>
  <c r="P243" i="1"/>
  <c r="O243" i="1"/>
  <c r="N243" i="1"/>
  <c r="M243" i="1"/>
  <c r="L243" i="1"/>
  <c r="K243" i="1"/>
  <c r="J243" i="1"/>
  <c r="I243" i="1"/>
  <c r="H243" i="1"/>
  <c r="G243" i="1"/>
  <c r="F243" i="1"/>
  <c r="E243" i="1"/>
  <c r="D243" i="1"/>
  <c r="AJ241" i="1"/>
  <c r="AA234" i="1"/>
  <c r="Z234" i="1"/>
  <c r="Y234" i="1"/>
  <c r="X234" i="1"/>
  <c r="W234" i="1"/>
  <c r="V234" i="1"/>
  <c r="U234" i="1"/>
  <c r="T234" i="1"/>
  <c r="S234" i="1"/>
  <c r="R234" i="1"/>
  <c r="Q234" i="1"/>
  <c r="P234" i="1"/>
  <c r="O234" i="1"/>
  <c r="N234" i="1"/>
  <c r="M234" i="1"/>
  <c r="L234" i="1"/>
  <c r="K234" i="1"/>
  <c r="J234" i="1"/>
  <c r="I234" i="1"/>
  <c r="H234" i="1"/>
  <c r="G234" i="1"/>
  <c r="F234" i="1"/>
  <c r="E234" i="1"/>
  <c r="D234" i="1"/>
  <c r="AK253" i="1"/>
  <c r="AK228" i="1"/>
  <c r="AK226" i="1"/>
  <c r="E225" i="1"/>
  <c r="F225" i="1"/>
  <c r="G225" i="1"/>
  <c r="H225" i="1"/>
  <c r="I225" i="1"/>
  <c r="J225" i="1"/>
  <c r="K225" i="1"/>
  <c r="L225" i="1"/>
  <c r="M225" i="1"/>
  <c r="N225" i="1"/>
  <c r="O225" i="1"/>
  <c r="P225" i="1"/>
  <c r="Q225" i="1"/>
  <c r="R225" i="1"/>
  <c r="S225" i="1"/>
  <c r="T225" i="1"/>
  <c r="U225" i="1"/>
  <c r="V225" i="1"/>
  <c r="W225" i="1"/>
  <c r="X225" i="1"/>
  <c r="Y225" i="1"/>
  <c r="Z225" i="1"/>
  <c r="AA225" i="1"/>
  <c r="E223" i="1"/>
  <c r="F223" i="1"/>
  <c r="G223" i="1"/>
  <c r="H223" i="1"/>
  <c r="I223" i="1"/>
  <c r="J223" i="1"/>
  <c r="K223" i="1"/>
  <c r="L223" i="1"/>
  <c r="M223" i="1"/>
  <c r="N223" i="1"/>
  <c r="O223" i="1"/>
  <c r="P223" i="1"/>
  <c r="Q223" i="1"/>
  <c r="R223" i="1"/>
  <c r="S223" i="1"/>
  <c r="T223" i="1"/>
  <c r="U223" i="1"/>
  <c r="V223" i="1"/>
  <c r="W223" i="1"/>
  <c r="X223" i="1"/>
  <c r="Y223" i="1"/>
  <c r="Z223" i="1"/>
  <c r="AA223" i="1"/>
  <c r="D18" i="1"/>
  <c r="E18" i="1"/>
  <c r="AJ16" i="1"/>
  <c r="AJ17" i="1"/>
  <c r="AJ15" i="1"/>
  <c r="AJ12" i="1"/>
  <c r="AJ13" i="1"/>
  <c r="AJ223" i="1"/>
  <c r="D223" i="1"/>
  <c r="D14" i="1"/>
  <c r="E14" i="1"/>
  <c r="AJ261" i="1"/>
  <c r="AJ242" i="1"/>
  <c r="AJ244" i="1"/>
  <c r="AJ245" i="1"/>
  <c r="AJ246" i="1"/>
  <c r="AJ247" i="1"/>
  <c r="AJ248" i="1"/>
  <c r="AJ249" i="1"/>
  <c r="AJ251" i="1"/>
  <c r="AJ253" i="1"/>
  <c r="AJ254" i="1"/>
  <c r="AJ255" i="1"/>
  <c r="AJ256" i="1"/>
  <c r="AJ257" i="1"/>
  <c r="AJ258" i="1"/>
  <c r="AJ240" i="1"/>
  <c r="AJ233" i="1"/>
  <c r="AJ235" i="1"/>
  <c r="AJ236" i="1"/>
  <c r="AJ237" i="1"/>
  <c r="AJ238" i="1"/>
  <c r="AJ239" i="1"/>
  <c r="AJ231" i="1"/>
  <c r="D225" i="1"/>
  <c r="AJ226" i="1"/>
  <c r="AJ227" i="1"/>
  <c r="AJ228" i="1"/>
  <c r="AJ229" i="1"/>
  <c r="AJ230" i="1"/>
  <c r="G14" i="1"/>
  <c r="H14" i="1"/>
  <c r="I14" i="1"/>
  <c r="J14" i="1"/>
  <c r="K14" i="1"/>
  <c r="L14" i="1"/>
  <c r="M14" i="1"/>
  <c r="N14" i="1"/>
  <c r="O14" i="1"/>
  <c r="P14" i="1"/>
  <c r="Q14" i="1"/>
  <c r="R14" i="1"/>
  <c r="S14" i="1"/>
  <c r="T14" i="1"/>
  <c r="U14" i="1"/>
  <c r="V14" i="1"/>
  <c r="W14" i="1"/>
  <c r="X14" i="1"/>
  <c r="Y14" i="1"/>
  <c r="Z14" i="1"/>
  <c r="AA14" i="1"/>
  <c r="M207" i="1"/>
  <c r="AK205" i="1" s="1"/>
  <c r="AL196" i="1" s="1"/>
  <c r="F14" i="1"/>
  <c r="AJ18" i="1" l="1"/>
  <c r="AJ243" i="1"/>
  <c r="AJ252" i="1"/>
  <c r="AJ234" i="1"/>
  <c r="AK250" i="1"/>
  <c r="AL250" i="1" s="1"/>
  <c r="AJ232" i="1"/>
  <c r="AJ370" i="1"/>
  <c r="AK232" i="1"/>
  <c r="AL232" i="1" s="1"/>
  <c r="AJ14" i="1"/>
  <c r="AK223" i="1"/>
  <c r="AJ250" i="1"/>
  <c r="AL241" i="1"/>
  <c r="AK261" i="1"/>
  <c r="AK259" i="1"/>
  <c r="AJ225" i="1"/>
  <c r="AJ215" i="1"/>
  <c r="AJ199" i="1"/>
  <c r="AJ207" i="1"/>
  <c r="AK16" i="1"/>
  <c r="AK15" i="1"/>
  <c r="AK12" i="1"/>
  <c r="AK11" i="1"/>
  <c r="G18" i="1"/>
  <c r="H18" i="1"/>
  <c r="I18" i="1"/>
  <c r="J18" i="1"/>
  <c r="K18" i="1"/>
  <c r="L18" i="1"/>
  <c r="M18" i="1"/>
  <c r="N18" i="1"/>
  <c r="O18" i="1"/>
  <c r="P18" i="1"/>
  <c r="Q18" i="1"/>
  <c r="R18" i="1"/>
  <c r="S18" i="1"/>
  <c r="T18" i="1"/>
  <c r="U18" i="1"/>
  <c r="V18" i="1"/>
  <c r="W18" i="1"/>
  <c r="X18" i="1"/>
  <c r="Y18" i="1"/>
  <c r="Z18" i="1"/>
  <c r="AA18" i="1"/>
  <c r="F18" i="1"/>
  <c r="AL223" i="1" l="1"/>
  <c r="AK295" i="1"/>
  <c r="AK410" i="1" l="1"/>
  <c r="AK167" i="1"/>
  <c r="AM409" i="1"/>
  <c r="AK407" i="1"/>
  <c r="AK405" i="1"/>
  <c r="AK401" i="1"/>
  <c r="AK387" i="1"/>
  <c r="F337" i="4"/>
  <c r="E341" i="1"/>
  <c r="F341" i="1"/>
  <c r="G341" i="1"/>
  <c r="H341" i="1"/>
  <c r="I341" i="1"/>
  <c r="J341" i="1"/>
  <c r="K341" i="1"/>
  <c r="L341" i="1"/>
  <c r="M341" i="1"/>
  <c r="N341" i="1"/>
  <c r="O341" i="1"/>
  <c r="P341" i="1"/>
  <c r="Q341" i="1"/>
  <c r="R341" i="1"/>
  <c r="S341" i="1"/>
  <c r="T341" i="1"/>
  <c r="U341" i="1"/>
  <c r="V341" i="1"/>
  <c r="W341" i="1"/>
  <c r="X341" i="1"/>
  <c r="Y341" i="1"/>
  <c r="AK357" i="1"/>
  <c r="AK356" i="1"/>
  <c r="AJ359" i="1" l="1"/>
  <c r="AJ360" i="1"/>
  <c r="AJ362" i="1"/>
  <c r="AJ363" i="1"/>
  <c r="AJ364" i="1"/>
  <c r="AJ366" i="1"/>
  <c r="AJ355" i="1"/>
  <c r="AJ356" i="1"/>
  <c r="AJ357" i="1"/>
  <c r="AJ365" i="1" l="1"/>
  <c r="AK365" i="1"/>
  <c r="E354" i="1" l="1"/>
  <c r="F354" i="1"/>
  <c r="G354" i="1"/>
  <c r="H354" i="1"/>
  <c r="I354" i="1"/>
  <c r="J354" i="1"/>
  <c r="K354" i="1"/>
  <c r="L354" i="1"/>
  <c r="M354" i="1"/>
  <c r="N354" i="1"/>
  <c r="O354" i="1"/>
  <c r="P354" i="1"/>
  <c r="Q354" i="1"/>
  <c r="R354" i="1"/>
  <c r="S354" i="1"/>
  <c r="T354" i="1"/>
  <c r="U354" i="1"/>
  <c r="V354" i="1"/>
  <c r="W354" i="1"/>
  <c r="X354" i="1"/>
  <c r="Y354" i="1"/>
  <c r="D341" i="1"/>
  <c r="AK171" i="1" s="1"/>
  <c r="AJ332" i="1"/>
  <c r="AJ333" i="1"/>
  <c r="AJ334" i="1"/>
  <c r="AJ335" i="1"/>
  <c r="AJ336" i="1"/>
  <c r="AJ337" i="1"/>
  <c r="AK340" i="1" l="1"/>
  <c r="AK321" i="1"/>
  <c r="AK319" i="1"/>
  <c r="AK318" i="1"/>
  <c r="AM314" i="1" l="1"/>
  <c r="AM313" i="1"/>
  <c r="AK278" i="1"/>
  <c r="D303" i="1"/>
  <c r="D306" i="1"/>
  <c r="AM305" i="1"/>
  <c r="AM304" i="1"/>
  <c r="AK304" i="1"/>
  <c r="AK305" i="1"/>
  <c r="AK302" i="1"/>
  <c r="AK301" i="1"/>
  <c r="AK299" i="1"/>
  <c r="E306" i="1"/>
  <c r="E303" i="1"/>
  <c r="AK293" i="1"/>
  <c r="AK291" i="1"/>
  <c r="AK289" i="1"/>
  <c r="AK306" i="1" l="1"/>
  <c r="AM306" i="1"/>
  <c r="AJ306" i="1"/>
  <c r="AM278" i="1" l="1"/>
  <c r="AN277" i="1" s="1"/>
  <c r="AK285" i="1"/>
  <c r="AK283" i="1"/>
  <c r="AK169" i="1"/>
  <c r="AK168" i="1"/>
  <c r="K139" i="1"/>
  <c r="L139" i="1"/>
  <c r="M139" i="1"/>
  <c r="N139" i="1"/>
  <c r="O139" i="1"/>
  <c r="P139" i="1"/>
  <c r="Q139" i="1"/>
  <c r="R139" i="1"/>
  <c r="S139" i="1"/>
  <c r="T139" i="1"/>
  <c r="U139" i="1"/>
  <c r="V139" i="1"/>
  <c r="W139" i="1"/>
  <c r="X139" i="1"/>
  <c r="Y139" i="1"/>
  <c r="Z139" i="1"/>
  <c r="AA139" i="1"/>
  <c r="J139" i="1"/>
  <c r="AK123" i="1"/>
  <c r="AK49" i="1"/>
  <c r="AK47" i="1"/>
  <c r="AK45" i="1"/>
  <c r="AK43" i="1"/>
  <c r="AK41" i="1"/>
  <c r="AK39" i="1"/>
  <c r="AK37" i="1"/>
  <c r="AK35" i="1"/>
  <c r="AK27" i="1"/>
  <c r="AM24" i="1"/>
  <c r="AK22" i="1"/>
  <c r="AJ139" i="1" l="1"/>
  <c r="AJ371" i="1" l="1"/>
  <c r="D369" i="1"/>
  <c r="AK368" i="1" s="1"/>
  <c r="AJ367" i="1"/>
  <c r="E361" i="1"/>
  <c r="F361" i="1"/>
  <c r="G361" i="1"/>
  <c r="H361" i="1"/>
  <c r="J361" i="1"/>
  <c r="K361" i="1"/>
  <c r="L361" i="1"/>
  <c r="M361" i="1"/>
  <c r="N361" i="1"/>
  <c r="O361" i="1"/>
  <c r="P361" i="1"/>
  <c r="Q361" i="1"/>
  <c r="R361" i="1"/>
  <c r="S361" i="1"/>
  <c r="T361" i="1"/>
  <c r="U361" i="1"/>
  <c r="V361" i="1"/>
  <c r="W361" i="1"/>
  <c r="X361" i="1"/>
  <c r="Y361" i="1"/>
  <c r="Z361" i="1"/>
  <c r="AA361" i="1"/>
  <c r="D358" i="1"/>
  <c r="AK366" i="1" s="1"/>
  <c r="AJ368" i="1"/>
  <c r="D331" i="1"/>
  <c r="AJ340" i="1"/>
  <c r="AK309" i="1" l="1"/>
  <c r="AK313" i="1"/>
  <c r="I361" i="1"/>
  <c r="D361" i="1"/>
  <c r="AJ358" i="1"/>
  <c r="AJ372" i="1"/>
  <c r="AJ369" i="1"/>
  <c r="AJ361" i="1" l="1"/>
  <c r="AK361" i="1"/>
  <c r="AK369" i="1"/>
  <c r="AM361" i="1"/>
  <c r="AN356" i="1" s="1"/>
  <c r="AJ405" i="1"/>
  <c r="AJ407" i="1"/>
  <c r="AJ409" i="1"/>
  <c r="AJ410" i="1"/>
  <c r="F411" i="1"/>
  <c r="G411" i="1"/>
  <c r="H411" i="1"/>
  <c r="I411" i="1"/>
  <c r="J411" i="1"/>
  <c r="K411" i="1"/>
  <c r="L411" i="1"/>
  <c r="M411" i="1"/>
  <c r="N411" i="1"/>
  <c r="O411" i="1"/>
  <c r="P411" i="1"/>
  <c r="Q411" i="1"/>
  <c r="R411" i="1"/>
  <c r="S411" i="1"/>
  <c r="T411" i="1"/>
  <c r="U411" i="1"/>
  <c r="V411" i="1"/>
  <c r="W411" i="1"/>
  <c r="X411" i="1"/>
  <c r="Y411" i="1"/>
  <c r="Z411" i="1"/>
  <c r="AA411" i="1"/>
  <c r="F408" i="1"/>
  <c r="G408" i="1"/>
  <c r="H408" i="1"/>
  <c r="I408" i="1"/>
  <c r="J408" i="1"/>
  <c r="K408" i="1"/>
  <c r="L408" i="1"/>
  <c r="M408" i="1"/>
  <c r="N408" i="1"/>
  <c r="O408" i="1"/>
  <c r="P408" i="1"/>
  <c r="Q408" i="1"/>
  <c r="R408" i="1"/>
  <c r="S408" i="1"/>
  <c r="T408" i="1"/>
  <c r="U408" i="1"/>
  <c r="V408" i="1"/>
  <c r="X408" i="1"/>
  <c r="Y408" i="1"/>
  <c r="Z408" i="1"/>
  <c r="AA408" i="1"/>
  <c r="F406" i="1"/>
  <c r="AK406" i="1" s="1"/>
  <c r="AM404" i="1"/>
  <c r="AJ402" i="1"/>
  <c r="AJ401" i="1"/>
  <c r="AJ224" i="1"/>
  <c r="AJ259" i="1"/>
  <c r="AJ309" i="1"/>
  <c r="AJ296" i="1"/>
  <c r="AJ299" i="1"/>
  <c r="AJ300" i="1"/>
  <c r="AJ301" i="1"/>
  <c r="AJ302" i="1"/>
  <c r="AJ304" i="1"/>
  <c r="AJ305" i="1"/>
  <c r="AJ307" i="1"/>
  <c r="AJ308" i="1"/>
  <c r="AJ285" i="1"/>
  <c r="AJ286" i="1"/>
  <c r="AJ287" i="1"/>
  <c r="AJ288" i="1"/>
  <c r="AJ291" i="1"/>
  <c r="AJ292" i="1"/>
  <c r="AJ293" i="1"/>
  <c r="AJ294" i="1"/>
  <c r="AJ295" i="1"/>
  <c r="AJ283" i="1"/>
  <c r="AJ303" i="1"/>
  <c r="AM413" i="1" l="1"/>
  <c r="AN401" i="1"/>
  <c r="AK411" i="1"/>
  <c r="AL401" i="1" s="1"/>
  <c r="AJ404" i="1"/>
  <c r="AJ406" i="1"/>
  <c r="AJ411" i="1"/>
  <c r="AJ408" i="1"/>
  <c r="Y315" i="1"/>
  <c r="W315" i="1"/>
  <c r="U315" i="1"/>
  <c r="S315" i="1"/>
  <c r="Q315" i="1"/>
  <c r="O315" i="1"/>
  <c r="M315" i="1"/>
  <c r="K315" i="1"/>
  <c r="AJ315" i="1" l="1"/>
  <c r="Y282" i="1"/>
  <c r="W282" i="1"/>
  <c r="U282" i="1"/>
  <c r="S282" i="1"/>
  <c r="Q282" i="1"/>
  <c r="O282" i="1"/>
  <c r="M282" i="1"/>
  <c r="K282" i="1"/>
  <c r="Y281" i="1"/>
  <c r="W281" i="1"/>
  <c r="U281" i="1"/>
  <c r="S281" i="1"/>
  <c r="Q281" i="1"/>
  <c r="O281" i="1"/>
  <c r="M281" i="1"/>
  <c r="K281" i="1"/>
  <c r="AJ281" i="1" l="1"/>
  <c r="AJ282" i="1"/>
  <c r="AJ388" i="1" l="1"/>
  <c r="AJ389" i="1"/>
  <c r="AJ390" i="1"/>
  <c r="AJ391" i="1"/>
  <c r="D392" i="1" l="1"/>
  <c r="E392" i="1"/>
  <c r="F392" i="1"/>
  <c r="G392" i="1"/>
  <c r="H392" i="1"/>
  <c r="I392" i="1"/>
  <c r="J392" i="1"/>
  <c r="K392" i="1"/>
  <c r="L392" i="1"/>
  <c r="M392" i="1"/>
  <c r="N392" i="1"/>
  <c r="O392" i="1"/>
  <c r="P392" i="1"/>
  <c r="Q392" i="1"/>
  <c r="R392" i="1"/>
  <c r="S392" i="1"/>
  <c r="T392" i="1"/>
  <c r="U392" i="1"/>
  <c r="V392" i="1"/>
  <c r="W392" i="1"/>
  <c r="X392" i="1"/>
  <c r="Y392" i="1"/>
  <c r="Z392" i="1"/>
  <c r="AA392" i="1"/>
  <c r="AN381" i="1" l="1"/>
  <c r="AJ338" i="1" l="1"/>
  <c r="AJ342" i="1"/>
  <c r="AJ343" i="1"/>
  <c r="AJ344" i="1"/>
  <c r="AJ345" i="1"/>
  <c r="AJ346" i="1"/>
  <c r="AJ347" i="1"/>
  <c r="AJ348" i="1"/>
  <c r="AJ349" i="1"/>
  <c r="AJ350" i="1"/>
  <c r="AJ351" i="1"/>
  <c r="AJ352" i="1"/>
  <c r="AJ353" i="1"/>
  <c r="AJ381" i="1"/>
  <c r="AJ382" i="1"/>
  <c r="AJ383" i="1"/>
  <c r="AJ384" i="1"/>
  <c r="AJ385" i="1"/>
  <c r="AJ386" i="1"/>
  <c r="AJ387" i="1"/>
  <c r="D354" i="1"/>
  <c r="AK341" i="1" l="1"/>
  <c r="AJ354" i="1"/>
  <c r="AJ341" i="1"/>
  <c r="AK360" i="1" s="1"/>
  <c r="AL356" i="1" s="1"/>
  <c r="AK331" i="1"/>
  <c r="AN111" i="1" l="1"/>
  <c r="AN167" i="1"/>
  <c r="AN196" i="1"/>
  <c r="AN223" i="1"/>
  <c r="AM36" i="1"/>
  <c r="AJ331" i="1"/>
  <c r="AJ392" i="1"/>
  <c r="AJ393" i="1"/>
  <c r="AJ394" i="1"/>
  <c r="AJ395" i="1"/>
  <c r="AJ396" i="1"/>
  <c r="AJ397" i="1"/>
  <c r="AJ398" i="1"/>
  <c r="AJ399" i="1"/>
  <c r="AJ314" i="1"/>
  <c r="AJ320" i="1"/>
  <c r="AM320" i="1" s="1"/>
  <c r="AJ324" i="1"/>
  <c r="AJ325" i="1"/>
  <c r="AJ326" i="1"/>
  <c r="AJ327" i="1"/>
  <c r="AJ313" i="1"/>
  <c r="AJ278" i="1"/>
  <c r="AJ279" i="1"/>
  <c r="AJ280" i="1"/>
  <c r="AJ284" i="1"/>
  <c r="AJ277" i="1"/>
  <c r="AJ260" i="1"/>
  <c r="AJ262" i="1"/>
  <c r="AJ263" i="1"/>
  <c r="AK263" i="1" s="1"/>
  <c r="AJ264" i="1"/>
  <c r="AJ265" i="1"/>
  <c r="AJ266" i="1"/>
  <c r="AJ267" i="1"/>
  <c r="AJ268" i="1"/>
  <c r="AJ269" i="1"/>
  <c r="AJ270" i="1"/>
  <c r="AJ271" i="1"/>
  <c r="AJ272" i="1"/>
  <c r="AJ273" i="1"/>
  <c r="AJ197" i="1"/>
  <c r="AJ198" i="1"/>
  <c r="AJ201" i="1"/>
  <c r="AJ202" i="1"/>
  <c r="AJ203" i="1"/>
  <c r="AJ204" i="1"/>
  <c r="AJ205" i="1"/>
  <c r="AJ206" i="1"/>
  <c r="AJ209" i="1"/>
  <c r="AJ210" i="1"/>
  <c r="AJ211" i="1"/>
  <c r="AJ212" i="1"/>
  <c r="AJ213" i="1"/>
  <c r="AJ214" i="1"/>
  <c r="AJ217" i="1"/>
  <c r="AJ218" i="1"/>
  <c r="AJ219" i="1"/>
  <c r="AJ196" i="1"/>
  <c r="AJ115" i="1"/>
  <c r="AJ112" i="1"/>
  <c r="AJ113" i="1"/>
  <c r="AJ114" i="1"/>
  <c r="AJ111" i="1"/>
  <c r="AJ126" i="1"/>
  <c r="AJ146" i="1"/>
  <c r="AJ147" i="1"/>
  <c r="AJ123" i="1"/>
  <c r="AJ168" i="1"/>
  <c r="AJ169" i="1"/>
  <c r="AJ170" i="1"/>
  <c r="AJ171" i="1"/>
  <c r="AJ172" i="1"/>
  <c r="AJ173" i="1"/>
  <c r="AJ174" i="1"/>
  <c r="AJ175" i="1"/>
  <c r="AJ176" i="1"/>
  <c r="AJ177" i="1"/>
  <c r="AJ178" i="1"/>
  <c r="AJ167" i="1"/>
  <c r="AJ29" i="1"/>
  <c r="AJ30" i="1"/>
  <c r="AJ31" i="1"/>
  <c r="AJ33" i="1"/>
  <c r="AJ34" i="1"/>
  <c r="AJ35" i="1"/>
  <c r="AJ36" i="1"/>
  <c r="AJ37" i="1"/>
  <c r="AJ38" i="1"/>
  <c r="AJ39" i="1"/>
  <c r="AJ40" i="1"/>
  <c r="AJ41" i="1"/>
  <c r="AJ42" i="1"/>
  <c r="AJ43" i="1"/>
  <c r="AJ44" i="1"/>
  <c r="AJ45" i="1"/>
  <c r="AJ46" i="1"/>
  <c r="AJ47" i="1"/>
  <c r="AJ48" i="1"/>
  <c r="AJ49" i="1"/>
  <c r="AJ50" i="1"/>
  <c r="AJ22" i="1"/>
  <c r="AJ23" i="1"/>
  <c r="AJ24" i="1"/>
  <c r="AK24" i="1" s="1"/>
  <c r="AJ25" i="1"/>
  <c r="AJ27" i="1"/>
  <c r="AJ28" i="1"/>
  <c r="AM57" i="1" l="1"/>
  <c r="AM56" i="1"/>
  <c r="AM326" i="1"/>
  <c r="AK326" i="1"/>
  <c r="AK265" i="1"/>
  <c r="AM303" i="1"/>
  <c r="AN301" i="1" s="1"/>
  <c r="AL8" i="1"/>
  <c r="AL301" i="1"/>
  <c r="AK314" i="1"/>
  <c r="AK277" i="1"/>
  <c r="AN123" i="1"/>
  <c r="AK280" i="1"/>
  <c r="AK54" i="1"/>
  <c r="AK273" i="1"/>
  <c r="AM49" i="1"/>
  <c r="AK146" i="1"/>
  <c r="AL123" i="1" s="1"/>
  <c r="AM33" i="1"/>
  <c r="AK338" i="1"/>
  <c r="AL331" i="1" s="1"/>
  <c r="AM47" i="1"/>
  <c r="AM43" i="1"/>
  <c r="AM39" i="1"/>
  <c r="AK268" i="1"/>
  <c r="AK272" i="1"/>
  <c r="AK33" i="1"/>
  <c r="AL381" i="1"/>
  <c r="AM45" i="1"/>
  <c r="AM37" i="1"/>
  <c r="AJ55" i="1"/>
  <c r="AJ54" i="1"/>
  <c r="AN8" i="1" s="1"/>
  <c r="AK270" i="1"/>
  <c r="AK287" i="1"/>
  <c r="AK279" i="1"/>
  <c r="AM35" i="1"/>
  <c r="AK170" i="1"/>
  <c r="AL166" i="1" s="1"/>
  <c r="AM55" i="1"/>
  <c r="AM27" i="1"/>
  <c r="AM41" i="1"/>
  <c r="AM54" i="1"/>
  <c r="AM338" i="1"/>
  <c r="AN331" i="1" s="1"/>
  <c r="AM327" i="1"/>
  <c r="AK320" i="1"/>
  <c r="AL22" i="1" l="1"/>
  <c r="AL259" i="1"/>
  <c r="AL277" i="1"/>
  <c r="AL313" i="1"/>
  <c r="AN313" i="1"/>
  <c r="AN22" i="1"/>
  <c r="A486" i="1" l="1"/>
  <c r="AL6" i="1" s="1"/>
  <c r="A508" i="1"/>
  <c r="AN6" i="1" s="1"/>
  <c r="M486" i="1" l="1"/>
</calcChain>
</file>

<file path=xl/sharedStrings.xml><?xml version="1.0" encoding="utf-8"?>
<sst xmlns="http://schemas.openxmlformats.org/spreadsheetml/2006/main" count="3128" uniqueCount="1320">
  <si>
    <t>&lt; 1</t>
  </si>
  <si>
    <t>1-4</t>
  </si>
  <si>
    <t>5-9</t>
  </si>
  <si>
    <t>10-14</t>
  </si>
  <si>
    <t>15-19</t>
  </si>
  <si>
    <t>20-24</t>
  </si>
  <si>
    <t>25-29</t>
  </si>
  <si>
    <t>30-34</t>
  </si>
  <si>
    <t>35-39</t>
  </si>
  <si>
    <t>50+</t>
  </si>
  <si>
    <t>M</t>
  </si>
  <si>
    <t>F</t>
  </si>
  <si>
    <t>1.1 HIV Testing</t>
  </si>
  <si>
    <t>PITC-Emergency</t>
  </si>
  <si>
    <t>PITC-Inpatient</t>
  </si>
  <si>
    <t>PITC-Malnutrition</t>
  </si>
  <si>
    <t>PITC-STI</t>
  </si>
  <si>
    <t xml:space="preserve">PITC-TB </t>
  </si>
  <si>
    <t>VCT</t>
  </si>
  <si>
    <t>Sub Total</t>
  </si>
  <si>
    <t>Test kits distributed</t>
  </si>
  <si>
    <t>Other</t>
  </si>
  <si>
    <t>Other PITC</t>
  </si>
  <si>
    <t>40-44</t>
  </si>
  <si>
    <t>45-49</t>
  </si>
  <si>
    <t>Post Treatment follow-up</t>
  </si>
  <si>
    <t>Others</t>
  </si>
  <si>
    <t>Outcomes for LTFU</t>
  </si>
  <si>
    <t>Three month test result</t>
  </si>
  <si>
    <t>Number discontinued</t>
  </si>
  <si>
    <t>Number lost to follow-up</t>
  </si>
  <si>
    <t>Number died</t>
  </si>
  <si>
    <t>Number transferred out</t>
  </si>
  <si>
    <t>First time screening &amp; treatment</t>
  </si>
  <si>
    <t>Sexual violence</t>
  </si>
  <si>
    <t>Physical &amp; emotional</t>
  </si>
  <si>
    <t>Data Element Description</t>
  </si>
  <si>
    <t>Indicator</t>
  </si>
  <si>
    <t>Data Element</t>
  </si>
  <si>
    <t>Positive results means that the client tested positive and was made aware of their HIV positive results after the test</t>
  </si>
  <si>
    <t>This is a count of clients who were tested for HIV and whose results were positive and have been enrolled into HIV care.</t>
  </si>
  <si>
    <t>This is a count of contacts that were not contacted and tested due to Intimate Partner Violence (IPV) risk</t>
  </si>
  <si>
    <t>This is a count of contacts that were not tested for HIV due to other reasons</t>
  </si>
  <si>
    <t>Known positive status refers to all those clients, who have documented evidence of their positive HIV status</t>
  </si>
  <si>
    <t>Directly assisted HIVST refers to trained providers or peers giving individuals an in-person demonstration before or during HIVST of how to perform the test and interpret the test result (WHO, 2016).</t>
  </si>
  <si>
    <t>Individual that HIV self-test kit was distributed to intends to use the test kit on him- or herself.</t>
  </si>
  <si>
    <t>Individual that HIV self-test kit was distributed to plans to further distribute the self-test kit for use on his or her sexual partner(s).</t>
  </si>
  <si>
    <t>Individual that HIV self-test kit was distributed to plans to further distribute the test kit to an individual that is not themselves or one of their sex partners (e.g., relative, friend)</t>
  </si>
  <si>
    <t>This is a count of all clients by age ,sex and population type, who have been assessed and found to be eligible for Pre-exposure prophylaxis. This includes any persons who had started pre-exposure prophylaxis in the past and stopped receiving the medicines but has been found eligible to initiate PrEP again</t>
  </si>
  <si>
    <t>This is a count of clients by age and sex that were assesssed for HIV risk using the HIV screening and elligibility tool before a HIV test is performed</t>
  </si>
  <si>
    <t>This is a count of all clients by sex, age and population type, who have had stopped using PrEP and they are re-initiated in the reporting month</t>
  </si>
  <si>
    <t>This is a count of HIV testing results received by those individuals who present for their three-month follow-up PrEP visit</t>
  </si>
  <si>
    <t>This is a count of HIV positive results received by those individuals who present for their three-month follow-up PrEP visit</t>
  </si>
  <si>
    <t>This is a count of individuals who take an HIV test when they were initiated on PrEP less than three months previously (Positive/negative/Less than three months since PrEP initiation).</t>
  </si>
  <si>
    <t>This are clients on PrEP who have been diagnosed to have STI during the reporting month</t>
  </si>
  <si>
    <t>Number of HIV-positive women on ART screened Negative for cervical cancer (ie Indicates that neither a lesion, nor any indication of invasive cervical cancer were visualized during the VIA test.for cervical cancer</t>
  </si>
  <si>
    <t>Number of HIV-positive women on ART screened positive for cervical cancer (ie Indicates visualized presence of a fulminating mass, or other clinical indicator suspicious for invasive cervical cancer</t>
  </si>
  <si>
    <t>Number of HIV-positive women on ART screened positive for cervical cancer (ie Indicates visualized presence of aceto-white lesion on the cervix following the application of acetic acid)</t>
  </si>
  <si>
    <t>The primary outpatient ablative treatment for small precancerous cervical lesions.</t>
  </si>
  <si>
    <t>An outpatient ablative treatment for small precancerous cervical lesions that uses electricity to generate temperatures of 100–120 °C for ablation of cervical lesions for all stages of cervical cancer</t>
  </si>
  <si>
    <t>Primary outpatient treatment for large precancerous cervical lesions that involves the removal of abnormal areas from the cervix and the entire transformation zone, using a loop made of thin wire powered by an electrosurgical unit</t>
  </si>
  <si>
    <t xml:space="preserve">This is a count of all clients with physical &amp; emotional exposure to HIV that were given PEP services </t>
  </si>
  <si>
    <t xml:space="preserve">This is a count of rape survivors that were screened for STI </t>
  </si>
  <si>
    <t>This is a count of rape survivors that tested positive for STI and were treated</t>
  </si>
  <si>
    <t>This is a count of all clients with sexual violence HIV exposure that were given PEP within 72 hours</t>
  </si>
  <si>
    <t xml:space="preserve">This is a count of rape survivors that were tested for STI </t>
  </si>
  <si>
    <t xml:space="preserve">This is a count of rape survivors that were tested for HIV and received their test results </t>
  </si>
  <si>
    <t xml:space="preserve">This is a count of rape survivors that tested HIV positive during their first visit </t>
  </si>
  <si>
    <t>“Known positive status” refers to all those women, who at the time of making the first visit to the ANC have documented evidence of their positive status.</t>
  </si>
  <si>
    <t>This is a count of all women who made their first ANC visit during the reporting month regardless of HIV status</t>
  </si>
  <si>
    <t>This refers to women on therapy because they needed HAART for their own health before the current pregnancy. This includes those started on HAART in the CCC setting or those started on HAART during the previous pregnancy.</t>
  </si>
  <si>
    <t>This is a count of women who had not been on HAART before but were commenced on HAART at ANC during this pregnancy.</t>
  </si>
  <si>
    <t>This is a count of women newly started ART for treatment and were breastfeeding at initiation of ART</t>
  </si>
  <si>
    <t>A count of patients confirmed as dead by direct observation or by unambiguous report of family or close contact (neighbors, co-workers, etc.); it should not be presumed.</t>
  </si>
  <si>
    <t>Any patient who died from a non-infectious, non-malignant cause that was related to HIV, such as acute HIV infection syndrome, (persistent) generalized lymphadenopathy, hematological and immunological abnormalities, etc.</t>
  </si>
  <si>
    <t>Any patient who died from natural causes (including certain cancers and infections, etc.) that were not directly related to HIV disease.</t>
  </si>
  <si>
    <t>Any patient who died from non-natural causes (e.g., trauma, accident, suicide, war, etc.)</t>
  </si>
  <si>
    <t>Patients in whom cause of death was truly not known</t>
  </si>
  <si>
    <t>A count of patients with known or presumed cancer at the time of death</t>
  </si>
  <si>
    <t>A count of patients  who died from any infectious cause other than TB; this includes infections not otherwise specified</t>
  </si>
  <si>
    <t>A count of patients with known or presumed TB (pulmonary and/or extra-pulmonary) at the time of death without another identified cause of death</t>
  </si>
  <si>
    <t>A count of PLHIV newly enrolled in HIV clinical care who start IPT and receive at least one dose six months ago when newly starting ART while they were previously receiving ART</t>
  </si>
  <si>
    <t>A count of PLHIV newly enrolled in HIV clinical care who discontinued [TNC] from those that started six months ago and were newly starting ART</t>
  </si>
  <si>
    <t>A count of PLHIV newly enrolled in HIV clinical care who were lost to follow-up [LTFU] from those that started six months ago and were newly starting ART</t>
  </si>
  <si>
    <t>A count of PLHIV newly enrolled in HIV clinical care who died [D] from those that started six months ago and were newly starting ART</t>
  </si>
  <si>
    <t>A count of PLHIV newly enrolled in HIV clinical care who transferred out [TO] from those that started six months ago and were newly starting ART</t>
  </si>
  <si>
    <t>This is a count of all clients who discontinued PrEP during the reporting period.</t>
  </si>
  <si>
    <t>This is a count of all clients who had a drug resistance test done during the reporting period.</t>
  </si>
  <si>
    <t>This is a count of all clients who were referred to other facilities before or after PrEP initiation during the reporting period.</t>
  </si>
  <si>
    <t>This is a count of all clients who were still being prepared for PrEP initiation during the reporting period.</t>
  </si>
  <si>
    <t>This is the a count of all clients who were provided with condoms during the reporting period.</t>
  </si>
  <si>
    <t>This is a count of all clients who declined PrEP initiation.</t>
  </si>
  <si>
    <t>This is a count of index clients (newly diagnosed positive or previously known positives who may or may not be on ART) who were offered (e.g., counseled on) index testing services (regardless of whether or not those services were accepted by the index client)</t>
  </si>
  <si>
    <t>This is a count of index clients who accepted (e.g., agreed to) provision of index testing services by a provider (including, counseling on index testing, elicitation of current or past sexual partners/partner notification etc.</t>
  </si>
  <si>
    <t>This is a count of persons tested or seen in a designated emergency department or ward for the immediate care and treatment of an unforeseen illness or injury.</t>
  </si>
  <si>
    <t>This is a count of PITC testing occurring among those patients admitted in the inpatient and surgery wards</t>
  </si>
  <si>
    <t>This is a count of children tested for HIV in clinics and inpatient wards predominately dedicated to the treatment of malnourished children.</t>
  </si>
  <si>
    <t>This is a count of children testd through PITC in the pediatric &lt;5 clinic only</t>
  </si>
  <si>
    <t>This is a count of persons tested in a designated STI clinic as well as patients seen in the OPD for STI symptoms.</t>
  </si>
  <si>
    <t>This is a count of persons tested for HIV because they are a confirmed or a presumptive TB case.</t>
  </si>
  <si>
    <t>This is a count of HIV testing that includes any other provider-initiated testing and counseling that is not captured in one of the other testing modalities listed above (i.e., eye, dental, dermatology, diabetes, etc.).</t>
  </si>
  <si>
    <t>This is a count of HIV testing in a clinic specifically intended for HIV testing services that is co-located within a broader health care facility</t>
  </si>
  <si>
    <t>This is a count of persons tested HIV positive in a designated emergency department or ward for the immediate care and treatment of an unforeseen illness or injury.</t>
  </si>
  <si>
    <t>This is a count of PITC tested HIV posiitve among those patients tested for HIV while admitted in the inpatient and surgery wards</t>
  </si>
  <si>
    <t>This is a count of children tested HIV positive in clinics and inpatient wards predominately dedicated to the treatment of malnourished children.</t>
  </si>
  <si>
    <t>This is a count of children testd HIV positive through PITC in the pediatric &lt;5 clinic only</t>
  </si>
  <si>
    <t>This is a count of persons tested HIV positive in a designated STI clinic as well as patients seen in the OPD for STI symptoms.</t>
  </si>
  <si>
    <t>This is a count of persons tested HIV positive because they are a confirmed or a presumptive TB case.</t>
  </si>
  <si>
    <t>This is a count of HIV positive clients after testing in any other provider-initiated testing and counseling that is not captured in one of the other testing modalities listed above (i.e., eye, dental, dermatology, diabetes, etc.).</t>
  </si>
  <si>
    <t>This is a count of HIV positive clients in a clinic specifically intended for voluntary HIV testing services that is co-located within a broader health care facility</t>
  </si>
  <si>
    <t>INSTRUCTIONS FOR FILLING THE FINER AGE &amp; SEX DISGGREGATION FORM 1A</t>
  </si>
  <si>
    <t>Outcome for 3 months ago</t>
  </si>
  <si>
    <t>1.2 HTS_SELF</t>
  </si>
  <si>
    <t>VMMC</t>
  </si>
  <si>
    <t>Discordant couples</t>
  </si>
  <si>
    <t>1st ANC visit</t>
  </si>
  <si>
    <t>Counts all women who first knew their HIV positive status at any time during the pregnancy. This is a subset of initial test at ANC1</t>
  </si>
  <si>
    <t>This is a count of all pregnant women who take a first HIV test during 1st ANC visit  It excludes repeat test during pregnancy for those women who could have tested negative earlier in the pregnancy.</t>
  </si>
  <si>
    <t>This counts all women, who were not tested during pregnancy but undertake a test as result being pregnant, whilst in labour and delivery. It excludes all those who took a test earlier in the pregnancy, and for some reason, a repeat test is done in L&amp;D.</t>
  </si>
  <si>
    <t>This is a count of all women who were not test during ANC or at labour and delivery but take first HIV test for the  pregnancy  at  post natal clinic within 6 weeks post natal</t>
  </si>
  <si>
    <t>This is the count  by age and sex for who have been inititaed on pre-exposure prophylaxis during the reporting period after meeting eligibility criteria for PrEP</t>
  </si>
  <si>
    <t>HTS_Index</t>
  </si>
  <si>
    <t>Unassisted HIVST refers to when individuals self-test for HIV and only use an HIVST kit with manufacturer provided instructions for use.</t>
  </si>
  <si>
    <t>Partner testing</t>
  </si>
  <si>
    <t>2.0  PrEP NEW &amp; CURRENT</t>
  </si>
  <si>
    <t xml:space="preserve">4.0  CERVICAL CANCER SCREENING &amp; TREATMENT </t>
  </si>
  <si>
    <t>5.0 GEND_GBV</t>
  </si>
  <si>
    <t xml:space="preserve">6.2 MATERNAL HAART </t>
  </si>
  <si>
    <t xml:space="preserve">6.1  PMTCT TESTING </t>
  </si>
  <si>
    <t>7.0  HIV &amp; TB SCREENING</t>
  </si>
  <si>
    <t>8.0 ACCOUNTING FOR ART PATIENTS WITH NO CLINICAL CONTACT</t>
  </si>
  <si>
    <t>Data source</t>
  </si>
  <si>
    <t>This is a count of all male clients, who take HIV test for the first time during the spouse's pregnacy at the ANC in the company of their spouses.  The count includes all males regardless of the woman’s test results.</t>
  </si>
  <si>
    <t>This is a count of VMMC clients who received HIV test at the facility  during the  time they visited the facility for  VMMC services</t>
  </si>
  <si>
    <t>This is a count of couples who take HIV test under HTS  and their HIV results did not match, one had HIV Positive result  while the other HIV negative. Note: In polygamous arrangements, discordance refers to unmatched test results between two or more partners in the relation.</t>
  </si>
  <si>
    <t>This is a count of couples who received HIV results at PMTCT set up  and their HIV results did not match, one had HIV Positive result  while the other HIV negative. Note: In polygamous arrangements, discordance refers to unmatched test results between two or more partners in the relation.</t>
  </si>
  <si>
    <t>This is a count of clients who initiated on PEP three months ago, e.g reporting in January 2019, those initiated on PEP in Nov 2018</t>
  </si>
  <si>
    <t>This is a count of women who had not been on HAART before but were commenced on HAART at  L&amp;D during this pregnancy.</t>
  </si>
  <si>
    <t>This data element is a count of infants issued with ARV prophylaxis during labour and delivery in a health facility. Note: If the mother was pre-issued with ARVs during ANC, her infant should not be counted, unless it is a multiple birth, in which case only the additional output of pregnancy should be counted, that is an additional infant if this a twin birth.</t>
  </si>
  <si>
    <t>This data element is a count of infants issued with ARV prophylaxis within 8 weeks after birth. Note: Do not count infants whose mothers were pre-issued with ARV prophylaxis during pregnancy or those infants who were provided with ARV
prophylaxis during labour and delivery</t>
  </si>
  <si>
    <t>MFL Code</t>
  </si>
  <si>
    <t>F01-01</t>
  </si>
  <si>
    <t>codes</t>
  </si>
  <si>
    <t>F01-02</t>
  </si>
  <si>
    <t>Contacts elicited</t>
  </si>
  <si>
    <t>Known Positive</t>
  </si>
  <si>
    <t>F01-04</t>
  </si>
  <si>
    <t>F01-05</t>
  </si>
  <si>
    <t>This is account of contacts of an index client, tested through index testing services and received results</t>
  </si>
  <si>
    <t>F01-06</t>
  </si>
  <si>
    <t>Positive</t>
  </si>
  <si>
    <t>Linked</t>
  </si>
  <si>
    <t>F01-07</t>
  </si>
  <si>
    <t>F01-08</t>
  </si>
  <si>
    <t>Not tested - Other reasons</t>
  </si>
  <si>
    <t>F01-09</t>
  </si>
  <si>
    <t>Index testing register, colm "Y"</t>
  </si>
  <si>
    <t>F01-10</t>
  </si>
  <si>
    <t>Tested</t>
  </si>
  <si>
    <t>F01-11</t>
  </si>
  <si>
    <t>F01-12</t>
  </si>
  <si>
    <t>F01-13</t>
  </si>
  <si>
    <t>F01-14</t>
  </si>
  <si>
    <t>F01-15</t>
  </si>
  <si>
    <t>F01-16</t>
  </si>
  <si>
    <t>F01-17</t>
  </si>
  <si>
    <t>F01-18</t>
  </si>
  <si>
    <t>F01-19</t>
  </si>
  <si>
    <t>F01-21</t>
  </si>
  <si>
    <t>F01-22</t>
  </si>
  <si>
    <t>F01-23</t>
  </si>
  <si>
    <t>F01-24</t>
  </si>
  <si>
    <t>F01-25</t>
  </si>
  <si>
    <t>F01-27</t>
  </si>
  <si>
    <t>F01-30</t>
  </si>
  <si>
    <t xml:space="preserve">Unassisted                                   </t>
  </si>
  <si>
    <t>F01-31</t>
  </si>
  <si>
    <t>F01-32</t>
  </si>
  <si>
    <t>F01-33</t>
  </si>
  <si>
    <t>F01-34</t>
  </si>
  <si>
    <t>FCDRR- MOH 643</t>
  </si>
  <si>
    <t xml:space="preserve">Rape survivors                         </t>
  </si>
  <si>
    <t>F05-02</t>
  </si>
  <si>
    <t>F05-01</t>
  </si>
  <si>
    <t>F02-01</t>
  </si>
  <si>
    <t>F02-02</t>
  </si>
  <si>
    <t>F02-03</t>
  </si>
  <si>
    <t>F02-05</t>
  </si>
  <si>
    <t xml:space="preserve">Tested for HIV while on PrEP       </t>
  </si>
  <si>
    <t>F02-06</t>
  </si>
  <si>
    <t>F02-07</t>
  </si>
  <si>
    <t xml:space="preserve">Drug resistance tests done       </t>
  </si>
  <si>
    <t>F02-11</t>
  </si>
  <si>
    <t>F02-12</t>
  </si>
  <si>
    <t>F02-13</t>
  </si>
  <si>
    <t>F02-14</t>
  </si>
  <si>
    <t>F02-15</t>
  </si>
  <si>
    <t>PrEP register      colm "Q"</t>
  </si>
  <si>
    <t>PrEP register      colm "H"</t>
  </si>
  <si>
    <t>PrEP register      colm "I"</t>
  </si>
  <si>
    <t>PrEP register      colm "Y"</t>
  </si>
  <si>
    <t>PrEP register      colm "P"</t>
  </si>
  <si>
    <t>PrEP register      colm "W"</t>
  </si>
  <si>
    <t>Under "remarks" colm</t>
  </si>
  <si>
    <t>PrEP register      colm "</t>
  </si>
  <si>
    <t>PrEP register      colm "U"</t>
  </si>
  <si>
    <t>ANC Rgister, colm "ar" &amp; "as"</t>
  </si>
  <si>
    <t>HTS Lab register colm "T"</t>
  </si>
  <si>
    <t>IPT register, colm  "S", "T"</t>
  </si>
  <si>
    <t>A count of PLHIV already on ART HIV clinical care who start IPT and receive at least one dose six months ago when newly starting ART while they were previously receiving ART</t>
  </si>
  <si>
    <t>F03-01</t>
  </si>
  <si>
    <t>F03-02</t>
  </si>
  <si>
    <t>F03-03</t>
  </si>
  <si>
    <t>F03-04</t>
  </si>
  <si>
    <t>F03-05</t>
  </si>
  <si>
    <t>F03-06</t>
  </si>
  <si>
    <t>F03-07</t>
  </si>
  <si>
    <t>F03-08</t>
  </si>
  <si>
    <t>F03-09</t>
  </si>
  <si>
    <t>F03-10</t>
  </si>
  <si>
    <t>F03-11</t>
  </si>
  <si>
    <t>F03-12</t>
  </si>
  <si>
    <t>F04-02</t>
  </si>
  <si>
    <t xml:space="preserve">Positive                                     </t>
  </si>
  <si>
    <t>Cervical cancer screening register "E", "Z", "L"</t>
  </si>
  <si>
    <t>Cervical cancer screening register "E", "Z", "M"</t>
  </si>
  <si>
    <t>Cervical cancer screening register "E", "Z", "N"</t>
  </si>
  <si>
    <t>F04-04</t>
  </si>
  <si>
    <t>F04-05</t>
  </si>
  <si>
    <t>F04-06</t>
  </si>
  <si>
    <t>Cervical cancer screening register "E", "Z", "Q"</t>
  </si>
  <si>
    <t>Cervical cancer screening register "E", "Z", "T"</t>
  </si>
  <si>
    <t>Cervical cancer screening register "F", "Z", "L"</t>
  </si>
  <si>
    <t>Cervical cancer screening register "F", "Z", "M"</t>
  </si>
  <si>
    <t>Cervical cancer screening register "F", "Z", "N"</t>
  </si>
  <si>
    <t xml:space="preserve">Negative                                   </t>
  </si>
  <si>
    <t xml:space="preserve">Suspected cancer                     </t>
  </si>
  <si>
    <t>F04-09</t>
  </si>
  <si>
    <t>F04-10</t>
  </si>
  <si>
    <t xml:space="preserve">Thermocoagulation                 </t>
  </si>
  <si>
    <t>F04-12</t>
  </si>
  <si>
    <t>Cervical cancer screening register "F", "Z", "Q"</t>
  </si>
  <si>
    <t>Cervical cancer screening register "F", "Z", "T"</t>
  </si>
  <si>
    <t>Cervical cancer screening register "G", "Z", "L"</t>
  </si>
  <si>
    <t>Cervical cancer screening register "G", "Z", "M"</t>
  </si>
  <si>
    <t>Cervical cancer screening register "G", "Z", "N"</t>
  </si>
  <si>
    <t>Cervical cancer screening register "G", "Z", "T"</t>
  </si>
  <si>
    <t>Cervical cancer screening register "G", "Z", "Q"</t>
  </si>
  <si>
    <t>F04-16</t>
  </si>
  <si>
    <t>F05-03</t>
  </si>
  <si>
    <t>SGBV register colm "F"</t>
  </si>
  <si>
    <t>SGBV register colm "AF"</t>
  </si>
  <si>
    <t xml:space="preserve">Initiated PEP                            </t>
  </si>
  <si>
    <t>F05-04</t>
  </si>
  <si>
    <t>F05-05</t>
  </si>
  <si>
    <t>F05-06</t>
  </si>
  <si>
    <t>F05-07</t>
  </si>
  <si>
    <t>F05-08</t>
  </si>
  <si>
    <t>F05-09</t>
  </si>
  <si>
    <t>F05-10</t>
  </si>
  <si>
    <t>F05-11</t>
  </si>
  <si>
    <t>F05-12</t>
  </si>
  <si>
    <t>F05-13</t>
  </si>
  <si>
    <t>SGBV register colm "W, "X", "Y", "Z", "AC", "AD"</t>
  </si>
  <si>
    <t>SGBV register colm "AG"</t>
  </si>
  <si>
    <t>SGBV register colm "AE"</t>
  </si>
  <si>
    <t xml:space="preserve">SGBV register colm "AE" </t>
  </si>
  <si>
    <t>This is a count of rape survivors that were elligible for a dose of emergency contraception pill. Count all clients with "Y" or "N" documentation</t>
  </si>
  <si>
    <t>This is a count of rape survivors that were given emergency contraception pill. Count only clients with "Y" documentation</t>
  </si>
  <si>
    <t>SGBV register colm "U"</t>
  </si>
  <si>
    <t xml:space="preserve">Initiated PEP 3 months ago   </t>
  </si>
  <si>
    <t xml:space="preserve">No. completed PEP                </t>
  </si>
  <si>
    <t>This is a count of all clients who sought PEP services as a result of sexual  violence exposure to HIV and received the service within 72 hrs</t>
  </si>
  <si>
    <t>F06-02</t>
  </si>
  <si>
    <t>F06-03</t>
  </si>
  <si>
    <t>ANC Rgister colm "d"</t>
  </si>
  <si>
    <t>ANC Rgister colm "x"</t>
  </si>
  <si>
    <t>ANC Rgister colm "y"</t>
  </si>
  <si>
    <t>ANC Rgister colm "d", "y", "z"</t>
  </si>
  <si>
    <t>F06-05</t>
  </si>
  <si>
    <t>F06-06</t>
  </si>
  <si>
    <t>F06-09</t>
  </si>
  <si>
    <t>PNC register colm "v", "w", 'x", "z"</t>
  </si>
  <si>
    <t>F06-10</t>
  </si>
  <si>
    <t>F06-11</t>
  </si>
  <si>
    <t>F06-12</t>
  </si>
  <si>
    <t>ANC Register colm "as", "at"</t>
  </si>
  <si>
    <t>Current on ART (PMTCT)</t>
  </si>
  <si>
    <t>This is a count of pregnant women and breast feeding mothers who are active on ART at the reporting period</t>
  </si>
  <si>
    <t>DAR MOH 366 (count of PMTCT clients only)</t>
  </si>
  <si>
    <t xml:space="preserve">Infant Prophylaxis_ANC             </t>
  </si>
  <si>
    <t>This is a count of all women who were pre-issued with ARVs to be given to the baby on delivery.  Note: This data element counts mothers as a proxy count for infants.</t>
  </si>
  <si>
    <t>ANC Register                           colm "ag" &amp;  "ah"</t>
  </si>
  <si>
    <t>Maternity register colm "aj"</t>
  </si>
  <si>
    <t>PNC register colm "ab"</t>
  </si>
  <si>
    <t>Starting ART</t>
  </si>
  <si>
    <t>F07-01</t>
  </si>
  <si>
    <t>F07-02</t>
  </si>
  <si>
    <t>This is a count of  all PLHIV who are active on ART at the reporting period</t>
  </si>
  <si>
    <t>F07-03</t>
  </si>
  <si>
    <t>DAR MOH 366/EMR</t>
  </si>
  <si>
    <t>F07-04</t>
  </si>
  <si>
    <t>F08-01</t>
  </si>
  <si>
    <t>Defaulter tracing register  colm "u"</t>
  </si>
  <si>
    <t>F08-03</t>
  </si>
  <si>
    <t>F08-05</t>
  </si>
  <si>
    <t>F08-06</t>
  </si>
  <si>
    <t>F08-07</t>
  </si>
  <si>
    <t>F08-08</t>
  </si>
  <si>
    <t>F08-09</t>
  </si>
  <si>
    <t>F08-10</t>
  </si>
  <si>
    <t>F08-11</t>
  </si>
  <si>
    <t>Defaulter tracing register  colm "w"</t>
  </si>
  <si>
    <t xml:space="preserve">Defaulter tracing register  colm "u" and "aa". Cause of death recorded under remarks. 
Triangulate with transitioned patient status form </t>
  </si>
  <si>
    <t>HIV disease resulting in TB</t>
  </si>
  <si>
    <t>Other HIV disease, resulting in other diseases or conditions leading to death</t>
  </si>
  <si>
    <t>Non-natural causes</t>
  </si>
  <si>
    <t>Unknown Cause</t>
  </si>
  <si>
    <t xml:space="preserve">This is a count of clients that have had serious and minor assault, deprivation of liberty, manslaughter, </t>
  </si>
  <si>
    <t>F05-14</t>
  </si>
  <si>
    <t>F05-15</t>
  </si>
  <si>
    <t>This is the number of clients who tested HIV negative during registration but tested HIV positive  3 months after intitation on PEP.</t>
  </si>
  <si>
    <t>SGBV register colm "AAK"</t>
  </si>
  <si>
    <t>This is the number of clients who had a  negative pregnancy test but became pregnant three months after intiaitiation on emergency pregnancy pills</t>
  </si>
  <si>
    <t xml:space="preserve">                                         </t>
  </si>
  <si>
    <t>Code</t>
  </si>
  <si>
    <t xml:space="preserve">Unassisted: Self                           </t>
  </si>
  <si>
    <t xml:space="preserve">Unassisted : Other                      </t>
  </si>
  <si>
    <t xml:space="preserve">Tested HIV Positive while on PrEP  </t>
  </si>
  <si>
    <t xml:space="preserve">Less than three months since PrEP initiation      </t>
  </si>
  <si>
    <t xml:space="preserve">Using condoms                         </t>
  </si>
  <si>
    <t xml:space="preserve">Discordant couples at  HTS       </t>
  </si>
  <si>
    <t xml:space="preserve">New on ART                               </t>
  </si>
  <si>
    <t xml:space="preserve">Previously on ART                     </t>
  </si>
  <si>
    <t xml:space="preserve">Previously on ART                      </t>
  </si>
  <si>
    <t xml:space="preserve">Cryotherapy                             </t>
  </si>
  <si>
    <t xml:space="preserve">Tested for STI                          </t>
  </si>
  <si>
    <t xml:space="preserve">Eligible for Emergency Contraceptive  </t>
  </si>
  <si>
    <t xml:space="preserve">Given Emergency Contraceptive Pill  </t>
  </si>
  <si>
    <t xml:space="preserve">Initial test at  L&amp;D                     </t>
  </si>
  <si>
    <t xml:space="preserve">Male partners tested HIV+ at ANC </t>
  </si>
  <si>
    <t xml:space="preserve">Infant Prophylaxis_ L&amp;D            </t>
  </si>
  <si>
    <t xml:space="preserve">Died (confirmed) </t>
  </si>
  <si>
    <t xml:space="preserve">HIV disease resulting in cancer      </t>
  </si>
  <si>
    <t>Sub-Indicator</t>
  </si>
  <si>
    <t>F01-03</t>
  </si>
  <si>
    <t>F01-20</t>
  </si>
  <si>
    <t>F01-26</t>
  </si>
  <si>
    <t>F01-28</t>
  </si>
  <si>
    <t>F01-29</t>
  </si>
  <si>
    <t>F02-04</t>
  </si>
  <si>
    <t>F02-08</t>
  </si>
  <si>
    <t>F02-09</t>
  </si>
  <si>
    <t>F02-10</t>
  </si>
  <si>
    <t>F02-16</t>
  </si>
  <si>
    <t>F02-17</t>
  </si>
  <si>
    <t>F04-01</t>
  </si>
  <si>
    <t>F04-03</t>
  </si>
  <si>
    <t>F04-07</t>
  </si>
  <si>
    <t>F04-08</t>
  </si>
  <si>
    <t>F04-11</t>
  </si>
  <si>
    <t>F04-13</t>
  </si>
  <si>
    <t>F04-14</t>
  </si>
  <si>
    <t>F04-15</t>
  </si>
  <si>
    <t>F04-17</t>
  </si>
  <si>
    <t>F04-18</t>
  </si>
  <si>
    <t>F06-01</t>
  </si>
  <si>
    <t>F06-04</t>
  </si>
  <si>
    <t>F06-07</t>
  </si>
  <si>
    <t>F06-08</t>
  </si>
  <si>
    <t>F06-13</t>
  </si>
  <si>
    <t>F06-14</t>
  </si>
  <si>
    <t>F06-15</t>
  </si>
  <si>
    <t>F06-16</t>
  </si>
  <si>
    <t>F06-17</t>
  </si>
  <si>
    <t>F06-18</t>
  </si>
  <si>
    <t>F06-19</t>
  </si>
  <si>
    <t>F06-20</t>
  </si>
  <si>
    <t>Errors</t>
  </si>
  <si>
    <t>Sub County</t>
  </si>
  <si>
    <t>Health Facility</t>
  </si>
  <si>
    <t>Month</t>
  </si>
  <si>
    <t>Year</t>
  </si>
  <si>
    <t>WARNINGS &amp; ERRORS</t>
  </si>
  <si>
    <t>Errors per Section</t>
  </si>
  <si>
    <t>Early Warning Service Quality</t>
  </si>
  <si>
    <t>County</t>
  </si>
  <si>
    <t>LTFU returning to care</t>
  </si>
  <si>
    <t>People who inject drugs (PWID)</t>
  </si>
  <si>
    <t>Men who have sex with men (MSM)</t>
  </si>
  <si>
    <t>Transgender people (TG)</t>
  </si>
  <si>
    <t>Female sex workers (FSW)</t>
  </si>
  <si>
    <t>People in prison and other closed settings</t>
  </si>
  <si>
    <t>General Population</t>
  </si>
  <si>
    <t>F08-001</t>
  </si>
  <si>
    <t>F08-002</t>
  </si>
  <si>
    <t>F08-003</t>
  </si>
  <si>
    <t>F08-004</t>
  </si>
  <si>
    <t>F08-005</t>
  </si>
  <si>
    <t>F08-006</t>
  </si>
  <si>
    <t>Number of ART patients from the general population with no clinical contact (or ARV drug pick-up) for greater than 28 days since their last expected contact who restarted ARVs within the reporting period</t>
  </si>
  <si>
    <t>Number of ART patients from the People who inject drugs (PWID) with no clinical contact (or ARV drug pick-up) for greater than 28 days since their last expected contact who restarted ARVs within the reporting period</t>
  </si>
  <si>
    <t>Number of ART patients from the Men who have sex with men (MSM) with no clinical contact (or ARV drug pick-up) for greater than 28 days since their last expected contact who restarted ARVs within the reporting period</t>
  </si>
  <si>
    <t>Number of ART patients from the Transgender people (TG) with no clinical contact (or ARV drug pick-up) for greater than 28 days since their last expected contact who restarted ARVs within the reporting period</t>
  </si>
  <si>
    <t>Number of ART patients from the Female sex workers (FSW) with no clinical contact (or ARV drug pick-up) for greater than 28 days since their last expected contact who restarted ARVs within the reporting period</t>
  </si>
  <si>
    <t>Number of ART patients from the People in prison and other closed settings with no clinical contact (or ARV drug pick-up) for greater than 28 days since their last expected contact who restarted ARVs within the reporting period</t>
  </si>
  <si>
    <t>Defaulter tracing register colm "y"</t>
  </si>
  <si>
    <t>F07-05</t>
  </si>
  <si>
    <t>F07-06</t>
  </si>
  <si>
    <t>F07-07</t>
  </si>
  <si>
    <t>F07-08</t>
  </si>
  <si>
    <t>F07-09</t>
  </si>
  <si>
    <t>F07-10</t>
  </si>
  <si>
    <t>2 months of ARVs dispensed to patient</t>
  </si>
  <si>
    <t>3 months of ARVs dispensed to patient</t>
  </si>
  <si>
    <t>4 months of ARVs dispensed to patient</t>
  </si>
  <si>
    <t>5 months of ARVs dispensed to patient</t>
  </si>
  <si>
    <t>6 months of ARVs dispensed to patient</t>
  </si>
  <si>
    <t>F07-11</t>
  </si>
  <si>
    <t>F07-12</t>
  </si>
  <si>
    <t>F07-13</t>
  </si>
  <si>
    <t>F07-14</t>
  </si>
  <si>
    <t>F07-15</t>
  </si>
  <si>
    <t>F07-16</t>
  </si>
  <si>
    <t>This is a count of  all PLHIV from the general population who are active on ART at the reporting period</t>
  </si>
  <si>
    <t>This is a count of  all PLHIV who inject drugs who are active on ART at the reporting period</t>
  </si>
  <si>
    <t>This is a count of  all PLHIV from Men who have sex with Men who are active on ART at the reporting period</t>
  </si>
  <si>
    <t>This is a count of  all PLHIV from the Transgender population who are active on ART at the reporting period</t>
  </si>
  <si>
    <t>This is a count of  all PLHIV Female Sex Workers (FSW) who are active on ART at the reporting period</t>
  </si>
  <si>
    <t>This is a count of  all PLHIV from People in prison and other closed settings who are active on ART at the reporting period</t>
  </si>
  <si>
    <t>This is a count of all active clients dispensed for drugs for 1 month</t>
  </si>
  <si>
    <t>This is a count of all active clients dispensed for drugs for 2 month</t>
  </si>
  <si>
    <t>This is a count of all active clients dispensed for drugs for 3 month</t>
  </si>
  <si>
    <t>This is a count of all active clients dispensed for drugs for 4 month</t>
  </si>
  <si>
    <t>This is a count of all active clients dispensed for drugs for 5 month</t>
  </si>
  <si>
    <t>This is a count of all active clients dispensed for drugs for 6 month</t>
  </si>
  <si>
    <t>DAR Pharmacy/ADT</t>
  </si>
  <si>
    <t>Total ARVs dispensed</t>
  </si>
  <si>
    <t>Currently on ART (All) 
by Population type</t>
  </si>
  <si>
    <t>Currently on ART (All)
by Multi-Month Dispensing</t>
  </si>
  <si>
    <t xml:space="preserve">PITC-Pediatric 
(&lt;5 Yrs) </t>
  </si>
  <si>
    <t>F07-17</t>
  </si>
  <si>
    <t>1 month of ARVs dispensed to patient</t>
  </si>
  <si>
    <t>F07-18</t>
  </si>
  <si>
    <t xml:space="preserve">Transferred Out                              </t>
  </si>
  <si>
    <t>A count of Patients confirmed to be successfully transferred to another
health facility during the reporting period, this includes both “silent transfers” and
“down-referrals.” A ‘down-referral’ refers to those instances where a patient is
initiated at one facility (counted as TX_NEW and possibly TX_CURR at the initiating
facility) and then transferred to a lower level facility for ongoing ART. “Silent
transfer” refers to those clients that are lost to treatment at one facility, but have reentered treatment at another facility without notifying the original departing facility</t>
  </si>
  <si>
    <t>Refused (Stopped) Treatment</t>
  </si>
  <si>
    <t>F08-012</t>
  </si>
  <si>
    <t>F08-013</t>
  </si>
  <si>
    <t>F08-014</t>
  </si>
  <si>
    <t>F08-015</t>
  </si>
  <si>
    <t>Lost to Follow-up After being on Treatment for more than  3 months</t>
  </si>
  <si>
    <t>Patient was contacted and confirmed to have stopped ART during this reporting period. Reasons that the patient stopped ART should be investigated and well documented in the narratives for this indicator (e.g., stigma and discrimination, faith healing, etc.)</t>
  </si>
  <si>
    <t xml:space="preserve">This is a count of all clients with less than three months since the ART start date who turned Lost to follow-up during the reporting period. </t>
  </si>
  <si>
    <t>This is a count of all clients with more than three months since the ART start date who turned Lost to follow-up during the reporting period.</t>
  </si>
  <si>
    <t>Defaulter tracing register (with outcomes in either column U, V, W or X) and ART Cohort Register column B/EMR</t>
  </si>
  <si>
    <t>defaulter tracing register column "T"</t>
  </si>
  <si>
    <t>a count of patients who have been given 2 prescriptions to last them for 6 months</t>
  </si>
  <si>
    <t>Total LTFU Oucomes</t>
  </si>
  <si>
    <t>Multi Month Scripting (MMS)</t>
  </si>
  <si>
    <t xml:space="preserve">Positive          </t>
  </si>
  <si>
    <t>Likii Dispensary</t>
  </si>
  <si>
    <t>15035</t>
  </si>
  <si>
    <t>Laikipia East</t>
  </si>
  <si>
    <t>Laikipia</t>
  </si>
  <si>
    <t>02</t>
  </si>
  <si>
    <t>Rescreened and treatment 
after previous negative or suspected cancer</t>
  </si>
  <si>
    <t>Prepared By:</t>
  </si>
  <si>
    <t>1.0 HTS eligibility screening at OPD, IPD &amp; MCH</t>
  </si>
  <si>
    <t>No. eligible for HTS testing</t>
  </si>
  <si>
    <t>F00-01</t>
  </si>
  <si>
    <t>F00-02</t>
  </si>
  <si>
    <t>F00-03</t>
  </si>
  <si>
    <t xml:space="preserve">Known Positive at ANC1 (PMTCT_STAT_KP)    </t>
  </si>
  <si>
    <t>ANC1 clients with known HIV status (PMTCT_STAT_Num)</t>
  </si>
  <si>
    <t xml:space="preserve">Positive test at ANC1 (PMTCT_STAT_New Pos)            </t>
  </si>
  <si>
    <t>Initial positive results at ANC 2 and above</t>
  </si>
  <si>
    <t xml:space="preserve">Initial test at PNC &lt;= 6wks           </t>
  </si>
  <si>
    <t>F06-041</t>
  </si>
  <si>
    <t>Total Positives at ANC1 (PMTCT_STAT_Pos)</t>
  </si>
  <si>
    <t>1st ANC Visit</t>
  </si>
  <si>
    <t>Retesting at ANC 2 and above</t>
  </si>
  <si>
    <t>Retesting positive result at ANC 2 and above</t>
  </si>
  <si>
    <t>F06-061</t>
  </si>
  <si>
    <t>F06-062</t>
  </si>
  <si>
    <t>L&amp;D (Maternity)</t>
  </si>
  <si>
    <t>Retesting at PNC &lt; = 6 weeks</t>
  </si>
  <si>
    <t>Retesting positive result at PNC &lt; = 6 weeks</t>
  </si>
  <si>
    <t>PNC</t>
  </si>
  <si>
    <t>F06-101</t>
  </si>
  <si>
    <t>F06-102</t>
  </si>
  <si>
    <t>F06-103</t>
  </si>
  <si>
    <t>F06-104</t>
  </si>
  <si>
    <t>F06-042</t>
  </si>
  <si>
    <t>On HAART at ANC1 (PMTCT_ART_Already on ART)</t>
  </si>
  <si>
    <t>Start HAART at ANC1 (PMTCT_ART_New on ART)</t>
  </si>
  <si>
    <t>Total on HAART at ANC1 (PMTCT_ART_Num)</t>
  </si>
  <si>
    <t xml:space="preserve">Initial Start HAART at ANC 2 and above </t>
  </si>
  <si>
    <t>Retest Start HAART ANC 2 and above</t>
  </si>
  <si>
    <t>Start HAART at L&amp;D</t>
  </si>
  <si>
    <t>Initial Start HAART at PNC &lt; = 6 weeks</t>
  </si>
  <si>
    <t>Retest Start HAART at PNC &lt; = 6 weeks</t>
  </si>
  <si>
    <t>F06-141</t>
  </si>
  <si>
    <t>F06-142</t>
  </si>
  <si>
    <t>F06-143</t>
  </si>
  <si>
    <t>F06-161</t>
  </si>
  <si>
    <t>F06-162</t>
  </si>
  <si>
    <t>PMTCT_EID Testing</t>
  </si>
  <si>
    <t>PMTCT_HEI POS ART</t>
  </si>
  <si>
    <t xml:space="preserve">Infants of 2-12 Months who had a first virologic HIV test </t>
  </si>
  <si>
    <t xml:space="preserve">Infants of 0-12 Months who had a first virologic HIV test </t>
  </si>
  <si>
    <t>PMTCT_HEI Positive</t>
  </si>
  <si>
    <t>Infants of 2-12 Months HIV +ve</t>
  </si>
  <si>
    <t>Infants of 0-12 Months HIV +Ve</t>
  </si>
  <si>
    <t xml:space="preserve">Infants of 0-2 Months who had a first virologic HIV test </t>
  </si>
  <si>
    <t>Infants of 0-2 Months HIV +ve</t>
  </si>
  <si>
    <t xml:space="preserve">Clients seen at OPD (monthly workload)                   </t>
  </si>
  <si>
    <t>F05-001</t>
  </si>
  <si>
    <t>F05-002</t>
  </si>
  <si>
    <t>HIV testing in TB clinic</t>
  </si>
  <si>
    <t>Total TB cases (new and relapsed) reported in the month (TB_STAT_Den)</t>
  </si>
  <si>
    <t>TB cases eligible for HIV testing</t>
  </si>
  <si>
    <t>TB cases with documented HIV status (TB_STAT_Num)</t>
  </si>
  <si>
    <t>F09-01</t>
  </si>
  <si>
    <t>F06-121</t>
  </si>
  <si>
    <t>F06-122</t>
  </si>
  <si>
    <t>F06-123</t>
  </si>
  <si>
    <t>F06-124</t>
  </si>
  <si>
    <t>F06-125</t>
  </si>
  <si>
    <t>F06-126</t>
  </si>
  <si>
    <t>F06-127</t>
  </si>
  <si>
    <t>F06-128</t>
  </si>
  <si>
    <t>F06-129</t>
  </si>
  <si>
    <t>F09-02</t>
  </si>
  <si>
    <t>F09-03</t>
  </si>
  <si>
    <t>F09-04</t>
  </si>
  <si>
    <t>F09-05</t>
  </si>
  <si>
    <t>F09-06</t>
  </si>
  <si>
    <t>Total TB HIV Positives at TB clinic (TB_STAT_Pos)</t>
  </si>
  <si>
    <t>F09-07</t>
  </si>
  <si>
    <t>F09-08</t>
  </si>
  <si>
    <t>F09-09</t>
  </si>
  <si>
    <t>TB cases tested positive newly started on ART (TB_ART_New on ART)</t>
  </si>
  <si>
    <t>No. newly tested for HIV</t>
  </si>
  <si>
    <t>TB Cases Already on ART at entry in TB clinic (TB_ART_Already on ART)</t>
  </si>
  <si>
    <t>No. newly tested for HIV and turned positive (TB_STAT_New Pos)</t>
  </si>
  <si>
    <t>TB cases with known HIV +ve status (KP) at entry in TB clinic (TB_STAT_KP)</t>
  </si>
  <si>
    <t>HIV disease resulting in other infectious and parasitic disease</t>
  </si>
  <si>
    <t>Other natural causes</t>
  </si>
  <si>
    <t>F09-10</t>
  </si>
  <si>
    <t>Total TB HIV coinfected clients started on ART (TB_ART_Num)</t>
  </si>
  <si>
    <t>F07-041</t>
  </si>
  <si>
    <t>F07-042</t>
  </si>
  <si>
    <t>F07-043</t>
  </si>
  <si>
    <t>F07-044</t>
  </si>
  <si>
    <t>F07-031</t>
  </si>
  <si>
    <t>Continuing (Refills) PrEP</t>
  </si>
  <si>
    <t>Clients HIV tested for PrEP initiation</t>
  </si>
  <si>
    <t>F02-011</t>
  </si>
  <si>
    <t>F02-012</t>
  </si>
  <si>
    <t>F02-041</t>
  </si>
  <si>
    <t>F02-042</t>
  </si>
  <si>
    <t>Current on PREP (unique clients that received PrEP from October to Date)</t>
  </si>
  <si>
    <t>F02-051</t>
  </si>
  <si>
    <t>F07-011</t>
  </si>
  <si>
    <t>F07-012</t>
  </si>
  <si>
    <t>F07-013</t>
  </si>
  <si>
    <t>F07-014</t>
  </si>
  <si>
    <t>F07-015</t>
  </si>
  <si>
    <t>F07-016</t>
  </si>
  <si>
    <t>Starting ART by Population type</t>
  </si>
  <si>
    <t>Starting ART Breastfeeding</t>
  </si>
  <si>
    <t>Current on ART (All)</t>
  </si>
  <si>
    <t>9.0 HIV testing in TB clinic</t>
  </si>
  <si>
    <t>Current on PREP by Population Type</t>
  </si>
  <si>
    <t>Initiated (new) on PrEP by population type</t>
  </si>
  <si>
    <t>F02-031</t>
  </si>
  <si>
    <t>F02-032</t>
  </si>
  <si>
    <t>F02-033</t>
  </si>
  <si>
    <t>F02-034</t>
  </si>
  <si>
    <t>F02-035</t>
  </si>
  <si>
    <t>F02-036</t>
  </si>
  <si>
    <t>Prep Screening and Eligibility</t>
  </si>
  <si>
    <t>Prep New</t>
  </si>
  <si>
    <t>F02-052</t>
  </si>
  <si>
    <t>F02-053</t>
  </si>
  <si>
    <t>F02-054</t>
  </si>
  <si>
    <t>F02-055</t>
  </si>
  <si>
    <t>F02-056</t>
  </si>
  <si>
    <t>F02-057</t>
  </si>
  <si>
    <t>Lost to Follow-up After being on Treatment for less than  or equal to 3 months</t>
  </si>
  <si>
    <t>Screening positive for TB (presumptive TB clients)</t>
  </si>
  <si>
    <t>F07-045</t>
  </si>
  <si>
    <t>F07-046</t>
  </si>
  <si>
    <t>F07-047</t>
  </si>
  <si>
    <t>F07-048</t>
  </si>
  <si>
    <t>Screening positive for TB Newly enrolled on ART</t>
  </si>
  <si>
    <t>Screening positive for TB Previously enrolled on ART</t>
  </si>
  <si>
    <t>Screening negative for TB Newly enrolled on ART</t>
  </si>
  <si>
    <t>Screening negative for TB Previously enrolled on ART</t>
  </si>
  <si>
    <t>No. of ART patients who had a positive result returned for bacteriologic diagnosis of active TB disease</t>
  </si>
  <si>
    <t>No. of confirmed TB positive newly started on TB treatment</t>
  </si>
  <si>
    <t>F07-049</t>
  </si>
  <si>
    <t>F07-050</t>
  </si>
  <si>
    <t>TB screening in CCC (ICF)</t>
  </si>
  <si>
    <t>TB screening in non CCC settings (OPD, IPD &amp; MCH); Active Case Finding</t>
  </si>
  <si>
    <t>F07-051</t>
  </si>
  <si>
    <t>F07-052</t>
  </si>
  <si>
    <t>F07-053</t>
  </si>
  <si>
    <t>F07-054</t>
  </si>
  <si>
    <t>F07-055</t>
  </si>
  <si>
    <t>F07-056</t>
  </si>
  <si>
    <t>F07-057</t>
  </si>
  <si>
    <t>F07-058</t>
  </si>
  <si>
    <t>F07-059</t>
  </si>
  <si>
    <t>F07-060</t>
  </si>
  <si>
    <t>This is a count of contacts provided by the index client as a result of accepting index testing services.  Note: contacts are only sexual partners, biological children/parents, and anyone with whom a needle was shared.</t>
  </si>
  <si>
    <t>This is a count of VMMC clients who received HIV positive results at the facility after the HIV test. It is a subset of F01-26 above</t>
  </si>
  <si>
    <t>This is a count of those who were intiated on PEP three months ago and have completed the prophylaxis. It is a subset of F05-12 above</t>
  </si>
  <si>
    <t>This is a count of pregnant women who take first HIV test in the pregnancy either during 2nd, 3rd , 4th visit etc. It excludes repeat test during pregnancy for those women who could have tested negative earlier in the pregnancy.</t>
  </si>
  <si>
    <t>Counts all women who first knew their HIV positive status at any time during the pregnancy post 1st ANC visit, e.g during 2nd, 3rd visit etc.  This is a subset of initial test at ANC2. However, the count includes women who could have taken the test during an earlier antenatal care visit (and results were negative) but tested HIV positive following a re-test in ANC during the reporting month.</t>
  </si>
  <si>
    <t>This is a count of breastfeeding women who tested for HIV and knew their HIV positive results first within six weeks postnatal. The count includes women who could have taken the test during antenatal, labour &amp; delivery (and results were negative) but tested HIV positive within 6 weeks of post natal period.</t>
  </si>
  <si>
    <t>This is a count of all male clients, who receive HIV positive result for the first time during the spouse's pregnacy at the ANC in the company of their spouses.  It is a sub set of F06-11 above</t>
  </si>
  <si>
    <t>Index testing register, colm "d"</t>
  </si>
  <si>
    <t>Index testing register, colm "d" vs "I"</t>
  </si>
  <si>
    <t>Index testing register, colm "I"</t>
  </si>
  <si>
    <t>Index testing register, colm "0"</t>
  </si>
  <si>
    <t>Index testing register, colm "u"</t>
  </si>
  <si>
    <t>Index testing register, colm "v"</t>
  </si>
  <si>
    <t>Index testing register, colm "s"</t>
  </si>
  <si>
    <t>HTS Lab register colm "Y"</t>
  </si>
  <si>
    <t>PrEP register      colm "I" (count of blanks)</t>
  </si>
  <si>
    <t>PrEP register      colm "I", count of declined</t>
  </si>
  <si>
    <t xml:space="preserve">Not tested - Due to IPV   </t>
  </si>
  <si>
    <t>Initiated (new) on PrEP</t>
  </si>
  <si>
    <t xml:space="preserve"> Total HTS Tested ( Excludes Tests at PMTCT)</t>
  </si>
  <si>
    <t>Retest Start HAART at L&amp;D</t>
  </si>
  <si>
    <t>F06-151</t>
  </si>
  <si>
    <t xml:space="preserve">Retesting at L&amp;D                     </t>
  </si>
  <si>
    <t>F06-081</t>
  </si>
  <si>
    <t>F06-082</t>
  </si>
  <si>
    <t xml:space="preserve">No. of clients seen at OPD (monthly workload)         </t>
  </si>
  <si>
    <t>No. screened for HTS eligibility</t>
  </si>
  <si>
    <t>Not tested - Due to IPV</t>
  </si>
  <si>
    <t xml:space="preserve">Total HTS Positive ( Excludes Positives at PMTCT) </t>
  </si>
  <si>
    <t>Unassisted: Self</t>
  </si>
  <si>
    <t>Unassisted : Sex partner</t>
  </si>
  <si>
    <t>Unassisted : Other</t>
  </si>
  <si>
    <t>Assessed for HIV risk</t>
  </si>
  <si>
    <t>Clients screened for Prep initiation testing positive</t>
  </si>
  <si>
    <t>Eligible for PrEP</t>
  </si>
  <si>
    <t>Restarting PrEP</t>
  </si>
  <si>
    <t>Less than three months since PrEP initiation</t>
  </si>
  <si>
    <t>Diagnosed with STI</t>
  </si>
  <si>
    <t>Drug resistance tests done</t>
  </si>
  <si>
    <t>Referred to other facilities</t>
  </si>
  <si>
    <t>Still on preparation</t>
  </si>
  <si>
    <t>Using condoms</t>
  </si>
  <si>
    <t>Declined</t>
  </si>
  <si>
    <t>Discordant couples at PMTCT</t>
  </si>
  <si>
    <t>Discordant couples at  HTS</t>
  </si>
  <si>
    <t>New on ART</t>
  </si>
  <si>
    <t>Previously on ART</t>
  </si>
  <si>
    <t>Negative</t>
  </si>
  <si>
    <t>Suspected cancer</t>
  </si>
  <si>
    <t>Cryotherapy</t>
  </si>
  <si>
    <t>LEEP</t>
  </si>
  <si>
    <t>Thermocoagulation</t>
  </si>
  <si>
    <t>Clients seen at OPD (monthly workload)</t>
  </si>
  <si>
    <t>Initiated PEP</t>
  </si>
  <si>
    <t>No. of clients</t>
  </si>
  <si>
    <t>Screened for STI</t>
  </si>
  <si>
    <t>Tested for STI</t>
  </si>
  <si>
    <t>Treated for STI</t>
  </si>
  <si>
    <t>Eligible for Emergency Contraceptive</t>
  </si>
  <si>
    <t>Given Emergency Contraceptive Pill</t>
  </si>
  <si>
    <t>Tested for HIV</t>
  </si>
  <si>
    <t>Initiated PEP 3 months ago</t>
  </si>
  <si>
    <t>No. completed PEP</t>
  </si>
  <si>
    <t>No. seroconverted</t>
  </si>
  <si>
    <t>No. pregnant</t>
  </si>
  <si>
    <t>New (1st) ANC clients (PMTCT_STAT_Den)</t>
  </si>
  <si>
    <t>Known Positive at ANC1 (PMTCT_STAT_KP)</t>
  </si>
  <si>
    <t>Initial test at ANC 1</t>
  </si>
  <si>
    <t>Positive test at ANC1 (PMTCT_STAT_New Pos)</t>
  </si>
  <si>
    <t>Initial test at ANC 2 and above</t>
  </si>
  <si>
    <t>Initial test at  L&amp;D</t>
  </si>
  <si>
    <t>Positive result at L&amp;D</t>
  </si>
  <si>
    <t>Retesting at L&amp;D</t>
  </si>
  <si>
    <t>Retesting Positive result at L&amp;D</t>
  </si>
  <si>
    <t>Initial test at PNC &lt;= 6wks</t>
  </si>
  <si>
    <t>Positive at PNC &lt;=6wks</t>
  </si>
  <si>
    <t>Male partners tested for HIV at ANC</t>
  </si>
  <si>
    <t>Male partners tested HIV+ at ANC</t>
  </si>
  <si>
    <t>Infants of 2-12 Months who had a first virologic HIV test</t>
  </si>
  <si>
    <t>Infants of 0-2 Months who had a first virologic HIV test</t>
  </si>
  <si>
    <t>Initial Start HAART at ANC 2 and above</t>
  </si>
  <si>
    <t>Infant Prophylaxis_ANC</t>
  </si>
  <si>
    <t>Infant Prophylaxis_ L&amp;D</t>
  </si>
  <si>
    <t>Infant Prophylaxis_PNC&lt; 6wks</t>
  </si>
  <si>
    <t>Breastfeeding at initiation of ART</t>
  </si>
  <si>
    <t>Died (confirmed)</t>
  </si>
  <si>
    <t>Transferred Out</t>
  </si>
  <si>
    <t>HIV disease resulting in cancer</t>
  </si>
  <si>
    <t xml:space="preserve">Clients seen at OPD (monthly workload)                                    </t>
  </si>
  <si>
    <t xml:space="preserve">This is a count of clients attending OPD clinic in a particular month </t>
  </si>
  <si>
    <t>OPD Register (for under 5 abd over 5)</t>
  </si>
  <si>
    <t xml:space="preserve">Screened for HTS eligibility </t>
  </si>
  <si>
    <t xml:space="preserve">This is a count of clients attending OPD clinic who were screened for HIV risk </t>
  </si>
  <si>
    <t xml:space="preserve">HIV Screening register/tally sheet </t>
  </si>
  <si>
    <t>Eligible for HTS testing</t>
  </si>
  <si>
    <t>This is a count of clients who were eligible for HIV testing based on the screening creteria</t>
  </si>
  <si>
    <t>Clients tested for HIV before PrEP initiation</t>
  </si>
  <si>
    <t>This is a count of clients who were tested for HIV before initiation to PrEP</t>
  </si>
  <si>
    <t xml:space="preserve">PrEP register Colmn "G" </t>
  </si>
  <si>
    <t xml:space="preserve">Clients testing Positive </t>
  </si>
  <si>
    <t>This is a count of clients who were tested for HIV before initiation to PrEP and had a positive result</t>
  </si>
  <si>
    <t xml:space="preserve">This is a count of clients catergorised as general population who were initiated on PrEP in a particular month </t>
  </si>
  <si>
    <t xml:space="preserve">PrEP register Colmn "F" </t>
  </si>
  <si>
    <t xml:space="preserve">This is a count of clients catergorised as PWID who were initiated on PrEP in a particular month </t>
  </si>
  <si>
    <t xml:space="preserve">This is a count of clients catergorised as MSM who were initiated on PrEP in a particular month </t>
  </si>
  <si>
    <t xml:space="preserve">This is a count of clients catergorised as TG who were initiated on PrEP in a particular month </t>
  </si>
  <si>
    <t xml:space="preserve">This is a count of clients catergorised as FSW who were initiated on PrEP in a particular month </t>
  </si>
  <si>
    <t xml:space="preserve">This is a count of clients in prisons who were initiated on PrEP in a particular month </t>
  </si>
  <si>
    <t xml:space="preserve">This is a count of clients on PrEP who came back for refills with in the reporting period. </t>
  </si>
  <si>
    <t>PrEP DAR Colmn "V to CC"</t>
  </si>
  <si>
    <t>Clients returning for 1 month (initial) follow up visit</t>
  </si>
  <si>
    <t xml:space="preserve">This is a count of clients newly initiated on PrEP in the previous month who came back for a follow-up visit in this month. </t>
  </si>
  <si>
    <t>PrEP Register Colmn "N"</t>
  </si>
  <si>
    <t xml:space="preserve">clients returning for any subsequent follow up visits </t>
  </si>
  <si>
    <t xml:space="preserve">This is a count of clients on PrEP returning for subsequent visit (inclusive of contiuning and those restarting PrEP)  </t>
  </si>
  <si>
    <t>PrEP Register Colmn "V to KK"</t>
  </si>
  <si>
    <t xml:space="preserve">Number of individuals, inclusive of those newly enrolled, that received oral antiretroviral pre-exposure prophylaxis (PrEP) to prevent HIV during the reporting period </t>
  </si>
  <si>
    <t>PrEP DAR Clomn "N to KK"</t>
  </si>
  <si>
    <t xml:space="preserve">Number of individuals catergorised as general population, inclusive of those newly enrolled, that received oral antiretroviral pre-exposure prophylaxis (PrEP) to prevent HIV during the reporting period </t>
  </si>
  <si>
    <t xml:space="preserve">Number of individuals catergorised as PWIDs, inclusive of those newly enrolled, that received oral antiretroviral pre-exposure prophylaxis (PrEP) to prevent HIV during the reporting period </t>
  </si>
  <si>
    <t xml:space="preserve">Number of individuals catergorised as general MSM, inclusive of those newly enrolled, that received oral antiretroviral pre-exposure prophylaxis (PrEP) to prevent HIV during the reporting period </t>
  </si>
  <si>
    <t xml:space="preserve">Number of individuals catergorised as TG, inclusive of those newly enrolled, that received oral antiretroviral pre-exposure prophylaxis (PrEP) to prevent HIV during the reporting period </t>
  </si>
  <si>
    <t xml:space="preserve">Number of individuals catergorised as general FSW, inclusive of those newly enrolled, that received oral antiretroviral pre-exposure prophylaxis (PrEP) to prevent HIV during the reporting period </t>
  </si>
  <si>
    <t xml:space="preserve">Number of individuals in prison and other closed settings, inclusive of those newly enrolled, that received oral antiretroviral pre-exposure prophylaxis (PrEP) to prevent HIV during the reporting period </t>
  </si>
  <si>
    <t xml:space="preserve">OPD Register </t>
  </si>
  <si>
    <t xml:space="preserve">This is a count of clients attending OPD clinic who were screened for any form of gender based violence </t>
  </si>
  <si>
    <t xml:space="preserve">Screening Register </t>
  </si>
  <si>
    <t xml:space="preserve">Known Positive status refers to all women who at the time of making this first visit to the ANC had documented evidence of posivive status. As such these women are not required to take a test at ANC, L&amp;D,or PNC </t>
  </si>
  <si>
    <t xml:space="preserve">Counts all women who first learnt their HIV status at 1st visit during pregnancy. Note: it does not matter at what stage in pregnancy.  What matters is that the woman learnt of her HIV positive status during their first antenatal visit period. </t>
  </si>
  <si>
    <t>This is a count of all women who had a second and above HIV retest done during ANC visit after ANC 1</t>
  </si>
  <si>
    <t xml:space="preserve">ANC Register colm "Y and AA" </t>
  </si>
  <si>
    <t xml:space="preserve">This is a count of women who could have taken the test during an earlier antenatal care visit (and results were negative) but testing HIV positive following a retest in ANC during the reporting month. </t>
  </si>
  <si>
    <t>Maternity register colm "af, ag"</t>
  </si>
  <si>
    <t>This is a count of women who tested positive at L&amp;D include those who were retested and result turned positive</t>
  </si>
  <si>
    <t>Maternity register colm "ah"</t>
  </si>
  <si>
    <t>This counts all women, who took a retest at labour and delivery</t>
  </si>
  <si>
    <t>This counts all women, who were retested at labour and delivery and result turned positive.</t>
  </si>
  <si>
    <t>This is a count of all women who had tested HIV negative at any time during ANC and or labour &amp; delivery who undergo another HIV test within 6 weeks postnatal</t>
  </si>
  <si>
    <t>PNC register colm "X, Y"</t>
  </si>
  <si>
    <t xml:space="preserve">This is a count of all women who had tested HIV negative as any time during ANC and or labour &amp; delivery who undergo another HIV test within 6 weeks at postnatal and resut turn out to be positive. </t>
  </si>
  <si>
    <t>PNC register colm "Z"</t>
  </si>
  <si>
    <t>This is a count of all women who were tested for HIV between 6 weeks to 6 months postnatal</t>
  </si>
  <si>
    <t>PNC register colm "AA"</t>
  </si>
  <si>
    <t xml:space="preserve">This is a count of all women who were tested for HIV between 6 weeks to 6 months postnatal and received a positive result </t>
  </si>
  <si>
    <t xml:space="preserve">This is a count of HEI aged 0-2 months who had a first PCR test done during the reporting month </t>
  </si>
  <si>
    <t>HEI register Clomn "M, N"</t>
  </si>
  <si>
    <t xml:space="preserve">This is a count of HEI aged 2-12 months who had a first PCR test done during the reporting month </t>
  </si>
  <si>
    <t xml:space="preserve">This is a count of HEI aged 0-12 months who had a first PCR test done during the reporting month </t>
  </si>
  <si>
    <t xml:space="preserve">This is a count of HEI aged 0-2 months who had Positive PCR test result during the reporting month </t>
  </si>
  <si>
    <t>HEI register Clomn "Q"</t>
  </si>
  <si>
    <t xml:space="preserve">This is a count of HEI aged 2-12 months who had Positive PCR test result during the reporting month </t>
  </si>
  <si>
    <t xml:space="preserve">This is a count of HEI aged 0-12 months who had Positive PCR test result during the reporting month </t>
  </si>
  <si>
    <t xml:space="preserve">This is a count of HEI aged 0-2 months with a positive PCR results started on ART during the reporting month </t>
  </si>
  <si>
    <t>HEI register Clomn "BE"</t>
  </si>
  <si>
    <t xml:space="preserve">This is a count of HEI aged 2-12 months with a positive PCR results started on ART during the reporting month </t>
  </si>
  <si>
    <t xml:space="preserve">This is a count of HEI aged 0-12 months with a positive PCR results started on ART during the reporting month </t>
  </si>
  <si>
    <t>ANC Rgister colm "ae"</t>
  </si>
  <si>
    <t xml:space="preserve">Counts all women who first knew their HIV positive status at any time during the pregnancy post ANC 1 visit, e.g during 2nd, 3rd visit etc and started on ART.  </t>
  </si>
  <si>
    <t>This is a count of pregnant women started ART after retesting positive during 2nd ANC visit and above</t>
  </si>
  <si>
    <t>This is a count of women who were started on HAART at L&amp;D after a positive HIV retest</t>
  </si>
  <si>
    <t xml:space="preserve">This is a count of women who had an initial test within 6 weeks postnatal, turned HIV positive and were started on HAART </t>
  </si>
  <si>
    <t>PNC register  Column (ac)</t>
  </si>
  <si>
    <t>This is a count of women who had a HIV retest within 6 weeks postnatal turned positive, and were started on HAART</t>
  </si>
  <si>
    <t>This is a count of women who had a HIV test between 6 week to 6 months postnatal, turned HIV positive and were started on HAART</t>
  </si>
  <si>
    <t>PNC register  Column (ae)</t>
  </si>
  <si>
    <t xml:space="preserve">This is a count of individuals starting HAART treatment disaggregated by the age and sex within the reporting month. </t>
  </si>
  <si>
    <t>ART register/EMR</t>
  </si>
  <si>
    <t xml:space="preserve">This is a count of individuals caterogized as general population starting HAART treatment disaggregated by the age and sex within the reporting month. </t>
  </si>
  <si>
    <t xml:space="preserve">This is a count of individuals caterogized as PWIDs starting HAART treatment disaggregated by the age and sex within the reporting month. </t>
  </si>
  <si>
    <t xml:space="preserve">This is a count of individuals caterogized as MSM starting HAART treatment disaggregated by the age and sex within the reporting month. </t>
  </si>
  <si>
    <t xml:space="preserve">This is a count of individuals caterogized as TG starting HAART treatment disaggregated by the age and sex within the reporting month. </t>
  </si>
  <si>
    <t xml:space="preserve">This is a count of individuals caterogized as FSW starting HAART treatment disaggregated by the age and sex within the reporting month. </t>
  </si>
  <si>
    <t xml:space="preserve">This is a count of individuals in prison and other closed settings starting HAART treatment disaggregated by the age and sex within the reporting month. </t>
  </si>
  <si>
    <t>Defaulter tracing register column "B" (EMR)</t>
  </si>
  <si>
    <t>This is a count of all HIV infected persons currently on Treatment preparation or on ART who were screened for TB the last time they were seen at the clinic during a scheduled visit within the reporting period.</t>
  </si>
  <si>
    <t>This is a count of all HIV infected persons newly enrolled on ART who screened TB postive the last time they were seen at the clinic during a scheduled visit within the reporting period.</t>
  </si>
  <si>
    <t>CCC DAR Column "AY, Q to Z"/ EMR</t>
  </si>
  <si>
    <t>This is a count of all HIV infected persons who have been on treatment follow-up who screened TB postive the last time they were seen at the clinic during a scheduled visit within the reporting period.</t>
  </si>
  <si>
    <t>This is a count of all HIV infected persons newly enrolled on ART who screened TB negative the last time they were seen at the clinic during a scheduled visit within the reporting period.</t>
  </si>
  <si>
    <t>This is a count of all HIV infected persons who have been on treatment follow-up who screened TB negative the last time they were seen at the clinic during a scheduled visit within the reporting period.</t>
  </si>
  <si>
    <t>This is a count of PLHIV who screened TB postive whose specimes were sent for Smear test</t>
  </si>
  <si>
    <t>Presumptive DRTB register Column "M"</t>
  </si>
  <si>
    <t>This is a count of PLHIV who screened TB postive whose specimes were sent for Gene Xpert MTB /R</t>
  </si>
  <si>
    <t>Presumptive DRTB register Column "L"</t>
  </si>
  <si>
    <t>This is a count of PLHIV who screened TB postive whose specimes were sent for Other (No Xpert)</t>
  </si>
  <si>
    <t xml:space="preserve">Presumptive DRTB register Column "N and O" </t>
  </si>
  <si>
    <t>This is a count of PLHIV who had a positive result returned for bacteriologic diagnosis of active TB disease</t>
  </si>
  <si>
    <t xml:space="preserve">Presumptive DRTB register Column "P" </t>
  </si>
  <si>
    <t>This a count of  Confirmed TB positive started on TB treatment (TX_TB_Num)</t>
  </si>
  <si>
    <t xml:space="preserve">Presumptive DRTB register Column "Q" </t>
  </si>
  <si>
    <t>No. of confirmed TB positive newly started on ART started on TB Treatment</t>
  </si>
  <si>
    <t>This is a count of confirmed TB positive newly started on ART who startedTB treatment</t>
  </si>
  <si>
    <t>Presumptive DRTB register Column "Q" CCC DAR Column "AY, Q to Z"/ EMR</t>
  </si>
  <si>
    <t>No. of confirmed TB positive already on ART strated on TB treatment</t>
  </si>
  <si>
    <t>This is a count of confirmed TB positive already on ART started on TB treatment</t>
  </si>
  <si>
    <t>OPD Register (under 5 and over 5 Years)</t>
  </si>
  <si>
    <t xml:space="preserve">This is a count of individuals screened TB positive at OPD </t>
  </si>
  <si>
    <t>Presumptive DRTB Register Clomn "B"</t>
  </si>
  <si>
    <t>This is a count of IPD,OPD, and MCH clients who screened TB postive whose specimes were sent for Smear test</t>
  </si>
  <si>
    <t>This is a count of IPD,OPD, and MCH clients who screened TB postive whose specimes were sent for Gene Xpert MTB /R</t>
  </si>
  <si>
    <t>This is a count of IPD,OPD, and MCH clients who screened TB postive whose specimes were sent for Other (No Xpert)</t>
  </si>
  <si>
    <t>This is a count of IPD,OPD, and MCH clients who had a positive result returned for bacteriologic diagnosis of active TB disease</t>
  </si>
  <si>
    <t xml:space="preserve">This is a count of Confirmed TB positive started on TB treatment (TX_TB_Num) from IPD,OPD, and MCH. </t>
  </si>
  <si>
    <t>This is a count of all TB cases (new and relapsed) reported in the month (TB_STAT_Den)</t>
  </si>
  <si>
    <t>TB 4 Column "n"</t>
  </si>
  <si>
    <t>This is a count of TB cases with known HIV +ve status (KP) at entry in TB clinic (TB_STAT_KP)</t>
  </si>
  <si>
    <t>TB 4 Column "V"</t>
  </si>
  <si>
    <t>This is a count of TB cases eligible for HIV testing</t>
  </si>
  <si>
    <t>This is a count of TB clients newly tested for HIV</t>
  </si>
  <si>
    <t>This is a count of TB cases with documented HIV status (TB_STAT_Num)</t>
  </si>
  <si>
    <t>This is a count of newly tested for HIV and turned positive (TB_STAT_New Pos)</t>
  </si>
  <si>
    <t>This is a count of Total TB HIV Positives at TB clinic (TB_STAT_Pos)</t>
  </si>
  <si>
    <t>This is a count of TB cases tested positive newly started on ART (TB_ART_New on ART)</t>
  </si>
  <si>
    <t>TB 4 Column "AA"</t>
  </si>
  <si>
    <t>This is a count of TB Cases Already on ART at entry in TB clinic (TB_ART_Already on ART)</t>
  </si>
  <si>
    <t>This is a count of Total TB HIV coinfected clients started on ART (TB_ART_Num)</t>
  </si>
  <si>
    <t>Total Screening positive for TB (presumptive TB clients)</t>
  </si>
  <si>
    <t>Total Screened for TB at last clinic visit (TX_TB_Den)</t>
  </si>
  <si>
    <t>Total No. of patients whose specimens were sent</t>
  </si>
  <si>
    <t>No. of  Confirmed ART Patients TB positive started on TB treatment (TX_TB_Num)</t>
  </si>
  <si>
    <t>No. of  Confirmed ART Patients TB positive and started on TB treatment (TX_TB_Num)</t>
  </si>
  <si>
    <t>No. of confirmed TB positive already on ART and on TB treatment</t>
  </si>
  <si>
    <t>ART Patients started on TB Treatment</t>
  </si>
  <si>
    <t>F07-061</t>
  </si>
  <si>
    <t>This is a count of PLHIV who screened TB postive whose specimes were sent</t>
  </si>
  <si>
    <t>Current On PREP</t>
  </si>
  <si>
    <t xml:space="preserve">Currently on ART (All)              </t>
  </si>
  <si>
    <t xml:space="preserve">Starting ART)                    </t>
  </si>
  <si>
    <t>HTS eligibility screening at OPD</t>
  </si>
  <si>
    <t>HTS eligibility screening at IPD</t>
  </si>
  <si>
    <t>HTS eligibility screening at MCH</t>
  </si>
  <si>
    <t>F00-04</t>
  </si>
  <si>
    <t>F00-05</t>
  </si>
  <si>
    <t>F00-06</t>
  </si>
  <si>
    <t>F00-07</t>
  </si>
  <si>
    <t>F00-08</t>
  </si>
  <si>
    <t>F00-09</t>
  </si>
  <si>
    <t>F00-10</t>
  </si>
  <si>
    <t xml:space="preserve">No. of clients seen at IPD (monthly workload)         </t>
  </si>
  <si>
    <t xml:space="preserve">No. of clients seen at MCH (monthly workload)         </t>
  </si>
  <si>
    <t>Total Eligible For HTS Testing IPD and OPD</t>
  </si>
  <si>
    <t>Total CXCA Screening Positive</t>
  </si>
  <si>
    <t>F04-031</t>
  </si>
  <si>
    <t>F04-091</t>
  </si>
  <si>
    <t>F04-151</t>
  </si>
  <si>
    <t>Sexual Violence - Rape survivors</t>
  </si>
  <si>
    <t xml:space="preserve">Sexual Violence - Initiated PEP  </t>
  </si>
  <si>
    <t>Physical Violence - No of cases</t>
  </si>
  <si>
    <t>Physical Violence - Initiated PEP</t>
  </si>
  <si>
    <t>Emotional Violence -No of clients</t>
  </si>
  <si>
    <t>GBC Screening at OPD</t>
  </si>
  <si>
    <t>GBV Screening at IPD</t>
  </si>
  <si>
    <t>GBV Screening at MCH</t>
  </si>
  <si>
    <t>GBV Screening at CCC</t>
  </si>
  <si>
    <t>F05-003</t>
  </si>
  <si>
    <t>F05-004</t>
  </si>
  <si>
    <t>F05-005</t>
  </si>
  <si>
    <t>F05-006</t>
  </si>
  <si>
    <t>F05-007</t>
  </si>
  <si>
    <t>F05-008</t>
  </si>
  <si>
    <t>F05-009</t>
  </si>
  <si>
    <t>F05-010</t>
  </si>
  <si>
    <t>F05-011</t>
  </si>
  <si>
    <t>F05-012</t>
  </si>
  <si>
    <t>F05-013</t>
  </si>
  <si>
    <t>F05-014</t>
  </si>
  <si>
    <t>F05-015</t>
  </si>
  <si>
    <t>F05-016</t>
  </si>
  <si>
    <t>F05-017</t>
  </si>
  <si>
    <t>F05-018</t>
  </si>
  <si>
    <t>F05-019</t>
  </si>
  <si>
    <t>F05-020</t>
  </si>
  <si>
    <t>F05-021</t>
  </si>
  <si>
    <t>F05-022</t>
  </si>
  <si>
    <t>F05-023</t>
  </si>
  <si>
    <t>F05-024</t>
  </si>
  <si>
    <t>F05-025</t>
  </si>
  <si>
    <t>F05-026</t>
  </si>
  <si>
    <t>F05-027</t>
  </si>
  <si>
    <t>F05-028</t>
  </si>
  <si>
    <t>F05-029</t>
  </si>
  <si>
    <t>F05-030</t>
  </si>
  <si>
    <t>F05-031</t>
  </si>
  <si>
    <t>F05-032</t>
  </si>
  <si>
    <t>Other Violence -No of clients</t>
  </si>
  <si>
    <t>F05-033</t>
  </si>
  <si>
    <t>F05-034</t>
  </si>
  <si>
    <t>F05-035</t>
  </si>
  <si>
    <t>F05-036</t>
  </si>
  <si>
    <t>No. Screened for GBV at OPD</t>
  </si>
  <si>
    <t>No. Screened for GBV at IPD</t>
  </si>
  <si>
    <t>No. Screened for GBV at CCC</t>
  </si>
  <si>
    <t>No. Screened for GBV at MCH</t>
  </si>
  <si>
    <t>Total No of GBV cases identified at OPD</t>
  </si>
  <si>
    <t>Total Eligible IPD and OPD</t>
  </si>
  <si>
    <t>Clients seen at IPD (monthly workload)</t>
  </si>
  <si>
    <t>Clients seen at CCC (monthly workload)</t>
  </si>
  <si>
    <t>Clients seen at MCH (monthly workload)</t>
  </si>
  <si>
    <t>Total No of GBV cases identified at IPD</t>
  </si>
  <si>
    <t>Total No of GBV cases identified at CCC</t>
  </si>
  <si>
    <t>Total No of GBV cases identified at MCH</t>
  </si>
  <si>
    <t>Total Sexual Violence Initiated PEP</t>
  </si>
  <si>
    <t>Infants of 0-2 Months confirmed HIV +ve initiated on ART</t>
  </si>
  <si>
    <t>Infants of 2-12 Months confirmed HIV +ve initiated on ART</t>
  </si>
  <si>
    <t xml:space="preserve">This is a count of GBV cases identifies within a reporting month. </t>
  </si>
  <si>
    <t>GBV register Column "Q"</t>
  </si>
  <si>
    <t xml:space="preserve">This is a count of GVB rape survivors who presented with Sexual Violence at facility during the reporting month. </t>
  </si>
  <si>
    <t xml:space="preserve">This is a count of GBV clients who presented  at facility with cases of Sexual Violence and started on PEP during the reporting month. </t>
  </si>
  <si>
    <t>GBV register Column "V"</t>
  </si>
  <si>
    <t xml:space="preserve">This is a count of GBV clients who presented at facility with physical violence during the reporting month. </t>
  </si>
  <si>
    <t xml:space="preserve">This is a count of GBV clients who presented at facility with physical violence and were started on PEP during the reporting month. </t>
  </si>
  <si>
    <t xml:space="preserve">This is a count of GBV clients who reported to have had an emotional/psychological violence during the reporting month </t>
  </si>
  <si>
    <t xml:space="preserve">This is a count of clients attending IPD Log clinic in a particular month </t>
  </si>
  <si>
    <t xml:space="preserve">IPD Log </t>
  </si>
  <si>
    <t xml:space="preserve">This is a count of clients attending IPD clinic who were screened for any form of gender based violence </t>
  </si>
  <si>
    <t xml:space="preserve">This is a count of GBV clients who reported any other form of GBV during the reporting month </t>
  </si>
  <si>
    <t xml:space="preserve">This is a count of clients attending CCC clinic in a particular month </t>
  </si>
  <si>
    <t xml:space="preserve">CCC DAR </t>
  </si>
  <si>
    <t xml:space="preserve">This is a count of clients attending CCC clinic who were screened for any form of gender based violence </t>
  </si>
  <si>
    <t xml:space="preserve">This is a count of GVB rape survivors who presented with Sexual Violence at CCC during the reporting month. </t>
  </si>
  <si>
    <t xml:space="preserve">This is a count of GBV clients who presented  at CCC with cases of Sexual Violence and started on PEP during the reporting month. </t>
  </si>
  <si>
    <t xml:space="preserve">This is a count of GBV clients who presented at CCC with physical violence during the reporting month. </t>
  </si>
  <si>
    <t xml:space="preserve">This is a count of GBV clients who presented at CCC with physical violence and were started on PEP during the reporting month. </t>
  </si>
  <si>
    <t xml:space="preserve">OPD Register Log </t>
  </si>
  <si>
    <t>Infants of 0-12 Months HIV +Ve Initiated on ART</t>
  </si>
  <si>
    <t xml:space="preserve">Breastfeeding at initiation of ART   </t>
  </si>
  <si>
    <t>This data element is a total of all clients who took a HIV test during a given reporting period excluding the Tests reported in the PMTCT</t>
  </si>
  <si>
    <t>This data element is a total of all clients who tested HIV postive during a give reporting period excluding the positives at PMTCT</t>
  </si>
  <si>
    <t xml:space="preserve">Clients seen at OPD , IPD and MCH (monthly workload)                   </t>
  </si>
  <si>
    <t>Warnings Summaries</t>
  </si>
  <si>
    <t>Errors Justifications</t>
  </si>
  <si>
    <t xml:space="preserve">Type any Justifications on the section below to explain reason for the warnings on the left </t>
  </si>
  <si>
    <t>Data Gaps Warnings</t>
  </si>
  <si>
    <t>Errors Summaries</t>
  </si>
  <si>
    <t>GBV Screening at OPD</t>
  </si>
  <si>
    <t xml:space="preserve">Initiated on IPT 
</t>
  </si>
  <si>
    <t xml:space="preserve">Completed IPT
</t>
  </si>
  <si>
    <t>This is a count of the current patients on ART  who were started any course of IPT during the reporting period prior to the one being reported</t>
  </si>
  <si>
    <t>A count of PLHIV newly enrolled in HIV clinical care who completed IPT treatment from those that started and were newly starting ART</t>
  </si>
  <si>
    <t>A count of PLHIV already on ART HIV clinical care who start and complete IPT when newly starting ART while they were previously receiving ART</t>
  </si>
  <si>
    <t>Screened for TB</t>
  </si>
  <si>
    <t>Sexual Rape survivors [OPD, IPD , MCH and CCC]</t>
  </si>
  <si>
    <t xml:space="preserve">Sexual violence </t>
  </si>
  <si>
    <t>Physical &amp; emotional Violence</t>
  </si>
  <si>
    <t xml:space="preserve">No. of  Confirmed TB positive started on TB treatment </t>
  </si>
  <si>
    <t>No. of who had a positive result returned for bacteriologic diagnosis of active TB disease (No confirmed TB diagnosis)</t>
  </si>
  <si>
    <t>No. of  Confirmed TB positive started on TB treatment</t>
  </si>
  <si>
    <t>OPD Register (for under 5 and over 5)</t>
  </si>
  <si>
    <t>Screening positive for TB ( Presumptive TB clients)  Newly enrolled on ART</t>
  </si>
  <si>
    <t xml:space="preserve">Unassisted      </t>
  </si>
  <si>
    <t xml:space="preserve">1-30 Days Defaulters </t>
  </si>
  <si>
    <t>F10-08</t>
  </si>
  <si>
    <t>10.0 FP Integration</t>
  </si>
  <si>
    <t>Number of Women of reproductive age that received FP services at CCC</t>
  </si>
  <si>
    <t>FP Integration</t>
  </si>
  <si>
    <t>CD4 Count</t>
  </si>
  <si>
    <t>Starting ART and CD4 Count Done</t>
  </si>
  <si>
    <t>F07-021</t>
  </si>
  <si>
    <t>1-30 Days Defaulters</t>
  </si>
  <si>
    <t xml:space="preserve">This is a count of clients who missed their appointments between 1 and 30 days. </t>
  </si>
  <si>
    <t>F01-35</t>
  </si>
  <si>
    <t>F01-36</t>
  </si>
  <si>
    <t xml:space="preserve">This is a count of  WRA Received FP services at CCC </t>
  </si>
  <si>
    <t xml:space="preserve">CCC DAR  Column " BM " </t>
  </si>
  <si>
    <t xml:space="preserve">This is a count of individuals starting HAART treatment (TX_NEW) disaggregated by the age and sex within  documented CD4 Count results  within the reporting month </t>
  </si>
  <si>
    <t xml:space="preserve">ART Register/EMR </t>
  </si>
  <si>
    <t xml:space="preserve">This is a a total count of clients who received HIV self-test and returned their HIV tests results at the facility </t>
  </si>
  <si>
    <t>HTS Self testing register column "o"</t>
  </si>
  <si>
    <t>This is a count of clients who received a HIV self-test and returned HIV positive results at the facility. it is a subset of F01-36 above</t>
  </si>
  <si>
    <t>_F00-01</t>
  </si>
  <si>
    <t>_F00-02</t>
  </si>
  <si>
    <t>_F00-03</t>
  </si>
  <si>
    <t>_F00-04</t>
  </si>
  <si>
    <t>_F00-11</t>
  </si>
  <si>
    <t>F04-032</t>
  </si>
  <si>
    <t>F04-152</t>
  </si>
  <si>
    <t>F04-092</t>
  </si>
  <si>
    <t>Reffered for treatment</t>
  </si>
  <si>
    <t>F09-021</t>
  </si>
  <si>
    <t>TB cases with known HIV Negative status (KN) at entry in TB clinic (TB_STAT_KN)</t>
  </si>
  <si>
    <t>This is a count of TB cases with known HIV Negative status (KN) at entry in TB clinic (TB_STAT_KN)</t>
  </si>
  <si>
    <t>Note: Please DON'T cut paste any cell, this will interfere with the formulas.</t>
  </si>
  <si>
    <t>Screening positive for TB ( Presumptive TB clients)  Previously enrolled on ART</t>
  </si>
  <si>
    <r>
      <t xml:space="preserve">Incase you copy data, please </t>
    </r>
    <r>
      <rPr>
        <b/>
        <sz val="20"/>
        <color theme="1"/>
        <rFont val="Calibri"/>
        <family val="2"/>
        <scheme val="minor"/>
      </rPr>
      <t>paste as value</t>
    </r>
    <r>
      <rPr>
        <b/>
        <sz val="20"/>
        <color rgb="FFFF0000"/>
        <rFont val="Calibri"/>
        <family val="2"/>
        <scheme val="minor"/>
      </rPr>
      <t xml:space="preserve"> to avoid unexpected Red alerts</t>
    </r>
  </si>
  <si>
    <r>
      <t>Total Eligible For HTS Testing in OPD</t>
    </r>
    <r>
      <rPr>
        <b/>
        <sz val="20"/>
        <color theme="9" tint="0.59999389629810485"/>
        <rFont val="Calibri"/>
        <family val="2"/>
        <scheme val="minor"/>
      </rPr>
      <t xml:space="preserve"> IPD and MCH</t>
    </r>
  </si>
  <si>
    <r>
      <t xml:space="preserve">PITC-TB </t>
    </r>
    <r>
      <rPr>
        <sz val="20"/>
        <color theme="4"/>
        <rFont val="Calibri"/>
        <family val="2"/>
        <scheme val="minor"/>
      </rPr>
      <t>( autopopulated from section 9.0)</t>
    </r>
  </si>
  <si>
    <r>
      <t>Directly Assisted</t>
    </r>
    <r>
      <rPr>
        <b/>
        <sz val="20"/>
        <color theme="1"/>
        <rFont val="Calibri"/>
        <family val="2"/>
        <scheme val="minor"/>
      </rPr>
      <t xml:space="preserve">  </t>
    </r>
  </si>
  <si>
    <r>
      <t>Current on PREP (</t>
    </r>
    <r>
      <rPr>
        <i/>
        <sz val="20"/>
        <color theme="1"/>
        <rFont val="Calibri"/>
        <family val="2"/>
        <scheme val="minor"/>
      </rPr>
      <t>sum unique clients that received PrEP from October to Date</t>
    </r>
    <r>
      <rPr>
        <b/>
        <sz val="20"/>
        <color theme="1"/>
        <rFont val="Calibri"/>
        <family val="2"/>
        <scheme val="minor"/>
      </rPr>
      <t>)</t>
    </r>
  </si>
  <si>
    <r>
      <t>Discontinued PrEP</t>
    </r>
    <r>
      <rPr>
        <b/>
        <sz val="20"/>
        <color theme="1"/>
        <rFont val="Calibri"/>
        <family val="2"/>
        <scheme val="minor"/>
      </rPr>
      <t xml:space="preserve">   </t>
    </r>
  </si>
  <si>
    <r>
      <t>HIV positive at 1</t>
    </r>
    <r>
      <rPr>
        <vertAlign val="superscript"/>
        <sz val="20"/>
        <color theme="1"/>
        <rFont val="Calibri"/>
        <family val="2"/>
        <scheme val="minor"/>
      </rPr>
      <t>st</t>
    </r>
    <r>
      <rPr>
        <sz val="20"/>
        <color theme="1"/>
        <rFont val="Calibri"/>
        <family val="2"/>
        <scheme val="minor"/>
      </rPr>
      <t xml:space="preserve"> visit</t>
    </r>
  </si>
  <si>
    <r>
      <rPr>
        <b/>
        <sz val="20"/>
        <color theme="1"/>
        <rFont val="Calibri"/>
        <family val="2"/>
        <scheme val="minor"/>
      </rPr>
      <t xml:space="preserve">ANC 2 visit and above </t>
    </r>
    <r>
      <rPr>
        <sz val="20"/>
        <color theme="1"/>
        <rFont val="Calibri"/>
        <family val="2"/>
        <scheme val="minor"/>
      </rPr>
      <t xml:space="preserve">
</t>
    </r>
    <r>
      <rPr>
        <i/>
        <sz val="20"/>
        <color theme="1"/>
        <rFont val="Calibri"/>
        <family val="2"/>
        <scheme val="minor"/>
      </rPr>
      <t>(includes 2nd, 3rd, 4th ANC visits etc.)</t>
    </r>
  </si>
  <si>
    <r>
      <rPr>
        <b/>
        <sz val="20"/>
        <color theme="1"/>
        <rFont val="Calibri"/>
        <family val="2"/>
        <scheme val="minor"/>
      </rPr>
      <t xml:space="preserve">ANC 2 and above </t>
    </r>
    <r>
      <rPr>
        <i/>
        <sz val="20"/>
        <color theme="1"/>
        <rFont val="Calibri"/>
        <family val="2"/>
        <scheme val="minor"/>
      </rPr>
      <t>(includes 2nd, 3rd, 4th ANC visits etc)</t>
    </r>
  </si>
  <si>
    <r>
      <t>Infant Prophylaxis</t>
    </r>
    <r>
      <rPr>
        <b/>
        <i/>
        <sz val="20"/>
        <color theme="1"/>
        <rFont val="Calibri"/>
        <family val="2"/>
        <scheme val="minor"/>
      </rPr>
      <t xml:space="preserve"> 
</t>
    </r>
    <r>
      <rPr>
        <i/>
        <sz val="20"/>
        <color theme="1"/>
        <rFont val="Calibri"/>
        <family val="2"/>
        <scheme val="minor"/>
      </rPr>
      <t>(use  mother's age for reporting)</t>
    </r>
  </si>
  <si>
    <r>
      <t xml:space="preserve">No. of patients whose specimens were sent for </t>
    </r>
    <r>
      <rPr>
        <b/>
        <sz val="20"/>
        <color theme="1"/>
        <rFont val="Calibri"/>
        <family val="2"/>
        <scheme val="minor"/>
      </rPr>
      <t>Smear Only</t>
    </r>
  </si>
  <si>
    <r>
      <t xml:space="preserve">No. of patients whose specimens were sent for </t>
    </r>
    <r>
      <rPr>
        <b/>
        <sz val="20"/>
        <color theme="1"/>
        <rFont val="Calibri"/>
        <family val="2"/>
        <scheme val="minor"/>
      </rPr>
      <t>Gene Xpert MTB /R if Assay</t>
    </r>
  </si>
  <si>
    <r>
      <t xml:space="preserve">No. of patients whose specimens were sent for </t>
    </r>
    <r>
      <rPr>
        <b/>
        <sz val="20"/>
        <color theme="1"/>
        <rFont val="Calibri"/>
        <family val="2"/>
        <scheme val="minor"/>
      </rPr>
      <t>Other (No Xpert)</t>
    </r>
  </si>
  <si>
    <r>
      <t xml:space="preserve">Cause of  death (COD) </t>
    </r>
    <r>
      <rPr>
        <b/>
        <i/>
        <sz val="20"/>
        <color theme="1"/>
        <rFont val="Calibri"/>
        <family val="2"/>
        <scheme val="minor"/>
      </rPr>
      <t>Optional</t>
    </r>
  </si>
  <si>
    <r>
      <t xml:space="preserve">TB cases with known </t>
    </r>
    <r>
      <rPr>
        <b/>
        <sz val="20"/>
        <color theme="5"/>
        <rFont val="Calibri"/>
        <family val="2"/>
        <scheme val="minor"/>
      </rPr>
      <t>HIV +ve</t>
    </r>
    <r>
      <rPr>
        <sz val="20"/>
        <color theme="1"/>
        <rFont val="Calibri"/>
        <family val="2"/>
        <scheme val="minor"/>
      </rPr>
      <t xml:space="preserve"> status (KP) at entry in TB clinic (TB_STAT_KP)</t>
    </r>
  </si>
  <si>
    <r>
      <t xml:space="preserve">TB cases with known HIV </t>
    </r>
    <r>
      <rPr>
        <b/>
        <sz val="20"/>
        <color theme="1"/>
        <rFont val="Calibri"/>
        <family val="2"/>
        <scheme val="minor"/>
      </rPr>
      <t>Negative</t>
    </r>
    <r>
      <rPr>
        <sz val="20"/>
        <color theme="1"/>
        <rFont val="Calibri"/>
        <family val="2"/>
        <scheme val="minor"/>
      </rPr>
      <t xml:space="preserve"> status (KN) at entry in TB clinic (TB_STAT_KN)</t>
    </r>
  </si>
  <si>
    <t>Form Navigation Helper</t>
  </si>
  <si>
    <t>Index clients offered safe index testing services</t>
  </si>
  <si>
    <t>Index accepted safe index testing services</t>
  </si>
  <si>
    <t>PREP_CT</t>
  </si>
  <si>
    <t>F02-058</t>
  </si>
  <si>
    <t>50-54</t>
  </si>
  <si>
    <t>55-59</t>
  </si>
  <si>
    <t>60+</t>
  </si>
  <si>
    <t>1.12 HTS_RECENT</t>
  </si>
  <si>
    <t>F01-120</t>
  </si>
  <si>
    <t>F01-121</t>
  </si>
  <si>
    <t>F01-122</t>
  </si>
  <si>
    <t>F01-123</t>
  </si>
  <si>
    <t>F01-124</t>
  </si>
  <si>
    <t>F01-125</t>
  </si>
  <si>
    <t>F01-126</t>
  </si>
  <si>
    <t>F01-127</t>
  </si>
  <si>
    <t>F01-128</t>
  </si>
  <si>
    <t>F01-129</t>
  </si>
  <si>
    <t>F01-130</t>
  </si>
  <si>
    <t>F01-131</t>
  </si>
  <si>
    <r>
      <rPr>
        <sz val="20"/>
        <color theme="0" tint="-0.34998626667073579"/>
        <rFont val="Calibri"/>
        <family val="2"/>
        <scheme val="minor"/>
      </rPr>
      <t>HTS_RECENT-</t>
    </r>
    <r>
      <rPr>
        <sz val="20"/>
        <color theme="1"/>
        <rFont val="Calibri"/>
        <family val="2"/>
        <scheme val="minor"/>
      </rPr>
      <t xml:space="preserve"> 
</t>
    </r>
    <r>
      <rPr>
        <b/>
        <sz val="20"/>
        <color theme="1"/>
        <rFont val="Calibri"/>
        <family val="2"/>
        <scheme val="minor"/>
      </rPr>
      <t>Index Testing</t>
    </r>
  </si>
  <si>
    <r>
      <rPr>
        <sz val="20"/>
        <color theme="0" tint="-0.34998626667073579"/>
        <rFont val="Calibri"/>
        <family val="2"/>
        <scheme val="minor"/>
      </rPr>
      <t>HTS_RECENT -</t>
    </r>
    <r>
      <rPr>
        <b/>
        <sz val="20"/>
        <color theme="1"/>
        <rFont val="Calibri"/>
        <family val="2"/>
        <scheme val="minor"/>
      </rPr>
      <t>Emergency Ward</t>
    </r>
  </si>
  <si>
    <r>
      <rPr>
        <sz val="20"/>
        <color theme="0" tint="-0.34998626667073579"/>
        <rFont val="Calibri"/>
        <family val="2"/>
        <scheme val="minor"/>
      </rPr>
      <t>HTS_RECENT -</t>
    </r>
    <r>
      <rPr>
        <b/>
        <sz val="20"/>
        <color theme="1"/>
        <rFont val="Calibri"/>
        <family val="2"/>
        <scheme val="minor"/>
      </rPr>
      <t>Inpatient Services</t>
    </r>
  </si>
  <si>
    <r>
      <rPr>
        <sz val="20"/>
        <color theme="0" tint="-0.34998626667073579"/>
        <rFont val="Calibri"/>
        <family val="2"/>
        <scheme val="minor"/>
      </rPr>
      <t>HTS_RECENT -</t>
    </r>
    <r>
      <rPr>
        <sz val="20"/>
        <color theme="1"/>
        <rFont val="Calibri"/>
        <family val="2"/>
        <scheme val="minor"/>
      </rPr>
      <t xml:space="preserve">
</t>
    </r>
    <r>
      <rPr>
        <b/>
        <sz val="20"/>
        <color theme="1"/>
        <rFont val="Calibri"/>
        <family val="2"/>
        <scheme val="minor"/>
      </rPr>
      <t>PMTCT (ANC1 Only)</t>
    </r>
  </si>
  <si>
    <r>
      <rPr>
        <sz val="20"/>
        <color theme="0" tint="-0.34998626667073579"/>
        <rFont val="Calibri"/>
        <family val="2"/>
        <scheme val="minor"/>
      </rPr>
      <t>HTS_RECENT -</t>
    </r>
    <r>
      <rPr>
        <sz val="20"/>
        <color theme="1"/>
        <rFont val="Calibri"/>
        <family val="2"/>
        <scheme val="minor"/>
      </rPr>
      <t xml:space="preserve">
</t>
    </r>
    <r>
      <rPr>
        <b/>
        <sz val="20"/>
        <color theme="1"/>
        <rFont val="Calibri"/>
        <family val="2"/>
        <scheme val="minor"/>
      </rPr>
      <t>STI Clinic</t>
    </r>
  </si>
  <si>
    <r>
      <rPr>
        <sz val="20"/>
        <color theme="0" tint="-0.34998626667073579"/>
        <rFont val="Calibri"/>
        <family val="2"/>
        <scheme val="minor"/>
      </rPr>
      <t>HTS_RECENT -</t>
    </r>
    <r>
      <rPr>
        <sz val="20"/>
        <color theme="1"/>
        <rFont val="Calibri"/>
        <family val="2"/>
        <scheme val="minor"/>
      </rPr>
      <t xml:space="preserve">
</t>
    </r>
    <r>
      <rPr>
        <b/>
        <sz val="20"/>
        <color theme="1"/>
        <rFont val="Calibri"/>
        <family val="2"/>
        <scheme val="minor"/>
      </rPr>
      <t>TB Clinics</t>
    </r>
  </si>
  <si>
    <r>
      <rPr>
        <sz val="20"/>
        <color theme="0" tint="-0.34998626667073579"/>
        <rFont val="Calibri"/>
        <family val="2"/>
        <scheme val="minor"/>
      </rPr>
      <t>HTS_RECENT -</t>
    </r>
    <r>
      <rPr>
        <sz val="20"/>
        <color theme="1"/>
        <rFont val="Calibri"/>
        <family val="2"/>
        <scheme val="minor"/>
      </rPr>
      <t xml:space="preserve">
</t>
    </r>
    <r>
      <rPr>
        <b/>
        <sz val="20"/>
        <color theme="1"/>
        <rFont val="Calibri"/>
        <family val="2"/>
        <scheme val="minor"/>
      </rPr>
      <t>VCT</t>
    </r>
  </si>
  <si>
    <r>
      <rPr>
        <sz val="20"/>
        <color theme="0" tint="-0.34998626667073579"/>
        <rFont val="Calibri"/>
        <family val="2"/>
        <scheme val="minor"/>
      </rPr>
      <t>HTS_RECENT -</t>
    </r>
    <r>
      <rPr>
        <sz val="20"/>
        <color theme="1"/>
        <rFont val="Calibri"/>
        <family val="2"/>
        <scheme val="minor"/>
      </rPr>
      <t xml:space="preserve">
</t>
    </r>
    <r>
      <rPr>
        <b/>
        <sz val="20"/>
        <color theme="1"/>
        <rFont val="Calibri"/>
        <family val="2"/>
        <scheme val="minor"/>
      </rPr>
      <t>Other PITC</t>
    </r>
  </si>
  <si>
    <r>
      <rPr>
        <sz val="20"/>
        <color theme="0" tint="-0.34998626667073579"/>
        <rFont val="Calibri"/>
        <family val="2"/>
        <scheme val="minor"/>
      </rPr>
      <t>HTS_RECENT -</t>
    </r>
    <r>
      <rPr>
        <sz val="20"/>
        <color theme="1"/>
        <rFont val="Calibri"/>
        <family val="2"/>
        <scheme val="minor"/>
      </rPr>
      <t xml:space="preserve">
</t>
    </r>
    <r>
      <rPr>
        <b/>
        <sz val="20"/>
        <color theme="1"/>
        <rFont val="Calibri"/>
        <family val="2"/>
        <scheme val="minor"/>
      </rPr>
      <t>Confirmatory Testing</t>
    </r>
  </si>
  <si>
    <t>Confirmed Recent</t>
  </si>
  <si>
    <t>Confirmed Long-Term</t>
  </si>
  <si>
    <r>
      <rPr>
        <sz val="20"/>
        <color theme="0" tint="-0.34998626667073579"/>
        <rFont val="Calibri"/>
        <family val="2"/>
        <scheme val="minor"/>
      </rPr>
      <t>HTS_RECENT -</t>
    </r>
    <r>
      <rPr>
        <sz val="20"/>
        <color theme="1"/>
        <rFont val="Calibri"/>
        <family val="2"/>
        <scheme val="minor"/>
      </rPr>
      <t xml:space="preserve">
</t>
    </r>
    <r>
      <rPr>
        <b/>
        <sz val="20"/>
        <color theme="1"/>
        <rFont val="Calibri"/>
        <family val="2"/>
        <scheme val="minor"/>
      </rPr>
      <t>PMTCT (Post ANC1)</t>
    </r>
  </si>
  <si>
    <t>F01-132</t>
  </si>
  <si>
    <t>F01-133</t>
  </si>
  <si>
    <t>F01-134</t>
  </si>
  <si>
    <t>F01-135</t>
  </si>
  <si>
    <t>F01-136</t>
  </si>
  <si>
    <t>F01-137</t>
  </si>
  <si>
    <t>F01-138</t>
  </si>
  <si>
    <t>F01-139</t>
  </si>
  <si>
    <t>Social Network Strategy (SNS)</t>
  </si>
  <si>
    <t>F01-251</t>
  </si>
  <si>
    <t>F01-252</t>
  </si>
  <si>
    <t>F01-045</t>
  </si>
  <si>
    <t>Documented Negative</t>
  </si>
  <si>
    <r>
      <rPr>
        <sz val="20"/>
        <color theme="0" tint="-0.34998626667073579"/>
        <rFont val="Calibri"/>
        <family val="2"/>
        <scheme val="minor"/>
      </rPr>
      <t>HTS_RECENT -</t>
    </r>
    <r>
      <rPr>
        <sz val="20"/>
        <color theme="1"/>
        <rFont val="Calibri"/>
        <family val="2"/>
        <scheme val="minor"/>
      </rPr>
      <t xml:space="preserve">
</t>
    </r>
    <r>
      <rPr>
        <b/>
        <sz val="20"/>
        <color theme="1"/>
        <rFont val="Calibri"/>
        <family val="2"/>
        <scheme val="minor"/>
      </rPr>
      <t>Social Network Strategy (SNS)</t>
    </r>
  </si>
  <si>
    <t>F01-140</t>
  </si>
  <si>
    <t>F01-141</t>
  </si>
  <si>
    <r>
      <t xml:space="preserve">Tested           </t>
    </r>
    <r>
      <rPr>
        <b/>
        <sz val="22"/>
        <color theme="1"/>
        <rFont val="Calibri"/>
        <family val="2"/>
        <scheme val="minor"/>
      </rPr>
      <t xml:space="preserve"> </t>
    </r>
  </si>
  <si>
    <r>
      <t xml:space="preserve">Tested             </t>
    </r>
    <r>
      <rPr>
        <b/>
        <sz val="22"/>
        <color theme="1"/>
        <rFont val="Calibri"/>
        <family val="2"/>
        <scheme val="minor"/>
      </rPr>
      <t xml:space="preserve"> </t>
    </r>
  </si>
  <si>
    <r>
      <t xml:space="preserve">Directly Assisted                   </t>
    </r>
    <r>
      <rPr>
        <b/>
        <sz val="22"/>
        <color theme="1"/>
        <rFont val="Calibri"/>
        <family val="2"/>
        <scheme val="minor"/>
      </rPr>
      <t xml:space="preserve">       </t>
    </r>
  </si>
  <si>
    <r>
      <t xml:space="preserve">Unassisted : Sex partner           </t>
    </r>
    <r>
      <rPr>
        <b/>
        <sz val="22"/>
        <color theme="1"/>
        <rFont val="Calibri"/>
        <family val="2"/>
        <scheme val="minor"/>
      </rPr>
      <t xml:space="preserve"> </t>
    </r>
  </si>
  <si>
    <r>
      <t xml:space="preserve">Assessed for HIV risk             </t>
    </r>
    <r>
      <rPr>
        <b/>
        <sz val="22"/>
        <color theme="1"/>
        <rFont val="Calibri"/>
        <family val="2"/>
        <scheme val="minor"/>
      </rPr>
      <t xml:space="preserve">   </t>
    </r>
  </si>
  <si>
    <r>
      <t xml:space="preserve">Clients eligible for PrEP                     </t>
    </r>
    <r>
      <rPr>
        <b/>
        <sz val="22"/>
        <color theme="1"/>
        <rFont val="Calibri"/>
        <family val="2"/>
        <scheme val="minor"/>
      </rPr>
      <t xml:space="preserve">  </t>
    </r>
  </si>
  <si>
    <r>
      <t xml:space="preserve">Restarting PrEP                        </t>
    </r>
    <r>
      <rPr>
        <b/>
        <sz val="22"/>
        <color theme="1"/>
        <rFont val="Calibri"/>
        <family val="2"/>
        <scheme val="minor"/>
      </rPr>
      <t xml:space="preserve"> </t>
    </r>
  </si>
  <si>
    <r>
      <t xml:space="preserve">Diagnosed with STI                  </t>
    </r>
    <r>
      <rPr>
        <b/>
        <sz val="22"/>
        <color theme="1"/>
        <rFont val="Calibri"/>
        <family val="2"/>
        <scheme val="minor"/>
      </rPr>
      <t xml:space="preserve"> </t>
    </r>
  </si>
  <si>
    <r>
      <t>Discontinued PrEP</t>
    </r>
    <r>
      <rPr>
        <b/>
        <sz val="22"/>
        <color theme="1"/>
        <rFont val="Calibri"/>
        <family val="2"/>
        <scheme val="minor"/>
      </rPr>
      <t xml:space="preserve">                    </t>
    </r>
  </si>
  <si>
    <r>
      <t xml:space="preserve">Referred to other facilities     </t>
    </r>
    <r>
      <rPr>
        <b/>
        <sz val="22"/>
        <color theme="1"/>
        <rFont val="Calibri"/>
        <family val="2"/>
        <scheme val="minor"/>
      </rPr>
      <t xml:space="preserve">  </t>
    </r>
  </si>
  <si>
    <r>
      <t>Still on preparation</t>
    </r>
    <r>
      <rPr>
        <b/>
        <sz val="22"/>
        <color theme="1"/>
        <rFont val="Calibri"/>
        <family val="2"/>
        <scheme val="minor"/>
      </rPr>
      <t xml:space="preserve">                  </t>
    </r>
  </si>
  <si>
    <r>
      <t xml:space="preserve">Declined                                </t>
    </r>
    <r>
      <rPr>
        <b/>
        <sz val="22"/>
        <color theme="1"/>
        <rFont val="Calibri"/>
        <family val="2"/>
        <scheme val="minor"/>
      </rPr>
      <t xml:space="preserve">    </t>
    </r>
  </si>
  <si>
    <r>
      <t>Discordant couples at PMTCT</t>
    </r>
    <r>
      <rPr>
        <b/>
        <sz val="22"/>
        <color theme="1"/>
        <rFont val="Calibri"/>
        <family val="2"/>
        <scheme val="minor"/>
      </rPr>
      <t xml:space="preserve">  </t>
    </r>
  </si>
  <si>
    <r>
      <t xml:space="preserve">New on ART (IPT)                     </t>
    </r>
    <r>
      <rPr>
        <b/>
        <sz val="22"/>
        <color theme="1"/>
        <rFont val="Calibri"/>
        <family val="2"/>
        <scheme val="minor"/>
      </rPr>
      <t xml:space="preserve"> </t>
    </r>
  </si>
  <si>
    <r>
      <t xml:space="preserve">Already on ART (IPT)                </t>
    </r>
    <r>
      <rPr>
        <b/>
        <sz val="22"/>
        <color theme="1"/>
        <rFont val="Calibri"/>
        <family val="2"/>
        <scheme val="minor"/>
      </rPr>
      <t xml:space="preserve"> </t>
    </r>
  </si>
  <si>
    <r>
      <t xml:space="preserve">New on ART (IPT)                    </t>
    </r>
    <r>
      <rPr>
        <b/>
        <sz val="22"/>
        <color theme="1"/>
        <rFont val="Calibri"/>
        <family val="2"/>
        <scheme val="minor"/>
      </rPr>
      <t xml:space="preserve">  </t>
    </r>
  </si>
  <si>
    <r>
      <t xml:space="preserve">Previously on ART                   </t>
    </r>
    <r>
      <rPr>
        <b/>
        <sz val="22"/>
        <color theme="1"/>
        <rFont val="Calibri"/>
        <family val="2"/>
        <scheme val="minor"/>
      </rPr>
      <t xml:space="preserve">  </t>
    </r>
  </si>
  <si>
    <r>
      <t xml:space="preserve">Previously on ART                     </t>
    </r>
    <r>
      <rPr>
        <b/>
        <sz val="22"/>
        <color theme="1"/>
        <rFont val="Calibri"/>
        <family val="2"/>
        <scheme val="minor"/>
      </rPr>
      <t xml:space="preserve"> </t>
    </r>
  </si>
  <si>
    <r>
      <t xml:space="preserve">Negative                                  </t>
    </r>
    <r>
      <rPr>
        <b/>
        <sz val="22"/>
        <color theme="1"/>
        <rFont val="Calibri"/>
        <family val="2"/>
        <scheme val="minor"/>
      </rPr>
      <t xml:space="preserve"> </t>
    </r>
  </si>
  <si>
    <r>
      <t xml:space="preserve">Suspected cancer                    </t>
    </r>
    <r>
      <rPr>
        <b/>
        <sz val="22"/>
        <color theme="1"/>
        <rFont val="Calibri"/>
        <family val="2"/>
        <scheme val="minor"/>
      </rPr>
      <t xml:space="preserve"> </t>
    </r>
  </si>
  <si>
    <r>
      <t xml:space="preserve">Cryotherapy                            </t>
    </r>
    <r>
      <rPr>
        <b/>
        <sz val="22"/>
        <color theme="1"/>
        <rFont val="Calibri"/>
        <family val="2"/>
        <scheme val="minor"/>
      </rPr>
      <t xml:space="preserve"> </t>
    </r>
  </si>
  <si>
    <r>
      <t xml:space="preserve">LEEP                                         </t>
    </r>
    <r>
      <rPr>
        <b/>
        <sz val="22"/>
        <color theme="1"/>
        <rFont val="Calibri"/>
        <family val="2"/>
        <scheme val="minor"/>
      </rPr>
      <t xml:space="preserve"> </t>
    </r>
  </si>
  <si>
    <r>
      <t>Thermocoagulation</t>
    </r>
    <r>
      <rPr>
        <b/>
        <sz val="22"/>
        <color theme="1"/>
        <rFont val="Calibri"/>
        <family val="2"/>
        <scheme val="minor"/>
      </rPr>
      <t xml:space="preserve">                 </t>
    </r>
  </si>
  <si>
    <r>
      <t xml:space="preserve">Positive                                   </t>
    </r>
    <r>
      <rPr>
        <b/>
        <sz val="22"/>
        <color theme="1"/>
        <rFont val="Calibri"/>
        <family val="2"/>
        <scheme val="minor"/>
      </rPr>
      <t xml:space="preserve">  </t>
    </r>
  </si>
  <si>
    <r>
      <t xml:space="preserve">Negative                                 </t>
    </r>
    <r>
      <rPr>
        <b/>
        <sz val="22"/>
        <color theme="1"/>
        <rFont val="Calibri"/>
        <family val="2"/>
        <scheme val="minor"/>
      </rPr>
      <t xml:space="preserve">  </t>
    </r>
  </si>
  <si>
    <r>
      <t>Initiated PEP</t>
    </r>
    <r>
      <rPr>
        <b/>
        <sz val="22"/>
        <color theme="1"/>
        <rFont val="Calibri"/>
        <family val="2"/>
        <scheme val="minor"/>
      </rPr>
      <t xml:space="preserve">                            </t>
    </r>
  </si>
  <si>
    <r>
      <t xml:space="preserve">No. of clients                     </t>
    </r>
    <r>
      <rPr>
        <b/>
        <sz val="22"/>
        <color theme="1"/>
        <rFont val="Calibri"/>
        <family val="2"/>
        <scheme val="minor"/>
      </rPr>
      <t xml:space="preserve"> </t>
    </r>
  </si>
  <si>
    <r>
      <t xml:space="preserve">Screened for STI                  </t>
    </r>
    <r>
      <rPr>
        <b/>
        <sz val="22"/>
        <color theme="1"/>
        <rFont val="Calibri"/>
        <family val="2"/>
        <scheme val="minor"/>
      </rPr>
      <t xml:space="preserve">    </t>
    </r>
  </si>
  <si>
    <r>
      <t xml:space="preserve">Treated for STI                       </t>
    </r>
    <r>
      <rPr>
        <b/>
        <sz val="22"/>
        <color theme="1"/>
        <rFont val="Calibri"/>
        <family val="2"/>
        <scheme val="minor"/>
      </rPr>
      <t xml:space="preserve"> </t>
    </r>
  </si>
  <si>
    <r>
      <t>Tested for HIV</t>
    </r>
    <r>
      <rPr>
        <b/>
        <sz val="22"/>
        <color theme="1"/>
        <rFont val="Calibri"/>
        <family val="2"/>
        <scheme val="minor"/>
      </rPr>
      <t xml:space="preserve">                         </t>
    </r>
  </si>
  <si>
    <r>
      <t>HIV positive at 1</t>
    </r>
    <r>
      <rPr>
        <vertAlign val="superscript"/>
        <sz val="22"/>
        <color theme="1"/>
        <rFont val="Calibri"/>
        <family val="2"/>
        <scheme val="minor"/>
      </rPr>
      <t>st</t>
    </r>
    <r>
      <rPr>
        <sz val="22"/>
        <color theme="1"/>
        <rFont val="Calibri"/>
        <family val="2"/>
        <scheme val="minor"/>
      </rPr>
      <t xml:space="preserve"> visit           </t>
    </r>
  </si>
  <si>
    <r>
      <t xml:space="preserve">No. seroconverted </t>
    </r>
    <r>
      <rPr>
        <b/>
        <sz val="22"/>
        <color theme="1"/>
        <rFont val="Calibri"/>
        <family val="2"/>
        <scheme val="minor"/>
      </rPr>
      <t xml:space="preserve"> </t>
    </r>
  </si>
  <si>
    <r>
      <t xml:space="preserve">No. pregnant </t>
    </r>
    <r>
      <rPr>
        <b/>
        <sz val="22"/>
        <color theme="1"/>
        <rFont val="Calibri"/>
        <family val="2"/>
        <scheme val="minor"/>
      </rPr>
      <t xml:space="preserve"> </t>
    </r>
  </si>
  <si>
    <r>
      <t xml:space="preserve">New (1st) ANC clients (PMTCT_STAT_Den)  </t>
    </r>
    <r>
      <rPr>
        <b/>
        <sz val="22"/>
        <color theme="1"/>
        <rFont val="Calibri"/>
        <family val="2"/>
        <scheme val="minor"/>
      </rPr>
      <t xml:space="preserve">       </t>
    </r>
  </si>
  <si>
    <r>
      <t>Initial test at ANC 1</t>
    </r>
    <r>
      <rPr>
        <b/>
        <sz val="22"/>
        <color theme="1"/>
        <rFont val="Calibri"/>
        <family val="2"/>
        <scheme val="minor"/>
      </rPr>
      <t xml:space="preserve">                  </t>
    </r>
  </si>
  <si>
    <r>
      <rPr>
        <b/>
        <sz val="22"/>
        <color theme="1"/>
        <rFont val="Calibri"/>
        <family val="2"/>
        <scheme val="minor"/>
      </rPr>
      <t xml:space="preserve">ANC 2 visit and above </t>
    </r>
    <r>
      <rPr>
        <sz val="22"/>
        <color theme="1"/>
        <rFont val="Calibri"/>
        <family val="2"/>
        <scheme val="minor"/>
      </rPr>
      <t xml:space="preserve">
</t>
    </r>
    <r>
      <rPr>
        <i/>
        <sz val="22"/>
        <color theme="1"/>
        <rFont val="Calibri"/>
        <family val="2"/>
        <scheme val="minor"/>
      </rPr>
      <t>(includes 2nd, 3rd, 4th ANC visits etc.)</t>
    </r>
  </si>
  <si>
    <r>
      <t xml:space="preserve">Initial test at ANC 2 and above             </t>
    </r>
    <r>
      <rPr>
        <b/>
        <sz val="22"/>
        <color theme="1"/>
        <rFont val="Calibri"/>
        <family val="2"/>
        <scheme val="minor"/>
      </rPr>
      <t xml:space="preserve"> </t>
    </r>
  </si>
  <si>
    <r>
      <t>Positive result at L&amp;D</t>
    </r>
    <r>
      <rPr>
        <b/>
        <sz val="22"/>
        <color theme="1"/>
        <rFont val="Calibri"/>
        <family val="2"/>
        <scheme val="minor"/>
      </rPr>
      <t xml:space="preserve">                </t>
    </r>
  </si>
  <si>
    <r>
      <t>Retesting Positive result at L&amp;D</t>
    </r>
    <r>
      <rPr>
        <b/>
        <sz val="22"/>
        <color theme="1"/>
        <rFont val="Calibri"/>
        <family val="2"/>
        <scheme val="minor"/>
      </rPr>
      <t xml:space="preserve">            </t>
    </r>
  </si>
  <si>
    <r>
      <t xml:space="preserve">Positive at PNC &lt;=6wks           </t>
    </r>
    <r>
      <rPr>
        <b/>
        <sz val="22"/>
        <color theme="1"/>
        <rFont val="Calibri"/>
        <family val="2"/>
        <scheme val="minor"/>
      </rPr>
      <t xml:space="preserve">     </t>
    </r>
  </si>
  <si>
    <r>
      <t>Male partners tested for HIV at ANC</t>
    </r>
    <r>
      <rPr>
        <b/>
        <sz val="22"/>
        <color theme="1"/>
        <rFont val="Calibri"/>
        <family val="2"/>
        <scheme val="minor"/>
      </rPr>
      <t xml:space="preserve">  </t>
    </r>
  </si>
  <si>
    <r>
      <rPr>
        <b/>
        <sz val="22"/>
        <color theme="1"/>
        <rFont val="Calibri"/>
        <family val="2"/>
        <scheme val="minor"/>
      </rPr>
      <t xml:space="preserve">ANC 2 and above 
</t>
    </r>
    <r>
      <rPr>
        <i/>
        <sz val="22"/>
        <color theme="1"/>
        <rFont val="Calibri"/>
        <family val="2"/>
        <scheme val="minor"/>
      </rPr>
      <t>(includes 2nd, 3rd, 4th ANC visits etc)</t>
    </r>
  </si>
  <si>
    <r>
      <t xml:space="preserve">Current on ART (PMTCT)       </t>
    </r>
    <r>
      <rPr>
        <b/>
        <sz val="22"/>
        <color theme="1"/>
        <rFont val="Calibri"/>
        <family val="2"/>
        <scheme val="minor"/>
      </rPr>
      <t xml:space="preserve">    </t>
    </r>
  </si>
  <si>
    <r>
      <t>Infant Prophylaxis</t>
    </r>
    <r>
      <rPr>
        <b/>
        <i/>
        <sz val="22"/>
        <color theme="1"/>
        <rFont val="Calibri"/>
        <family val="2"/>
        <scheme val="minor"/>
      </rPr>
      <t xml:space="preserve"> 
</t>
    </r>
    <r>
      <rPr>
        <i/>
        <sz val="22"/>
        <color theme="1"/>
        <rFont val="Calibri"/>
        <family val="2"/>
        <scheme val="minor"/>
      </rPr>
      <t>(use  mother's age for reporting)</t>
    </r>
  </si>
  <si>
    <r>
      <t>Infant Prophylaxis_PNC&lt; 6wks</t>
    </r>
    <r>
      <rPr>
        <b/>
        <sz val="22"/>
        <color theme="1"/>
        <rFont val="Calibri"/>
        <family val="2"/>
        <scheme val="minor"/>
      </rPr>
      <t xml:space="preserve">  </t>
    </r>
  </si>
  <si>
    <r>
      <t xml:space="preserve">Starting ART)                   </t>
    </r>
    <r>
      <rPr>
        <b/>
        <sz val="22"/>
        <color theme="1"/>
        <rFont val="Calibri"/>
        <family val="2"/>
        <scheme val="minor"/>
      </rPr>
      <t xml:space="preserve"> </t>
    </r>
  </si>
  <si>
    <r>
      <t xml:space="preserve">Currently on ART (All)             </t>
    </r>
    <r>
      <rPr>
        <b/>
        <sz val="22"/>
        <color theme="1"/>
        <rFont val="Calibri"/>
        <family val="2"/>
        <scheme val="minor"/>
      </rPr>
      <t xml:space="preserve"> </t>
    </r>
  </si>
  <si>
    <r>
      <t xml:space="preserve">No. of patients whose specimens were sent for </t>
    </r>
    <r>
      <rPr>
        <b/>
        <sz val="22"/>
        <color theme="1"/>
        <rFont val="Calibri"/>
        <family val="2"/>
        <scheme val="minor"/>
      </rPr>
      <t>Smear Only</t>
    </r>
  </si>
  <si>
    <r>
      <t xml:space="preserve">No. of patients whose specimens were sent for </t>
    </r>
    <r>
      <rPr>
        <b/>
        <sz val="22"/>
        <color theme="1"/>
        <rFont val="Calibri"/>
        <family val="2"/>
        <scheme val="minor"/>
      </rPr>
      <t>Gene Xpert MTB /R if Assay</t>
    </r>
  </si>
  <si>
    <r>
      <t xml:space="preserve">No. of patients whose specimens were sent for </t>
    </r>
    <r>
      <rPr>
        <b/>
        <sz val="22"/>
        <color theme="1"/>
        <rFont val="Calibri"/>
        <family val="2"/>
        <scheme val="minor"/>
      </rPr>
      <t>Other (No Xpert)</t>
    </r>
  </si>
  <si>
    <r>
      <t xml:space="preserve">Cause of  death (COD) </t>
    </r>
    <r>
      <rPr>
        <b/>
        <i/>
        <sz val="22"/>
        <color theme="1"/>
        <rFont val="Calibri"/>
        <family val="2"/>
        <scheme val="minor"/>
      </rPr>
      <t>Optional</t>
    </r>
  </si>
  <si>
    <t>Continuing and Restarted On Prep</t>
  </si>
  <si>
    <t>2.0  PrEP NEW &amp; PREP_CT</t>
  </si>
  <si>
    <t>10.0 LINKAGE</t>
  </si>
  <si>
    <t>F10-01</t>
  </si>
  <si>
    <t>F10-02</t>
  </si>
  <si>
    <t>F10-03</t>
  </si>
  <si>
    <t>Linked in another UTJ Site (inter-facility linkage)</t>
  </si>
  <si>
    <t>F10-04</t>
  </si>
  <si>
    <t>Linked in another non-UTJ Site (inter-facility linkage)</t>
  </si>
  <si>
    <t>F10-05</t>
  </si>
  <si>
    <t>Total Unlinked</t>
  </si>
  <si>
    <t>F10-06</t>
  </si>
  <si>
    <t>F10-07</t>
  </si>
  <si>
    <t>F10-09</t>
  </si>
  <si>
    <t>F10-010</t>
  </si>
  <si>
    <t>F10-011</t>
  </si>
  <si>
    <t>F10-012</t>
  </si>
  <si>
    <t>F10-013</t>
  </si>
  <si>
    <t>F10-014</t>
  </si>
  <si>
    <t>F10-015</t>
  </si>
  <si>
    <t>F10-016</t>
  </si>
  <si>
    <t>F10-017</t>
  </si>
  <si>
    <t>F10-018</t>
  </si>
  <si>
    <t>F10-019</t>
  </si>
  <si>
    <t>F10-020</t>
  </si>
  <si>
    <t>Linked within this site (Intra-facility Linkage)</t>
  </si>
  <si>
    <t>PITC-Pediatric (&lt;5 Yrs)</t>
  </si>
  <si>
    <t>PITC-TB</t>
  </si>
  <si>
    <t>ANC 1</t>
  </si>
  <si>
    <t>POST ANC 1 ( ANC 2 and above , L&amp;D, PNC &lt;=6 wks )</t>
  </si>
  <si>
    <t>F10-021</t>
  </si>
  <si>
    <t>F10-022</t>
  </si>
  <si>
    <t>F10-023</t>
  </si>
  <si>
    <t>F10-024</t>
  </si>
  <si>
    <t>F10-025</t>
  </si>
  <si>
    <t>F10-026</t>
  </si>
  <si>
    <t>F10-027</t>
  </si>
  <si>
    <t>F10-028</t>
  </si>
  <si>
    <t>F10-029</t>
  </si>
  <si>
    <t>F10-030</t>
  </si>
  <si>
    <t>F10-031</t>
  </si>
  <si>
    <t>F10-032</t>
  </si>
  <si>
    <t>F10-033</t>
  </si>
  <si>
    <t>F10-034</t>
  </si>
  <si>
    <t>F10-035</t>
  </si>
  <si>
    <t>F10-036</t>
  </si>
  <si>
    <t>F10-037</t>
  </si>
  <si>
    <t>F10-038</t>
  </si>
  <si>
    <t>F10-039</t>
  </si>
  <si>
    <t>F10-040</t>
  </si>
  <si>
    <t>F10-041</t>
  </si>
  <si>
    <t>F10-042</t>
  </si>
  <si>
    <t>F10-043</t>
  </si>
  <si>
    <t>F10-044</t>
  </si>
  <si>
    <t>F10-045</t>
  </si>
  <si>
    <t>F10-046</t>
  </si>
  <si>
    <t>F10-047</t>
  </si>
  <si>
    <t>F10-048</t>
  </si>
  <si>
    <t>F10-049</t>
  </si>
  <si>
    <t>F10-050</t>
  </si>
  <si>
    <t>F10-051</t>
  </si>
  <si>
    <t>F10-052</t>
  </si>
  <si>
    <t>F10-053</t>
  </si>
  <si>
    <t>F10-054</t>
  </si>
  <si>
    <t>F10-055</t>
  </si>
  <si>
    <t>F10-056</t>
  </si>
  <si>
    <t>F10-057</t>
  </si>
  <si>
    <t>F10-058</t>
  </si>
  <si>
    <t>F10-059</t>
  </si>
  <si>
    <t>F10-060</t>
  </si>
  <si>
    <t>F10-061</t>
  </si>
  <si>
    <t>F10-062</t>
  </si>
  <si>
    <t>F10-063</t>
  </si>
  <si>
    <t>F10-064</t>
  </si>
  <si>
    <t>F10-065</t>
  </si>
  <si>
    <t>F10-066</t>
  </si>
  <si>
    <t>All Modalities</t>
  </si>
  <si>
    <t>60-64</t>
  </si>
  <si>
    <t>65+</t>
  </si>
  <si>
    <t>Prep_CT test result</t>
  </si>
  <si>
    <t>Tested for HIV while on PrEP_CT</t>
  </si>
  <si>
    <t>Tested HIV Positive while on PrEP_CT</t>
  </si>
  <si>
    <t>RTRI Recent</t>
  </si>
  <si>
    <t>RTRI Long-Term</t>
  </si>
  <si>
    <t>RITA Recent</t>
  </si>
  <si>
    <t>RITA Long-Term</t>
  </si>
  <si>
    <t>F01-1201</t>
  </si>
  <si>
    <t>F01-1211</t>
  </si>
  <si>
    <t>F01-1221</t>
  </si>
  <si>
    <t>F01-1231</t>
  </si>
  <si>
    <t>F01-1261</t>
  </si>
  <si>
    <t>F01-1271</t>
  </si>
  <si>
    <t>F01-1281</t>
  </si>
  <si>
    <t>F01-1291</t>
  </si>
  <si>
    <t>F01-1301</t>
  </si>
  <si>
    <t>F01-1311</t>
  </si>
  <si>
    <t>F01-1321</t>
  </si>
  <si>
    <t>F01-1331</t>
  </si>
  <si>
    <t>F01-1341</t>
  </si>
  <si>
    <t>F01-1351</t>
  </si>
  <si>
    <t>F01-1361</t>
  </si>
  <si>
    <t>F01-1371</t>
  </si>
  <si>
    <t>F01-1381</t>
  </si>
  <si>
    <t>F01-1391</t>
  </si>
  <si>
    <t>Pregnant</t>
  </si>
  <si>
    <t>Breastfeeding</t>
  </si>
  <si>
    <t>PREP_CT Pregnant or Breastfeeding</t>
  </si>
  <si>
    <t>F02-081</t>
  </si>
  <si>
    <t>F02-082</t>
  </si>
  <si>
    <r>
      <t xml:space="preserve">Clients that return for a followup visit or re-initiation to receive Prep ( </t>
    </r>
    <r>
      <rPr>
        <b/>
        <sz val="20"/>
        <color theme="1"/>
        <rFont val="Calibri"/>
        <family val="2"/>
        <scheme val="minor"/>
      </rPr>
      <t>excluding those newly enrolled</t>
    </r>
    <r>
      <rPr>
        <sz val="20"/>
        <color theme="1"/>
        <rFont val="Calibri"/>
        <family val="2"/>
        <scheme val="minor"/>
      </rPr>
      <t xml:space="preserve"> )</t>
    </r>
  </si>
  <si>
    <r>
      <rPr>
        <sz val="20"/>
        <color theme="1"/>
        <rFont val="Calibri"/>
        <family val="2"/>
        <scheme val="minor"/>
      </rPr>
      <t xml:space="preserve">Clients that return for a followup visit or re-initiation to receive Prep during the quarter ( </t>
    </r>
    <r>
      <rPr>
        <b/>
        <sz val="20"/>
        <color theme="1"/>
        <rFont val="Calibri"/>
        <family val="2"/>
        <scheme val="minor"/>
      </rPr>
      <t>excluding those newly enrolled on prep within the quarter</t>
    </r>
    <r>
      <rPr>
        <sz val="20"/>
        <color theme="1"/>
        <rFont val="Calibri"/>
        <family val="2"/>
        <scheme val="minor"/>
      </rPr>
      <t xml:space="preserve"> )</t>
    </r>
    <r>
      <rPr>
        <sz val="20"/>
        <color rgb="FFFF0000"/>
        <rFont val="Calibri"/>
        <family val="2"/>
        <scheme val="minor"/>
      </rPr>
      <t xml:space="preserve">
</t>
    </r>
    <r>
      <rPr>
        <sz val="20"/>
        <color rgb="FF7030A0"/>
        <rFont val="Calibri"/>
        <family val="2"/>
        <scheme val="minor"/>
      </rPr>
      <t>Note: a client cannot be reported on both prep_new and prep_ct within the same quarter</t>
    </r>
  </si>
  <si>
    <t>Serodiscordant Couple</t>
  </si>
  <si>
    <t>F02-0310</t>
  </si>
  <si>
    <t>F02-0311</t>
  </si>
  <si>
    <t>F02-0312</t>
  </si>
  <si>
    <t>F02-0313</t>
  </si>
  <si>
    <t>F02-0314</t>
  </si>
  <si>
    <t>F02-0315</t>
  </si>
  <si>
    <t>F02-0316</t>
  </si>
  <si>
    <t>F02-0317</t>
  </si>
  <si>
    <t>F02-0318</t>
  </si>
  <si>
    <t>Adolescent Girls and Young Women</t>
  </si>
  <si>
    <t>Men at high risk</t>
  </si>
  <si>
    <t>Other Women</t>
  </si>
  <si>
    <t>Pregnant and Breast Feeding Women</t>
  </si>
  <si>
    <t>Not tested - Due to Adverse Events</t>
  </si>
  <si>
    <t>F01-085</t>
  </si>
  <si>
    <t>F01-250</t>
  </si>
  <si>
    <t>F01-1241</t>
  </si>
  <si>
    <t>F01-1251</t>
  </si>
  <si>
    <t>Testing Results - unassisted</t>
  </si>
  <si>
    <t>F01-37</t>
  </si>
  <si>
    <t>F01-38</t>
  </si>
  <si>
    <r>
      <t xml:space="preserve">Testing Results - </t>
    </r>
    <r>
      <rPr>
        <sz val="20"/>
        <color rgb="FFFF0000"/>
        <rFont val="Calibri"/>
        <family val="2"/>
        <scheme val="minor"/>
      </rPr>
      <t>Directly Assisted</t>
    </r>
  </si>
  <si>
    <t>Total HTS (Excluding PMTCT)</t>
  </si>
  <si>
    <t>Total HTS (Including PMTCT)</t>
  </si>
  <si>
    <t xml:space="preserve"> Total HTS Tested</t>
  </si>
  <si>
    <t>Total HTS Positive</t>
  </si>
  <si>
    <t>F01-281</t>
  </si>
  <si>
    <t>F01-282</t>
  </si>
  <si>
    <t>Positive result at at PNC &gt; 6 weeks to 6 months</t>
  </si>
  <si>
    <t>Retesting at PNC &gt; 6 weeks to 6 months</t>
  </si>
  <si>
    <t>Retesting positive result at PNC &gt; 6 weeks to 6 months</t>
  </si>
  <si>
    <t>F06-105</t>
  </si>
  <si>
    <t>F06-106</t>
  </si>
  <si>
    <r>
      <rPr>
        <sz val="20"/>
        <color rgb="FFFF0000"/>
        <rFont val="Calibri"/>
        <family val="2"/>
        <scheme val="minor"/>
      </rPr>
      <t>Initial Test</t>
    </r>
    <r>
      <rPr>
        <sz val="20"/>
        <color theme="1"/>
        <rFont val="Calibri"/>
        <family val="2"/>
        <scheme val="minor"/>
      </rPr>
      <t xml:space="preserve"> at PNC &gt; 6 weeks to 6 months</t>
    </r>
  </si>
  <si>
    <t>F01-283</t>
  </si>
  <si>
    <t>F01-284</t>
  </si>
  <si>
    <t>F01-285</t>
  </si>
  <si>
    <t>F01-286</t>
  </si>
  <si>
    <t>1.11 HIV Testing By Population Type</t>
  </si>
  <si>
    <t>PREP_CT By Population Type</t>
  </si>
  <si>
    <t>F02-083</t>
  </si>
  <si>
    <t>F02-084</t>
  </si>
  <si>
    <t>3.0  TPT (TB Preventive Therapy): TPT / IPT Initiation and TPT / IPT Outcomes ( For All Clients Current on ART )</t>
  </si>
  <si>
    <t>Initiated on IPT/TPT this month</t>
  </si>
  <si>
    <t>Initiated on IPT this month</t>
  </si>
  <si>
    <t>Initiated on other forms of TPT this month</t>
  </si>
  <si>
    <r>
      <t>New on ART (TPT)</t>
    </r>
    <r>
      <rPr>
        <b/>
        <sz val="20"/>
        <color theme="1"/>
        <rFont val="Calibri"/>
        <family val="2"/>
        <scheme val="minor"/>
      </rPr>
      <t xml:space="preserve"> </t>
    </r>
  </si>
  <si>
    <t>Already on ART (TPT)</t>
  </si>
  <si>
    <t>New on ART (TPT)</t>
  </si>
  <si>
    <t>F03-010</t>
  </si>
  <si>
    <t>F03-020</t>
  </si>
  <si>
    <t>F06-163</t>
  </si>
  <si>
    <t>Retest Start HAART at PNC &gt; 6 weeks to 6 months</t>
  </si>
  <si>
    <r>
      <t xml:space="preserve">Initial </t>
    </r>
    <r>
      <rPr>
        <sz val="20"/>
        <color theme="1"/>
        <rFont val="Calibri"/>
        <family val="2"/>
        <scheme val="minor"/>
      </rPr>
      <t>Start HAART at PNC &gt; 6 weeks to 6 months</t>
    </r>
  </si>
  <si>
    <t>This data element is a total of all clients who took a HIV test during a given reporting period including the Tests reported in the PMTCT</t>
  </si>
  <si>
    <t>This data element is a total of all clients who tested HIV postive during a give reporting period including the positives at PMTCT</t>
  </si>
  <si>
    <t>Initiated on other forms of TPT (Rifampcin &amp; Rifapentine) this month</t>
  </si>
  <si>
    <t xml:space="preserve">Initiated on IPT 6 months ago </t>
  </si>
  <si>
    <t xml:space="preserve">Completed IPT after 6 month Initiation </t>
  </si>
  <si>
    <r>
      <t>New on ART (IPT)</t>
    </r>
    <r>
      <rPr>
        <b/>
        <sz val="20"/>
        <color theme="1"/>
        <rFont val="Calibri"/>
        <family val="2"/>
        <scheme val="minor"/>
      </rPr>
      <t xml:space="preserve"> </t>
    </r>
  </si>
  <si>
    <t>Already on ART (IPT)</t>
  </si>
  <si>
    <t>New on ART (IPT)</t>
  </si>
  <si>
    <t xml:space="preserve">Initiated on other forms of TPT (Rifampcin &amp; Rifapentine) 3 months ago </t>
  </si>
  <si>
    <t xml:space="preserve">Completed other forms of TPT (Rifampcin &amp; Rifapentine) after 3 month Initiation </t>
  </si>
  <si>
    <t>F03-13</t>
  </si>
  <si>
    <t>F03-14</t>
  </si>
  <si>
    <t>F03-15</t>
  </si>
  <si>
    <t>F03-16</t>
  </si>
  <si>
    <t>F03-17</t>
  </si>
  <si>
    <t>F03-18</t>
  </si>
  <si>
    <t>F03-19</t>
  </si>
  <si>
    <t>F03-20</t>
  </si>
  <si>
    <t>F03-21</t>
  </si>
  <si>
    <t>F03-22</t>
  </si>
  <si>
    <t>F03-23</t>
  </si>
  <si>
    <t>F03-24</t>
  </si>
  <si>
    <t>Number lost to follow-up after initiation on other forms of TPT</t>
  </si>
  <si>
    <t>Number discontinued after initiation on other forms of TPT</t>
  </si>
  <si>
    <t>Number died after initiation on other forms of TPT</t>
  </si>
  <si>
    <t>Number transferred out after initiation on other forms of TPT</t>
  </si>
  <si>
    <t xml:space="preserve">Number lost to follow-up after being initiated on IPT </t>
  </si>
  <si>
    <t>Number discontinued after being initiated on IPT</t>
  </si>
  <si>
    <t>Number died after being initiated on IPT</t>
  </si>
  <si>
    <t>Initiated on TPT this month</t>
  </si>
  <si>
    <t>3.2  TPT (TB Preventive Therapy):  Initiation and Outcomes ( For All Clients Current on ART )</t>
  </si>
  <si>
    <t>3.1  IPT  Initiation and Outcomes ( For All Clients Current on ART )</t>
  </si>
  <si>
    <t>F03-130</t>
  </si>
  <si>
    <t>Form 1A  version 7.0.1</t>
  </si>
  <si>
    <t xml:space="preserve">Initiated on TPT this month (Rifampcin &amp; Rifapentine) </t>
  </si>
  <si>
    <t>Referred for treatment</t>
  </si>
  <si>
    <r>
      <rPr>
        <sz val="20"/>
        <color rgb="FFFF0000"/>
        <rFont val="Calibri"/>
        <family val="2"/>
        <scheme val="minor"/>
      </rPr>
      <t>Initial</t>
    </r>
    <r>
      <rPr>
        <sz val="20"/>
        <color theme="1"/>
        <rFont val="Calibri"/>
        <family val="2"/>
        <scheme val="minor"/>
      </rPr>
      <t xml:space="preserve"> Start HAART at L&amp;D</t>
    </r>
  </si>
  <si>
    <t>3.2  TPT (TB Preventive Therapy):  Initiation and outcomes among clients on ART</t>
  </si>
  <si>
    <t>3.0  TPT (TB Preventive Therapy): TPT / IPT Initiation and TPT / IPT Outcomes among clients on 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</si>
</sst>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9" x14ac:knownFonts="1">
    <font>
      <sz val="11"/>
      <color theme="1"/>
      <name val="Calibri"/>
      <family val="2"/>
      <scheme val="minor"/>
    </font>
    <font>
      <sz val="10"/>
      <name val="Arial"/>
      <family val="2"/>
    </font>
    <font>
      <sz val="11"/>
      <color rgb="FF9C5700"/>
      <name val="Calibri"/>
      <family val="2"/>
      <scheme val="minor"/>
    </font>
    <font>
      <sz val="8"/>
      <name val="Calibri"/>
      <family val="2"/>
      <scheme val="minor"/>
    </font>
    <font>
      <sz val="26"/>
      <color theme="1"/>
      <name val="Calibri"/>
      <family val="2"/>
      <scheme val="minor"/>
    </font>
    <font>
      <sz val="18"/>
      <color theme="1"/>
      <name val="Calibri"/>
      <family val="2"/>
      <scheme val="minor"/>
    </font>
    <font>
      <u/>
      <sz val="11"/>
      <color theme="10"/>
      <name val="Calibri"/>
      <family val="2"/>
      <scheme val="minor"/>
    </font>
    <font>
      <sz val="20"/>
      <color theme="1"/>
      <name val="Calibri"/>
      <family val="2"/>
      <scheme val="minor"/>
    </font>
    <font>
      <b/>
      <sz val="20"/>
      <color theme="1"/>
      <name val="Calibri"/>
      <family val="2"/>
      <scheme val="minor"/>
    </font>
    <font>
      <b/>
      <sz val="20"/>
      <color rgb="FFFF0000"/>
      <name val="Calibri"/>
      <family val="2"/>
      <scheme val="minor"/>
    </font>
    <font>
      <sz val="20"/>
      <color theme="0"/>
      <name val="Calibri"/>
      <family val="2"/>
      <scheme val="minor"/>
    </font>
    <font>
      <b/>
      <sz val="20"/>
      <color theme="5"/>
      <name val="Calibri"/>
      <family val="2"/>
      <scheme val="minor"/>
    </font>
    <font>
      <b/>
      <sz val="18"/>
      <color theme="1"/>
      <name val="Calibri"/>
      <family val="2"/>
      <scheme val="minor"/>
    </font>
    <font>
      <b/>
      <sz val="20"/>
      <color theme="0"/>
      <name val="Calibri"/>
      <family val="2"/>
      <scheme val="minor"/>
    </font>
    <font>
      <b/>
      <sz val="20"/>
      <name val="Calibri"/>
      <family val="2"/>
      <scheme val="minor"/>
    </font>
    <font>
      <b/>
      <sz val="18"/>
      <color theme="0"/>
      <name val="Calibri"/>
      <family val="2"/>
      <scheme val="minor"/>
    </font>
    <font>
      <sz val="20"/>
      <color rgb="FFFF0000"/>
      <name val="Calibri"/>
      <family val="2"/>
      <scheme val="minor"/>
    </font>
    <font>
      <b/>
      <sz val="20"/>
      <color theme="9" tint="0.59999389629810485"/>
      <name val="Calibri"/>
      <family val="2"/>
      <scheme val="minor"/>
    </font>
    <font>
      <sz val="20"/>
      <name val="Calibri"/>
      <family val="2"/>
      <scheme val="minor"/>
    </font>
    <font>
      <sz val="20"/>
      <color theme="5"/>
      <name val="Calibri"/>
      <family val="2"/>
      <scheme val="minor"/>
    </font>
    <font>
      <sz val="20"/>
      <color theme="4"/>
      <name val="Calibri"/>
      <family val="2"/>
      <scheme val="minor"/>
    </font>
    <font>
      <i/>
      <sz val="20"/>
      <color theme="1"/>
      <name val="Calibri"/>
      <family val="2"/>
      <scheme val="minor"/>
    </font>
    <font>
      <sz val="18"/>
      <color theme="0"/>
      <name val="Calibri"/>
      <family val="2"/>
      <scheme val="minor"/>
    </font>
    <font>
      <vertAlign val="superscript"/>
      <sz val="20"/>
      <color theme="1"/>
      <name val="Calibri"/>
      <family val="2"/>
      <scheme val="minor"/>
    </font>
    <font>
      <b/>
      <i/>
      <sz val="20"/>
      <color theme="1"/>
      <name val="Calibri"/>
      <family val="2"/>
      <scheme val="minor"/>
    </font>
    <font>
      <sz val="20"/>
      <color theme="4" tint="-0.499984740745262"/>
      <name val="Calibri"/>
      <family val="2"/>
      <scheme val="minor"/>
    </font>
    <font>
      <b/>
      <sz val="18"/>
      <color theme="0" tint="-4.9989318521683403E-2"/>
      <name val="Calibri"/>
      <family val="2"/>
      <scheme val="minor"/>
    </font>
    <font>
      <sz val="20"/>
      <color theme="9" tint="0.39997558519241921"/>
      <name val="Calibri"/>
      <family val="2"/>
      <scheme val="minor"/>
    </font>
    <font>
      <b/>
      <sz val="18"/>
      <color rgb="FFFF0000"/>
      <name val="Calibri"/>
      <family val="2"/>
      <scheme val="minor"/>
    </font>
    <font>
      <b/>
      <sz val="22"/>
      <color theme="1"/>
      <name val="Calibri"/>
      <family val="2"/>
      <scheme val="minor"/>
    </font>
    <font>
      <b/>
      <sz val="36"/>
      <color theme="0"/>
      <name val="Calibri"/>
      <family val="2"/>
      <scheme val="minor"/>
    </font>
    <font>
      <sz val="36"/>
      <color theme="0"/>
      <name val="Calibri"/>
      <family val="2"/>
      <scheme val="minor"/>
    </font>
    <font>
      <sz val="36"/>
      <color theme="1"/>
      <name val="Calibri"/>
      <family val="2"/>
      <scheme val="minor"/>
    </font>
    <font>
      <b/>
      <i/>
      <sz val="26"/>
      <color theme="2" tint="-0.499984740745262"/>
      <name val="Calibri"/>
      <family val="2"/>
      <scheme val="minor"/>
    </font>
    <font>
      <b/>
      <sz val="28"/>
      <color theme="1"/>
      <name val="Calibri"/>
      <family val="2"/>
      <scheme val="minor"/>
    </font>
    <font>
      <sz val="28"/>
      <color theme="0"/>
      <name val="Calibri"/>
      <family val="2"/>
      <scheme val="minor"/>
    </font>
    <font>
      <sz val="28"/>
      <color theme="1"/>
      <name val="Calibri"/>
      <family val="2"/>
      <scheme val="minor"/>
    </font>
    <font>
      <sz val="28"/>
      <color theme="2" tint="-0.499984740745262"/>
      <name val="Calibri"/>
      <family val="2"/>
      <scheme val="minor"/>
    </font>
    <font>
      <sz val="22"/>
      <color theme="1"/>
      <name val="Calibri"/>
      <family val="2"/>
      <scheme val="minor"/>
    </font>
    <font>
      <b/>
      <sz val="24"/>
      <color theme="1"/>
      <name val="Calibri"/>
      <family val="2"/>
      <scheme val="minor"/>
    </font>
    <font>
      <b/>
      <sz val="26"/>
      <color rgb="FFFF0000"/>
      <name val="Calibri"/>
      <family val="2"/>
      <scheme val="minor"/>
    </font>
    <font>
      <sz val="20"/>
      <color theme="0" tint="-0.34998626667073579"/>
      <name val="Calibri"/>
      <family val="2"/>
      <scheme val="minor"/>
    </font>
    <font>
      <b/>
      <sz val="22"/>
      <color rgb="FFFF0000"/>
      <name val="Calibri"/>
      <family val="2"/>
      <scheme val="minor"/>
    </font>
    <font>
      <vertAlign val="superscript"/>
      <sz val="22"/>
      <color theme="1"/>
      <name val="Calibri"/>
      <family val="2"/>
      <scheme val="minor"/>
    </font>
    <font>
      <i/>
      <sz val="22"/>
      <color theme="1"/>
      <name val="Calibri"/>
      <family val="2"/>
      <scheme val="minor"/>
    </font>
    <font>
      <b/>
      <i/>
      <sz val="22"/>
      <color theme="1"/>
      <name val="Calibri"/>
      <family val="2"/>
      <scheme val="minor"/>
    </font>
    <font>
      <b/>
      <sz val="22"/>
      <name val="Calibri"/>
      <family val="2"/>
      <scheme val="minor"/>
    </font>
    <font>
      <sz val="20"/>
      <color rgb="FF7030A0"/>
      <name val="Calibri"/>
      <family val="2"/>
      <scheme val="minor"/>
    </font>
    <font>
      <sz val="22"/>
      <color rgb="FFFF0000"/>
      <name val="Calibri"/>
      <family val="2"/>
      <scheme val="minor"/>
    </font>
  </fonts>
  <fills count="16">
    <fill>
      <patternFill patternType="none"/>
    </fill>
    <fill>
      <patternFill patternType="gray125"/>
    </fill>
    <fill>
      <patternFill patternType="solid">
        <fgColor theme="0" tint="-0.14999847407452621"/>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theme="0"/>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rgb="FFFFEB9C"/>
      </patternFill>
    </fill>
    <fill>
      <patternFill patternType="solid">
        <fgColor theme="0" tint="-4.9989318521683403E-2"/>
        <bgColor indexed="64"/>
      </patternFill>
    </fill>
    <fill>
      <patternFill patternType="solid">
        <fgColor rgb="FFFFFF00"/>
        <bgColor indexed="64"/>
      </patternFill>
    </fill>
    <fill>
      <patternFill patternType="solid">
        <fgColor rgb="FFFF0000"/>
        <bgColor indexed="64"/>
      </patternFill>
    </fill>
    <fill>
      <patternFill patternType="solid">
        <fgColor theme="0" tint="-0.34998626667073579"/>
        <bgColor indexed="64"/>
      </patternFill>
    </fill>
  </fills>
  <borders count="29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theme="2" tint="-0.249977111117893"/>
      </left>
      <right style="thin">
        <color theme="2" tint="-0.249977111117893"/>
      </right>
      <top style="thin">
        <color theme="2" tint="-0.249977111117893"/>
      </top>
      <bottom style="thin">
        <color theme="2" tint="-0.249977111117893"/>
      </bottom>
      <diagonal/>
    </border>
    <border>
      <left/>
      <right style="thin">
        <color theme="2" tint="-0.249977111117893"/>
      </right>
      <top style="thin">
        <color theme="2" tint="-0.249977111117893"/>
      </top>
      <bottom style="thin">
        <color theme="2" tint="-0.249977111117893"/>
      </bottom>
      <diagonal/>
    </border>
    <border>
      <left style="thin">
        <color theme="2" tint="-0.249977111117893"/>
      </left>
      <right style="thin">
        <color theme="2" tint="-0.249977111117893"/>
      </right>
      <top style="thin">
        <color theme="2" tint="-0.249977111117893"/>
      </top>
      <bottom/>
      <diagonal/>
    </border>
    <border>
      <left style="thin">
        <color theme="2" tint="-0.249977111117893"/>
      </left>
      <right style="thin">
        <color theme="2" tint="-0.249977111117893"/>
      </right>
      <top/>
      <bottom style="thin">
        <color theme="2" tint="-0.249977111117893"/>
      </bottom>
      <diagonal/>
    </border>
    <border>
      <left style="medium">
        <color theme="9"/>
      </left>
      <right style="medium">
        <color theme="9"/>
      </right>
      <top style="medium">
        <color theme="9"/>
      </top>
      <bottom style="medium">
        <color theme="9"/>
      </bottom>
      <diagonal/>
    </border>
    <border>
      <left style="thin">
        <color theme="2" tint="-0.249977111117893"/>
      </left>
      <right style="thin">
        <color theme="2" tint="-0.249977111117893"/>
      </right>
      <top style="medium">
        <color theme="9"/>
      </top>
      <bottom style="thin">
        <color theme="2" tint="-0.249977111117893"/>
      </bottom>
      <diagonal/>
    </border>
    <border>
      <left style="thin">
        <color theme="2" tint="-0.249977111117893"/>
      </left>
      <right style="medium">
        <color theme="9"/>
      </right>
      <top style="medium">
        <color theme="9"/>
      </top>
      <bottom style="thin">
        <color theme="2" tint="-0.249977111117893"/>
      </bottom>
      <diagonal/>
    </border>
    <border>
      <left style="thin">
        <color theme="2" tint="-0.249977111117893"/>
      </left>
      <right style="medium">
        <color theme="9"/>
      </right>
      <top style="thin">
        <color theme="2" tint="-0.249977111117893"/>
      </top>
      <bottom style="thin">
        <color theme="2" tint="-0.249977111117893"/>
      </bottom>
      <diagonal/>
    </border>
    <border>
      <left style="thin">
        <color theme="2" tint="-0.249977111117893"/>
      </left>
      <right style="thin">
        <color theme="2" tint="-0.249977111117893"/>
      </right>
      <top style="thin">
        <color theme="2" tint="-0.249977111117893"/>
      </top>
      <bottom style="medium">
        <color theme="9"/>
      </bottom>
      <diagonal/>
    </border>
    <border>
      <left style="thin">
        <color theme="2" tint="-0.249977111117893"/>
      </left>
      <right style="medium">
        <color theme="9"/>
      </right>
      <top style="thin">
        <color theme="2" tint="-0.249977111117893"/>
      </top>
      <bottom style="medium">
        <color theme="9"/>
      </bottom>
      <diagonal/>
    </border>
    <border>
      <left style="thin">
        <color theme="2" tint="-0.249977111117893"/>
      </left>
      <right style="thin">
        <color theme="2" tint="-0.249977111117893"/>
      </right>
      <top/>
      <bottom/>
      <diagonal/>
    </border>
    <border>
      <left style="medium">
        <color theme="9"/>
      </left>
      <right style="thin">
        <color theme="2" tint="-0.249977111117893"/>
      </right>
      <top style="medium">
        <color theme="9"/>
      </top>
      <bottom style="medium">
        <color theme="9"/>
      </bottom>
      <diagonal/>
    </border>
    <border>
      <left style="thin">
        <color theme="2" tint="-0.249977111117893"/>
      </left>
      <right style="thin">
        <color theme="2" tint="-0.249977111117893"/>
      </right>
      <top style="medium">
        <color theme="9"/>
      </top>
      <bottom style="medium">
        <color theme="9"/>
      </bottom>
      <diagonal/>
    </border>
    <border>
      <left style="thin">
        <color theme="2" tint="-0.249977111117893"/>
      </left>
      <right style="medium">
        <color theme="9"/>
      </right>
      <top style="medium">
        <color theme="9"/>
      </top>
      <bottom style="medium">
        <color theme="9"/>
      </bottom>
      <diagonal/>
    </border>
    <border>
      <left style="thin">
        <color theme="2" tint="-0.249977111117893"/>
      </left>
      <right/>
      <top/>
      <bottom style="thin">
        <color theme="2" tint="-0.249977111117893"/>
      </bottom>
      <diagonal/>
    </border>
    <border>
      <left style="thin">
        <color theme="2" tint="-0.249977111117893"/>
      </left>
      <right/>
      <top style="thin">
        <color theme="2" tint="-0.249977111117893"/>
      </top>
      <bottom style="thin">
        <color theme="2" tint="-0.249977111117893"/>
      </bottom>
      <diagonal/>
    </border>
    <border>
      <left/>
      <right/>
      <top style="thin">
        <color theme="2" tint="-0.249977111117893"/>
      </top>
      <bottom style="thin">
        <color theme="2" tint="-0.249977111117893"/>
      </bottom>
      <diagonal/>
    </border>
    <border>
      <left style="medium">
        <color theme="9"/>
      </left>
      <right style="medium">
        <color theme="9"/>
      </right>
      <top style="medium">
        <color theme="9"/>
      </top>
      <bottom style="thin">
        <color theme="2" tint="-0.249977111117893"/>
      </bottom>
      <diagonal/>
    </border>
    <border>
      <left style="medium">
        <color theme="9"/>
      </left>
      <right style="medium">
        <color theme="9"/>
      </right>
      <top style="thin">
        <color theme="2" tint="-0.249977111117893"/>
      </top>
      <bottom style="thin">
        <color theme="2" tint="-0.249977111117893"/>
      </bottom>
      <diagonal/>
    </border>
    <border>
      <left style="medium">
        <color theme="9"/>
      </left>
      <right style="medium">
        <color theme="9"/>
      </right>
      <top style="thin">
        <color theme="2" tint="-0.249977111117893"/>
      </top>
      <bottom style="medium">
        <color theme="9"/>
      </bottom>
      <diagonal/>
    </border>
    <border>
      <left style="thin">
        <color theme="2" tint="-0.249977111117893"/>
      </left>
      <right/>
      <top style="thin">
        <color theme="2" tint="-0.249977111117893"/>
      </top>
      <bottom/>
      <diagonal/>
    </border>
    <border>
      <left style="medium">
        <color theme="9"/>
      </left>
      <right/>
      <top style="medium">
        <color theme="9"/>
      </top>
      <bottom style="thin">
        <color theme="2" tint="-0.249977111117893"/>
      </bottom>
      <diagonal/>
    </border>
    <border>
      <left style="medium">
        <color theme="9"/>
      </left>
      <right/>
      <top style="thin">
        <color theme="2" tint="-0.249977111117893"/>
      </top>
      <bottom style="thin">
        <color theme="2" tint="-0.249977111117893"/>
      </bottom>
      <diagonal/>
    </border>
    <border>
      <left style="medium">
        <color theme="9"/>
      </left>
      <right/>
      <top style="thin">
        <color theme="2" tint="-0.249977111117893"/>
      </top>
      <bottom style="medium">
        <color theme="9"/>
      </bottom>
      <diagonal/>
    </border>
    <border>
      <left/>
      <right style="thin">
        <color theme="2" tint="-0.249977111117893"/>
      </right>
      <top style="medium">
        <color theme="9"/>
      </top>
      <bottom style="thin">
        <color theme="2" tint="-0.249977111117893"/>
      </bottom>
      <diagonal/>
    </border>
    <border>
      <left/>
      <right style="thin">
        <color theme="2" tint="-0.249977111117893"/>
      </right>
      <top style="thin">
        <color theme="2" tint="-0.249977111117893"/>
      </top>
      <bottom style="medium">
        <color theme="9"/>
      </bottom>
      <diagonal/>
    </border>
    <border>
      <left style="thin">
        <color theme="2" tint="-0.249977111117893"/>
      </left>
      <right/>
      <top/>
      <bottom/>
      <diagonal/>
    </border>
    <border>
      <left/>
      <right style="thin">
        <color theme="2" tint="-0.249977111117893"/>
      </right>
      <top/>
      <bottom/>
      <diagonal/>
    </border>
    <border>
      <left style="thin">
        <color theme="2" tint="-0.249977111117893"/>
      </left>
      <right style="medium">
        <color theme="9"/>
      </right>
      <top/>
      <bottom style="thin">
        <color theme="2" tint="-0.249977111117893"/>
      </bottom>
      <diagonal/>
    </border>
    <border>
      <left/>
      <right style="thin">
        <color theme="2" tint="-0.249977111117893"/>
      </right>
      <top style="thin">
        <color theme="2" tint="-0.249977111117893"/>
      </top>
      <bottom/>
      <diagonal/>
    </border>
    <border>
      <left style="thin">
        <color theme="2" tint="-0.249977111117893"/>
      </left>
      <right style="medium">
        <color theme="9"/>
      </right>
      <top style="thin">
        <color theme="2" tint="-0.249977111117893"/>
      </top>
      <bottom/>
      <diagonal/>
    </border>
    <border>
      <left/>
      <right style="thin">
        <color theme="2" tint="-0.249977111117893"/>
      </right>
      <top/>
      <bottom style="thin">
        <color theme="2" tint="-0.249977111117893"/>
      </bottom>
      <diagonal/>
    </border>
    <border>
      <left style="medium">
        <color theme="9"/>
      </left>
      <right/>
      <top style="medium">
        <color theme="9"/>
      </top>
      <bottom style="medium">
        <color theme="9"/>
      </bottom>
      <diagonal/>
    </border>
    <border>
      <left/>
      <right style="thin">
        <color theme="2" tint="-0.249977111117893"/>
      </right>
      <top style="medium">
        <color theme="9"/>
      </top>
      <bottom style="medium">
        <color theme="9"/>
      </bottom>
      <diagonal/>
    </border>
    <border>
      <left style="medium">
        <color theme="9"/>
      </left>
      <right style="medium">
        <color theme="9"/>
      </right>
      <top/>
      <bottom style="thin">
        <color theme="2" tint="-0.249977111117893"/>
      </bottom>
      <diagonal/>
    </border>
    <border>
      <left style="medium">
        <color theme="9"/>
      </left>
      <right style="medium">
        <color theme="9"/>
      </right>
      <top style="thin">
        <color theme="2" tint="-0.249977111117893"/>
      </top>
      <bottom/>
      <diagonal/>
    </border>
    <border>
      <left/>
      <right/>
      <top style="thin">
        <color theme="2" tint="-0.249977111117893"/>
      </top>
      <bottom/>
      <diagonal/>
    </border>
    <border>
      <left/>
      <right/>
      <top/>
      <bottom style="thin">
        <color theme="2" tint="-0.249977111117893"/>
      </bottom>
      <diagonal/>
    </border>
    <border>
      <left style="medium">
        <color theme="9"/>
      </left>
      <right/>
      <top/>
      <bottom style="thin">
        <color theme="2" tint="-0.249977111117893"/>
      </bottom>
      <diagonal/>
    </border>
    <border>
      <left style="thin">
        <color theme="2" tint="-0.249977111117893"/>
      </left>
      <right/>
      <top style="thin">
        <color theme="2" tint="-0.249977111117893"/>
      </top>
      <bottom style="medium">
        <color theme="9"/>
      </bottom>
      <diagonal/>
    </border>
    <border>
      <left style="medium">
        <color theme="9"/>
      </left>
      <right style="thin">
        <color theme="9"/>
      </right>
      <top style="medium">
        <color theme="9"/>
      </top>
      <bottom style="medium">
        <color theme="9"/>
      </bottom>
      <diagonal/>
    </border>
    <border>
      <left/>
      <right/>
      <top style="medium">
        <color theme="9"/>
      </top>
      <bottom style="medium">
        <color theme="9"/>
      </bottom>
      <diagonal/>
    </border>
    <border>
      <left style="medium">
        <color theme="9"/>
      </left>
      <right/>
      <top/>
      <bottom/>
      <diagonal/>
    </border>
    <border>
      <left style="medium">
        <color theme="9"/>
      </left>
      <right style="medium">
        <color theme="9"/>
      </right>
      <top/>
      <bottom/>
      <diagonal/>
    </border>
    <border>
      <left style="medium">
        <color theme="9"/>
      </left>
      <right/>
      <top style="thin">
        <color theme="2" tint="-0.249977111117893"/>
      </top>
      <bottom/>
      <diagonal/>
    </border>
    <border>
      <left style="thin">
        <color theme="2" tint="-0.249977111117893"/>
      </left>
      <right/>
      <top style="medium">
        <color theme="9"/>
      </top>
      <bottom style="medium">
        <color theme="9"/>
      </bottom>
      <diagonal/>
    </border>
    <border>
      <left/>
      <right/>
      <top style="thin">
        <color theme="2" tint="-0.249977111117893"/>
      </top>
      <bottom style="medium">
        <color theme="9"/>
      </bottom>
      <diagonal/>
    </border>
    <border>
      <left/>
      <right/>
      <top style="medium">
        <color theme="9"/>
      </top>
      <bottom style="thin">
        <color theme="2" tint="-0.249977111117893"/>
      </bottom>
      <diagonal/>
    </border>
    <border>
      <left style="medium">
        <color theme="9"/>
      </left>
      <right/>
      <top style="medium">
        <color theme="9"/>
      </top>
      <bottom/>
      <diagonal/>
    </border>
    <border>
      <left style="medium">
        <color theme="9"/>
      </left>
      <right style="thin">
        <color theme="2" tint="-0.249977111117893"/>
      </right>
      <top style="medium">
        <color theme="9"/>
      </top>
      <bottom/>
      <diagonal/>
    </border>
    <border>
      <left style="medium">
        <color theme="9"/>
      </left>
      <right style="medium">
        <color theme="9"/>
      </right>
      <top style="medium">
        <color theme="9"/>
      </top>
      <bottom style="thin">
        <color theme="9"/>
      </bottom>
      <diagonal/>
    </border>
    <border>
      <left style="medium">
        <color theme="9"/>
      </left>
      <right style="medium">
        <color theme="9"/>
      </right>
      <top style="thin">
        <color theme="9"/>
      </top>
      <bottom style="thin">
        <color theme="9"/>
      </bottom>
      <diagonal/>
    </border>
    <border>
      <left style="medium">
        <color theme="9"/>
      </left>
      <right style="medium">
        <color theme="9"/>
      </right>
      <top style="thin">
        <color theme="9"/>
      </top>
      <bottom style="medium">
        <color theme="9"/>
      </bottom>
      <diagonal/>
    </border>
    <border>
      <left style="medium">
        <color theme="9"/>
      </left>
      <right style="medium">
        <color theme="9"/>
      </right>
      <top style="medium">
        <color theme="9"/>
      </top>
      <bottom/>
      <diagonal/>
    </border>
    <border>
      <left style="medium">
        <color theme="9"/>
      </left>
      <right style="medium">
        <color theme="9"/>
      </right>
      <top/>
      <bottom style="medium">
        <color theme="9"/>
      </bottom>
      <diagonal/>
    </border>
    <border>
      <left/>
      <right style="medium">
        <color theme="9"/>
      </right>
      <top style="thin">
        <color theme="2" tint="-0.249977111117893"/>
      </top>
      <bottom style="medium">
        <color theme="9"/>
      </bottom>
      <diagonal/>
    </border>
    <border>
      <left style="medium">
        <color theme="9"/>
      </left>
      <right style="medium">
        <color theme="9"/>
      </right>
      <top/>
      <bottom style="thin">
        <color theme="9"/>
      </bottom>
      <diagonal/>
    </border>
    <border>
      <left style="thin">
        <color theme="2" tint="-0.249977111117893"/>
      </left>
      <right style="thin">
        <color theme="2" tint="-0.249977111117893"/>
      </right>
      <top style="medium">
        <color theme="9"/>
      </top>
      <bottom/>
      <diagonal/>
    </border>
    <border>
      <left/>
      <right style="medium">
        <color theme="9"/>
      </right>
      <top style="medium">
        <color theme="9"/>
      </top>
      <bottom style="thin">
        <color theme="2" tint="-0.249977111117893"/>
      </bottom>
      <diagonal/>
    </border>
    <border>
      <left/>
      <right style="medium">
        <color theme="9"/>
      </right>
      <top style="thin">
        <color theme="2" tint="-0.249977111117893"/>
      </top>
      <bottom style="thin">
        <color theme="2" tint="-0.249977111117893"/>
      </bottom>
      <diagonal/>
    </border>
    <border>
      <left/>
      <right style="medium">
        <color theme="9"/>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style="medium">
        <color theme="9"/>
      </bottom>
      <diagonal/>
    </border>
    <border>
      <left style="thin">
        <color theme="0" tint="-0.249977111117893"/>
      </left>
      <right style="thin">
        <color theme="0" tint="-0.249977111117893"/>
      </right>
      <top/>
      <bottom style="thin">
        <color theme="0" tint="-0.249977111117893"/>
      </bottom>
      <diagonal/>
    </border>
    <border>
      <left style="medium">
        <color theme="9"/>
      </left>
      <right style="thin">
        <color theme="2" tint="-0.249977111117893"/>
      </right>
      <top style="medium">
        <color theme="9"/>
      </top>
      <bottom style="thin">
        <color theme="2" tint="-0.249977111117893"/>
      </bottom>
      <diagonal/>
    </border>
    <border>
      <left style="medium">
        <color theme="9"/>
      </left>
      <right style="thin">
        <color theme="2" tint="-0.249977111117893"/>
      </right>
      <top style="thin">
        <color theme="2" tint="-0.249977111117893"/>
      </top>
      <bottom style="thin">
        <color theme="2" tint="-0.249977111117893"/>
      </bottom>
      <diagonal/>
    </border>
    <border>
      <left style="medium">
        <color theme="9"/>
      </left>
      <right style="thin">
        <color theme="2" tint="-0.249977111117893"/>
      </right>
      <top style="thin">
        <color theme="2" tint="-0.249977111117893"/>
      </top>
      <bottom style="medium">
        <color theme="9"/>
      </bottom>
      <diagonal/>
    </border>
    <border>
      <left style="thin">
        <color theme="2" tint="-0.249977111117893"/>
      </left>
      <right style="medium">
        <color theme="9"/>
      </right>
      <top/>
      <bottom/>
      <diagonal/>
    </border>
    <border>
      <left style="thin">
        <color theme="9"/>
      </left>
      <right style="thin">
        <color theme="9"/>
      </right>
      <top style="thin">
        <color theme="9"/>
      </top>
      <bottom style="thin">
        <color theme="9"/>
      </bottom>
      <diagonal/>
    </border>
    <border>
      <left style="thin">
        <color theme="0" tint="-0.249977111117893"/>
      </left>
      <right/>
      <top style="thin">
        <color theme="0" tint="-0.249977111117893"/>
      </top>
      <bottom style="thin">
        <color theme="0" tint="-0.249977111117893"/>
      </bottom>
      <diagonal/>
    </border>
    <border>
      <left/>
      <right style="medium">
        <color theme="9"/>
      </right>
      <top/>
      <bottom style="thin">
        <color theme="2" tint="-0.249977111117893"/>
      </bottom>
      <diagonal/>
    </border>
    <border>
      <left style="thin">
        <color theme="0" tint="-0.249977111117893"/>
      </left>
      <right style="thin">
        <color theme="0" tint="-0.249977111117893"/>
      </right>
      <top style="thin">
        <color theme="0" tint="-0.249977111117893"/>
      </top>
      <bottom style="medium">
        <color theme="9"/>
      </bottom>
      <diagonal/>
    </border>
    <border>
      <left style="medium">
        <color theme="9"/>
      </left>
      <right/>
      <top/>
      <bottom style="medium">
        <color theme="9"/>
      </bottom>
      <diagonal/>
    </border>
    <border>
      <left style="medium">
        <color theme="9"/>
      </left>
      <right style="medium">
        <color theme="9"/>
      </right>
      <top style="medium">
        <color theme="9"/>
      </top>
      <bottom style="thin">
        <color theme="2" tint="-9.9978637043366805E-2"/>
      </bottom>
      <diagonal/>
    </border>
    <border>
      <left style="medium">
        <color theme="9"/>
      </left>
      <right style="medium">
        <color theme="9"/>
      </right>
      <top style="thin">
        <color theme="2" tint="-9.9978637043366805E-2"/>
      </top>
      <bottom style="thin">
        <color theme="2" tint="-9.9978637043366805E-2"/>
      </bottom>
      <diagonal/>
    </border>
    <border>
      <left style="medium">
        <color theme="9"/>
      </left>
      <right style="medium">
        <color theme="9"/>
      </right>
      <top style="thin">
        <color theme="2" tint="-9.9978637043366805E-2"/>
      </top>
      <bottom style="medium">
        <color theme="9"/>
      </bottom>
      <diagonal/>
    </border>
    <border>
      <left style="thin">
        <color theme="0" tint="-0.249977111117893"/>
      </left>
      <right/>
      <top style="thin">
        <color theme="0" tint="-0.249977111117893"/>
      </top>
      <bottom style="medium">
        <color theme="9"/>
      </bottom>
      <diagonal/>
    </border>
    <border>
      <left style="medium">
        <color theme="9"/>
      </left>
      <right style="medium">
        <color theme="9"/>
      </right>
      <top style="thin">
        <color theme="2" tint="-9.9978637043366805E-2"/>
      </top>
      <bottom/>
      <diagonal/>
    </border>
    <border>
      <left/>
      <right style="thin">
        <color theme="6"/>
      </right>
      <top style="thin">
        <color theme="6"/>
      </top>
      <bottom style="thin">
        <color theme="6"/>
      </bottom>
      <diagonal/>
    </border>
    <border>
      <left style="thin">
        <color theme="2" tint="-0.249977111117893"/>
      </left>
      <right style="medium">
        <color theme="9"/>
      </right>
      <top/>
      <bottom style="medium">
        <color theme="9"/>
      </bottom>
      <diagonal/>
    </border>
    <border>
      <left/>
      <right style="thin">
        <color theme="6"/>
      </right>
      <top style="thin">
        <color theme="6"/>
      </top>
      <bottom style="medium">
        <color theme="9"/>
      </bottom>
      <diagonal/>
    </border>
    <border>
      <left style="thin">
        <color theme="9"/>
      </left>
      <right style="thin">
        <color theme="9"/>
      </right>
      <top/>
      <bottom style="thin">
        <color theme="9"/>
      </bottom>
      <diagonal/>
    </border>
    <border>
      <left style="medium">
        <color theme="9"/>
      </left>
      <right style="thin">
        <color theme="9"/>
      </right>
      <top style="medium">
        <color theme="9"/>
      </top>
      <bottom style="thin">
        <color theme="9"/>
      </bottom>
      <diagonal/>
    </border>
    <border>
      <left style="thin">
        <color theme="9"/>
      </left>
      <right style="thin">
        <color theme="9"/>
      </right>
      <top style="medium">
        <color theme="9"/>
      </top>
      <bottom style="thin">
        <color theme="9"/>
      </bottom>
      <diagonal/>
    </border>
    <border>
      <left style="medium">
        <color theme="9"/>
      </left>
      <right style="thin">
        <color theme="9"/>
      </right>
      <top style="thin">
        <color theme="9"/>
      </top>
      <bottom style="thin">
        <color theme="9"/>
      </bottom>
      <diagonal/>
    </border>
    <border>
      <left style="medium">
        <color theme="9"/>
      </left>
      <right style="thin">
        <color theme="9"/>
      </right>
      <top style="thin">
        <color theme="9"/>
      </top>
      <bottom style="medium">
        <color theme="9"/>
      </bottom>
      <diagonal/>
    </border>
    <border>
      <left style="thin">
        <color theme="9"/>
      </left>
      <right style="thin">
        <color theme="9"/>
      </right>
      <top style="thin">
        <color theme="9"/>
      </top>
      <bottom style="medium">
        <color theme="9"/>
      </bottom>
      <diagonal/>
    </border>
    <border>
      <left style="thin">
        <color theme="9"/>
      </left>
      <right style="thin">
        <color theme="9"/>
      </right>
      <top style="medium">
        <color theme="9"/>
      </top>
      <bottom style="medium">
        <color theme="9"/>
      </bottom>
      <diagonal/>
    </border>
    <border>
      <left style="thin">
        <color theme="9"/>
      </left>
      <right style="medium">
        <color theme="9"/>
      </right>
      <top style="medium">
        <color theme="9"/>
      </top>
      <bottom style="medium">
        <color theme="9"/>
      </bottom>
      <diagonal/>
    </border>
    <border>
      <left/>
      <right style="thin">
        <color theme="9"/>
      </right>
      <top/>
      <bottom style="thin">
        <color theme="9"/>
      </bottom>
      <diagonal/>
    </border>
    <border>
      <left/>
      <right style="thin">
        <color theme="9"/>
      </right>
      <top style="thin">
        <color theme="9"/>
      </top>
      <bottom style="thin">
        <color theme="9"/>
      </bottom>
      <diagonal/>
    </border>
    <border>
      <left/>
      <right style="thin">
        <color theme="9"/>
      </right>
      <top style="thin">
        <color theme="9"/>
      </top>
      <bottom style="medium">
        <color theme="9"/>
      </bottom>
      <diagonal/>
    </border>
    <border>
      <left/>
      <right style="thin">
        <color theme="9"/>
      </right>
      <top style="medium">
        <color theme="9"/>
      </top>
      <bottom style="thin">
        <color theme="9"/>
      </bottom>
      <diagonal/>
    </border>
    <border>
      <left style="thin">
        <color theme="9"/>
      </left>
      <right style="thin">
        <color theme="9"/>
      </right>
      <top/>
      <bottom/>
      <diagonal/>
    </border>
    <border>
      <left style="medium">
        <color theme="4"/>
      </left>
      <right/>
      <top/>
      <bottom/>
      <diagonal/>
    </border>
    <border>
      <left/>
      <right style="medium">
        <color theme="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FF0000"/>
      </left>
      <right/>
      <top style="medium">
        <color rgb="FFFF0000"/>
      </top>
      <bottom/>
      <diagonal/>
    </border>
    <border>
      <left/>
      <right/>
      <top style="medium">
        <color rgb="FFFF0000"/>
      </top>
      <bottom/>
      <diagonal/>
    </border>
    <border>
      <left/>
      <right style="medium">
        <color rgb="FFFF0000"/>
      </right>
      <top style="medium">
        <color rgb="FFFF0000"/>
      </top>
      <bottom/>
      <diagonal/>
    </border>
    <border>
      <left style="medium">
        <color rgb="FFFF0000"/>
      </left>
      <right/>
      <top/>
      <bottom/>
      <diagonal/>
    </border>
    <border>
      <left/>
      <right style="medium">
        <color rgb="FFFF0000"/>
      </right>
      <top/>
      <bottom/>
      <diagonal/>
    </border>
    <border>
      <left style="medium">
        <color rgb="FFFF0000"/>
      </left>
      <right/>
      <top/>
      <bottom style="medium">
        <color rgb="FFFF0000"/>
      </bottom>
      <diagonal/>
    </border>
    <border>
      <left/>
      <right/>
      <top/>
      <bottom style="medium">
        <color rgb="FFFF0000"/>
      </bottom>
      <diagonal/>
    </border>
    <border>
      <left/>
      <right style="medium">
        <color rgb="FFFF0000"/>
      </right>
      <top/>
      <bottom style="medium">
        <color rgb="FFFF0000"/>
      </bottom>
      <diagonal/>
    </border>
    <border>
      <left style="medium">
        <color rgb="FFFF0000"/>
      </left>
      <right/>
      <top style="medium">
        <color rgb="FFFF0000"/>
      </top>
      <bottom style="medium">
        <color rgb="FFFF0000"/>
      </bottom>
      <diagonal/>
    </border>
    <border>
      <left/>
      <right/>
      <top style="medium">
        <color rgb="FFFF0000"/>
      </top>
      <bottom style="medium">
        <color rgb="FFFF0000"/>
      </bottom>
      <diagonal/>
    </border>
    <border>
      <left/>
      <right style="medium">
        <color rgb="FFFF0000"/>
      </right>
      <top style="medium">
        <color rgb="FFFF0000"/>
      </top>
      <bottom style="medium">
        <color rgb="FFFF0000"/>
      </bottom>
      <diagonal/>
    </border>
    <border>
      <left style="thin">
        <color theme="0"/>
      </left>
      <right/>
      <top style="medium">
        <color rgb="FFFF0000"/>
      </top>
      <bottom style="medium">
        <color rgb="FFFF0000"/>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right style="medium">
        <color theme="9"/>
      </right>
      <top/>
      <bottom style="medium">
        <color theme="9"/>
      </bottom>
      <diagonal/>
    </border>
    <border>
      <left style="medium">
        <color theme="9"/>
      </left>
      <right style="thin">
        <color theme="2" tint="-9.9978637043366805E-2"/>
      </right>
      <top style="medium">
        <color theme="9"/>
      </top>
      <bottom style="thin">
        <color theme="2" tint="-9.9978637043366805E-2"/>
      </bottom>
      <diagonal/>
    </border>
    <border>
      <left style="thin">
        <color theme="2" tint="-9.9978637043366805E-2"/>
      </left>
      <right style="thin">
        <color theme="2" tint="-9.9978637043366805E-2"/>
      </right>
      <top style="medium">
        <color theme="9"/>
      </top>
      <bottom style="thin">
        <color theme="2" tint="-9.9978637043366805E-2"/>
      </bottom>
      <diagonal/>
    </border>
    <border>
      <left style="thin">
        <color theme="2" tint="-9.9978637043366805E-2"/>
      </left>
      <right style="medium">
        <color theme="9"/>
      </right>
      <top style="medium">
        <color theme="9"/>
      </top>
      <bottom style="thin">
        <color theme="2" tint="-9.9978637043366805E-2"/>
      </bottom>
      <diagonal/>
    </border>
    <border>
      <left style="medium">
        <color theme="9"/>
      </left>
      <right style="thin">
        <color theme="2" tint="-9.9978637043366805E-2"/>
      </right>
      <top style="thin">
        <color theme="2" tint="-9.9978637043366805E-2"/>
      </top>
      <bottom style="thin">
        <color theme="2" tint="-9.9978637043366805E-2"/>
      </bottom>
      <diagonal/>
    </border>
    <border>
      <left style="thin">
        <color theme="2" tint="-9.9978637043366805E-2"/>
      </left>
      <right style="medium">
        <color theme="9"/>
      </right>
      <top style="thin">
        <color theme="2" tint="-9.9978637043366805E-2"/>
      </top>
      <bottom style="thin">
        <color theme="2" tint="-9.9978637043366805E-2"/>
      </bottom>
      <diagonal/>
    </border>
    <border>
      <left style="medium">
        <color theme="9"/>
      </left>
      <right style="thin">
        <color theme="2" tint="-9.9978637043366805E-2"/>
      </right>
      <top style="thin">
        <color theme="2" tint="-9.9978637043366805E-2"/>
      </top>
      <bottom style="medium">
        <color theme="9"/>
      </bottom>
      <diagonal/>
    </border>
    <border>
      <left style="thin">
        <color theme="2" tint="-9.9978637043366805E-2"/>
      </left>
      <right style="thin">
        <color theme="2" tint="-9.9978637043366805E-2"/>
      </right>
      <top style="thin">
        <color theme="2" tint="-9.9978637043366805E-2"/>
      </top>
      <bottom style="medium">
        <color theme="9"/>
      </bottom>
      <diagonal/>
    </border>
    <border>
      <left style="thin">
        <color theme="2" tint="-9.9978637043366805E-2"/>
      </left>
      <right style="medium">
        <color theme="9"/>
      </right>
      <top style="thin">
        <color theme="2" tint="-9.9978637043366805E-2"/>
      </top>
      <bottom style="medium">
        <color theme="9"/>
      </bottom>
      <diagonal/>
    </border>
    <border>
      <left style="medium">
        <color theme="9"/>
      </left>
      <right style="thin">
        <color theme="2" tint="-9.9978637043366805E-2"/>
      </right>
      <top/>
      <bottom style="thin">
        <color theme="2" tint="-9.9978637043366805E-2"/>
      </bottom>
      <diagonal/>
    </border>
    <border>
      <left style="thin">
        <color theme="2" tint="-9.9978637043366805E-2"/>
      </left>
      <right style="thin">
        <color theme="2" tint="-9.9978637043366805E-2"/>
      </right>
      <top/>
      <bottom style="thin">
        <color theme="2" tint="-9.9978637043366805E-2"/>
      </bottom>
      <diagonal/>
    </border>
    <border>
      <left style="thin">
        <color theme="2" tint="-9.9978637043366805E-2"/>
      </left>
      <right style="medium">
        <color theme="9"/>
      </right>
      <top/>
      <bottom style="thin">
        <color theme="2" tint="-9.9978637043366805E-2"/>
      </bottom>
      <diagonal/>
    </border>
    <border>
      <left style="medium">
        <color theme="9"/>
      </left>
      <right style="thin">
        <color theme="6"/>
      </right>
      <top style="medium">
        <color theme="9"/>
      </top>
      <bottom style="thin">
        <color theme="6"/>
      </bottom>
      <diagonal/>
    </border>
    <border>
      <left style="thin">
        <color theme="6"/>
      </left>
      <right style="thin">
        <color theme="6"/>
      </right>
      <top style="medium">
        <color theme="9"/>
      </top>
      <bottom style="thin">
        <color theme="6"/>
      </bottom>
      <diagonal/>
    </border>
    <border>
      <left style="medium">
        <color theme="9"/>
      </left>
      <right style="thin">
        <color theme="6"/>
      </right>
      <top style="thin">
        <color theme="6"/>
      </top>
      <bottom style="medium">
        <color theme="9"/>
      </bottom>
      <diagonal/>
    </border>
    <border>
      <left/>
      <right style="medium">
        <color theme="9"/>
      </right>
      <top style="medium">
        <color theme="9"/>
      </top>
      <bottom style="medium">
        <color theme="9"/>
      </bottom>
      <diagonal/>
    </border>
    <border>
      <left style="medium">
        <color theme="9"/>
      </left>
      <right style="thin">
        <color theme="6"/>
      </right>
      <top/>
      <bottom style="medium">
        <color theme="9"/>
      </bottom>
      <diagonal/>
    </border>
    <border>
      <left/>
      <right style="thin">
        <color theme="6"/>
      </right>
      <top/>
      <bottom style="medium">
        <color theme="9"/>
      </bottom>
      <diagonal/>
    </border>
    <border>
      <left style="medium">
        <color theme="9"/>
      </left>
      <right style="thin">
        <color theme="6"/>
      </right>
      <top style="medium">
        <color theme="9"/>
      </top>
      <bottom style="medium">
        <color theme="9"/>
      </bottom>
      <diagonal/>
    </border>
    <border>
      <left style="thin">
        <color theme="6"/>
      </left>
      <right style="thin">
        <color theme="6"/>
      </right>
      <top style="medium">
        <color theme="9"/>
      </top>
      <bottom style="medium">
        <color theme="9"/>
      </bottom>
      <diagonal/>
    </border>
    <border>
      <left/>
      <right/>
      <top style="thin">
        <color theme="9"/>
      </top>
      <bottom style="thin">
        <color theme="9"/>
      </bottom>
      <diagonal/>
    </border>
    <border>
      <left/>
      <right style="thin">
        <color theme="2" tint="-9.9978637043366805E-2"/>
      </right>
      <top style="thin">
        <color theme="2" tint="-9.9978637043366805E-2"/>
      </top>
      <bottom style="thin">
        <color theme="2" tint="-9.9978637043366805E-2"/>
      </bottom>
      <diagonal/>
    </border>
    <border>
      <left/>
      <right style="thin">
        <color theme="2" tint="-9.9978637043366805E-2"/>
      </right>
      <top style="thin">
        <color theme="2" tint="-9.9978637043366805E-2"/>
      </top>
      <bottom style="medium">
        <color theme="9"/>
      </bottom>
      <diagonal/>
    </border>
    <border>
      <left style="thin">
        <color theme="9"/>
      </left>
      <right style="thin">
        <color theme="2" tint="-9.9978637043366805E-2"/>
      </right>
      <top style="thin">
        <color theme="9"/>
      </top>
      <bottom style="thin">
        <color theme="2" tint="-9.9978637043366805E-2"/>
      </bottom>
      <diagonal/>
    </border>
    <border>
      <left style="thin">
        <color theme="2" tint="-9.9978637043366805E-2"/>
      </left>
      <right style="thin">
        <color theme="2" tint="-9.9978637043366805E-2"/>
      </right>
      <top style="thin">
        <color theme="9"/>
      </top>
      <bottom style="thin">
        <color theme="2" tint="-9.9978637043366805E-2"/>
      </bottom>
      <diagonal/>
    </border>
    <border>
      <left style="thin">
        <color theme="2" tint="-9.9978637043366805E-2"/>
      </left>
      <right style="thin">
        <color theme="9"/>
      </right>
      <top style="thin">
        <color theme="9"/>
      </top>
      <bottom style="thin">
        <color theme="2" tint="-9.9978637043366805E-2"/>
      </bottom>
      <diagonal/>
    </border>
    <border>
      <left style="thin">
        <color theme="9"/>
      </left>
      <right style="thin">
        <color theme="2" tint="-9.9978637043366805E-2"/>
      </right>
      <top/>
      <bottom style="thin">
        <color theme="2" tint="-9.9978637043366805E-2"/>
      </bottom>
      <diagonal/>
    </border>
    <border>
      <left style="thin">
        <color theme="2" tint="-9.9978637043366805E-2"/>
      </left>
      <right style="thin">
        <color theme="9"/>
      </right>
      <top/>
      <bottom style="thin">
        <color theme="2" tint="-9.9978637043366805E-2"/>
      </bottom>
      <diagonal/>
    </border>
    <border>
      <left style="thin">
        <color theme="9"/>
      </left>
      <right style="thin">
        <color theme="2" tint="-9.9978637043366805E-2"/>
      </right>
      <top/>
      <bottom style="thin">
        <color theme="9"/>
      </bottom>
      <diagonal/>
    </border>
    <border>
      <left style="thin">
        <color theme="2" tint="-9.9978637043366805E-2"/>
      </left>
      <right style="thin">
        <color theme="2" tint="-9.9978637043366805E-2"/>
      </right>
      <top/>
      <bottom style="thin">
        <color theme="9"/>
      </bottom>
      <diagonal/>
    </border>
    <border>
      <left style="thin">
        <color theme="2" tint="-9.9978637043366805E-2"/>
      </left>
      <right style="thin">
        <color theme="9"/>
      </right>
      <top/>
      <bottom style="thin">
        <color theme="9"/>
      </bottom>
      <diagonal/>
    </border>
    <border>
      <left style="thin">
        <color theme="2" tint="-9.9978637043366805E-2"/>
      </left>
      <right/>
      <top/>
      <bottom style="thin">
        <color theme="2" tint="-9.9978637043366805E-2"/>
      </bottom>
      <diagonal/>
    </border>
    <border>
      <left style="thin">
        <color theme="9"/>
      </left>
      <right style="thin">
        <color theme="2" tint="-9.9978637043366805E-2"/>
      </right>
      <top style="thin">
        <color theme="2" tint="-9.9978637043366805E-2"/>
      </top>
      <bottom style="thin">
        <color theme="2" tint="-9.9978637043366805E-2"/>
      </bottom>
      <diagonal/>
    </border>
    <border>
      <left style="thin">
        <color theme="2" tint="-9.9978637043366805E-2"/>
      </left>
      <right style="thin">
        <color theme="9"/>
      </right>
      <top style="thin">
        <color theme="2" tint="-9.9978637043366805E-2"/>
      </top>
      <bottom style="thin">
        <color theme="2" tint="-9.9978637043366805E-2"/>
      </bottom>
      <diagonal/>
    </border>
    <border>
      <left style="thin">
        <color theme="9"/>
      </left>
      <right style="thin">
        <color theme="2" tint="-9.9978637043366805E-2"/>
      </right>
      <top style="thin">
        <color theme="2" tint="-9.9978637043366805E-2"/>
      </top>
      <bottom style="thin">
        <color theme="9"/>
      </bottom>
      <diagonal/>
    </border>
    <border>
      <left style="thin">
        <color theme="2" tint="-9.9978637043366805E-2"/>
      </left>
      <right style="thin">
        <color theme="2" tint="-9.9978637043366805E-2"/>
      </right>
      <top style="thin">
        <color theme="2" tint="-9.9978637043366805E-2"/>
      </top>
      <bottom style="thin">
        <color theme="9"/>
      </bottom>
      <diagonal/>
    </border>
    <border>
      <left style="thin">
        <color theme="2" tint="-9.9978637043366805E-2"/>
      </left>
      <right style="thin">
        <color theme="9"/>
      </right>
      <top style="thin">
        <color theme="2" tint="-9.9978637043366805E-2"/>
      </top>
      <bottom style="thin">
        <color theme="9"/>
      </bottom>
      <diagonal/>
    </border>
    <border>
      <left style="medium">
        <color theme="9" tint="-0.249977111117893"/>
      </left>
      <right/>
      <top style="medium">
        <color theme="9" tint="-0.249977111117893"/>
      </top>
      <bottom/>
      <diagonal/>
    </border>
    <border>
      <left/>
      <right/>
      <top style="medium">
        <color theme="9" tint="-0.249977111117893"/>
      </top>
      <bottom/>
      <diagonal/>
    </border>
    <border>
      <left style="medium">
        <color theme="9" tint="-0.249977111117893"/>
      </left>
      <right/>
      <top/>
      <bottom style="medium">
        <color theme="9" tint="-0.249977111117893"/>
      </bottom>
      <diagonal/>
    </border>
    <border>
      <left/>
      <right/>
      <top/>
      <bottom style="medium">
        <color theme="9" tint="-0.249977111117893"/>
      </bottom>
      <diagonal/>
    </border>
    <border>
      <left style="medium">
        <color theme="9"/>
      </left>
      <right style="medium">
        <color theme="9" tint="-0.249977111117893"/>
      </right>
      <top style="medium">
        <color theme="9" tint="-0.249977111117893"/>
      </top>
      <bottom style="medium">
        <color theme="9" tint="-0.249977111117893"/>
      </bottom>
      <diagonal/>
    </border>
    <border>
      <left style="thin">
        <color theme="2" tint="-0.249977111117893"/>
      </left>
      <right/>
      <top style="medium">
        <color theme="9"/>
      </top>
      <bottom/>
      <diagonal/>
    </border>
    <border>
      <left/>
      <right style="medium">
        <color theme="9"/>
      </right>
      <top style="medium">
        <color theme="9"/>
      </top>
      <bottom/>
      <diagonal/>
    </border>
    <border>
      <left style="thin">
        <color theme="2" tint="-0.249977111117893"/>
      </left>
      <right/>
      <top style="medium">
        <color theme="9"/>
      </top>
      <bottom style="thin">
        <color theme="2" tint="-0.249977111117893"/>
      </bottom>
      <diagonal/>
    </border>
    <border>
      <left/>
      <right/>
      <top style="medium">
        <color theme="9"/>
      </top>
      <bottom/>
      <diagonal/>
    </border>
    <border>
      <left/>
      <right/>
      <top/>
      <bottom style="medium">
        <color theme="9"/>
      </bottom>
      <diagonal/>
    </border>
    <border>
      <left style="thin">
        <color theme="6"/>
      </left>
      <right/>
      <top style="medium">
        <color theme="9"/>
      </top>
      <bottom style="medium">
        <color theme="9"/>
      </bottom>
      <diagonal/>
    </border>
    <border>
      <left style="thin">
        <color theme="2" tint="-0.249977111117893"/>
      </left>
      <right style="thin">
        <color theme="2" tint="-0.249977111117893"/>
      </right>
      <top/>
      <bottom style="medium">
        <color theme="9"/>
      </bottom>
      <diagonal/>
    </border>
    <border>
      <left style="thin">
        <color theme="2" tint="-0.249977111117893"/>
      </left>
      <right style="medium">
        <color theme="9"/>
      </right>
      <top style="medium">
        <color theme="9"/>
      </top>
      <bottom/>
      <diagonal/>
    </border>
    <border>
      <left/>
      <right style="medium">
        <color theme="9"/>
      </right>
      <top style="thin">
        <color theme="2" tint="-0.249977111117893"/>
      </top>
      <bottom/>
      <diagonal/>
    </border>
    <border>
      <left style="thin">
        <color theme="6"/>
      </left>
      <right/>
      <top style="medium">
        <color theme="9"/>
      </top>
      <bottom style="thin">
        <color theme="6"/>
      </bottom>
      <diagonal/>
    </border>
    <border>
      <left/>
      <right/>
      <top style="thin">
        <color theme="6"/>
      </top>
      <bottom style="medium">
        <color theme="9"/>
      </bottom>
      <diagonal/>
    </border>
    <border>
      <left style="thin">
        <color theme="9"/>
      </left>
      <right style="thin">
        <color theme="9"/>
      </right>
      <top style="thin">
        <color theme="9"/>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medium">
        <color theme="9"/>
      </top>
      <bottom style="thin">
        <color theme="0" tint="-0.34998626667073579"/>
      </bottom>
      <diagonal/>
    </border>
    <border>
      <left style="thin">
        <color theme="0" tint="-0.34998626667073579"/>
      </left>
      <right style="thin">
        <color theme="0" tint="-0.34998626667073579"/>
      </right>
      <top style="thin">
        <color theme="0" tint="-0.34998626667073579"/>
      </top>
      <bottom style="medium">
        <color theme="9"/>
      </bottom>
      <diagonal/>
    </border>
    <border>
      <left style="medium">
        <color theme="9"/>
      </left>
      <right style="medium">
        <color theme="9"/>
      </right>
      <top style="medium">
        <color theme="9"/>
      </top>
      <bottom style="thin">
        <color theme="0" tint="-0.249977111117893"/>
      </bottom>
      <diagonal/>
    </border>
    <border>
      <left style="medium">
        <color theme="9"/>
      </left>
      <right style="medium">
        <color theme="9"/>
      </right>
      <top style="thin">
        <color theme="0" tint="-0.249977111117893"/>
      </top>
      <bottom style="thin">
        <color theme="0" tint="-0.249977111117893"/>
      </bottom>
      <diagonal/>
    </border>
    <border>
      <left style="medium">
        <color theme="9"/>
      </left>
      <right style="medium">
        <color theme="9"/>
      </right>
      <top style="thin">
        <color theme="0" tint="-0.249977111117893"/>
      </top>
      <bottom style="medium">
        <color theme="9"/>
      </bottom>
      <diagonal/>
    </border>
    <border>
      <left style="thin">
        <color theme="0" tint="-0.34998626667073579"/>
      </left>
      <right/>
      <top style="medium">
        <color theme="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top style="thin">
        <color theme="0" tint="-0.34998626667073579"/>
      </top>
      <bottom style="medium">
        <color theme="9"/>
      </bottom>
      <diagonal/>
    </border>
    <border>
      <left style="medium">
        <color theme="9"/>
      </left>
      <right style="thin">
        <color theme="0" tint="-0.249977111117893"/>
      </right>
      <top style="medium">
        <color theme="9"/>
      </top>
      <bottom style="thin">
        <color theme="0" tint="-0.249977111117893"/>
      </bottom>
      <diagonal/>
    </border>
    <border>
      <left style="medium">
        <color theme="9"/>
      </left>
      <right style="thin">
        <color theme="0" tint="-0.249977111117893"/>
      </right>
      <top style="thin">
        <color theme="0" tint="-0.249977111117893"/>
      </top>
      <bottom style="thin">
        <color theme="0" tint="-0.249977111117893"/>
      </bottom>
      <diagonal/>
    </border>
    <border>
      <left style="medium">
        <color theme="9"/>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diagonal/>
    </border>
    <border>
      <left style="medium">
        <color theme="9"/>
      </left>
      <right style="thin">
        <color theme="0" tint="-0.249977111117893"/>
      </right>
      <top/>
      <bottom style="thin">
        <color theme="0" tint="-0.249977111117893"/>
      </bottom>
      <diagonal/>
    </border>
    <border>
      <left style="thin">
        <color theme="0" tint="-0.14999847407452621"/>
      </left>
      <right style="thin">
        <color theme="0" tint="-0.14999847407452621"/>
      </right>
      <top style="medium">
        <color theme="9"/>
      </top>
      <bottom style="medium">
        <color theme="9"/>
      </bottom>
      <diagonal/>
    </border>
    <border>
      <left style="medium">
        <color theme="9"/>
      </left>
      <right style="medium">
        <color theme="9"/>
      </right>
      <top style="thin">
        <color theme="9"/>
      </top>
      <bottom/>
      <diagonal/>
    </border>
    <border>
      <left style="medium">
        <color theme="9"/>
      </left>
      <right style="thin">
        <color theme="2" tint="-0.249977111117893"/>
      </right>
      <top style="thin">
        <color theme="2" tint="-0.249977111117893"/>
      </top>
      <bottom/>
      <diagonal/>
    </border>
    <border>
      <left style="medium">
        <color theme="9"/>
      </left>
      <right style="thin">
        <color theme="2" tint="-0.249977111117893"/>
      </right>
      <top/>
      <bottom style="thin">
        <color theme="2" tint="-0.249977111117893"/>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medium">
        <color theme="0" tint="-0.499984740745262"/>
      </top>
      <bottom style="thin">
        <color theme="2" tint="-0.249977111117893"/>
      </bottom>
      <diagonal/>
    </border>
    <border>
      <left style="thin">
        <color theme="9"/>
      </left>
      <right style="thin">
        <color theme="9"/>
      </right>
      <top style="medium">
        <color theme="0" tint="-0.499984740745262"/>
      </top>
      <bottom style="thin">
        <color theme="9"/>
      </bottom>
      <diagonal/>
    </border>
    <border>
      <left style="medium">
        <color theme="9"/>
      </left>
      <right style="thin">
        <color theme="2" tint="-0.249977111117893"/>
      </right>
      <top/>
      <bottom style="medium">
        <color theme="9"/>
      </bottom>
      <diagonal/>
    </border>
    <border>
      <left style="thin">
        <color theme="0" tint="-0.14999847407452621"/>
      </left>
      <right style="thin">
        <color theme="0" tint="-0.14999847407452621"/>
      </right>
      <top style="medium">
        <color theme="9"/>
      </top>
      <bottom style="thin">
        <color theme="0" tint="-0.14999847407452621"/>
      </bottom>
      <diagonal/>
    </border>
    <border>
      <left style="thin">
        <color theme="0" tint="-0.14999847407452621"/>
      </left>
      <right style="medium">
        <color theme="9"/>
      </right>
      <top style="medium">
        <color theme="9"/>
      </top>
      <bottom style="thin">
        <color theme="0" tint="-0.14999847407452621"/>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style="medium">
        <color theme="9"/>
      </top>
      <bottom style="medium">
        <color theme="9"/>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style="thin">
        <color theme="0" tint="-0.34998626667073579"/>
      </right>
      <top/>
      <bottom/>
      <diagonal/>
    </border>
    <border>
      <left/>
      <right style="thin">
        <color theme="2" tint="-0.249977111117893"/>
      </right>
      <top style="medium">
        <color theme="9"/>
      </top>
      <bottom/>
      <diagonal/>
    </border>
    <border>
      <left/>
      <right style="thin">
        <color theme="2" tint="-0.249977111117893"/>
      </right>
      <top/>
      <bottom style="medium">
        <color theme="9"/>
      </bottom>
      <diagonal/>
    </border>
    <border>
      <left style="thin">
        <color theme="2" tint="-0.249977111117893"/>
      </left>
      <right/>
      <top/>
      <bottom style="medium">
        <color theme="9"/>
      </bottom>
      <diagonal/>
    </border>
    <border>
      <left style="thin">
        <color theme="0" tint="-0.249977111117893"/>
      </left>
      <right style="thin">
        <color theme="0" tint="-0.249977111117893"/>
      </right>
      <top style="medium">
        <color theme="9"/>
      </top>
      <bottom style="thin">
        <color theme="0" tint="-0.249977111117893"/>
      </bottom>
      <diagonal/>
    </border>
    <border>
      <left/>
      <right style="thin">
        <color theme="0" tint="-0.249977111117893"/>
      </right>
      <top style="medium">
        <color theme="9"/>
      </top>
      <bottom style="thin">
        <color theme="0" tint="-0.249977111117893"/>
      </bottom>
      <diagonal/>
    </border>
    <border>
      <left/>
      <right style="thin">
        <color theme="0" tint="-0.249977111117893"/>
      </right>
      <top style="thin">
        <color theme="0" tint="-0.249977111117893"/>
      </top>
      <bottom/>
      <diagonal/>
    </border>
    <border>
      <left style="medium">
        <color theme="9"/>
      </left>
      <right style="thin">
        <color theme="0" tint="-0.249977111117893"/>
      </right>
      <top style="medium">
        <color theme="9"/>
      </top>
      <bottom style="medium">
        <color theme="9"/>
      </bottom>
      <diagonal/>
    </border>
    <border>
      <left style="medium">
        <color theme="9"/>
      </left>
      <right/>
      <top style="medium">
        <color theme="9"/>
      </top>
      <bottom style="thin">
        <color theme="0" tint="-0.249977111117893"/>
      </bottom>
      <diagonal/>
    </border>
    <border>
      <left style="medium">
        <color theme="9"/>
      </left>
      <right/>
      <top style="thin">
        <color theme="0" tint="-0.249977111117893"/>
      </top>
      <bottom style="thin">
        <color theme="0" tint="-0.249977111117893"/>
      </bottom>
      <diagonal/>
    </border>
    <border>
      <left style="medium">
        <color theme="9"/>
      </left>
      <right/>
      <top style="medium">
        <color theme="9"/>
      </top>
      <bottom style="thin">
        <color theme="0" tint="-0.34998626667073579"/>
      </bottom>
      <diagonal/>
    </border>
    <border>
      <left style="medium">
        <color theme="9"/>
      </left>
      <right/>
      <top style="thin">
        <color theme="0" tint="-0.34998626667073579"/>
      </top>
      <bottom style="thin">
        <color theme="0" tint="-0.34998626667073579"/>
      </bottom>
      <diagonal/>
    </border>
    <border>
      <left style="thin">
        <color theme="0" tint="-0.249977111117893"/>
      </left>
      <right style="medium">
        <color theme="9"/>
      </right>
      <top style="medium">
        <color theme="9"/>
      </top>
      <bottom style="thin">
        <color theme="0" tint="-0.249977111117893"/>
      </bottom>
      <diagonal/>
    </border>
    <border>
      <left style="thin">
        <color theme="0" tint="-0.249977111117893"/>
      </left>
      <right style="medium">
        <color theme="9"/>
      </right>
      <top style="thin">
        <color theme="0" tint="-0.249977111117893"/>
      </top>
      <bottom style="medium">
        <color theme="9"/>
      </bottom>
      <diagonal/>
    </border>
    <border>
      <left style="medium">
        <color theme="9"/>
      </left>
      <right style="thin">
        <color theme="0" tint="-0.34998626667073579"/>
      </right>
      <top style="medium">
        <color theme="9"/>
      </top>
      <bottom style="thin">
        <color theme="0" tint="-0.34998626667073579"/>
      </bottom>
      <diagonal/>
    </border>
    <border>
      <left style="medium">
        <color theme="9"/>
      </left>
      <right style="thin">
        <color theme="0" tint="-0.34998626667073579"/>
      </right>
      <top style="thin">
        <color theme="0" tint="-0.34998626667073579"/>
      </top>
      <bottom style="thin">
        <color theme="0" tint="-0.34998626667073579"/>
      </bottom>
      <diagonal/>
    </border>
    <border>
      <left style="medium">
        <color theme="9"/>
      </left>
      <right style="thin">
        <color theme="0" tint="-0.34998626667073579"/>
      </right>
      <top style="thin">
        <color theme="0" tint="-0.34998626667073579"/>
      </top>
      <bottom style="medium">
        <color theme="9"/>
      </bottom>
      <diagonal/>
    </border>
    <border>
      <left style="medium">
        <color theme="9"/>
      </left>
      <right/>
      <top style="thin">
        <color theme="0" tint="-0.34998626667073579"/>
      </top>
      <bottom/>
      <diagonal/>
    </border>
    <border>
      <left/>
      <right style="thin">
        <color theme="0" tint="-0.249977111117893"/>
      </right>
      <top/>
      <bottom style="thin">
        <color theme="0" tint="-0.249977111117893"/>
      </bottom>
      <diagonal/>
    </border>
    <border>
      <left style="thin">
        <color theme="9"/>
      </left>
      <right/>
      <top style="medium">
        <color theme="9"/>
      </top>
      <bottom style="thin">
        <color theme="9"/>
      </bottom>
      <diagonal/>
    </border>
    <border>
      <left style="medium">
        <color theme="0" tint="-0.34998626667073579"/>
      </left>
      <right/>
      <top style="medium">
        <color theme="0" tint="-0.34998626667073579"/>
      </top>
      <bottom/>
      <diagonal/>
    </border>
    <border>
      <left style="thin">
        <color theme="0" tint="-0.34998626667073579"/>
      </left>
      <right style="thin">
        <color theme="0" tint="-0.34998626667073579"/>
      </right>
      <top style="medium">
        <color theme="0" tint="-0.34998626667073579"/>
      </top>
      <bottom style="thin">
        <color theme="0" tint="-0.34998626667073579"/>
      </bottom>
      <diagonal/>
    </border>
    <border>
      <left style="thin">
        <color theme="0" tint="-0.34998626667073579"/>
      </left>
      <right style="medium">
        <color theme="0" tint="-0.34998626667073579"/>
      </right>
      <top style="medium">
        <color theme="0" tint="-0.34998626667073579"/>
      </top>
      <bottom style="thin">
        <color theme="0" tint="-0.34998626667073579"/>
      </bottom>
      <diagonal/>
    </border>
    <border>
      <left style="medium">
        <color theme="0" tint="-0.34998626667073579"/>
      </left>
      <right/>
      <top style="thin">
        <color theme="2" tint="-0.249977111117893"/>
      </top>
      <bottom style="medium">
        <color theme="0" tint="-0.34998626667073579"/>
      </bottom>
      <diagonal/>
    </border>
    <border>
      <left style="thin">
        <color theme="0" tint="-0.34998626667073579"/>
      </left>
      <right style="thin">
        <color theme="0" tint="-0.34998626667073579"/>
      </right>
      <top style="thin">
        <color theme="0" tint="-0.34998626667073579"/>
      </top>
      <bottom style="medium">
        <color theme="0" tint="-0.34998626667073579"/>
      </bottom>
      <diagonal/>
    </border>
    <border>
      <left style="thin">
        <color theme="0" tint="-0.34998626667073579"/>
      </left>
      <right style="medium">
        <color theme="0" tint="-0.34998626667073579"/>
      </right>
      <top style="thin">
        <color theme="0" tint="-0.34998626667073579"/>
      </top>
      <bottom style="medium">
        <color theme="0" tint="-0.34998626667073579"/>
      </bottom>
      <diagonal/>
    </border>
    <border>
      <left style="medium">
        <color theme="0" tint="-0.34998626667073579"/>
      </left>
      <right style="thin">
        <color theme="2" tint="-0.249977111117893"/>
      </right>
      <top/>
      <bottom style="medium">
        <color theme="0" tint="-0.34998626667073579"/>
      </bottom>
      <diagonal/>
    </border>
    <border>
      <left style="medium">
        <color theme="0" tint="-0.34998626667073579"/>
      </left>
      <right style="medium">
        <color theme="9"/>
      </right>
      <top style="medium">
        <color theme="0" tint="-0.34998626667073579"/>
      </top>
      <bottom style="thin">
        <color theme="2" tint="-0.249977111117893"/>
      </bottom>
      <diagonal/>
    </border>
    <border>
      <left style="medium">
        <color theme="9"/>
      </left>
      <right style="medium">
        <color theme="9"/>
      </right>
      <top style="medium">
        <color theme="0" tint="-0.34998626667073579"/>
      </top>
      <bottom style="thin">
        <color theme="2" tint="-0.249977111117893"/>
      </bottom>
      <diagonal/>
    </border>
    <border>
      <left style="medium">
        <color theme="9"/>
      </left>
      <right/>
      <top style="medium">
        <color theme="0" tint="-0.34998626667073579"/>
      </top>
      <bottom style="thin">
        <color theme="0" tint="-0.249977111117893"/>
      </bottom>
      <diagonal/>
    </border>
    <border>
      <left style="medium">
        <color theme="0" tint="-0.34998626667073579"/>
      </left>
      <right style="medium">
        <color theme="9"/>
      </right>
      <top style="thin">
        <color theme="2" tint="-0.249977111117893"/>
      </top>
      <bottom style="medium">
        <color theme="0" tint="-0.34998626667073579"/>
      </bottom>
      <diagonal/>
    </border>
    <border>
      <left style="medium">
        <color theme="9"/>
      </left>
      <right style="medium">
        <color theme="9"/>
      </right>
      <top style="thin">
        <color theme="2" tint="-0.249977111117893"/>
      </top>
      <bottom style="medium">
        <color theme="0" tint="-0.34998626667073579"/>
      </bottom>
      <diagonal/>
    </border>
    <border>
      <left style="medium">
        <color theme="9"/>
      </left>
      <right/>
      <top style="thin">
        <color theme="0" tint="-0.249977111117893"/>
      </top>
      <bottom style="medium">
        <color theme="0" tint="-0.34998626667073579"/>
      </bottom>
      <diagonal/>
    </border>
    <border>
      <left style="medium">
        <color theme="9"/>
      </left>
      <right/>
      <top style="thin">
        <color theme="0" tint="-0.249977111117893"/>
      </top>
      <bottom/>
      <diagonal/>
    </border>
    <border>
      <left style="medium">
        <color theme="9"/>
      </left>
      <right style="thin">
        <color theme="0" tint="-0.34998626667073579"/>
      </right>
      <top style="thin">
        <color theme="0" tint="-0.34998626667073579"/>
      </top>
      <bottom/>
      <diagonal/>
    </border>
    <border>
      <left style="thin">
        <color theme="0" tint="-0.249977111117893"/>
      </left>
      <right style="medium">
        <color theme="9"/>
      </right>
      <top style="thin">
        <color theme="0" tint="-0.249977111117893"/>
      </top>
      <bottom/>
      <diagonal/>
    </border>
    <border>
      <left/>
      <right/>
      <top style="medium">
        <color theme="0" tint="-0.34998626667073579"/>
      </top>
      <bottom style="thin">
        <color theme="2" tint="-0.249977111117893"/>
      </bottom>
      <diagonal/>
    </border>
    <border>
      <left style="medium">
        <color theme="9"/>
      </left>
      <right style="medium">
        <color theme="9"/>
      </right>
      <top style="medium">
        <color theme="0" tint="-0.34998626667073579"/>
      </top>
      <bottom style="thin">
        <color theme="0" tint="-0.249977111117893"/>
      </bottom>
      <diagonal/>
    </border>
    <border>
      <left/>
      <right/>
      <top style="thin">
        <color theme="2" tint="-0.249977111117893"/>
      </top>
      <bottom style="medium">
        <color theme="0" tint="-0.34998626667073579"/>
      </bottom>
      <diagonal/>
    </border>
    <border>
      <left style="medium">
        <color theme="9"/>
      </left>
      <right style="medium">
        <color theme="9"/>
      </right>
      <top style="thin">
        <color theme="0" tint="-0.249977111117893"/>
      </top>
      <bottom style="medium">
        <color theme="0" tint="-0.34998626667073579"/>
      </bottom>
      <diagonal/>
    </border>
    <border>
      <left/>
      <right style="medium">
        <color theme="0" tint="-0.249977111117893"/>
      </right>
      <top style="medium">
        <color theme="0" tint="-0.249977111117893"/>
      </top>
      <bottom style="thin">
        <color theme="0" tint="-0.249977111117893"/>
      </bottom>
      <diagonal/>
    </border>
    <border>
      <left/>
      <right style="medium">
        <color theme="0" tint="-0.249977111117893"/>
      </right>
      <top style="thin">
        <color theme="0" tint="-0.249977111117893"/>
      </top>
      <bottom style="thin">
        <color theme="0" tint="-0.249977111117893"/>
      </bottom>
      <diagonal/>
    </border>
    <border>
      <left/>
      <right style="medium">
        <color theme="0" tint="-0.249977111117893"/>
      </right>
      <top style="thin">
        <color theme="0" tint="-0.249977111117893"/>
      </top>
      <bottom style="medium">
        <color theme="0" tint="-0.249977111117893"/>
      </bottom>
      <diagonal/>
    </border>
    <border>
      <left style="thin">
        <color theme="0" tint="-0.249977111117893"/>
      </left>
      <right style="medium">
        <color theme="9"/>
      </right>
      <top style="thin">
        <color theme="0" tint="-0.249977111117893"/>
      </top>
      <bottom style="thin">
        <color theme="0" tint="-0.249977111117893"/>
      </bottom>
      <diagonal/>
    </border>
    <border>
      <left style="thin">
        <color theme="0" tint="-0.249977111117893"/>
      </left>
      <right style="thin">
        <color theme="0" tint="-0.249977111117893"/>
      </right>
      <top style="medium">
        <color theme="9"/>
      </top>
      <bottom style="medium">
        <color theme="9"/>
      </bottom>
      <diagonal/>
    </border>
    <border>
      <left style="thin">
        <color theme="0" tint="-0.249977111117893"/>
      </left>
      <right style="medium">
        <color theme="9"/>
      </right>
      <top style="medium">
        <color theme="9"/>
      </top>
      <bottom style="medium">
        <color theme="9"/>
      </bottom>
      <diagonal/>
    </border>
    <border>
      <left style="thin">
        <color theme="0" tint="-0.249977111117893"/>
      </left>
      <right style="medium">
        <color theme="9"/>
      </right>
      <top/>
      <bottom style="thin">
        <color theme="0" tint="-0.249977111117893"/>
      </bottom>
      <diagonal/>
    </border>
    <border>
      <left style="medium">
        <color theme="9"/>
      </left>
      <right style="thin">
        <color theme="0" tint="-0.249977111117893"/>
      </right>
      <top style="thin">
        <color theme="0" tint="-0.249977111117893"/>
      </top>
      <bottom style="medium">
        <color theme="9"/>
      </bottom>
      <diagonal/>
    </border>
    <border>
      <left style="thin">
        <color theme="0" tint="-0.249977111117893"/>
      </left>
      <right/>
      <top/>
      <bottom style="thin">
        <color theme="0" tint="-0.249977111117893"/>
      </bottom>
      <diagonal/>
    </border>
    <border>
      <left style="thin">
        <color theme="0" tint="-0.249977111117893"/>
      </left>
      <right/>
      <top style="thin">
        <color theme="0" tint="-0.249977111117893"/>
      </top>
      <bottom/>
      <diagonal/>
    </border>
    <border>
      <left/>
      <right style="thin">
        <color theme="0" tint="-0.249977111117893"/>
      </right>
      <top/>
      <bottom style="medium">
        <color theme="9"/>
      </bottom>
      <diagonal/>
    </border>
    <border>
      <left style="thin">
        <color theme="0" tint="-0.249977111117893"/>
      </left>
      <right style="thin">
        <color theme="0" tint="-0.249977111117893"/>
      </right>
      <top/>
      <bottom style="medium">
        <color theme="9"/>
      </bottom>
      <diagonal/>
    </border>
    <border>
      <left style="thin">
        <color theme="0" tint="-0.249977111117893"/>
      </left>
      <right style="medium">
        <color theme="9"/>
      </right>
      <top/>
      <bottom style="medium">
        <color theme="9"/>
      </bottom>
      <diagonal/>
    </border>
    <border>
      <left style="thin">
        <color theme="0" tint="-0.249977111117893"/>
      </left>
      <right/>
      <top style="medium">
        <color theme="9"/>
      </top>
      <bottom style="thin">
        <color theme="0" tint="-0.249977111117893"/>
      </bottom>
      <diagonal/>
    </border>
    <border>
      <left style="thin">
        <color theme="0" tint="-0.249977111117893"/>
      </left>
      <right/>
      <top style="medium">
        <color theme="9"/>
      </top>
      <bottom style="medium">
        <color theme="9"/>
      </bottom>
      <diagonal/>
    </border>
    <border>
      <left/>
      <right style="thin">
        <color theme="0" tint="-0.34998626667073579"/>
      </right>
      <top style="thin">
        <color theme="0" tint="-0.34998626667073579"/>
      </top>
      <bottom style="thin">
        <color theme="0" tint="-0.34998626667073579"/>
      </bottom>
      <diagonal/>
    </border>
    <border>
      <left style="medium">
        <color theme="9"/>
      </left>
      <right style="medium">
        <color theme="9"/>
      </right>
      <top style="medium">
        <color theme="9"/>
      </top>
      <bottom style="thin">
        <color theme="0" tint="-0.34998626667073579"/>
      </bottom>
      <diagonal/>
    </border>
    <border>
      <left style="medium">
        <color theme="9"/>
      </left>
      <right style="medium">
        <color theme="9"/>
      </right>
      <top style="thin">
        <color theme="0" tint="-0.34998626667073579"/>
      </top>
      <bottom style="thin">
        <color theme="0" tint="-0.34998626667073579"/>
      </bottom>
      <diagonal/>
    </border>
    <border>
      <left style="medium">
        <color theme="9"/>
      </left>
      <right style="medium">
        <color theme="9"/>
      </right>
      <top style="thin">
        <color theme="0" tint="-0.34998626667073579"/>
      </top>
      <bottom style="medium">
        <color theme="9"/>
      </bottom>
      <diagonal/>
    </border>
    <border>
      <left/>
      <right style="thin">
        <color theme="0" tint="-0.34998626667073579"/>
      </right>
      <top style="thin">
        <color theme="0" tint="-0.34998626667073579"/>
      </top>
      <bottom/>
      <diagonal/>
    </border>
    <border>
      <left/>
      <right style="thin">
        <color theme="0" tint="-0.34998626667073579"/>
      </right>
      <top/>
      <bottom style="thin">
        <color theme="0" tint="-0.34998626667073579"/>
      </bottom>
      <diagonal/>
    </border>
    <border>
      <left style="thin">
        <color theme="0" tint="-0.14999847407452621"/>
      </left>
      <right style="medium">
        <color theme="9"/>
      </right>
      <top style="medium">
        <color theme="9"/>
      </top>
      <bottom style="medium">
        <color theme="9"/>
      </bottom>
      <diagonal/>
    </border>
    <border>
      <left style="thin">
        <color theme="0" tint="-0.34998626667073579"/>
      </left>
      <right style="medium">
        <color theme="9"/>
      </right>
      <top style="medium">
        <color theme="9"/>
      </top>
      <bottom style="thin">
        <color theme="0" tint="-0.34998626667073579"/>
      </bottom>
      <diagonal/>
    </border>
    <border>
      <left style="thin">
        <color theme="0" tint="-0.34998626667073579"/>
      </left>
      <right style="medium">
        <color theme="9"/>
      </right>
      <top style="thin">
        <color theme="0" tint="-0.34998626667073579"/>
      </top>
      <bottom style="thin">
        <color theme="0" tint="-0.34998626667073579"/>
      </bottom>
      <diagonal/>
    </border>
    <border>
      <left style="thin">
        <color theme="0" tint="-0.34998626667073579"/>
      </left>
      <right style="medium">
        <color theme="9"/>
      </right>
      <top style="thin">
        <color theme="0" tint="-0.34998626667073579"/>
      </top>
      <bottom style="medium">
        <color theme="9"/>
      </bottom>
      <diagonal/>
    </border>
    <border>
      <left/>
      <right style="thin">
        <color theme="0" tint="-0.14999847407452621"/>
      </right>
      <top style="medium">
        <color theme="9"/>
      </top>
      <bottom style="medium">
        <color theme="9"/>
      </bottom>
      <diagonal/>
    </border>
    <border>
      <left style="thin">
        <color theme="9"/>
      </left>
      <right/>
      <top style="thin">
        <color theme="9"/>
      </top>
      <bottom style="thin">
        <color theme="9"/>
      </bottom>
      <diagonal/>
    </border>
    <border>
      <left style="medium">
        <color theme="0" tint="-0.34998626667073579"/>
      </left>
      <right style="thin">
        <color theme="0" tint="-0.249977111117893"/>
      </right>
      <top/>
      <bottom style="thin">
        <color theme="0" tint="-0.249977111117893"/>
      </bottom>
      <diagonal/>
    </border>
    <border>
      <left/>
      <right/>
      <top/>
      <bottom style="thin">
        <color theme="9"/>
      </bottom>
      <diagonal/>
    </border>
    <border>
      <left style="thin">
        <color theme="0" tint="-0.499984740745262"/>
      </left>
      <right/>
      <top style="thin">
        <color theme="0" tint="-0.499984740745262"/>
      </top>
      <bottom style="thin">
        <color theme="0" tint="-0.499984740745262"/>
      </bottom>
      <diagonal/>
    </border>
    <border>
      <left style="thin">
        <color theme="9"/>
      </left>
      <right style="medium">
        <color theme="9"/>
      </right>
      <top/>
      <bottom style="thin">
        <color theme="9"/>
      </bottom>
      <diagonal/>
    </border>
    <border>
      <left style="thin">
        <color theme="9"/>
      </left>
      <right style="medium">
        <color theme="9"/>
      </right>
      <top style="thin">
        <color theme="9"/>
      </top>
      <bottom style="thin">
        <color theme="9"/>
      </bottom>
      <diagonal/>
    </border>
    <border>
      <left style="thin">
        <color theme="9"/>
      </left>
      <right style="medium">
        <color theme="9"/>
      </right>
      <top style="thin">
        <color theme="9"/>
      </top>
      <bottom style="medium">
        <color theme="9"/>
      </bottom>
      <diagonal/>
    </border>
    <border>
      <left style="thin">
        <color theme="9"/>
      </left>
      <right style="medium">
        <color theme="9"/>
      </right>
      <top style="medium">
        <color theme="9"/>
      </top>
      <bottom style="thin">
        <color theme="9"/>
      </bottom>
      <diagonal/>
    </border>
    <border>
      <left style="medium">
        <color theme="9"/>
      </left>
      <right style="thin">
        <color theme="9"/>
      </right>
      <top/>
      <bottom/>
      <diagonal/>
    </border>
    <border>
      <left style="thin">
        <color theme="9"/>
      </left>
      <right style="medium">
        <color theme="9"/>
      </right>
      <top/>
      <bottom/>
      <diagonal/>
    </border>
    <border>
      <left style="medium">
        <color theme="9"/>
      </left>
      <right style="medium">
        <color theme="9"/>
      </right>
      <top style="medium">
        <color theme="0" tint="-0.499984740745262"/>
      </top>
      <bottom style="thin">
        <color theme="9"/>
      </bottom>
      <diagonal/>
    </border>
    <border>
      <left style="thin">
        <color theme="9"/>
      </left>
      <right style="medium">
        <color theme="9"/>
      </right>
      <top style="medium">
        <color theme="0" tint="-0.499984740745262"/>
      </top>
      <bottom style="thin">
        <color theme="9"/>
      </bottom>
      <diagonal/>
    </border>
    <border>
      <left style="thin">
        <color theme="9"/>
      </left>
      <right style="medium">
        <color theme="9"/>
      </right>
      <top style="thin">
        <color theme="9"/>
      </top>
      <bottom/>
      <diagonal/>
    </border>
    <border>
      <left style="medium">
        <color theme="9"/>
      </left>
      <right style="thin">
        <color theme="0" tint="-0.499984740745262"/>
      </right>
      <top style="thin">
        <color theme="0" tint="-0.499984740745262"/>
      </top>
      <bottom style="thin">
        <color theme="0" tint="-0.499984740745262"/>
      </bottom>
      <diagonal/>
    </border>
    <border>
      <left style="thin">
        <color theme="0" tint="-0.499984740745262"/>
      </left>
      <right style="medium">
        <color theme="9"/>
      </right>
      <top style="thin">
        <color theme="0" tint="-0.499984740745262"/>
      </top>
      <bottom style="thin">
        <color theme="0" tint="-0.499984740745262"/>
      </bottom>
      <diagonal/>
    </border>
    <border>
      <left style="medium">
        <color theme="9"/>
      </left>
      <right style="thin">
        <color theme="9"/>
      </right>
      <top/>
      <bottom style="thin">
        <color theme="9"/>
      </bottom>
      <diagonal/>
    </border>
    <border>
      <left style="medium">
        <color theme="9"/>
      </left>
      <right style="thin">
        <color theme="9"/>
      </right>
      <top style="thin">
        <color theme="9"/>
      </top>
      <bottom/>
      <diagonal/>
    </border>
    <border>
      <left style="medium">
        <color theme="9"/>
      </left>
      <right/>
      <top/>
      <bottom style="thin">
        <color theme="9"/>
      </bottom>
      <diagonal/>
    </border>
    <border>
      <left/>
      <right style="medium">
        <color theme="9"/>
      </right>
      <top/>
      <bottom style="thin">
        <color theme="9"/>
      </bottom>
      <diagonal/>
    </border>
    <border>
      <left style="medium">
        <color theme="9"/>
      </left>
      <right/>
      <top style="thin">
        <color theme="9"/>
      </top>
      <bottom style="thin">
        <color theme="9"/>
      </bottom>
      <diagonal/>
    </border>
    <border>
      <left/>
      <right style="medium">
        <color theme="9"/>
      </right>
      <top style="thin">
        <color theme="9"/>
      </top>
      <bottom style="thin">
        <color theme="9"/>
      </bottom>
      <diagonal/>
    </border>
    <border>
      <left style="medium">
        <color theme="9"/>
      </left>
      <right/>
      <top style="thin">
        <color theme="9"/>
      </top>
      <bottom/>
      <diagonal/>
    </border>
    <border>
      <left style="medium">
        <color theme="9"/>
      </left>
      <right style="thin">
        <color theme="2" tint="-0.249977111117893"/>
      </right>
      <top/>
      <bottom/>
      <diagonal/>
    </border>
    <border>
      <left style="thin">
        <color theme="0" tint="-0.499984740745262"/>
      </left>
      <right style="thin">
        <color theme="0" tint="-0.499984740745262"/>
      </right>
      <top style="thin">
        <color theme="0" tint="-0.499984740745262"/>
      </top>
      <bottom style="medium">
        <color theme="9"/>
      </bottom>
      <diagonal/>
    </border>
    <border>
      <left style="thin">
        <color theme="0" tint="-0.499984740745262"/>
      </left>
      <right style="medium">
        <color theme="9"/>
      </right>
      <top style="thin">
        <color theme="0" tint="-0.499984740745262"/>
      </top>
      <bottom style="medium">
        <color theme="9"/>
      </bottom>
      <diagonal/>
    </border>
  </borders>
  <cellStyleXfs count="4">
    <xf numFmtId="0" fontId="0" fillId="0" borderId="0"/>
    <xf numFmtId="0" fontId="1" fillId="0" borderId="0" applyNumberFormat="0" applyFont="0" applyFill="0" applyBorder="0" applyAlignment="0" applyProtection="0"/>
    <xf numFmtId="0" fontId="2" fillId="11" borderId="0" applyNumberFormat="0" applyBorder="0" applyAlignment="0" applyProtection="0"/>
    <xf numFmtId="0" fontId="6" fillId="0" borderId="0" applyNumberFormat="0" applyFill="0" applyBorder="0" applyAlignment="0" applyProtection="0"/>
  </cellStyleXfs>
  <cellXfs count="1294">
    <xf numFmtId="0" fontId="0" fillId="0" borderId="0" xfId="0"/>
    <xf numFmtId="0" fontId="7" fillId="0" borderId="27" xfId="0" applyFont="1" applyBorder="1" applyAlignment="1">
      <alignment horizontal="left" vertical="center" wrapText="1"/>
    </xf>
    <xf numFmtId="0" fontId="7" fillId="0" borderId="28" xfId="0" applyFont="1" applyBorder="1" applyAlignment="1">
      <alignment horizontal="left" vertical="center" wrapText="1"/>
    </xf>
    <xf numFmtId="0" fontId="7" fillId="0" borderId="29" xfId="0" applyFont="1" applyBorder="1" applyAlignment="1">
      <alignment horizontal="left" vertical="center" wrapText="1"/>
    </xf>
    <xf numFmtId="0" fontId="8" fillId="0" borderId="10" xfId="0" applyFont="1" applyBorder="1" applyAlignment="1">
      <alignment horizontal="center" vertical="center"/>
    </xf>
    <xf numFmtId="0" fontId="8" fillId="6" borderId="47" xfId="0" applyFont="1" applyFill="1" applyBorder="1" applyAlignment="1">
      <alignment vertical="center"/>
    </xf>
    <xf numFmtId="0" fontId="12" fillId="0" borderId="0" xfId="0" applyFont="1" applyAlignment="1">
      <alignment horizontal="left" vertical="center"/>
    </xf>
    <xf numFmtId="0" fontId="8" fillId="0" borderId="0" xfId="0" applyFont="1"/>
    <xf numFmtId="0" fontId="12" fillId="0" borderId="0" xfId="0" applyFont="1"/>
    <xf numFmtId="0" fontId="7" fillId="0" borderId="0" xfId="0" applyFont="1" applyAlignment="1"/>
    <xf numFmtId="0" fontId="8" fillId="0" borderId="0" xfId="0" applyFont="1" applyAlignment="1">
      <alignment vertical="center"/>
    </xf>
    <xf numFmtId="0" fontId="12" fillId="7" borderId="40" xfId="0" applyFont="1" applyFill="1" applyBorder="1" applyAlignment="1">
      <alignment horizontal="center" vertical="center" wrapText="1"/>
    </xf>
    <xf numFmtId="0" fontId="8" fillId="8" borderId="20" xfId="0" applyFont="1" applyFill="1" applyBorder="1" applyAlignment="1">
      <alignment vertical="center"/>
    </xf>
    <xf numFmtId="0" fontId="10" fillId="0" borderId="48" xfId="0" applyFont="1" applyFill="1" applyBorder="1" applyAlignment="1">
      <alignment horizontal="center"/>
    </xf>
    <xf numFmtId="0" fontId="5" fillId="5" borderId="0" xfId="0" applyFont="1" applyFill="1"/>
    <xf numFmtId="49" fontId="14" fillId="4" borderId="14" xfId="1" applyNumberFormat="1" applyFont="1" applyFill="1" applyBorder="1" applyAlignment="1">
      <alignment horizontal="center" vertical="center"/>
    </xf>
    <xf numFmtId="0" fontId="12" fillId="0" borderId="25" xfId="0" applyFont="1" applyFill="1" applyBorder="1" applyAlignment="1">
      <alignment horizontal="center" vertical="center" wrapText="1"/>
    </xf>
    <xf numFmtId="0" fontId="8" fillId="0" borderId="45" xfId="0" applyFont="1" applyFill="1" applyBorder="1" applyAlignment="1">
      <alignment vertical="center"/>
    </xf>
    <xf numFmtId="0" fontId="5" fillId="0" borderId="0" xfId="0" applyFont="1"/>
    <xf numFmtId="0" fontId="7" fillId="4" borderId="134" xfId="0" applyFont="1" applyFill="1" applyBorder="1" applyAlignment="1" applyProtection="1">
      <alignment horizontal="center" vertical="center"/>
    </xf>
    <xf numFmtId="0" fontId="7" fillId="4" borderId="155" xfId="0" applyFont="1" applyFill="1" applyBorder="1" applyAlignment="1" applyProtection="1">
      <alignment horizontal="center" vertical="center"/>
    </xf>
    <xf numFmtId="0" fontId="7" fillId="5" borderId="147" xfId="0" applyFont="1" applyFill="1" applyBorder="1" applyAlignment="1" applyProtection="1">
      <alignment horizontal="center" vertical="center"/>
      <protection locked="0"/>
    </xf>
    <xf numFmtId="0" fontId="7" fillId="5" borderId="148" xfId="0" applyFont="1" applyFill="1" applyBorder="1" applyAlignment="1" applyProtection="1">
      <alignment horizontal="center" vertical="center"/>
      <protection locked="0"/>
    </xf>
    <xf numFmtId="0" fontId="7" fillId="5" borderId="149" xfId="0" applyFont="1" applyFill="1" applyBorder="1" applyAlignment="1" applyProtection="1">
      <alignment horizontal="center" vertical="center"/>
      <protection locked="0"/>
    </xf>
    <xf numFmtId="0" fontId="7" fillId="4" borderId="147" xfId="0" applyFont="1" applyFill="1" applyBorder="1" applyAlignment="1" applyProtection="1">
      <alignment horizontal="center" vertical="center"/>
    </xf>
    <xf numFmtId="0" fontId="7" fillId="4" borderId="148" xfId="0" applyFont="1" applyFill="1" applyBorder="1" applyAlignment="1" applyProtection="1">
      <alignment horizontal="center" vertical="center"/>
    </xf>
    <xf numFmtId="0" fontId="7" fillId="4" borderId="149" xfId="0" applyFont="1" applyFill="1" applyBorder="1" applyAlignment="1" applyProtection="1">
      <alignment horizontal="center" vertical="center"/>
    </xf>
    <xf numFmtId="0" fontId="7" fillId="5" borderId="145" xfId="0" applyFont="1" applyFill="1" applyBorder="1" applyAlignment="1" applyProtection="1">
      <alignment horizontal="center" vertical="center"/>
      <protection locked="0"/>
    </xf>
    <xf numFmtId="0" fontId="7" fillId="5" borderId="123" xfId="0" applyFont="1" applyFill="1" applyBorder="1" applyAlignment="1" applyProtection="1">
      <alignment horizontal="center" vertical="center"/>
      <protection locked="0"/>
    </xf>
    <xf numFmtId="0" fontId="8" fillId="6" borderId="13" xfId="0" applyFont="1" applyFill="1" applyBorder="1" applyAlignment="1">
      <alignment horizontal="center" vertical="center"/>
    </xf>
    <xf numFmtId="0" fontId="8" fillId="2" borderId="22" xfId="0" applyFont="1" applyFill="1" applyBorder="1" applyAlignment="1">
      <alignment vertical="top"/>
    </xf>
    <xf numFmtId="0" fontId="7" fillId="10" borderId="22" xfId="0" applyFont="1" applyFill="1" applyBorder="1" applyAlignment="1">
      <alignment horizontal="left" vertical="top" wrapText="1"/>
    </xf>
    <xf numFmtId="0" fontId="7" fillId="0" borderId="50" xfId="0" applyFont="1" applyBorder="1" applyAlignment="1">
      <alignment horizontal="left" vertical="center" wrapText="1"/>
    </xf>
    <xf numFmtId="0" fontId="7" fillId="5" borderId="156" xfId="0" applyFont="1" applyFill="1" applyBorder="1" applyAlignment="1" applyProtection="1">
      <alignment horizontal="center" vertical="center"/>
      <protection locked="0"/>
    </xf>
    <xf numFmtId="0" fontId="7" fillId="5" borderId="157" xfId="0" applyFont="1" applyFill="1" applyBorder="1" applyAlignment="1" applyProtection="1">
      <alignment horizontal="center" vertical="center"/>
      <protection locked="0"/>
    </xf>
    <xf numFmtId="0" fontId="7" fillId="4" borderId="150" xfId="0" applyFont="1" applyFill="1" applyBorder="1" applyAlignment="1" applyProtection="1">
      <alignment horizontal="center" vertical="center"/>
    </xf>
    <xf numFmtId="0" fontId="7" fillId="4" borderId="151" xfId="0" applyFont="1" applyFill="1" applyBorder="1" applyAlignment="1" applyProtection="1">
      <alignment horizontal="center" vertical="center"/>
    </xf>
    <xf numFmtId="0" fontId="7" fillId="5" borderId="158" xfId="0" applyFont="1" applyFill="1" applyBorder="1" applyAlignment="1" applyProtection="1">
      <alignment horizontal="center" vertical="center"/>
      <protection locked="0"/>
    </xf>
    <xf numFmtId="0" fontId="7" fillId="5" borderId="159" xfId="0" applyFont="1" applyFill="1" applyBorder="1" applyAlignment="1" applyProtection="1">
      <alignment horizontal="center" vertical="center"/>
      <protection locked="0"/>
    </xf>
    <xf numFmtId="0" fontId="7" fillId="5" borderId="160" xfId="0" applyFont="1" applyFill="1" applyBorder="1" applyAlignment="1" applyProtection="1">
      <alignment horizontal="center" vertical="center"/>
      <protection locked="0"/>
    </xf>
    <xf numFmtId="0" fontId="7" fillId="4" borderId="152" xfId="0" applyFont="1" applyFill="1" applyBorder="1" applyAlignment="1" applyProtection="1">
      <alignment horizontal="center" vertical="center"/>
    </xf>
    <xf numFmtId="0" fontId="7" fillId="4" borderId="153" xfId="0" applyFont="1" applyFill="1" applyBorder="1" applyAlignment="1" applyProtection="1">
      <alignment horizontal="center" vertical="center"/>
    </xf>
    <xf numFmtId="0" fontId="7" fillId="4" borderId="154" xfId="0" applyFont="1" applyFill="1" applyBorder="1" applyAlignment="1" applyProtection="1">
      <alignment horizontal="center" vertical="center"/>
    </xf>
    <xf numFmtId="0" fontId="7" fillId="5" borderId="146" xfId="0" applyFont="1" applyFill="1" applyBorder="1" applyAlignment="1" applyProtection="1">
      <alignment horizontal="center" vertical="center"/>
      <protection locked="0"/>
    </xf>
    <xf numFmtId="0" fontId="7" fillId="5" borderId="131" xfId="0" applyFont="1" applyFill="1" applyBorder="1" applyAlignment="1" applyProtection="1">
      <alignment horizontal="center" vertical="center"/>
      <protection locked="0"/>
    </xf>
    <xf numFmtId="0" fontId="8" fillId="2" borderId="22" xfId="0" applyFont="1" applyFill="1" applyBorder="1" applyAlignment="1">
      <alignment horizontal="left" vertical="top"/>
    </xf>
    <xf numFmtId="0" fontId="7" fillId="4" borderId="133" xfId="0" applyFont="1" applyFill="1" applyBorder="1" applyAlignment="1" applyProtection="1">
      <alignment horizontal="center" vertical="center"/>
    </xf>
    <xf numFmtId="0" fontId="7" fillId="4" borderId="135" xfId="0" applyFont="1" applyFill="1" applyBorder="1" applyAlignment="1" applyProtection="1">
      <alignment horizontal="center" vertical="center"/>
    </xf>
    <xf numFmtId="0" fontId="8" fillId="0" borderId="124" xfId="0" applyFont="1" applyBorder="1" applyAlignment="1" applyProtection="1">
      <alignment horizontal="center" vertical="center"/>
      <protection locked="0"/>
    </xf>
    <xf numFmtId="0" fontId="7" fillId="4" borderId="128" xfId="0" applyFont="1" applyFill="1" applyBorder="1" applyAlignment="1" applyProtection="1">
      <alignment horizontal="center" vertical="center"/>
    </xf>
    <xf numFmtId="0" fontId="7" fillId="4" borderId="123" xfId="0" applyFont="1" applyFill="1" applyBorder="1" applyAlignment="1" applyProtection="1">
      <alignment horizontal="center" vertical="center"/>
    </xf>
    <xf numFmtId="0" fontId="7" fillId="4" borderId="129" xfId="0" applyFont="1" applyFill="1" applyBorder="1" applyAlignment="1" applyProtection="1">
      <alignment horizontal="center" vertical="center"/>
    </xf>
    <xf numFmtId="0" fontId="8" fillId="6" borderId="77" xfId="0" applyFont="1" applyFill="1" applyBorder="1" applyAlignment="1">
      <alignment horizontal="center" vertical="center"/>
    </xf>
    <xf numFmtId="0" fontId="7" fillId="4" borderId="130" xfId="0" applyFont="1" applyFill="1" applyBorder="1" applyAlignment="1" applyProtection="1">
      <alignment horizontal="center" vertical="center"/>
    </xf>
    <xf numFmtId="0" fontId="7" fillId="4" borderId="131" xfId="0" applyFont="1" applyFill="1" applyBorder="1" applyAlignment="1" applyProtection="1">
      <alignment horizontal="center" vertical="center"/>
    </xf>
    <xf numFmtId="0" fontId="7" fillId="4" borderId="132" xfId="0" applyFont="1" applyFill="1" applyBorder="1" applyAlignment="1" applyProtection="1">
      <alignment horizontal="center" vertical="center"/>
    </xf>
    <xf numFmtId="0" fontId="8" fillId="6" borderId="124" xfId="0" applyFont="1" applyFill="1" applyBorder="1" applyAlignment="1">
      <alignment horizontal="center" vertical="center"/>
    </xf>
    <xf numFmtId="0" fontId="8" fillId="6" borderId="51" xfId="0" applyFont="1" applyFill="1" applyBorder="1" applyAlignment="1">
      <alignment horizontal="left" vertical="center" wrapText="1"/>
    </xf>
    <xf numFmtId="49" fontId="8" fillId="6" borderId="33" xfId="0" applyNumberFormat="1" applyFont="1" applyFill="1" applyBorder="1" applyAlignment="1" applyProtection="1">
      <alignment horizontal="center" vertical="center"/>
    </xf>
    <xf numFmtId="0" fontId="8" fillId="6" borderId="74" xfId="0" applyFont="1" applyFill="1" applyBorder="1" applyAlignment="1">
      <alignment horizontal="center" vertical="center"/>
    </xf>
    <xf numFmtId="0" fontId="7" fillId="10" borderId="22" xfId="0" applyFont="1" applyFill="1" applyBorder="1" applyAlignment="1">
      <alignment horizontal="left" vertical="top"/>
    </xf>
    <xf numFmtId="0" fontId="5" fillId="0" borderId="0" xfId="0" applyFont="1" applyAlignment="1"/>
    <xf numFmtId="0" fontId="7" fillId="4" borderId="125" xfId="0" applyFont="1" applyFill="1" applyBorder="1" applyAlignment="1" applyProtection="1">
      <alignment horizontal="center" vertical="center"/>
    </xf>
    <xf numFmtId="0" fontId="7" fillId="4" borderId="126" xfId="0" applyFont="1" applyFill="1" applyBorder="1" applyAlignment="1" applyProtection="1">
      <alignment horizontal="center" vertical="center"/>
    </xf>
    <xf numFmtId="0" fontId="7" fillId="4" borderId="127" xfId="0" applyFont="1" applyFill="1" applyBorder="1" applyAlignment="1" applyProtection="1">
      <alignment horizontal="center" vertical="center"/>
    </xf>
    <xf numFmtId="0" fontId="8" fillId="6" borderId="12" xfId="0" applyFont="1" applyFill="1" applyBorder="1" applyAlignment="1">
      <alignment horizontal="center" vertical="center"/>
    </xf>
    <xf numFmtId="0" fontId="8" fillId="6" borderId="34" xfId="0" applyFont="1" applyFill="1" applyBorder="1" applyAlignment="1">
      <alignment horizontal="center" vertical="center"/>
    </xf>
    <xf numFmtId="0" fontId="8" fillId="6" borderId="86" xfId="0" applyFont="1" applyFill="1" applyBorder="1" applyAlignment="1">
      <alignment horizontal="center" vertical="center"/>
    </xf>
    <xf numFmtId="49" fontId="18" fillId="4" borderId="14" xfId="1" applyNumberFormat="1" applyFont="1" applyFill="1" applyBorder="1" applyAlignment="1">
      <alignment horizontal="center" vertical="center"/>
    </xf>
    <xf numFmtId="0" fontId="7" fillId="0" borderId="43" xfId="0" applyFont="1" applyBorder="1" applyAlignment="1">
      <alignment horizontal="left" vertical="center" wrapText="1"/>
    </xf>
    <xf numFmtId="0" fontId="7" fillId="4" borderId="37" xfId="0" applyFont="1" applyFill="1" applyBorder="1" applyAlignment="1" applyProtection="1">
      <alignment horizontal="center" vertical="center"/>
    </xf>
    <xf numFmtId="0" fontId="7" fillId="4" borderId="9" xfId="0" applyFont="1" applyFill="1" applyBorder="1" applyAlignment="1" applyProtection="1">
      <alignment horizontal="center" vertical="center"/>
    </xf>
    <xf numFmtId="0" fontId="7" fillId="0" borderId="9" xfId="0" applyFont="1" applyBorder="1" applyAlignment="1" applyProtection="1">
      <alignment horizontal="center" vertical="center"/>
      <protection locked="0"/>
    </xf>
    <xf numFmtId="0" fontId="7" fillId="10" borderId="43" xfId="0" applyFont="1" applyFill="1" applyBorder="1" applyAlignment="1">
      <alignment horizontal="left" vertical="top" wrapText="1"/>
    </xf>
    <xf numFmtId="0" fontId="10" fillId="5" borderId="0" xfId="0" applyFont="1" applyFill="1" applyBorder="1"/>
    <xf numFmtId="0" fontId="7" fillId="0" borderId="0" xfId="0" applyFont="1" applyAlignment="1">
      <alignment horizontal="left"/>
    </xf>
    <xf numFmtId="0" fontId="7" fillId="0" borderId="22" xfId="0" applyFont="1" applyBorder="1" applyAlignment="1">
      <alignment horizontal="left" vertical="center" wrapText="1"/>
    </xf>
    <xf numFmtId="0" fontId="7" fillId="4" borderId="7" xfId="0" applyFont="1" applyFill="1" applyBorder="1" applyAlignment="1" applyProtection="1">
      <alignment horizontal="center" vertical="center"/>
    </xf>
    <xf numFmtId="0" fontId="7" fillId="4" borderId="6" xfId="0" applyFont="1" applyFill="1" applyBorder="1" applyAlignment="1" applyProtection="1">
      <alignment horizontal="center" vertical="center"/>
    </xf>
    <xf numFmtId="0" fontId="7" fillId="0" borderId="6" xfId="0" applyFont="1" applyBorder="1" applyAlignment="1" applyProtection="1">
      <alignment horizontal="center" vertical="center"/>
      <protection locked="0"/>
    </xf>
    <xf numFmtId="0" fontId="10" fillId="5" borderId="0" xfId="0" applyFont="1" applyFill="1" applyBorder="1" applyAlignment="1"/>
    <xf numFmtId="0" fontId="10" fillId="5" borderId="0" xfId="0" applyFont="1" applyFill="1" applyBorder="1" applyAlignment="1">
      <alignment vertical="center"/>
    </xf>
    <xf numFmtId="0" fontId="7" fillId="0" borderId="0" xfId="0" applyFont="1" applyAlignment="1">
      <alignment horizontal="left" vertical="center"/>
    </xf>
    <xf numFmtId="0" fontId="5" fillId="0" borderId="0" xfId="0" applyFont="1" applyAlignment="1">
      <alignment vertical="center"/>
    </xf>
    <xf numFmtId="0" fontId="8" fillId="0" borderId="22" xfId="0" applyFont="1" applyFill="1" applyBorder="1" applyAlignment="1">
      <alignment horizontal="left" vertical="center" wrapText="1"/>
    </xf>
    <xf numFmtId="0" fontId="19" fillId="0" borderId="6" xfId="0" applyFont="1" applyBorder="1" applyAlignment="1" applyProtection="1">
      <alignment horizontal="center" vertical="center"/>
      <protection locked="0"/>
    </xf>
    <xf numFmtId="0" fontId="10" fillId="4" borderId="6" xfId="0" applyFont="1" applyFill="1" applyBorder="1" applyAlignment="1" applyProtection="1">
      <alignment horizontal="center" vertical="center"/>
    </xf>
    <xf numFmtId="0" fontId="7" fillId="0" borderId="52" xfId="0" applyFont="1" applyBorder="1" applyAlignment="1">
      <alignment horizontal="left" vertical="center" wrapText="1"/>
    </xf>
    <xf numFmtId="0" fontId="10" fillId="4" borderId="14" xfId="0" applyFont="1" applyFill="1" applyBorder="1" applyAlignment="1" applyProtection="1">
      <alignment horizontal="center" vertical="center"/>
    </xf>
    <xf numFmtId="0" fontId="7" fillId="0" borderId="14" xfId="0" applyFont="1" applyBorder="1" applyAlignment="1" applyProtection="1">
      <alignment horizontal="center" vertical="center"/>
      <protection locked="0"/>
    </xf>
    <xf numFmtId="0" fontId="8" fillId="6" borderId="15" xfId="0" applyFont="1" applyFill="1" applyBorder="1" applyAlignment="1">
      <alignment horizontal="center" vertical="center"/>
    </xf>
    <xf numFmtId="0" fontId="7" fillId="0" borderId="53" xfId="0" applyFont="1" applyBorder="1" applyAlignment="1">
      <alignment horizontal="left" vertical="center" wrapText="1"/>
    </xf>
    <xf numFmtId="0" fontId="10" fillId="4" borderId="30" xfId="0" applyFont="1" applyFill="1" applyBorder="1" applyAlignment="1" applyProtection="1">
      <alignment horizontal="center" vertical="center"/>
    </xf>
    <xf numFmtId="0" fontId="10" fillId="4" borderId="11" xfId="0" applyFont="1" applyFill="1" applyBorder="1" applyAlignment="1" applyProtection="1">
      <alignment horizontal="center" vertical="center"/>
    </xf>
    <xf numFmtId="0" fontId="7" fillId="0" borderId="11" xfId="0" applyFont="1" applyBorder="1" applyAlignment="1" applyProtection="1">
      <alignment horizontal="center" vertical="center"/>
      <protection locked="0"/>
    </xf>
    <xf numFmtId="0" fontId="8" fillId="0" borderId="52" xfId="0" applyFont="1" applyBorder="1" applyAlignment="1">
      <alignment horizontal="left" vertical="center" wrapText="1"/>
    </xf>
    <xf numFmtId="0" fontId="13" fillId="4" borderId="14" xfId="0" applyFont="1" applyFill="1" applyBorder="1" applyAlignment="1" applyProtection="1">
      <alignment horizontal="center" vertical="center"/>
    </xf>
    <xf numFmtId="0" fontId="11" fillId="0" borderId="14" xfId="0" applyFont="1" applyBorder="1" applyAlignment="1" applyProtection="1">
      <alignment horizontal="center" vertical="center"/>
      <protection locked="0"/>
    </xf>
    <xf numFmtId="0" fontId="7" fillId="4" borderId="30" xfId="0" applyFont="1" applyFill="1" applyBorder="1" applyAlignment="1" applyProtection="1">
      <alignment horizontal="center" vertical="center"/>
    </xf>
    <xf numFmtId="0" fontId="7" fillId="4" borderId="11" xfId="0" applyFont="1" applyFill="1" applyBorder="1" applyAlignment="1" applyProtection="1">
      <alignment horizontal="center" vertical="center"/>
    </xf>
    <xf numFmtId="0" fontId="8" fillId="4" borderId="31" xfId="0" applyFont="1" applyFill="1" applyBorder="1" applyAlignment="1" applyProtection="1">
      <alignment horizontal="center" vertical="center"/>
    </xf>
    <xf numFmtId="0" fontId="8" fillId="4" borderId="14" xfId="0" applyFont="1" applyFill="1" applyBorder="1" applyAlignment="1" applyProtection="1">
      <alignment horizontal="center" vertical="center"/>
    </xf>
    <xf numFmtId="0" fontId="7" fillId="4" borderId="14" xfId="0" applyFont="1" applyFill="1" applyBorder="1" applyAlignment="1" applyProtection="1">
      <alignment horizontal="center" vertical="center"/>
    </xf>
    <xf numFmtId="0" fontId="7" fillId="4" borderId="31" xfId="0" applyFont="1" applyFill="1" applyBorder="1" applyAlignment="1" applyProtection="1">
      <alignment horizontal="center" vertical="center"/>
    </xf>
    <xf numFmtId="0" fontId="7" fillId="10" borderId="11" xfId="0" applyFont="1" applyFill="1" applyBorder="1" applyAlignment="1" applyProtection="1">
      <alignment horizontal="center" vertical="center"/>
    </xf>
    <xf numFmtId="0" fontId="11" fillId="0" borderId="14" xfId="0" applyFont="1" applyBorder="1" applyAlignment="1" applyProtection="1">
      <alignment horizontal="center" vertical="center"/>
    </xf>
    <xf numFmtId="0" fontId="19" fillId="0" borderId="14" xfId="0" applyFont="1" applyBorder="1" applyAlignment="1" applyProtection="1">
      <alignment horizontal="center" vertical="center"/>
      <protection locked="0"/>
    </xf>
    <xf numFmtId="0" fontId="8" fillId="6" borderId="53" xfId="0" applyFont="1" applyFill="1" applyBorder="1" applyAlignment="1">
      <alignment horizontal="left" vertical="center" wrapText="1"/>
    </xf>
    <xf numFmtId="0" fontId="8" fillId="10" borderId="22" xfId="0" applyFont="1" applyFill="1" applyBorder="1" applyAlignment="1">
      <alignment horizontal="left" vertical="top" wrapText="1"/>
    </xf>
    <xf numFmtId="0" fontId="13" fillId="5" borderId="0" xfId="0" applyFont="1" applyFill="1" applyBorder="1"/>
    <xf numFmtId="0" fontId="8" fillId="0" borderId="0" xfId="0" applyFont="1" applyAlignment="1">
      <alignment horizontal="left"/>
    </xf>
    <xf numFmtId="0" fontId="8" fillId="2" borderId="42" xfId="0" applyFont="1" applyFill="1" applyBorder="1" applyAlignment="1">
      <alignment vertical="top"/>
    </xf>
    <xf numFmtId="0" fontId="8" fillId="10" borderId="42" xfId="0" applyFont="1" applyFill="1" applyBorder="1" applyAlignment="1">
      <alignment horizontal="left" vertical="top"/>
    </xf>
    <xf numFmtId="0" fontId="13" fillId="5" borderId="0" xfId="0" applyFont="1" applyFill="1" applyBorder="1" applyAlignment="1"/>
    <xf numFmtId="0" fontId="12" fillId="0" borderId="0" xfId="0" applyFont="1" applyAlignment="1"/>
    <xf numFmtId="49" fontId="14" fillId="4" borderId="8" xfId="1" applyNumberFormat="1" applyFont="1" applyFill="1" applyBorder="1" applyAlignment="1">
      <alignment horizontal="center" vertical="center"/>
    </xf>
    <xf numFmtId="0" fontId="7" fillId="2" borderId="22" xfId="0" applyFont="1" applyFill="1" applyBorder="1" applyAlignment="1">
      <alignment horizontal="left" vertical="top"/>
    </xf>
    <xf numFmtId="0" fontId="7" fillId="6" borderId="6" xfId="0" applyFont="1" applyFill="1" applyBorder="1" applyAlignment="1" applyProtection="1">
      <alignment horizontal="center" vertical="center"/>
    </xf>
    <xf numFmtId="0" fontId="7" fillId="0" borderId="42" xfId="0" applyFont="1" applyBorder="1" applyAlignment="1">
      <alignment horizontal="left" vertical="center" wrapText="1"/>
    </xf>
    <xf numFmtId="0" fontId="7" fillId="4" borderId="73" xfId="0" applyFont="1" applyFill="1" applyBorder="1" applyAlignment="1" applyProtection="1">
      <alignment horizontal="center" vertical="center"/>
    </xf>
    <xf numFmtId="0" fontId="7" fillId="4" borderId="8" xfId="0" applyFont="1" applyFill="1" applyBorder="1" applyAlignment="1" applyProtection="1">
      <alignment horizontal="center" vertical="center"/>
    </xf>
    <xf numFmtId="0" fontId="7" fillId="0" borderId="8" xfId="0" applyFont="1" applyBorder="1" applyAlignment="1" applyProtection="1">
      <alignment horizontal="center" vertical="center"/>
      <protection locked="0"/>
    </xf>
    <xf numFmtId="0" fontId="7" fillId="2" borderId="42" xfId="0" applyFont="1" applyFill="1" applyBorder="1" applyAlignment="1">
      <alignment horizontal="left" vertical="top"/>
    </xf>
    <xf numFmtId="0" fontId="7" fillId="10" borderId="42" xfId="0" applyFont="1" applyFill="1" applyBorder="1" applyAlignment="1">
      <alignment horizontal="left" vertical="top" wrapText="1"/>
    </xf>
    <xf numFmtId="0" fontId="7" fillId="2" borderId="0" xfId="0" applyFont="1" applyFill="1" applyBorder="1" applyAlignment="1">
      <alignment horizontal="left" vertical="top"/>
    </xf>
    <xf numFmtId="0" fontId="7" fillId="10" borderId="0" xfId="0" applyFont="1" applyFill="1" applyBorder="1" applyAlignment="1">
      <alignment horizontal="left" vertical="top" wrapText="1"/>
    </xf>
    <xf numFmtId="0" fontId="8" fillId="10" borderId="0" xfId="0" applyFont="1" applyFill="1" applyBorder="1" applyAlignment="1">
      <alignment horizontal="left" vertical="top" wrapText="1"/>
    </xf>
    <xf numFmtId="0" fontId="7" fillId="5" borderId="9" xfId="0" applyFont="1" applyFill="1" applyBorder="1" applyAlignment="1" applyProtection="1">
      <alignment horizontal="center" vertical="center"/>
      <protection locked="0"/>
    </xf>
    <xf numFmtId="0" fontId="7" fillId="2" borderId="43" xfId="0" applyFont="1" applyFill="1" applyBorder="1" applyAlignment="1">
      <alignment vertical="top"/>
    </xf>
    <xf numFmtId="0" fontId="7" fillId="5" borderId="6" xfId="0" applyFont="1" applyFill="1" applyBorder="1" applyAlignment="1" applyProtection="1">
      <alignment horizontal="center" vertical="center"/>
      <protection locked="0"/>
    </xf>
    <xf numFmtId="0" fontId="7" fillId="2" borderId="22" xfId="0" applyFont="1" applyFill="1" applyBorder="1" applyAlignment="1">
      <alignment vertical="top"/>
    </xf>
    <xf numFmtId="49" fontId="8" fillId="6" borderId="53" xfId="0" applyNumberFormat="1" applyFont="1" applyFill="1" applyBorder="1" applyAlignment="1">
      <alignment horizontal="left" vertical="center" wrapText="1"/>
    </xf>
    <xf numFmtId="1" fontId="8" fillId="6" borderId="11" xfId="0" applyNumberFormat="1" applyFont="1" applyFill="1" applyBorder="1" applyAlignment="1" applyProtection="1">
      <alignment horizontal="center" vertical="center"/>
    </xf>
    <xf numFmtId="0" fontId="7" fillId="4" borderId="35" xfId="0" applyFont="1" applyFill="1" applyBorder="1" applyAlignment="1" applyProtection="1">
      <alignment horizontal="center" vertical="center"/>
    </xf>
    <xf numFmtId="0" fontId="7" fillId="4" borderId="71" xfId="0" applyFont="1" applyFill="1" applyBorder="1" applyAlignment="1" applyProtection="1">
      <alignment horizontal="center" vertical="center"/>
    </xf>
    <xf numFmtId="0" fontId="7" fillId="4" borderId="72" xfId="0" applyFont="1" applyFill="1" applyBorder="1" applyAlignment="1" applyProtection="1">
      <alignment horizontal="center" vertical="center"/>
    </xf>
    <xf numFmtId="0" fontId="7" fillId="5" borderId="53" xfId="0" applyFont="1" applyFill="1" applyBorder="1" applyAlignment="1">
      <alignment horizontal="left" vertical="center" wrapText="1"/>
    </xf>
    <xf numFmtId="0" fontId="7" fillId="5" borderId="42" xfId="0" applyFont="1" applyFill="1" applyBorder="1" applyAlignment="1">
      <alignment horizontal="left" vertical="center" wrapText="1"/>
    </xf>
    <xf numFmtId="0" fontId="7" fillId="0" borderId="37" xfId="0" applyFont="1" applyBorder="1" applyAlignment="1" applyProtection="1">
      <alignment horizontal="center" vertical="center"/>
      <protection locked="0"/>
    </xf>
    <xf numFmtId="0" fontId="7" fillId="2" borderId="43" xfId="0" applyFont="1" applyFill="1" applyBorder="1" applyAlignment="1">
      <alignment horizontal="left" vertical="top"/>
    </xf>
    <xf numFmtId="0" fontId="7" fillId="10" borderId="43" xfId="0" applyFont="1" applyFill="1" applyBorder="1" applyAlignment="1">
      <alignment horizontal="left" vertical="top"/>
    </xf>
    <xf numFmtId="0" fontId="7" fillId="0" borderId="31" xfId="0" applyFont="1" applyBorder="1" applyAlignment="1" applyProtection="1">
      <alignment horizontal="center" vertical="center"/>
      <protection locked="0"/>
    </xf>
    <xf numFmtId="0" fontId="7" fillId="0" borderId="30" xfId="0" applyFont="1" applyBorder="1" applyAlignment="1" applyProtection="1">
      <alignment horizontal="center" vertical="center" wrapText="1"/>
      <protection locked="0"/>
    </xf>
    <xf numFmtId="0" fontId="7" fillId="0" borderId="11" xfId="0" applyFont="1" applyBorder="1" applyAlignment="1" applyProtection="1">
      <alignment horizontal="center" vertical="center" wrapText="1"/>
      <protection locked="0"/>
    </xf>
    <xf numFmtId="0" fontId="7" fillId="0" borderId="31" xfId="0" applyFont="1" applyBorder="1" applyAlignment="1" applyProtection="1">
      <alignment horizontal="center" vertical="center" wrapText="1"/>
      <protection locked="0"/>
    </xf>
    <xf numFmtId="0" fontId="7" fillId="0" borderId="14" xfId="0" applyFont="1" applyBorder="1" applyAlignment="1" applyProtection="1">
      <alignment horizontal="center" vertical="center" wrapText="1"/>
      <protection locked="0"/>
    </xf>
    <xf numFmtId="0" fontId="18" fillId="5" borderId="53" xfId="0" applyFont="1" applyFill="1" applyBorder="1" applyAlignment="1">
      <alignment horizontal="left" vertical="center" wrapText="1"/>
    </xf>
    <xf numFmtId="0" fontId="7" fillId="5" borderId="30" xfId="0" applyFont="1" applyFill="1" applyBorder="1" applyAlignment="1" applyProtection="1">
      <alignment horizontal="center" vertical="center"/>
      <protection locked="0"/>
    </xf>
    <xf numFmtId="0" fontId="7" fillId="5" borderId="11" xfId="0" applyFont="1" applyFill="1" applyBorder="1" applyAlignment="1" applyProtection="1">
      <alignment horizontal="center" vertical="center"/>
      <protection locked="0"/>
    </xf>
    <xf numFmtId="0" fontId="7" fillId="5" borderId="0" xfId="0" applyFont="1" applyFill="1" applyAlignment="1">
      <alignment horizontal="left"/>
    </xf>
    <xf numFmtId="0" fontId="18" fillId="5" borderId="52" xfId="0" applyFont="1" applyFill="1" applyBorder="1" applyAlignment="1">
      <alignment horizontal="left" vertical="center" wrapText="1"/>
    </xf>
    <xf numFmtId="0" fontId="7" fillId="5" borderId="31" xfId="0" applyFont="1" applyFill="1" applyBorder="1" applyAlignment="1" applyProtection="1">
      <alignment horizontal="center" vertical="center"/>
      <protection locked="0"/>
    </xf>
    <xf numFmtId="0" fontId="7" fillId="5" borderId="14" xfId="0" applyFont="1" applyFill="1" applyBorder="1" applyAlignment="1" applyProtection="1">
      <alignment horizontal="center" vertical="center"/>
      <protection locked="0"/>
    </xf>
    <xf numFmtId="0" fontId="18" fillId="5" borderId="43" xfId="0" applyFont="1" applyFill="1" applyBorder="1" applyAlignment="1">
      <alignment horizontal="left" vertical="center" wrapText="1"/>
    </xf>
    <xf numFmtId="0" fontId="7" fillId="5" borderId="37" xfId="0" applyFont="1" applyFill="1" applyBorder="1" applyAlignment="1" applyProtection="1">
      <alignment horizontal="center" vertical="center"/>
      <protection locked="0"/>
    </xf>
    <xf numFmtId="0" fontId="18" fillId="5" borderId="42" xfId="0" applyFont="1" applyFill="1" applyBorder="1" applyAlignment="1">
      <alignment horizontal="left" vertical="center" wrapText="1"/>
    </xf>
    <xf numFmtId="0" fontId="7" fillId="5" borderId="35" xfId="0" applyFont="1" applyFill="1" applyBorder="1" applyAlignment="1" applyProtection="1">
      <alignment horizontal="center" vertical="center"/>
      <protection locked="0"/>
    </xf>
    <xf numFmtId="0" fontId="7" fillId="5" borderId="8" xfId="0" applyFont="1" applyFill="1" applyBorder="1" applyAlignment="1" applyProtection="1">
      <alignment horizontal="center" vertical="center"/>
      <protection locked="0"/>
    </xf>
    <xf numFmtId="49" fontId="14" fillId="4" borderId="31" xfId="1" applyNumberFormat="1" applyFont="1" applyFill="1" applyBorder="1" applyAlignment="1">
      <alignment horizontal="center" vertical="center"/>
    </xf>
    <xf numFmtId="0" fontId="7" fillId="2" borderId="9" xfId="0" applyFont="1" applyFill="1" applyBorder="1" applyAlignment="1" applyProtection="1">
      <alignment horizontal="center" vertical="center"/>
    </xf>
    <xf numFmtId="0" fontId="7" fillId="2" borderId="6" xfId="0" applyFont="1" applyFill="1" applyBorder="1" applyAlignment="1" applyProtection="1">
      <alignment horizontal="center" vertical="center"/>
    </xf>
    <xf numFmtId="0" fontId="8" fillId="3" borderId="22" xfId="0" applyFont="1" applyFill="1" applyBorder="1" applyAlignment="1">
      <alignment horizontal="left" vertical="center" wrapText="1"/>
    </xf>
    <xf numFmtId="0" fontId="7" fillId="3" borderId="6" xfId="0" applyFont="1" applyFill="1" applyBorder="1" applyAlignment="1" applyProtection="1">
      <alignment horizontal="center" vertical="center"/>
    </xf>
    <xf numFmtId="0" fontId="7" fillId="4" borderId="6" xfId="0" applyFont="1" applyFill="1" applyBorder="1" applyAlignment="1" applyProtection="1">
      <alignment horizontal="center" vertical="center"/>
      <protection locked="0"/>
    </xf>
    <xf numFmtId="0" fontId="8" fillId="12" borderId="22" xfId="0" applyFont="1" applyFill="1" applyBorder="1" applyAlignment="1">
      <alignment horizontal="left" vertical="center" wrapText="1"/>
    </xf>
    <xf numFmtId="0" fontId="7" fillId="0" borderId="6" xfId="0" applyFont="1" applyFill="1" applyBorder="1" applyAlignment="1" applyProtection="1">
      <alignment horizontal="center" vertical="center"/>
      <protection locked="0"/>
    </xf>
    <xf numFmtId="0" fontId="7" fillId="2" borderId="14" xfId="0" applyFont="1" applyFill="1" applyBorder="1" applyAlignment="1" applyProtection="1">
      <alignment horizontal="center" vertical="center"/>
    </xf>
    <xf numFmtId="0" fontId="7" fillId="2" borderId="11" xfId="0" applyFont="1" applyFill="1" applyBorder="1" applyAlignment="1" applyProtection="1">
      <alignment horizontal="center" vertical="center"/>
    </xf>
    <xf numFmtId="0" fontId="7" fillId="0" borderId="80" xfId="0" applyFont="1" applyBorder="1" applyAlignment="1">
      <alignment horizontal="left" vertical="center" wrapText="1"/>
    </xf>
    <xf numFmtId="1" fontId="8" fillId="6" borderId="30" xfId="0" applyNumberFormat="1" applyFont="1" applyFill="1" applyBorder="1" applyAlignment="1" applyProtection="1">
      <alignment horizontal="center" vertical="center"/>
    </xf>
    <xf numFmtId="0" fontId="7" fillId="0" borderId="81" xfId="0" applyFont="1" applyBorder="1" applyAlignment="1">
      <alignment horizontal="left" vertical="center" wrapText="1"/>
    </xf>
    <xf numFmtId="0" fontId="7" fillId="0" borderId="35" xfId="0" applyFont="1" applyBorder="1" applyAlignment="1" applyProtection="1">
      <alignment horizontal="center" vertical="center" wrapText="1"/>
      <protection locked="0"/>
    </xf>
    <xf numFmtId="0" fontId="8" fillId="6" borderId="81" xfId="0" applyFont="1" applyFill="1" applyBorder="1" applyAlignment="1">
      <alignment horizontal="left" vertical="center" wrapText="1"/>
    </xf>
    <xf numFmtId="0" fontId="8" fillId="6" borderId="85" xfId="0" applyFont="1" applyFill="1" applyBorder="1" applyAlignment="1" applyProtection="1">
      <alignment horizontal="center" vertical="center" wrapText="1"/>
    </xf>
    <xf numFmtId="0" fontId="8" fillId="6" borderId="65" xfId="0" applyFont="1" applyFill="1" applyBorder="1" applyAlignment="1">
      <alignment horizontal="center" vertical="center"/>
    </xf>
    <xf numFmtId="0" fontId="7" fillId="0" borderId="70" xfId="0" applyFont="1" applyBorder="1" applyAlignment="1" applyProtection="1">
      <alignment horizontal="center" vertical="center" wrapText="1"/>
      <protection locked="0"/>
    </xf>
    <xf numFmtId="0" fontId="7" fillId="0" borderId="67" xfId="0" applyFont="1" applyBorder="1" applyAlignment="1" applyProtection="1">
      <alignment horizontal="center" vertical="center" wrapText="1"/>
      <protection locked="0"/>
    </xf>
    <xf numFmtId="0" fontId="7" fillId="0" borderId="68" xfId="0" applyFont="1" applyBorder="1" applyAlignment="1" applyProtection="1">
      <alignment horizontal="center" vertical="center" wrapText="1"/>
      <protection locked="0"/>
    </xf>
    <xf numFmtId="0" fontId="7" fillId="0" borderId="76" xfId="0" applyFont="1" applyBorder="1" applyAlignment="1" applyProtection="1">
      <alignment horizontal="center" vertical="center" wrapText="1"/>
      <protection locked="0"/>
    </xf>
    <xf numFmtId="0" fontId="7" fillId="0" borderId="82" xfId="0" applyFont="1" applyBorder="1" applyAlignment="1">
      <alignment horizontal="left" vertical="center" wrapText="1"/>
    </xf>
    <xf numFmtId="0" fontId="7" fillId="0" borderId="69" xfId="0" applyFont="1" applyBorder="1" applyAlignment="1" applyProtection="1">
      <alignment horizontal="center" vertical="center" wrapText="1"/>
      <protection locked="0"/>
    </xf>
    <xf numFmtId="0" fontId="7" fillId="0" borderId="78" xfId="0" applyFont="1" applyBorder="1" applyAlignment="1" applyProtection="1">
      <alignment horizontal="center" vertical="center" wrapText="1"/>
      <protection locked="0"/>
    </xf>
    <xf numFmtId="0" fontId="7" fillId="0" borderId="83" xfId="0" applyFont="1" applyBorder="1" applyAlignment="1" applyProtection="1">
      <alignment horizontal="center" vertical="center" wrapText="1"/>
      <protection locked="0"/>
    </xf>
    <xf numFmtId="1" fontId="8" fillId="0" borderId="30" xfId="0" applyNumberFormat="1" applyFont="1" applyFill="1" applyBorder="1" applyAlignment="1" applyProtection="1">
      <alignment horizontal="center" vertical="center"/>
      <protection locked="0"/>
    </xf>
    <xf numFmtId="0" fontId="7" fillId="0" borderId="84" xfId="0" applyFont="1" applyBorder="1" applyAlignment="1">
      <alignment horizontal="left" vertical="center" wrapText="1"/>
    </xf>
    <xf numFmtId="0" fontId="8" fillId="6" borderId="66" xfId="0" applyFont="1" applyFill="1" applyBorder="1" applyAlignment="1">
      <alignment horizontal="center" vertical="center"/>
    </xf>
    <xf numFmtId="0" fontId="8" fillId="5" borderId="23" xfId="0" applyFont="1" applyFill="1" applyBorder="1" applyAlignment="1">
      <alignment horizontal="left" vertical="center" wrapText="1"/>
    </xf>
    <xf numFmtId="0" fontId="8" fillId="5" borderId="136" xfId="0" applyFont="1" applyFill="1" applyBorder="1" applyAlignment="1" applyProtection="1">
      <alignment horizontal="center" vertical="center" wrapText="1"/>
      <protection locked="0"/>
    </xf>
    <xf numFmtId="0" fontId="8" fillId="5" borderId="137" xfId="0" applyFont="1" applyFill="1" applyBorder="1" applyAlignment="1" applyProtection="1">
      <alignment horizontal="center" vertical="center" wrapText="1"/>
      <protection locked="0"/>
    </xf>
    <xf numFmtId="0" fontId="8" fillId="6" borderId="64" xfId="0" applyFont="1" applyFill="1" applyBorder="1" applyAlignment="1">
      <alignment horizontal="center" vertical="center"/>
    </xf>
    <xf numFmtId="0" fontId="8" fillId="5" borderId="60" xfId="0" applyFont="1" applyFill="1" applyBorder="1" applyAlignment="1">
      <alignment horizontal="left" vertical="center" wrapText="1"/>
    </xf>
    <xf numFmtId="0" fontId="8" fillId="5" borderId="138" xfId="0" applyFont="1" applyFill="1" applyBorder="1" applyAlignment="1" applyProtection="1">
      <alignment horizontal="center" vertical="center" wrapText="1"/>
      <protection locked="0"/>
    </xf>
    <xf numFmtId="0" fontId="8" fillId="5" borderId="87" xfId="0" applyFont="1" applyFill="1" applyBorder="1" applyAlignment="1" applyProtection="1">
      <alignment horizontal="center" vertical="center" wrapText="1"/>
      <protection locked="0"/>
    </xf>
    <xf numFmtId="0" fontId="8" fillId="6" borderId="61" xfId="0" applyFont="1" applyFill="1" applyBorder="1" applyAlignment="1">
      <alignment horizontal="center" vertical="center"/>
    </xf>
    <xf numFmtId="0" fontId="8" fillId="5" borderId="142" xfId="0" applyFont="1" applyFill="1" applyBorder="1" applyAlignment="1" applyProtection="1">
      <alignment horizontal="center" vertical="center" wrapText="1"/>
      <protection locked="0"/>
    </xf>
    <xf numFmtId="0" fontId="8" fillId="5" borderId="143" xfId="0" applyFont="1" applyFill="1" applyBorder="1" applyAlignment="1" applyProtection="1">
      <alignment horizontal="center" vertical="center" wrapText="1"/>
      <protection locked="0"/>
    </xf>
    <xf numFmtId="0" fontId="8" fillId="5" borderId="140" xfId="0" applyFont="1" applyFill="1" applyBorder="1" applyAlignment="1" applyProtection="1">
      <alignment horizontal="center" vertical="center" wrapText="1"/>
      <protection locked="0"/>
    </xf>
    <xf numFmtId="0" fontId="8" fillId="5" borderId="141" xfId="0" applyFont="1" applyFill="1" applyBorder="1" applyAlignment="1" applyProtection="1">
      <alignment horizontal="center" vertical="center" wrapText="1"/>
      <protection locked="0"/>
    </xf>
    <xf numFmtId="0" fontId="7" fillId="0" borderId="37" xfId="0" applyFont="1" applyBorder="1" applyAlignment="1" applyProtection="1">
      <alignment horizontal="center" vertical="center" wrapText="1"/>
      <protection locked="0"/>
    </xf>
    <xf numFmtId="0" fontId="7" fillId="5" borderId="22" xfId="0" applyFont="1" applyFill="1" applyBorder="1" applyAlignment="1">
      <alignment horizontal="left" vertical="center" wrapText="1"/>
    </xf>
    <xf numFmtId="0" fontId="7" fillId="0" borderId="7" xfId="0" applyFont="1" applyBorder="1" applyAlignment="1" applyProtection="1">
      <alignment horizontal="center" vertical="center" wrapText="1"/>
      <protection locked="0"/>
    </xf>
    <xf numFmtId="0" fontId="7" fillId="0" borderId="6" xfId="0" applyFont="1" applyBorder="1" applyAlignment="1" applyProtection="1">
      <alignment horizontal="center" vertical="center" wrapText="1"/>
      <protection locked="0"/>
    </xf>
    <xf numFmtId="0" fontId="7" fillId="5" borderId="7" xfId="0" applyFont="1" applyFill="1" applyBorder="1" applyAlignment="1" applyProtection="1">
      <alignment horizontal="center" vertical="center"/>
      <protection locked="0"/>
    </xf>
    <xf numFmtId="0" fontId="7" fillId="5" borderId="52" xfId="0" applyFont="1" applyFill="1" applyBorder="1" applyAlignment="1">
      <alignment horizontal="left" vertical="center" wrapText="1"/>
    </xf>
    <xf numFmtId="0" fontId="7" fillId="12" borderId="43" xfId="0" applyFont="1" applyFill="1" applyBorder="1" applyAlignment="1">
      <alignment horizontal="left" vertical="center" wrapText="1"/>
    </xf>
    <xf numFmtId="0" fontId="7" fillId="10" borderId="43" xfId="0" applyFont="1" applyFill="1" applyBorder="1" applyAlignment="1">
      <alignment wrapText="1"/>
    </xf>
    <xf numFmtId="0" fontId="7" fillId="12" borderId="22" xfId="0" applyFont="1" applyFill="1" applyBorder="1" applyAlignment="1">
      <alignment horizontal="left" vertical="center" wrapText="1"/>
    </xf>
    <xf numFmtId="0" fontId="11" fillId="0" borderId="6" xfId="0" applyFont="1" applyBorder="1" applyAlignment="1" applyProtection="1">
      <alignment horizontal="center" vertical="center"/>
      <protection locked="0"/>
    </xf>
    <xf numFmtId="0" fontId="11" fillId="4" borderId="6" xfId="0" applyFont="1" applyFill="1" applyBorder="1" applyAlignment="1" applyProtection="1">
      <alignment horizontal="center" vertical="center"/>
    </xf>
    <xf numFmtId="0" fontId="7" fillId="10" borderId="22" xfId="0" applyFont="1" applyFill="1" applyBorder="1" applyAlignment="1">
      <alignment wrapText="1"/>
    </xf>
    <xf numFmtId="49" fontId="7" fillId="6" borderId="22" xfId="0" applyNumberFormat="1" applyFont="1" applyFill="1" applyBorder="1" applyAlignment="1">
      <alignment horizontal="left" vertical="center" wrapText="1"/>
    </xf>
    <xf numFmtId="49" fontId="8" fillId="6" borderId="6" xfId="0" applyNumberFormat="1" applyFont="1" applyFill="1" applyBorder="1" applyAlignment="1" applyProtection="1">
      <alignment horizontal="center" vertical="center"/>
    </xf>
    <xf numFmtId="49" fontId="7" fillId="6" borderId="52" xfId="0" applyNumberFormat="1" applyFont="1" applyFill="1" applyBorder="1" applyAlignment="1">
      <alignment horizontal="left" vertical="center" wrapText="1"/>
    </xf>
    <xf numFmtId="49" fontId="8" fillId="6" borderId="14" xfId="0" applyNumberFormat="1" applyFont="1" applyFill="1" applyBorder="1" applyAlignment="1" applyProtection="1">
      <alignment horizontal="center" vertical="center"/>
    </xf>
    <xf numFmtId="0" fontId="7" fillId="12" borderId="53" xfId="0" applyFont="1" applyFill="1" applyBorder="1" applyAlignment="1">
      <alignment horizontal="left" vertical="center" wrapText="1"/>
    </xf>
    <xf numFmtId="0" fontId="8" fillId="0" borderId="22" xfId="0" applyFont="1" applyBorder="1" applyAlignment="1">
      <alignment horizontal="left" vertical="center" wrapText="1"/>
    </xf>
    <xf numFmtId="0" fontId="11" fillId="4" borderId="14" xfId="0" applyFont="1" applyFill="1" applyBorder="1" applyAlignment="1" applyProtection="1">
      <alignment horizontal="center" vertical="center"/>
    </xf>
    <xf numFmtId="0" fontId="8" fillId="4" borderId="7" xfId="0" applyFont="1" applyFill="1" applyBorder="1" applyAlignment="1" applyProtection="1">
      <alignment horizontal="center" vertical="center"/>
    </xf>
    <xf numFmtId="0" fontId="8" fillId="4" borderId="6" xfId="0" applyFont="1" applyFill="1" applyBorder="1" applyAlignment="1" applyProtection="1">
      <alignment horizontal="center" vertical="center"/>
    </xf>
    <xf numFmtId="49" fontId="8" fillId="6" borderId="52" xfId="0" applyNumberFormat="1" applyFont="1" applyFill="1" applyBorder="1" applyAlignment="1">
      <alignment horizontal="left" vertical="center" wrapText="1"/>
    </xf>
    <xf numFmtId="49" fontId="8" fillId="6" borderId="31" xfId="0" applyNumberFormat="1" applyFont="1" applyFill="1" applyBorder="1" applyAlignment="1" applyProtection="1">
      <alignment horizontal="center" vertical="center"/>
    </xf>
    <xf numFmtId="0" fontId="11" fillId="5" borderId="30" xfId="0" applyFont="1" applyFill="1" applyBorder="1" applyAlignment="1" applyProtection="1">
      <alignment horizontal="center" vertical="center"/>
      <protection locked="0"/>
    </xf>
    <xf numFmtId="0" fontId="11" fillId="5" borderId="11" xfId="0" applyFont="1" applyFill="1" applyBorder="1" applyAlignment="1" applyProtection="1">
      <alignment horizontal="center" vertical="center"/>
      <protection locked="0"/>
    </xf>
    <xf numFmtId="0" fontId="11" fillId="5" borderId="7" xfId="0" applyFont="1" applyFill="1" applyBorder="1" applyAlignment="1" applyProtection="1">
      <alignment horizontal="center" vertical="center"/>
      <protection locked="0"/>
    </xf>
    <xf numFmtId="0" fontId="11" fillId="5" borderId="6" xfId="0" applyFont="1" applyFill="1" applyBorder="1" applyAlignment="1" applyProtection="1">
      <alignment horizontal="center" vertical="center"/>
      <protection locked="0"/>
    </xf>
    <xf numFmtId="49" fontId="8" fillId="6" borderId="42" xfId="0" applyNumberFormat="1" applyFont="1" applyFill="1" applyBorder="1" applyAlignment="1">
      <alignment horizontal="left" vertical="center" wrapText="1"/>
    </xf>
    <xf numFmtId="49" fontId="8" fillId="6" borderId="35" xfId="0" applyNumberFormat="1" applyFont="1" applyFill="1" applyBorder="1" applyAlignment="1" applyProtection="1">
      <alignment horizontal="center" vertical="center"/>
    </xf>
    <xf numFmtId="0" fontId="10" fillId="2" borderId="22" xfId="0" applyFont="1" applyFill="1" applyBorder="1" applyAlignment="1">
      <alignment horizontal="left" vertical="top"/>
    </xf>
    <xf numFmtId="0" fontId="7" fillId="0" borderId="38" xfId="0" applyFont="1" applyBorder="1" applyAlignment="1">
      <alignment horizontal="left" vertical="center" wrapText="1"/>
    </xf>
    <xf numFmtId="0" fontId="7" fillId="4" borderId="18" xfId="0" applyFont="1" applyFill="1" applyBorder="1" applyAlignment="1" applyProtection="1">
      <alignment horizontal="center" vertical="center"/>
    </xf>
    <xf numFmtId="0" fontId="7" fillId="0" borderId="18" xfId="0" applyFont="1" applyBorder="1" applyAlignment="1" applyProtection="1">
      <alignment horizontal="center" vertical="center"/>
      <protection locked="0"/>
    </xf>
    <xf numFmtId="0" fontId="8" fillId="6" borderId="38" xfId="0" applyFont="1" applyFill="1" applyBorder="1" applyAlignment="1">
      <alignment horizontal="left" vertical="center" wrapText="1"/>
    </xf>
    <xf numFmtId="0" fontId="25" fillId="6" borderId="39" xfId="2" applyFont="1" applyFill="1" applyBorder="1" applyAlignment="1" applyProtection="1">
      <alignment horizontal="center" vertical="center" wrapText="1"/>
    </xf>
    <xf numFmtId="0" fontId="25" fillId="6" borderId="18" xfId="2" applyFont="1" applyFill="1" applyBorder="1" applyAlignment="1" applyProtection="1">
      <alignment horizontal="center" vertical="center" wrapText="1"/>
    </xf>
    <xf numFmtId="0" fontId="10" fillId="5" borderId="0" xfId="0" applyFont="1" applyFill="1" applyBorder="1" applyAlignment="1">
      <alignment wrapText="1"/>
    </xf>
    <xf numFmtId="0" fontId="7" fillId="0" borderId="0" xfId="0" applyFont="1" applyAlignment="1">
      <alignment horizontal="left" wrapText="1"/>
    </xf>
    <xf numFmtId="0" fontId="5" fillId="0" borderId="0" xfId="0" applyFont="1" applyAlignment="1">
      <alignment wrapText="1"/>
    </xf>
    <xf numFmtId="0" fontId="7" fillId="0" borderId="30" xfId="0" applyFont="1" applyBorder="1" applyAlignment="1" applyProtection="1">
      <alignment horizontal="center" vertical="center"/>
      <protection locked="0"/>
    </xf>
    <xf numFmtId="0" fontId="7" fillId="0" borderId="7" xfId="0" applyFont="1" applyBorder="1" applyAlignment="1" applyProtection="1">
      <alignment horizontal="center" vertical="center"/>
      <protection locked="0"/>
    </xf>
    <xf numFmtId="0" fontId="21" fillId="0" borderId="10" xfId="0" applyFont="1" applyBorder="1" applyAlignment="1">
      <alignment horizontal="left" vertical="center" wrapText="1"/>
    </xf>
    <xf numFmtId="0" fontId="7" fillId="4" borderId="17" xfId="0" applyFont="1" applyFill="1" applyBorder="1" applyAlignment="1" applyProtection="1">
      <alignment horizontal="center" vertical="center"/>
    </xf>
    <xf numFmtId="0" fontId="7" fillId="0" borderId="16" xfId="0" applyFont="1" applyBorder="1" applyAlignment="1" applyProtection="1">
      <alignment horizontal="center" vertical="center"/>
      <protection locked="0"/>
    </xf>
    <xf numFmtId="0" fontId="8" fillId="6" borderId="52" xfId="0" applyFont="1" applyFill="1" applyBorder="1" applyAlignment="1">
      <alignment horizontal="left" vertical="center" wrapText="1"/>
    </xf>
    <xf numFmtId="0" fontId="25" fillId="6" borderId="31" xfId="2" applyFont="1" applyFill="1" applyBorder="1" applyAlignment="1" applyProtection="1">
      <alignment horizontal="center" vertical="center"/>
    </xf>
    <xf numFmtId="0" fontId="8" fillId="6" borderId="29" xfId="0" applyFont="1" applyFill="1" applyBorder="1" applyAlignment="1">
      <alignment horizontal="left" vertical="center" wrapText="1"/>
    </xf>
    <xf numFmtId="0" fontId="7" fillId="0" borderId="39" xfId="0" applyFont="1" applyBorder="1" applyAlignment="1" applyProtection="1">
      <alignment horizontal="center" vertical="center"/>
      <protection locked="0"/>
    </xf>
    <xf numFmtId="0" fontId="7" fillId="0" borderId="44" xfId="0" applyFont="1" applyBorder="1" applyAlignment="1">
      <alignment horizontal="left" vertical="center" wrapText="1"/>
    </xf>
    <xf numFmtId="0" fontId="7" fillId="6" borderId="31" xfId="0" applyFont="1" applyFill="1" applyBorder="1" applyAlignment="1" applyProtection="1">
      <alignment horizontal="center" vertical="center"/>
    </xf>
    <xf numFmtId="0" fontId="7" fillId="6" borderId="14" xfId="0" applyFont="1" applyFill="1" applyBorder="1" applyAlignment="1" applyProtection="1">
      <alignment horizontal="center" vertical="center"/>
    </xf>
    <xf numFmtId="0" fontId="25" fillId="6" borderId="30" xfId="2" applyFont="1" applyFill="1" applyBorder="1" applyAlignment="1" applyProtection="1">
      <alignment horizontal="center" vertical="center"/>
    </xf>
    <xf numFmtId="0" fontId="7" fillId="0" borderId="35" xfId="0" applyFont="1" applyBorder="1" applyAlignment="1" applyProtection="1">
      <alignment horizontal="center" vertical="center"/>
      <protection locked="0"/>
    </xf>
    <xf numFmtId="1" fontId="14" fillId="5" borderId="30" xfId="1" applyNumberFormat="1" applyFont="1" applyFill="1" applyBorder="1" applyAlignment="1" applyProtection="1">
      <alignment horizontal="center" vertical="center"/>
      <protection locked="0"/>
    </xf>
    <xf numFmtId="1" fontId="14" fillId="5" borderId="11" xfId="1" applyNumberFormat="1" applyFont="1" applyFill="1" applyBorder="1" applyAlignment="1" applyProtection="1">
      <alignment horizontal="center" vertical="center"/>
      <protection locked="0"/>
    </xf>
    <xf numFmtId="0" fontId="8" fillId="7" borderId="22" xfId="0" applyFont="1" applyFill="1" applyBorder="1" applyAlignment="1">
      <alignment horizontal="center" vertical="center"/>
    </xf>
    <xf numFmtId="0" fontId="8" fillId="8" borderId="22" xfId="0" applyFont="1" applyFill="1" applyBorder="1" applyAlignment="1">
      <alignment horizontal="center" vertical="center"/>
    </xf>
    <xf numFmtId="1" fontId="14" fillId="5" borderId="7" xfId="1" applyNumberFormat="1" applyFont="1" applyFill="1" applyBorder="1" applyAlignment="1" applyProtection="1">
      <alignment horizontal="center" vertical="center"/>
      <protection locked="0"/>
    </xf>
    <xf numFmtId="1" fontId="14" fillId="5" borderId="6" xfId="1" applyNumberFormat="1" applyFont="1" applyFill="1" applyBorder="1" applyAlignment="1" applyProtection="1">
      <alignment horizontal="center" vertical="center"/>
      <protection locked="0"/>
    </xf>
    <xf numFmtId="1" fontId="14" fillId="5" borderId="31" xfId="1" applyNumberFormat="1" applyFont="1" applyFill="1" applyBorder="1" applyAlignment="1" applyProtection="1">
      <alignment horizontal="center" vertical="center"/>
      <protection locked="0"/>
    </xf>
    <xf numFmtId="1" fontId="14" fillId="5" borderId="14" xfId="1" applyNumberFormat="1" applyFont="1" applyFill="1" applyBorder="1" applyAlignment="1" applyProtection="1">
      <alignment horizontal="center" vertical="center"/>
      <protection locked="0"/>
    </xf>
    <xf numFmtId="0" fontId="8" fillId="3" borderId="52" xfId="0" applyFont="1" applyFill="1" applyBorder="1" applyAlignment="1">
      <alignment horizontal="left" vertical="center" wrapText="1"/>
    </xf>
    <xf numFmtId="0" fontId="7" fillId="3" borderId="31" xfId="0" applyFont="1" applyFill="1" applyBorder="1" applyAlignment="1" applyProtection="1">
      <alignment horizontal="center" vertical="center"/>
    </xf>
    <xf numFmtId="0" fontId="7" fillId="3" borderId="14" xfId="0" applyFont="1" applyFill="1" applyBorder="1" applyAlignment="1" applyProtection="1">
      <alignment horizontal="center" vertical="center"/>
    </xf>
    <xf numFmtId="0" fontId="7" fillId="3" borderId="15" xfId="0" applyFont="1" applyFill="1" applyBorder="1" applyAlignment="1" applyProtection="1">
      <alignment horizontal="center" vertical="center"/>
      <protection locked="0"/>
    </xf>
    <xf numFmtId="49" fontId="8" fillId="6" borderId="22" xfId="0" applyNumberFormat="1" applyFont="1" applyFill="1" applyBorder="1" applyAlignment="1">
      <alignment horizontal="left" vertical="center" wrapText="1"/>
    </xf>
    <xf numFmtId="49" fontId="14" fillId="4" borderId="7" xfId="1" applyNumberFormat="1" applyFont="1" applyFill="1" applyBorder="1" applyAlignment="1">
      <alignment horizontal="center" vertical="center"/>
    </xf>
    <xf numFmtId="49" fontId="14" fillId="4" borderId="6" xfId="1" applyNumberFormat="1" applyFont="1" applyFill="1" applyBorder="1" applyAlignment="1">
      <alignment horizontal="center" vertical="center"/>
    </xf>
    <xf numFmtId="0" fontId="5" fillId="5" borderId="0" xfId="0" applyFont="1" applyFill="1" applyAlignment="1"/>
    <xf numFmtId="49" fontId="14" fillId="4" borderId="35" xfId="1" applyNumberFormat="1" applyFont="1" applyFill="1" applyBorder="1" applyAlignment="1">
      <alignment horizontal="center" vertical="center"/>
    </xf>
    <xf numFmtId="0" fontId="7" fillId="3" borderId="8" xfId="0" applyFont="1" applyFill="1" applyBorder="1" applyAlignment="1" applyProtection="1">
      <alignment horizontal="center" vertical="center"/>
    </xf>
    <xf numFmtId="0" fontId="7" fillId="5" borderId="27" xfId="0" applyFont="1" applyFill="1" applyBorder="1" applyAlignment="1">
      <alignment horizontal="left" vertical="center" wrapText="1"/>
    </xf>
    <xf numFmtId="49" fontId="14" fillId="4" borderId="30" xfId="1" applyNumberFormat="1" applyFont="1" applyFill="1" applyBorder="1" applyAlignment="1">
      <alignment horizontal="center" vertical="center"/>
    </xf>
    <xf numFmtId="49" fontId="14" fillId="4" borderId="11" xfId="1" applyNumberFormat="1" applyFont="1" applyFill="1" applyBorder="1" applyAlignment="1">
      <alignment horizontal="center" vertical="center"/>
    </xf>
    <xf numFmtId="0" fontId="7" fillId="5" borderId="28" xfId="0" applyFont="1" applyFill="1" applyBorder="1" applyAlignment="1">
      <alignment horizontal="left" vertical="center" wrapText="1"/>
    </xf>
    <xf numFmtId="49" fontId="8" fillId="6" borderId="29" xfId="0" applyNumberFormat="1" applyFont="1" applyFill="1" applyBorder="1" applyAlignment="1">
      <alignment horizontal="left" vertical="center" wrapText="1"/>
    </xf>
    <xf numFmtId="0" fontId="8" fillId="2" borderId="22" xfId="0" applyFont="1" applyFill="1" applyBorder="1" applyAlignment="1">
      <alignment vertical="center"/>
    </xf>
    <xf numFmtId="0" fontId="7" fillId="10" borderId="22" xfId="0" applyFont="1" applyFill="1" applyBorder="1" applyAlignment="1">
      <alignment horizontal="left" vertical="center" wrapText="1"/>
    </xf>
    <xf numFmtId="0" fontId="10" fillId="0" borderId="48" xfId="0" applyFont="1" applyFill="1" applyBorder="1" applyAlignment="1">
      <alignment horizontal="center" vertical="center"/>
    </xf>
    <xf numFmtId="0" fontId="28" fillId="5" borderId="10" xfId="0" applyFont="1" applyFill="1" applyBorder="1" applyAlignment="1">
      <alignment horizontal="left" vertical="center"/>
    </xf>
    <xf numFmtId="0" fontId="8" fillId="5" borderId="47" xfId="0" applyFont="1" applyFill="1" applyBorder="1" applyAlignment="1">
      <alignment vertical="top"/>
    </xf>
    <xf numFmtId="0" fontId="9" fillId="5" borderId="139" xfId="0" applyFont="1" applyFill="1" applyBorder="1" applyAlignment="1">
      <alignment horizontal="left" vertical="center"/>
    </xf>
    <xf numFmtId="0" fontId="7" fillId="0" borderId="0" xfId="0" applyFont="1"/>
    <xf numFmtId="0" fontId="10" fillId="0" borderId="0" xfId="0" applyFont="1" applyFill="1" applyBorder="1"/>
    <xf numFmtId="0" fontId="29" fillId="0" borderId="0" xfId="0" applyFont="1" applyAlignment="1">
      <alignment horizontal="left" vertical="center" wrapText="1"/>
    </xf>
    <xf numFmtId="0" fontId="22" fillId="0" borderId="0" xfId="0" applyFont="1" applyFill="1" applyBorder="1"/>
    <xf numFmtId="0" fontId="22" fillId="5" borderId="0" xfId="0" applyFont="1" applyFill="1" applyBorder="1"/>
    <xf numFmtId="0" fontId="5" fillId="0" borderId="0" xfId="0" applyFont="1" applyAlignment="1">
      <alignment horizontal="left"/>
    </xf>
    <xf numFmtId="0" fontId="31" fillId="0" borderId="0" xfId="0" applyFont="1" applyFill="1" applyBorder="1" applyAlignment="1">
      <alignment vertical="center"/>
    </xf>
    <xf numFmtId="0" fontId="31" fillId="5" borderId="0" xfId="0" applyFont="1" applyFill="1" applyBorder="1" applyAlignment="1">
      <alignment vertical="center"/>
    </xf>
    <xf numFmtId="0" fontId="32" fillId="0" borderId="0" xfId="0" applyFont="1" applyAlignment="1">
      <alignment horizontal="left" vertical="center"/>
    </xf>
    <xf numFmtId="0" fontId="32" fillId="0" borderId="0" xfId="0" applyFont="1" applyAlignment="1">
      <alignment vertical="center"/>
    </xf>
    <xf numFmtId="0" fontId="35" fillId="0" borderId="0" xfId="0" applyFont="1" applyFill="1" applyBorder="1"/>
    <xf numFmtId="0" fontId="35" fillId="5" borderId="0" xfId="0" applyFont="1" applyFill="1" applyBorder="1"/>
    <xf numFmtId="0" fontId="36" fillId="0" borderId="0" xfId="0" applyFont="1" applyAlignment="1">
      <alignment horizontal="left"/>
    </xf>
    <xf numFmtId="0" fontId="36" fillId="0" borderId="0" xfId="0" applyFont="1"/>
    <xf numFmtId="0" fontId="38" fillId="0" borderId="0" xfId="0" applyFont="1" applyAlignment="1">
      <alignment horizontal="left" vertical="center" wrapText="1"/>
    </xf>
    <xf numFmtId="49" fontId="18" fillId="4" borderId="8" xfId="1" applyNumberFormat="1" applyFont="1" applyFill="1" applyBorder="1" applyAlignment="1">
      <alignment horizontal="center" vertical="center"/>
    </xf>
    <xf numFmtId="49" fontId="18" fillId="4" borderId="31" xfId="1" applyNumberFormat="1" applyFont="1" applyFill="1" applyBorder="1" applyAlignment="1">
      <alignment horizontal="center" vertical="center"/>
    </xf>
    <xf numFmtId="0" fontId="10" fillId="4" borderId="71" xfId="0" applyFont="1" applyFill="1" applyBorder="1" applyAlignment="1" applyProtection="1">
      <alignment horizontal="center" vertical="center"/>
    </xf>
    <xf numFmtId="0" fontId="13" fillId="4" borderId="73" xfId="0" applyFont="1" applyFill="1" applyBorder="1" applyAlignment="1" applyProtection="1">
      <alignment horizontal="center" vertical="center"/>
    </xf>
    <xf numFmtId="0" fontId="7" fillId="0" borderId="23" xfId="0" applyFont="1" applyBorder="1" applyAlignment="1">
      <alignment horizontal="left" vertical="center" wrapText="1"/>
    </xf>
    <xf numFmtId="0" fontId="8" fillId="0" borderId="25" xfId="0" applyFont="1" applyBorder="1" applyAlignment="1">
      <alignment horizontal="left" vertical="center" wrapText="1"/>
    </xf>
    <xf numFmtId="0" fontId="12" fillId="0" borderId="0" xfId="0" applyFont="1" applyAlignment="1">
      <alignment vertical="center"/>
    </xf>
    <xf numFmtId="0" fontId="11" fillId="6" borderId="165" xfId="3" applyFont="1" applyFill="1" applyBorder="1" applyAlignment="1">
      <alignment horizontal="left" vertical="center"/>
    </xf>
    <xf numFmtId="0" fontId="8" fillId="5" borderId="48" xfId="0" applyFont="1" applyFill="1" applyBorder="1" applyAlignment="1">
      <alignment horizontal="left"/>
    </xf>
    <xf numFmtId="0" fontId="8" fillId="6" borderId="166" xfId="0" applyFont="1" applyFill="1" applyBorder="1" applyAlignment="1">
      <alignment horizontal="left" vertical="center" wrapText="1"/>
    </xf>
    <xf numFmtId="0" fontId="8" fillId="2" borderId="42" xfId="0" applyFont="1" applyFill="1" applyBorder="1" applyAlignment="1">
      <alignment horizontal="left" vertical="top"/>
    </xf>
    <xf numFmtId="0" fontId="7" fillId="2" borderId="22" xfId="0" applyFont="1" applyFill="1" applyBorder="1" applyAlignment="1">
      <alignment horizontal="left" vertical="top"/>
    </xf>
    <xf numFmtId="0" fontId="8" fillId="2" borderId="22" xfId="0" applyFont="1" applyFill="1" applyBorder="1" applyAlignment="1">
      <alignment horizontal="left" vertical="top"/>
    </xf>
    <xf numFmtId="49" fontId="14" fillId="4" borderId="9" xfId="1" applyNumberFormat="1" applyFont="1" applyFill="1" applyBorder="1" applyAlignment="1">
      <alignment horizontal="center" vertical="center"/>
    </xf>
    <xf numFmtId="0" fontId="8" fillId="6" borderId="139" xfId="0" applyFont="1" applyFill="1" applyBorder="1" applyAlignment="1">
      <alignment horizontal="center" vertical="center"/>
    </xf>
    <xf numFmtId="0" fontId="7" fillId="4" borderId="33" xfId="0" applyFont="1" applyFill="1" applyBorder="1" applyAlignment="1" applyProtection="1">
      <alignment horizontal="center" vertical="center"/>
    </xf>
    <xf numFmtId="0" fontId="7" fillId="4" borderId="16" xfId="0" applyFont="1" applyFill="1" applyBorder="1" applyAlignment="1" applyProtection="1">
      <alignment horizontal="center" vertical="center"/>
    </xf>
    <xf numFmtId="0" fontId="16" fillId="0" borderId="0" xfId="0" applyFont="1" applyBorder="1" applyAlignment="1">
      <alignment horizontal="left" vertical="center" wrapText="1"/>
    </xf>
    <xf numFmtId="0" fontId="7" fillId="5" borderId="0" xfId="0" applyFont="1" applyFill="1" applyBorder="1" applyAlignment="1" applyProtection="1">
      <alignment horizontal="center" vertical="center"/>
      <protection locked="0"/>
    </xf>
    <xf numFmtId="0" fontId="7" fillId="4" borderId="66" xfId="0" applyFont="1" applyFill="1" applyBorder="1" applyAlignment="1" applyProtection="1">
      <alignment horizontal="center" vertical="center"/>
    </xf>
    <xf numFmtId="0" fontId="7" fillId="4" borderId="124" xfId="0" applyFont="1" applyFill="1" applyBorder="1" applyAlignment="1" applyProtection="1">
      <alignment horizontal="center" vertical="center"/>
    </xf>
    <xf numFmtId="49" fontId="8" fillId="6" borderId="0" xfId="0" applyNumberFormat="1" applyFont="1" applyFill="1" applyBorder="1" applyAlignment="1" applyProtection="1">
      <alignment horizontal="center" vertical="center"/>
    </xf>
    <xf numFmtId="0" fontId="7" fillId="4" borderId="167" xfId="0" applyFont="1" applyFill="1" applyBorder="1" applyAlignment="1" applyProtection="1">
      <alignment horizontal="center" vertical="center"/>
    </xf>
    <xf numFmtId="0" fontId="7" fillId="0" borderId="20" xfId="0" applyFont="1" applyBorder="1" applyAlignment="1" applyProtection="1">
      <alignment horizontal="center" vertical="center"/>
      <protection locked="0"/>
    </xf>
    <xf numFmtId="0" fontId="7" fillId="0" borderId="21" xfId="0" applyFont="1" applyBorder="1" applyAlignment="1" applyProtection="1">
      <alignment horizontal="center" vertical="center"/>
      <protection locked="0"/>
    </xf>
    <xf numFmtId="0" fontId="19" fillId="0" borderId="21" xfId="0" applyFont="1" applyBorder="1" applyAlignment="1" applyProtection="1">
      <alignment horizontal="center" vertical="center"/>
      <protection locked="0"/>
    </xf>
    <xf numFmtId="0" fontId="7" fillId="0" borderId="45" xfId="0" applyFont="1" applyBorder="1" applyAlignment="1" applyProtection="1">
      <alignment horizontal="center" vertical="center"/>
      <protection locked="0"/>
    </xf>
    <xf numFmtId="0" fontId="7" fillId="0" borderId="168" xfId="0" applyFont="1" applyBorder="1" applyAlignment="1" applyProtection="1">
      <alignment horizontal="center" vertical="center"/>
      <protection locked="0"/>
    </xf>
    <xf numFmtId="0" fontId="11" fillId="0" borderId="45" xfId="0" applyFont="1" applyBorder="1" applyAlignment="1" applyProtection="1">
      <alignment horizontal="center" vertical="center"/>
      <protection locked="0"/>
    </xf>
    <xf numFmtId="0" fontId="7" fillId="4" borderId="168" xfId="0" applyFont="1" applyFill="1" applyBorder="1" applyAlignment="1" applyProtection="1">
      <alignment horizontal="center" vertical="center"/>
    </xf>
    <xf numFmtId="0" fontId="7" fillId="4" borderId="45" xfId="0" applyFont="1" applyFill="1" applyBorder="1" applyAlignment="1" applyProtection="1">
      <alignment horizontal="center" vertical="center"/>
    </xf>
    <xf numFmtId="0" fontId="7" fillId="10" borderId="168" xfId="0" applyFont="1" applyFill="1" applyBorder="1" applyAlignment="1" applyProtection="1">
      <alignment horizontal="center" vertical="center"/>
    </xf>
    <xf numFmtId="0" fontId="11" fillId="0" borderId="45" xfId="0" applyFont="1" applyBorder="1" applyAlignment="1" applyProtection="1">
      <alignment horizontal="center" vertical="center"/>
    </xf>
    <xf numFmtId="0" fontId="19" fillId="0" borderId="45" xfId="0" applyFont="1" applyBorder="1" applyAlignment="1" applyProtection="1">
      <alignment horizontal="center" vertical="center"/>
      <protection locked="0"/>
    </xf>
    <xf numFmtId="0" fontId="7" fillId="6" borderId="21" xfId="0" applyFont="1" applyFill="1" applyBorder="1" applyAlignment="1" applyProtection="1">
      <alignment horizontal="center" vertical="center"/>
    </xf>
    <xf numFmtId="0" fontId="7" fillId="0" borderId="26" xfId="0" applyFont="1" applyBorder="1" applyAlignment="1" applyProtection="1">
      <alignment horizontal="center" vertical="center"/>
      <protection locked="0"/>
    </xf>
    <xf numFmtId="0" fontId="7" fillId="5" borderId="20" xfId="0" applyFont="1" applyFill="1" applyBorder="1" applyAlignment="1" applyProtection="1">
      <alignment horizontal="center" vertical="center"/>
      <protection locked="0"/>
    </xf>
    <xf numFmtId="0" fontId="7" fillId="5" borderId="21" xfId="0" applyFont="1" applyFill="1" applyBorder="1" applyAlignment="1" applyProtection="1">
      <alignment horizontal="center" vertical="center"/>
      <protection locked="0"/>
    </xf>
    <xf numFmtId="1" fontId="8" fillId="6" borderId="168" xfId="0" applyNumberFormat="1" applyFont="1" applyFill="1" applyBorder="1" applyAlignment="1" applyProtection="1">
      <alignment horizontal="center" vertical="center"/>
    </xf>
    <xf numFmtId="0" fontId="7" fillId="0" borderId="32" xfId="0" applyFont="1" applyBorder="1" applyAlignment="1" applyProtection="1">
      <alignment horizontal="center" vertical="center"/>
      <protection locked="0"/>
    </xf>
    <xf numFmtId="0" fontId="7" fillId="4" borderId="26" xfId="0" applyFont="1" applyFill="1" applyBorder="1" applyAlignment="1" applyProtection="1">
      <alignment horizontal="center" vertical="center"/>
    </xf>
    <xf numFmtId="0" fontId="7" fillId="0" borderId="168" xfId="0" applyFont="1" applyBorder="1" applyAlignment="1" applyProtection="1">
      <alignment horizontal="center" vertical="center" wrapText="1"/>
      <protection locked="0"/>
    </xf>
    <xf numFmtId="0" fontId="7" fillId="0" borderId="45" xfId="0" applyFont="1" applyBorder="1" applyAlignment="1" applyProtection="1">
      <alignment horizontal="center" vertical="center" wrapText="1"/>
      <protection locked="0"/>
    </xf>
    <xf numFmtId="0" fontId="7" fillId="5" borderId="168" xfId="0" applyFont="1" applyFill="1" applyBorder="1" applyAlignment="1" applyProtection="1">
      <alignment horizontal="center" vertical="center"/>
      <protection locked="0"/>
    </xf>
    <xf numFmtId="0" fontId="7" fillId="5" borderId="45" xfId="0" applyFont="1" applyFill="1" applyBorder="1" applyAlignment="1" applyProtection="1">
      <alignment horizontal="center" vertical="center"/>
      <protection locked="0"/>
    </xf>
    <xf numFmtId="0" fontId="7" fillId="5" borderId="26" xfId="0" applyFont="1" applyFill="1" applyBorder="1" applyAlignment="1" applyProtection="1">
      <alignment horizontal="center" vertical="center"/>
      <protection locked="0"/>
    </xf>
    <xf numFmtId="0" fontId="7" fillId="3" borderId="21" xfId="0" applyFont="1" applyFill="1" applyBorder="1" applyAlignment="1" applyProtection="1">
      <alignment horizontal="center" vertical="center"/>
    </xf>
    <xf numFmtId="0" fontId="7" fillId="0" borderId="21" xfId="0" applyFont="1" applyFill="1" applyBorder="1" applyAlignment="1" applyProtection="1">
      <alignment horizontal="center" vertical="center"/>
      <protection locked="0"/>
    </xf>
    <xf numFmtId="0" fontId="7" fillId="0" borderId="42" xfId="0" applyFont="1" applyBorder="1" applyAlignment="1" applyProtection="1">
      <alignment horizontal="center" vertical="center" wrapText="1"/>
      <protection locked="0"/>
    </xf>
    <xf numFmtId="0" fontId="8" fillId="6" borderId="0" xfId="0" applyFont="1" applyFill="1" applyBorder="1" applyAlignment="1" applyProtection="1">
      <alignment horizontal="center" vertical="center" wrapText="1"/>
    </xf>
    <xf numFmtId="0" fontId="7" fillId="0" borderId="0" xfId="0" applyFont="1" applyBorder="1" applyAlignment="1" applyProtection="1">
      <alignment horizontal="center" vertical="center" wrapText="1"/>
      <protection locked="0"/>
    </xf>
    <xf numFmtId="1" fontId="8" fillId="0" borderId="43" xfId="0" applyNumberFormat="1" applyFont="1" applyFill="1" applyBorder="1" applyAlignment="1" applyProtection="1">
      <alignment horizontal="center" vertical="center"/>
      <protection locked="0"/>
    </xf>
    <xf numFmtId="1" fontId="8" fillId="6" borderId="43" xfId="0" applyNumberFormat="1" applyFont="1" applyFill="1" applyBorder="1" applyAlignment="1" applyProtection="1">
      <alignment horizontal="center" vertical="center"/>
    </xf>
    <xf numFmtId="0" fontId="8" fillId="5" borderId="170" xfId="0" applyFont="1" applyFill="1" applyBorder="1" applyAlignment="1" applyProtection="1">
      <alignment horizontal="center" vertical="center" wrapText="1"/>
      <protection locked="0"/>
    </xf>
    <xf numFmtId="0" fontId="8" fillId="5" borderId="171" xfId="0" applyFont="1" applyFill="1" applyBorder="1" applyAlignment="1" applyProtection="1">
      <alignment horizontal="center" vertical="center" wrapText="1"/>
      <protection locked="0"/>
    </xf>
    <xf numFmtId="0" fontId="7" fillId="0" borderId="43" xfId="0" applyFont="1" applyBorder="1" applyAlignment="1" applyProtection="1">
      <alignment horizontal="center" vertical="center" wrapText="1"/>
      <protection locked="0"/>
    </xf>
    <xf numFmtId="0" fontId="7" fillId="0" borderId="21" xfId="0" applyFont="1" applyBorder="1" applyAlignment="1" applyProtection="1">
      <alignment horizontal="center" vertical="center" wrapText="1"/>
      <protection locked="0"/>
    </xf>
    <xf numFmtId="0" fontId="7" fillId="5" borderId="22" xfId="0" applyFont="1" applyFill="1" applyBorder="1" applyAlignment="1" applyProtection="1">
      <alignment horizontal="center" vertical="center"/>
      <protection locked="0"/>
    </xf>
    <xf numFmtId="0" fontId="7" fillId="5" borderId="52" xfId="0" applyFont="1" applyFill="1" applyBorder="1" applyAlignment="1" applyProtection="1">
      <alignment horizontal="center" vertical="center"/>
      <protection locked="0"/>
    </xf>
    <xf numFmtId="0" fontId="7" fillId="4" borderId="20" xfId="0" applyFont="1" applyFill="1" applyBorder="1" applyAlignment="1" applyProtection="1">
      <alignment horizontal="center" vertical="center"/>
    </xf>
    <xf numFmtId="0" fontId="7" fillId="4" borderId="21" xfId="0" applyFont="1" applyFill="1" applyBorder="1" applyAlignment="1" applyProtection="1">
      <alignment horizontal="center" vertical="center"/>
    </xf>
    <xf numFmtId="0" fontId="7" fillId="4" borderId="51" xfId="0" applyFont="1" applyFill="1" applyBorder="1" applyAlignment="1" applyProtection="1">
      <alignment horizontal="center" vertical="center"/>
    </xf>
    <xf numFmtId="0" fontId="7" fillId="4" borderId="0" xfId="0" applyFont="1" applyFill="1" applyBorder="1" applyAlignment="1" applyProtection="1">
      <alignment horizontal="center" vertical="center"/>
    </xf>
    <xf numFmtId="0" fontId="25" fillId="6" borderId="52" xfId="2" applyFont="1" applyFill="1" applyBorder="1" applyAlignment="1" applyProtection="1">
      <alignment horizontal="center" vertical="center"/>
    </xf>
    <xf numFmtId="0" fontId="7" fillId="6" borderId="45" xfId="0" applyFont="1" applyFill="1" applyBorder="1" applyAlignment="1" applyProtection="1">
      <alignment horizontal="center" vertical="center"/>
    </xf>
    <xf numFmtId="0" fontId="7" fillId="0" borderId="47" xfId="0" applyFont="1" applyBorder="1" applyAlignment="1" applyProtection="1">
      <alignment horizontal="center" vertical="center"/>
      <protection locked="0"/>
    </xf>
    <xf numFmtId="0" fontId="7" fillId="0" borderId="53" xfId="0" applyFont="1" applyBorder="1" applyAlignment="1" applyProtection="1">
      <alignment horizontal="center" vertical="center"/>
      <protection locked="0"/>
    </xf>
    <xf numFmtId="0" fontId="7" fillId="0" borderId="22" xfId="0" applyFont="1" applyBorder="1" applyAlignment="1" applyProtection="1">
      <alignment horizontal="center" vertical="center"/>
      <protection locked="0"/>
    </xf>
    <xf numFmtId="0" fontId="7" fillId="0" borderId="42" xfId="0" applyFont="1" applyBorder="1" applyAlignment="1" applyProtection="1">
      <alignment horizontal="center" vertical="center"/>
      <protection locked="0"/>
    </xf>
    <xf numFmtId="1" fontId="14" fillId="5" borderId="168" xfId="1" applyNumberFormat="1" applyFont="1" applyFill="1" applyBorder="1" applyAlignment="1" applyProtection="1">
      <alignment horizontal="center" vertical="center"/>
      <protection locked="0"/>
    </xf>
    <xf numFmtId="1" fontId="14" fillId="5" borderId="21" xfId="1" applyNumberFormat="1" applyFont="1" applyFill="1" applyBorder="1" applyAlignment="1" applyProtection="1">
      <alignment horizontal="center" vertical="center"/>
      <protection locked="0"/>
    </xf>
    <xf numFmtId="1" fontId="14" fillId="5" borderId="45" xfId="1" applyNumberFormat="1" applyFont="1" applyFill="1" applyBorder="1" applyAlignment="1" applyProtection="1">
      <alignment horizontal="center" vertical="center"/>
      <protection locked="0"/>
    </xf>
    <xf numFmtId="0" fontId="7" fillId="3" borderId="45" xfId="0" applyFont="1" applyFill="1" applyBorder="1" applyAlignment="1" applyProtection="1">
      <alignment horizontal="center" vertical="center"/>
    </xf>
    <xf numFmtId="0" fontId="7" fillId="3" borderId="26" xfId="0" applyFont="1" applyFill="1" applyBorder="1" applyAlignment="1" applyProtection="1">
      <alignment horizontal="center" vertical="center"/>
    </xf>
    <xf numFmtId="0" fontId="12" fillId="10" borderId="0" xfId="0" applyFont="1" applyFill="1" applyBorder="1" applyAlignment="1">
      <alignment horizontal="left" vertical="top" wrapText="1"/>
    </xf>
    <xf numFmtId="0" fontId="8" fillId="0" borderId="29" xfId="0" applyFont="1" applyBorder="1" applyAlignment="1">
      <alignment horizontal="left" vertical="center" wrapText="1"/>
    </xf>
    <xf numFmtId="49" fontId="18" fillId="4" borderId="45" xfId="1" applyNumberFormat="1" applyFont="1" applyFill="1" applyBorder="1" applyAlignment="1">
      <alignment horizontal="center" vertical="center"/>
    </xf>
    <xf numFmtId="49" fontId="18" fillId="4" borderId="0" xfId="1" applyNumberFormat="1" applyFont="1" applyFill="1" applyBorder="1" applyAlignment="1">
      <alignment horizontal="center" vertical="center"/>
    </xf>
    <xf numFmtId="49" fontId="18" fillId="4" borderId="79" xfId="1" applyNumberFormat="1" applyFont="1" applyFill="1" applyBorder="1" applyAlignment="1">
      <alignment horizontal="center" vertical="center"/>
    </xf>
    <xf numFmtId="49" fontId="18" fillId="4" borderId="170" xfId="1" applyNumberFormat="1" applyFont="1" applyFill="1" applyBorder="1" applyAlignment="1">
      <alignment horizontal="center" vertical="center"/>
    </xf>
    <xf numFmtId="49" fontId="18" fillId="4" borderId="124" xfId="1" applyNumberFormat="1" applyFont="1" applyFill="1" applyBorder="1" applyAlignment="1">
      <alignment horizontal="center" vertical="center"/>
    </xf>
    <xf numFmtId="0" fontId="11" fillId="6" borderId="61" xfId="0" applyFont="1" applyFill="1" applyBorder="1" applyAlignment="1">
      <alignment horizontal="center" vertical="center"/>
    </xf>
    <xf numFmtId="0" fontId="7" fillId="4" borderId="12" xfId="0" applyFont="1" applyFill="1" applyBorder="1" applyAlignment="1" applyProtection="1">
      <alignment horizontal="center" vertical="center"/>
    </xf>
    <xf numFmtId="0" fontId="7" fillId="4" borderId="15" xfId="0" applyFont="1" applyFill="1" applyBorder="1" applyAlignment="1" applyProtection="1">
      <alignment horizontal="center" vertical="center"/>
    </xf>
    <xf numFmtId="0" fontId="10" fillId="4" borderId="73" xfId="0" applyFont="1" applyFill="1" applyBorder="1" applyAlignment="1" applyProtection="1">
      <alignment horizontal="center" vertical="center"/>
    </xf>
    <xf numFmtId="3" fontId="7" fillId="0" borderId="11" xfId="0" applyNumberFormat="1" applyFont="1" applyBorder="1" applyAlignment="1" applyProtection="1">
      <alignment horizontal="center" vertical="center"/>
      <protection locked="0"/>
    </xf>
    <xf numFmtId="0" fontId="10" fillId="4" borderId="72" xfId="0" applyFont="1" applyFill="1" applyBorder="1" applyAlignment="1" applyProtection="1">
      <alignment horizontal="center" vertical="center"/>
    </xf>
    <xf numFmtId="0" fontId="11" fillId="6" borderId="65" xfId="0" applyFont="1" applyFill="1" applyBorder="1" applyAlignment="1">
      <alignment horizontal="center" vertical="center"/>
    </xf>
    <xf numFmtId="0" fontId="11" fillId="6" borderId="174" xfId="0" applyFont="1" applyFill="1" applyBorder="1" applyAlignment="1">
      <alignment horizontal="center" vertical="center"/>
    </xf>
    <xf numFmtId="0" fontId="7" fillId="4" borderId="13" xfId="0" applyFont="1" applyFill="1" applyBorder="1" applyAlignment="1" applyProtection="1">
      <alignment horizontal="center" vertical="center"/>
    </xf>
    <xf numFmtId="49" fontId="18" fillId="4" borderId="48" xfId="1" applyNumberFormat="1" applyFont="1" applyFill="1" applyBorder="1" applyAlignment="1">
      <alignment horizontal="center" vertical="center"/>
    </xf>
    <xf numFmtId="49" fontId="18" fillId="4" borderId="66" xfId="1" applyNumberFormat="1" applyFont="1" applyFill="1" applyBorder="1" applyAlignment="1">
      <alignment horizontal="center" vertical="center"/>
    </xf>
    <xf numFmtId="0" fontId="7" fillId="4" borderId="54" xfId="0" applyFont="1" applyFill="1" applyBorder="1" applyAlignment="1" applyProtection="1">
      <alignment horizontal="center" vertical="center"/>
    </xf>
    <xf numFmtId="0" fontId="7" fillId="4" borderId="169" xfId="0" applyFont="1" applyFill="1" applyBorder="1" applyAlignment="1" applyProtection="1">
      <alignment horizontal="center" vertical="center"/>
    </xf>
    <xf numFmtId="0" fontId="7" fillId="4" borderId="48" xfId="0" applyFont="1" applyFill="1" applyBorder="1" applyAlignment="1" applyProtection="1">
      <alignment horizontal="center" vertical="center"/>
    </xf>
    <xf numFmtId="0" fontId="7" fillId="4" borderId="79" xfId="0" applyFont="1" applyFill="1" applyBorder="1" applyAlignment="1" applyProtection="1">
      <alignment horizontal="center" vertical="center"/>
    </xf>
    <xf numFmtId="0" fontId="7" fillId="4" borderId="170" xfId="0" applyFont="1" applyFill="1" applyBorder="1" applyAlignment="1" applyProtection="1">
      <alignment horizontal="center" vertical="center"/>
    </xf>
    <xf numFmtId="0" fontId="8" fillId="6" borderId="167" xfId="0" applyFont="1" applyFill="1" applyBorder="1" applyAlignment="1">
      <alignment horizontal="center" vertical="center"/>
    </xf>
    <xf numFmtId="1" fontId="8" fillId="6" borderId="64" xfId="0" applyNumberFormat="1" applyFont="1" applyFill="1" applyBorder="1" applyAlignment="1">
      <alignment horizontal="center" vertical="center"/>
    </xf>
    <xf numFmtId="0" fontId="8" fillId="6" borderId="174" xfId="0" applyFont="1" applyFill="1" applyBorder="1" applyAlignment="1">
      <alignment horizontal="center" vertical="center"/>
    </xf>
    <xf numFmtId="0" fontId="8" fillId="5" borderId="175" xfId="0" applyFont="1" applyFill="1" applyBorder="1" applyAlignment="1" applyProtection="1">
      <alignment horizontal="center" vertical="center" wrapText="1"/>
      <protection locked="0"/>
    </xf>
    <xf numFmtId="0" fontId="8" fillId="5" borderId="176" xfId="0" applyFont="1" applyFill="1" applyBorder="1" applyAlignment="1" applyProtection="1">
      <alignment horizontal="center" vertical="center" wrapText="1"/>
      <protection locked="0"/>
    </xf>
    <xf numFmtId="0" fontId="8" fillId="6" borderId="139" xfId="0" applyFont="1" applyFill="1" applyBorder="1" applyAlignment="1" applyProtection="1">
      <alignment horizontal="center" vertical="center" wrapText="1"/>
    </xf>
    <xf numFmtId="49" fontId="8" fillId="6" borderId="77" xfId="0" applyNumberFormat="1" applyFont="1" applyFill="1" applyBorder="1" applyAlignment="1">
      <alignment horizontal="center" vertical="center"/>
    </xf>
    <xf numFmtId="49" fontId="8" fillId="6" borderId="65" xfId="0" applyNumberFormat="1" applyFont="1" applyFill="1" applyBorder="1" applyAlignment="1">
      <alignment horizontal="center" vertical="center"/>
    </xf>
    <xf numFmtId="49" fontId="8" fillId="6" borderId="61" xfId="0" applyNumberFormat="1" applyFont="1" applyFill="1" applyBorder="1" applyAlignment="1">
      <alignment horizontal="center" vertical="center"/>
    </xf>
    <xf numFmtId="49" fontId="8" fillId="6" borderId="64" xfId="0" applyNumberFormat="1" applyFont="1" applyFill="1" applyBorder="1" applyAlignment="1">
      <alignment horizontal="center" vertical="center"/>
    </xf>
    <xf numFmtId="49" fontId="8" fillId="6" borderId="174" xfId="0" applyNumberFormat="1" applyFont="1" applyFill="1" applyBorder="1" applyAlignment="1">
      <alignment horizontal="center" vertical="center"/>
    </xf>
    <xf numFmtId="0" fontId="11" fillId="4" borderId="0" xfId="0" applyFont="1" applyFill="1" applyBorder="1" applyAlignment="1" applyProtection="1">
      <alignment horizontal="center" vertical="center"/>
    </xf>
    <xf numFmtId="0" fontId="11" fillId="4" borderId="66" xfId="0" applyFont="1" applyFill="1" applyBorder="1" applyAlignment="1" applyProtection="1">
      <alignment horizontal="center" vertical="center"/>
    </xf>
    <xf numFmtId="0" fontId="11" fillId="0" borderId="31" xfId="0" applyFont="1" applyBorder="1" applyAlignment="1" applyProtection="1">
      <alignment horizontal="center" vertical="center"/>
      <protection locked="0"/>
    </xf>
    <xf numFmtId="0" fontId="7" fillId="6" borderId="7" xfId="0" applyFont="1" applyFill="1" applyBorder="1" applyAlignment="1" applyProtection="1">
      <alignment horizontal="center" vertical="center"/>
    </xf>
    <xf numFmtId="0" fontId="19" fillId="0" borderId="31" xfId="0" applyFont="1" applyBorder="1" applyAlignment="1" applyProtection="1">
      <alignment horizontal="center" vertical="center"/>
      <protection locked="0"/>
    </xf>
    <xf numFmtId="0" fontId="7" fillId="4" borderId="36" xfId="0" applyFont="1" applyFill="1" applyBorder="1" applyAlignment="1" applyProtection="1">
      <alignment horizontal="center" vertical="center"/>
    </xf>
    <xf numFmtId="0" fontId="8" fillId="6" borderId="23" xfId="0" applyFont="1" applyFill="1" applyBorder="1" applyAlignment="1">
      <alignment horizontal="center" vertical="center"/>
    </xf>
    <xf numFmtId="0" fontId="8" fillId="6" borderId="25" xfId="0" applyFont="1" applyFill="1" applyBorder="1" applyAlignment="1">
      <alignment horizontal="center" vertical="center"/>
    </xf>
    <xf numFmtId="0" fontId="7" fillId="0" borderId="17" xfId="0" applyFont="1" applyBorder="1" applyAlignment="1" applyProtection="1">
      <alignment horizontal="center" vertical="center"/>
      <protection locked="0"/>
    </xf>
    <xf numFmtId="0" fontId="7" fillId="0" borderId="52" xfId="0" applyFont="1" applyBorder="1" applyAlignment="1" applyProtection="1">
      <alignment horizontal="center" vertical="center"/>
      <protection locked="0"/>
    </xf>
    <xf numFmtId="0" fontId="7" fillId="0" borderId="71" xfId="0" applyFont="1" applyBorder="1" applyAlignment="1" applyProtection="1">
      <alignment horizontal="center" vertical="center"/>
      <protection locked="0"/>
    </xf>
    <xf numFmtId="0" fontId="7" fillId="0" borderId="72" xfId="0" applyFont="1" applyBorder="1" applyAlignment="1" applyProtection="1">
      <alignment horizontal="center" vertical="center"/>
      <protection locked="0"/>
    </xf>
    <xf numFmtId="0" fontId="7" fillId="0" borderId="73" xfId="0" applyFont="1" applyBorder="1" applyAlignment="1" applyProtection="1">
      <alignment horizontal="center" vertical="center"/>
      <protection locked="0"/>
    </xf>
    <xf numFmtId="0" fontId="7" fillId="0" borderId="172" xfId="0" applyFont="1" applyBorder="1" applyAlignment="1" applyProtection="1">
      <alignment horizontal="center" vertical="center"/>
      <protection locked="0"/>
    </xf>
    <xf numFmtId="0" fontId="8" fillId="6" borderId="139" xfId="0" applyFont="1" applyFill="1" applyBorder="1" applyAlignment="1">
      <alignment horizontal="center" vertical="center" wrapText="1"/>
    </xf>
    <xf numFmtId="0" fontId="38" fillId="5" borderId="0" xfId="0" applyFont="1" applyFill="1" applyAlignment="1"/>
    <xf numFmtId="0" fontId="38" fillId="5" borderId="0" xfId="0" applyFont="1" applyFill="1" applyAlignment="1">
      <alignment horizontal="left"/>
    </xf>
    <xf numFmtId="0" fontId="29" fillId="5" borderId="1" xfId="0" applyFont="1" applyFill="1" applyBorder="1" applyAlignment="1">
      <alignment vertical="center" wrapText="1"/>
    </xf>
    <xf numFmtId="0" fontId="29" fillId="5" borderId="1" xfId="0" applyFont="1" applyFill="1" applyBorder="1" applyAlignment="1">
      <alignment horizontal="left" vertical="top" wrapText="1"/>
    </xf>
    <xf numFmtId="0" fontId="29" fillId="5" borderId="5" xfId="0" applyFont="1" applyFill="1" applyBorder="1" applyAlignment="1">
      <alignment vertical="center" wrapText="1"/>
    </xf>
    <xf numFmtId="0" fontId="29" fillId="5" borderId="5" xfId="0" applyFont="1" applyFill="1" applyBorder="1" applyAlignment="1">
      <alignment horizontal="left" vertical="top" wrapText="1"/>
    </xf>
    <xf numFmtId="0" fontId="38" fillId="0" borderId="96" xfId="0" applyFont="1" applyBorder="1" applyAlignment="1">
      <alignment horizontal="left" vertical="center" wrapText="1"/>
    </xf>
    <xf numFmtId="0" fontId="38" fillId="5" borderId="88" xfId="0" applyFont="1" applyFill="1" applyBorder="1" applyAlignment="1">
      <alignment wrapText="1"/>
    </xf>
    <xf numFmtId="0" fontId="38" fillId="0" borderId="97" xfId="0" applyFont="1" applyBorder="1" applyAlignment="1">
      <alignment horizontal="left" vertical="center" wrapText="1"/>
    </xf>
    <xf numFmtId="0" fontId="38" fillId="5" borderId="75" xfId="0" applyFont="1" applyFill="1" applyBorder="1" applyAlignment="1">
      <alignment wrapText="1"/>
    </xf>
    <xf numFmtId="0" fontId="38" fillId="0" borderId="98" xfId="0" applyFont="1" applyBorder="1" applyAlignment="1">
      <alignment horizontal="left" vertical="center" wrapText="1"/>
    </xf>
    <xf numFmtId="0" fontId="38" fillId="5" borderId="93" xfId="0" applyFont="1" applyFill="1" applyBorder="1" applyAlignment="1">
      <alignment wrapText="1"/>
    </xf>
    <xf numFmtId="0" fontId="38" fillId="0" borderId="0" xfId="0" applyFont="1"/>
    <xf numFmtId="0" fontId="38" fillId="0" borderId="99" xfId="0" applyFont="1" applyBorder="1" applyAlignment="1">
      <alignment horizontal="left" vertical="center" wrapText="1"/>
    </xf>
    <xf numFmtId="0" fontId="38" fillId="0" borderId="90" xfId="0" applyFont="1" applyBorder="1" applyAlignment="1" applyProtection="1">
      <alignment horizontal="left" vertical="center" wrapText="1"/>
      <protection locked="0"/>
    </xf>
    <xf numFmtId="0" fontId="38" fillId="0" borderId="75" xfId="0" applyFont="1" applyBorder="1" applyAlignment="1" applyProtection="1">
      <alignment horizontal="left" vertical="center" wrapText="1"/>
      <protection locked="0"/>
    </xf>
    <xf numFmtId="0" fontId="38" fillId="0" borderId="93" xfId="0" applyFont="1" applyBorder="1" applyAlignment="1" applyProtection="1">
      <alignment horizontal="left" vertical="center" wrapText="1"/>
      <protection locked="0"/>
    </xf>
    <xf numFmtId="0" fontId="38" fillId="0" borderId="90" xfId="0" applyFont="1" applyBorder="1" applyAlignment="1">
      <alignment horizontal="left" vertical="center" wrapText="1"/>
    </xf>
    <xf numFmtId="0" fontId="38" fillId="0" borderId="93" xfId="0" applyFont="1" applyBorder="1" applyAlignment="1">
      <alignment horizontal="left" vertical="center" wrapText="1"/>
    </xf>
    <xf numFmtId="0" fontId="38" fillId="12" borderId="90" xfId="0" applyFont="1" applyFill="1" applyBorder="1" applyAlignment="1">
      <alignment wrapText="1"/>
    </xf>
    <xf numFmtId="0" fontId="38" fillId="0" borderId="97" xfId="0" applyFont="1" applyBorder="1" applyAlignment="1">
      <alignment vertical="center" wrapText="1"/>
    </xf>
    <xf numFmtId="0" fontId="38" fillId="12" borderId="75" xfId="0" applyFont="1" applyFill="1" applyBorder="1" applyAlignment="1">
      <alignment wrapText="1"/>
    </xf>
    <xf numFmtId="0" fontId="29" fillId="0" borderId="97" xfId="0" applyFont="1" applyBorder="1" applyAlignment="1">
      <alignment horizontal="left" vertical="center" wrapText="1"/>
    </xf>
    <xf numFmtId="0" fontId="38" fillId="12" borderId="93" xfId="0" applyFont="1" applyFill="1" applyBorder="1" applyAlignment="1">
      <alignment wrapText="1"/>
    </xf>
    <xf numFmtId="0" fontId="29" fillId="0" borderId="93" xfId="0" applyFont="1" applyBorder="1" applyAlignment="1">
      <alignment horizontal="left" vertical="center" wrapText="1"/>
    </xf>
    <xf numFmtId="0" fontId="38" fillId="5" borderId="0" xfId="0" applyFont="1" applyFill="1" applyAlignment="1">
      <alignment vertical="center"/>
    </xf>
    <xf numFmtId="0" fontId="38" fillId="12" borderId="93" xfId="0" applyFont="1" applyFill="1" applyBorder="1" applyAlignment="1">
      <alignment vertical="center" wrapText="1"/>
    </xf>
    <xf numFmtId="0" fontId="29" fillId="6" borderId="75" xfId="0" applyFont="1" applyFill="1" applyBorder="1" applyAlignment="1">
      <alignment horizontal="left" vertical="center" wrapText="1"/>
    </xf>
    <xf numFmtId="0" fontId="38" fillId="0" borderId="75" xfId="0" applyFont="1" applyBorder="1" applyAlignment="1">
      <alignment vertical="center" wrapText="1"/>
    </xf>
    <xf numFmtId="49" fontId="38" fillId="6" borderId="75" xfId="0" applyNumberFormat="1" applyFont="1" applyFill="1" applyBorder="1" applyAlignment="1">
      <alignment horizontal="left" vertical="center" wrapText="1"/>
    </xf>
    <xf numFmtId="0" fontId="38" fillId="5" borderId="75" xfId="0" applyFont="1" applyFill="1" applyBorder="1" applyAlignment="1">
      <alignment vertical="center" wrapText="1"/>
    </xf>
    <xf numFmtId="0" fontId="38" fillId="12" borderId="22" xfId="0" applyFont="1" applyFill="1" applyBorder="1" applyAlignment="1">
      <alignment horizontal="left" vertical="center" wrapText="1"/>
    </xf>
    <xf numFmtId="0" fontId="29" fillId="5" borderId="0" xfId="0" applyFont="1" applyFill="1" applyAlignment="1"/>
    <xf numFmtId="0" fontId="38" fillId="12" borderId="75" xfId="0" applyFont="1" applyFill="1" applyBorder="1" applyAlignment="1">
      <alignment horizontal="left" vertical="center" wrapText="1"/>
    </xf>
    <xf numFmtId="0" fontId="29" fillId="12" borderId="75" xfId="0" applyFont="1" applyFill="1" applyBorder="1" applyAlignment="1">
      <alignment wrapText="1"/>
    </xf>
    <xf numFmtId="0" fontId="38" fillId="12" borderId="75" xfId="0" applyFont="1" applyFill="1" applyBorder="1" applyAlignment="1">
      <alignment horizontal="left" wrapText="1"/>
    </xf>
    <xf numFmtId="49" fontId="29" fillId="6" borderId="75" xfId="0" applyNumberFormat="1" applyFont="1" applyFill="1" applyBorder="1" applyAlignment="1">
      <alignment horizontal="left" vertical="center" wrapText="1"/>
    </xf>
    <xf numFmtId="0" fontId="38" fillId="0" borderId="75" xfId="0" applyFont="1" applyFill="1" applyBorder="1" applyAlignment="1">
      <alignment horizontal="left" vertical="center" wrapText="1"/>
    </xf>
    <xf numFmtId="0" fontId="38" fillId="0" borderId="75" xfId="0" applyFont="1" applyFill="1" applyBorder="1" applyAlignment="1">
      <alignment wrapText="1"/>
    </xf>
    <xf numFmtId="0" fontId="38" fillId="0" borderId="0" xfId="0" applyFont="1" applyAlignment="1"/>
    <xf numFmtId="0" fontId="38" fillId="6" borderId="75" xfId="0" applyFont="1" applyFill="1" applyBorder="1" applyAlignment="1">
      <alignment horizontal="left" vertical="center" wrapText="1"/>
    </xf>
    <xf numFmtId="0" fontId="44" fillId="0" borderId="75" xfId="0" applyFont="1" applyBorder="1" applyAlignment="1">
      <alignment horizontal="left" vertical="center" wrapText="1"/>
    </xf>
    <xf numFmtId="0" fontId="38" fillId="0" borderId="75" xfId="0" applyFont="1" applyBorder="1" applyAlignment="1" applyProtection="1">
      <alignment horizontal="left" vertical="center" wrapText="1"/>
    </xf>
    <xf numFmtId="0" fontId="38" fillId="13" borderId="75" xfId="0" applyFont="1" applyFill="1" applyBorder="1" applyAlignment="1">
      <alignment horizontal="left" vertical="center" wrapText="1"/>
    </xf>
    <xf numFmtId="0" fontId="29" fillId="3" borderId="75" xfId="0" applyFont="1" applyFill="1" applyBorder="1" applyAlignment="1">
      <alignment horizontal="left" vertical="center" wrapText="1"/>
    </xf>
    <xf numFmtId="0" fontId="42" fillId="3" borderId="16" xfId="0" applyFont="1" applyFill="1" applyBorder="1" applyAlignment="1">
      <alignment vertical="center"/>
    </xf>
    <xf numFmtId="0" fontId="29" fillId="3" borderId="16" xfId="0" applyFont="1" applyFill="1" applyBorder="1" applyAlignment="1">
      <alignment vertical="center"/>
    </xf>
    <xf numFmtId="0" fontId="42" fillId="0" borderId="0" xfId="0" applyFont="1" applyFill="1" applyBorder="1" applyAlignment="1">
      <alignment vertical="center"/>
    </xf>
    <xf numFmtId="0" fontId="38" fillId="0" borderId="0" xfId="0" applyFont="1" applyFill="1" applyAlignment="1"/>
    <xf numFmtId="49" fontId="46" fillId="0" borderId="0" xfId="1" applyNumberFormat="1" applyFont="1" applyFill="1" applyBorder="1" applyAlignment="1">
      <alignment horizontal="center" vertical="center"/>
    </xf>
    <xf numFmtId="0" fontId="38" fillId="0" borderId="0" xfId="0" applyFont="1" applyFill="1" applyBorder="1" applyAlignment="1" applyProtection="1">
      <alignment horizontal="center" vertical="center"/>
      <protection locked="0"/>
    </xf>
    <xf numFmtId="0" fontId="29" fillId="0" borderId="0" xfId="0" applyFont="1" applyFill="1" applyBorder="1" applyAlignment="1">
      <alignment vertical="top"/>
    </xf>
    <xf numFmtId="0" fontId="42" fillId="0" borderId="0" xfId="0" applyFont="1" applyFill="1" applyBorder="1" applyAlignment="1">
      <alignment horizontal="left" vertical="center"/>
    </xf>
    <xf numFmtId="0" fontId="38" fillId="5" borderId="0" xfId="0" applyFont="1" applyFill="1" applyAlignment="1">
      <alignment vertical="center" wrapText="1"/>
    </xf>
    <xf numFmtId="0" fontId="38" fillId="5" borderId="0" xfId="0" applyFont="1" applyFill="1" applyAlignment="1">
      <alignment vertical="top" wrapText="1"/>
    </xf>
    <xf numFmtId="0" fontId="38" fillId="5" borderId="0" xfId="0" applyFont="1" applyFill="1" applyAlignment="1">
      <alignment horizontal="left" vertical="center"/>
    </xf>
    <xf numFmtId="0" fontId="38" fillId="12" borderId="177" xfId="0" applyFont="1" applyFill="1" applyBorder="1" applyAlignment="1">
      <alignment wrapText="1"/>
    </xf>
    <xf numFmtId="0" fontId="42" fillId="0" borderId="75" xfId="0" applyFont="1" applyFill="1" applyBorder="1" applyAlignment="1">
      <alignment horizontal="left" vertical="center"/>
    </xf>
    <xf numFmtId="0" fontId="7" fillId="2" borderId="22" xfId="0" applyFont="1" applyFill="1" applyBorder="1" applyAlignment="1">
      <alignment horizontal="left" vertical="top"/>
    </xf>
    <xf numFmtId="0" fontId="8" fillId="6" borderId="139" xfId="0" applyFont="1" applyFill="1" applyBorder="1" applyAlignment="1">
      <alignment horizontal="center" vertical="center"/>
    </xf>
    <xf numFmtId="0" fontId="25" fillId="6" borderId="53" xfId="2" applyFont="1" applyFill="1" applyBorder="1" applyAlignment="1" applyProtection="1">
      <alignment horizontal="center" vertical="center"/>
    </xf>
    <xf numFmtId="0" fontId="25" fillId="6" borderId="0" xfId="2" applyFont="1" applyFill="1" applyBorder="1" applyAlignment="1" applyProtection="1">
      <alignment horizontal="center" vertical="center"/>
    </xf>
    <xf numFmtId="0" fontId="25" fillId="6" borderId="48" xfId="2" applyFont="1" applyFill="1" applyBorder="1" applyAlignment="1" applyProtection="1">
      <alignment horizontal="center" vertical="center"/>
    </xf>
    <xf numFmtId="0" fontId="25" fillId="6" borderId="66" xfId="2" applyFont="1" applyFill="1" applyBorder="1" applyAlignment="1" applyProtection="1">
      <alignment horizontal="center" vertical="center"/>
    </xf>
    <xf numFmtId="0" fontId="21" fillId="0" borderId="0" xfId="0" applyFont="1" applyBorder="1" applyAlignment="1">
      <alignment horizontal="left" vertical="center" wrapText="1"/>
    </xf>
    <xf numFmtId="0" fontId="7" fillId="4" borderId="63" xfId="0" applyFont="1" applyFill="1" applyBorder="1" applyAlignment="1" applyProtection="1">
      <alignment horizontal="center" vertical="center"/>
    </xf>
    <xf numFmtId="0" fontId="8" fillId="2" borderId="22" xfId="0" applyFont="1" applyFill="1" applyBorder="1" applyAlignment="1">
      <alignment horizontal="left" vertical="top"/>
    </xf>
    <xf numFmtId="0" fontId="10" fillId="0" borderId="0" xfId="0" applyFont="1" applyFill="1" applyBorder="1" applyAlignment="1">
      <alignment horizontal="center"/>
    </xf>
    <xf numFmtId="0" fontId="8" fillId="2" borderId="0" xfId="0" applyFont="1" applyFill="1" applyBorder="1" applyAlignment="1">
      <alignment horizontal="left" vertical="top"/>
    </xf>
    <xf numFmtId="0" fontId="11" fillId="5" borderId="0" xfId="3" applyFont="1" applyFill="1" applyBorder="1" applyAlignment="1">
      <alignment horizontal="left" vertical="center"/>
    </xf>
    <xf numFmtId="0" fontId="7" fillId="0" borderId="178" xfId="0" applyFont="1" applyBorder="1" applyAlignment="1">
      <alignment horizontal="left" vertical="center" wrapText="1"/>
    </xf>
    <xf numFmtId="0" fontId="7" fillId="4" borderId="178" xfId="0" applyFont="1" applyFill="1" applyBorder="1" applyAlignment="1" applyProtection="1">
      <alignment horizontal="center" vertical="center"/>
    </xf>
    <xf numFmtId="0" fontId="8" fillId="0" borderId="170" xfId="0" applyFont="1" applyBorder="1" applyAlignment="1" applyProtection="1">
      <alignment horizontal="left" vertical="center" wrapText="1"/>
      <protection locked="0"/>
    </xf>
    <xf numFmtId="0" fontId="8" fillId="2" borderId="179" xfId="0" applyFont="1" applyFill="1" applyBorder="1" applyAlignment="1">
      <alignment horizontal="left" vertical="center" wrapText="1"/>
    </xf>
    <xf numFmtId="0" fontId="7" fillId="2" borderId="180" xfId="0" applyFont="1" applyFill="1" applyBorder="1" applyAlignment="1">
      <alignment horizontal="left" vertical="center" wrapText="1"/>
    </xf>
    <xf numFmtId="0" fontId="11" fillId="6" borderId="181" xfId="0" applyFont="1" applyFill="1" applyBorder="1" applyAlignment="1">
      <alignment horizontal="center" vertical="center"/>
    </xf>
    <xf numFmtId="0" fontId="8" fillId="6" borderId="182" xfId="0" applyFont="1" applyFill="1" applyBorder="1" applyAlignment="1">
      <alignment horizontal="center" vertical="center"/>
    </xf>
    <xf numFmtId="0" fontId="11" fillId="6" borderId="182" xfId="0" applyFont="1" applyFill="1" applyBorder="1" applyAlignment="1">
      <alignment horizontal="center" vertical="center"/>
    </xf>
    <xf numFmtId="0" fontId="11" fillId="6" borderId="183" xfId="0" applyFont="1" applyFill="1" applyBorder="1" applyAlignment="1">
      <alignment horizontal="center" vertical="center"/>
    </xf>
    <xf numFmtId="0" fontId="8" fillId="0" borderId="67" xfId="0" applyFont="1" applyBorder="1" applyAlignment="1" applyProtection="1">
      <alignment horizontal="center" vertical="center"/>
      <protection locked="0"/>
    </xf>
    <xf numFmtId="0" fontId="38" fillId="0" borderId="75" xfId="0" applyFont="1" applyBorder="1" applyAlignment="1">
      <alignment horizontal="left" vertical="center" wrapText="1"/>
    </xf>
    <xf numFmtId="0" fontId="38" fillId="5" borderId="75" xfId="0" applyFont="1" applyFill="1" applyBorder="1" applyAlignment="1">
      <alignment horizontal="left" vertical="center" wrapText="1"/>
    </xf>
    <xf numFmtId="49" fontId="14" fillId="4" borderId="9" xfId="1" applyNumberFormat="1" applyFont="1" applyFill="1" applyBorder="1" applyAlignment="1">
      <alignment horizontal="center" vertical="center"/>
    </xf>
    <xf numFmtId="0" fontId="7" fillId="2" borderId="22" xfId="0" applyFont="1" applyFill="1" applyBorder="1" applyAlignment="1">
      <alignment horizontal="left" vertical="top"/>
    </xf>
    <xf numFmtId="0" fontId="8" fillId="6" borderId="139" xfId="0" applyFont="1" applyFill="1" applyBorder="1" applyAlignment="1">
      <alignment horizontal="center" vertical="center"/>
    </xf>
    <xf numFmtId="0" fontId="11" fillId="4" borderId="192" xfId="0" applyFont="1" applyFill="1" applyBorder="1" applyAlignment="1" applyProtection="1">
      <alignment horizontal="center" vertical="center"/>
    </xf>
    <xf numFmtId="0" fontId="8" fillId="0" borderId="190" xfId="0" applyFont="1" applyBorder="1" applyAlignment="1" applyProtection="1">
      <alignment horizontal="center" vertical="center"/>
      <protection locked="0"/>
    </xf>
    <xf numFmtId="0" fontId="8" fillId="6" borderId="178" xfId="0" applyFont="1" applyFill="1" applyBorder="1" applyAlignment="1">
      <alignment horizontal="center" vertical="center"/>
    </xf>
    <xf numFmtId="49" fontId="18" fillId="4" borderId="26" xfId="1" applyNumberFormat="1" applyFont="1" applyFill="1" applyBorder="1" applyAlignment="1">
      <alignment horizontal="center" vertical="center"/>
    </xf>
    <xf numFmtId="1" fontId="8" fillId="6" borderId="37" xfId="0" applyNumberFormat="1" applyFont="1" applyFill="1" applyBorder="1" applyAlignment="1" applyProtection="1">
      <alignment horizontal="center" vertical="center"/>
    </xf>
    <xf numFmtId="0" fontId="7" fillId="4" borderId="194" xfId="0" applyFont="1" applyFill="1" applyBorder="1" applyAlignment="1" applyProtection="1">
      <alignment horizontal="center" vertical="center"/>
    </xf>
    <xf numFmtId="0" fontId="7" fillId="4" borderId="195" xfId="0" applyFont="1" applyFill="1" applyBorder="1" applyAlignment="1" applyProtection="1">
      <alignment horizontal="center" vertical="center"/>
    </xf>
    <xf numFmtId="0" fontId="7" fillId="4" borderId="34" xfId="0" applyFont="1" applyFill="1" applyBorder="1" applyAlignment="1" applyProtection="1">
      <alignment horizontal="center" vertical="center"/>
    </xf>
    <xf numFmtId="0" fontId="7" fillId="0" borderId="64" xfId="0" applyFont="1" applyBorder="1" applyAlignment="1" applyProtection="1">
      <alignment horizontal="center" vertical="center"/>
      <protection locked="0"/>
    </xf>
    <xf numFmtId="0" fontId="7" fillId="0" borderId="61" xfId="0" applyFont="1" applyBorder="1" applyAlignment="1" applyProtection="1">
      <alignment horizontal="center" vertical="center"/>
      <protection locked="0"/>
    </xf>
    <xf numFmtId="0" fontId="7" fillId="0" borderId="0" xfId="0" applyFont="1" applyBorder="1" applyAlignment="1">
      <alignment horizontal="left" vertical="center" wrapText="1"/>
    </xf>
    <xf numFmtId="0" fontId="38" fillId="5" borderId="177" xfId="0" applyFont="1" applyFill="1" applyBorder="1" applyAlignment="1">
      <alignment wrapText="1"/>
    </xf>
    <xf numFmtId="0" fontId="38" fillId="5" borderId="196" xfId="0" applyFont="1" applyFill="1" applyBorder="1" applyAlignment="1">
      <alignment vertical="top" wrapText="1"/>
    </xf>
    <xf numFmtId="0" fontId="38" fillId="12" borderId="97" xfId="0" applyFont="1" applyFill="1" applyBorder="1" applyAlignment="1">
      <alignment wrapText="1"/>
    </xf>
    <xf numFmtId="0" fontId="38" fillId="5" borderId="88" xfId="0" applyFont="1" applyFill="1" applyBorder="1" applyAlignment="1">
      <alignment horizontal="left" vertical="center" wrapText="1"/>
    </xf>
    <xf numFmtId="0" fontId="7" fillId="0" borderId="177" xfId="0" applyFont="1" applyBorder="1" applyAlignment="1">
      <alignment horizontal="left" vertical="center" wrapText="1"/>
    </xf>
    <xf numFmtId="0" fontId="7" fillId="0" borderId="196" xfId="0" applyFont="1" applyBorder="1" applyAlignment="1">
      <alignment horizontal="left" vertical="center" wrapText="1"/>
    </xf>
    <xf numFmtId="0" fontId="44" fillId="0" borderId="0" xfId="0" applyFont="1" applyBorder="1" applyAlignment="1">
      <alignment horizontal="left" vertical="center" wrapText="1"/>
    </xf>
    <xf numFmtId="0" fontId="7" fillId="0" borderId="197" xfId="0" applyFont="1" applyBorder="1" applyAlignment="1">
      <alignment horizontal="left" vertical="center" wrapText="1"/>
    </xf>
    <xf numFmtId="0" fontId="38" fillId="12" borderId="198" xfId="0" applyFont="1" applyFill="1" applyBorder="1" applyAlignment="1">
      <alignment wrapText="1"/>
    </xf>
    <xf numFmtId="0" fontId="7" fillId="0" borderId="12"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7" fillId="0" borderId="36" xfId="0" applyFont="1" applyBorder="1" applyAlignment="1" applyProtection="1">
      <alignment horizontal="center" vertical="center"/>
      <protection locked="0"/>
    </xf>
    <xf numFmtId="0" fontId="7" fillId="4" borderId="199" xfId="0" applyFont="1" applyFill="1" applyBorder="1" applyAlignment="1" applyProtection="1">
      <alignment horizontal="center" vertical="center"/>
    </xf>
    <xf numFmtId="0" fontId="7" fillId="4" borderId="172" xfId="0" applyFont="1" applyFill="1" applyBorder="1" applyAlignment="1" applyProtection="1">
      <alignment horizontal="center" vertical="center"/>
    </xf>
    <xf numFmtId="0" fontId="7" fillId="0" borderId="86" xfId="0" applyFont="1" applyBorder="1" applyAlignment="1" applyProtection="1">
      <alignment horizontal="center" vertical="center"/>
      <protection locked="0"/>
    </xf>
    <xf numFmtId="0" fontId="7" fillId="0" borderId="90" xfId="0" applyFont="1" applyBorder="1" applyAlignment="1">
      <alignment horizontal="left" vertical="center" wrapText="1"/>
    </xf>
    <xf numFmtId="0" fontId="7" fillId="0" borderId="200" xfId="0" applyFont="1" applyBorder="1" applyAlignment="1" applyProtection="1">
      <alignment horizontal="center" vertical="center"/>
      <protection locked="0"/>
    </xf>
    <xf numFmtId="0" fontId="7" fillId="0" borderId="201" xfId="0" applyFont="1" applyBorder="1" applyAlignment="1" applyProtection="1">
      <alignment horizontal="center" vertical="center"/>
      <protection locked="0"/>
    </xf>
    <xf numFmtId="0" fontId="7" fillId="0" borderId="170" xfId="0" applyFont="1" applyBorder="1" applyAlignment="1">
      <alignment horizontal="left" vertical="center" wrapText="1"/>
    </xf>
    <xf numFmtId="0" fontId="25" fillId="6" borderId="194" xfId="2" applyFont="1" applyFill="1" applyBorder="1" applyAlignment="1" applyProtection="1">
      <alignment horizontal="center" vertical="center"/>
    </xf>
    <xf numFmtId="0" fontId="25" fillId="6" borderId="8" xfId="2" applyFont="1" applyFill="1" applyBorder="1" applyAlignment="1" applyProtection="1">
      <alignment horizontal="center" vertical="center"/>
    </xf>
    <xf numFmtId="0" fontId="25" fillId="6" borderId="26" xfId="2" applyFont="1" applyFill="1" applyBorder="1" applyAlignment="1" applyProtection="1">
      <alignment horizontal="center" vertical="center"/>
    </xf>
    <xf numFmtId="0" fontId="8" fillId="6" borderId="202" xfId="0" applyFont="1" applyFill="1" applyBorder="1" applyAlignment="1">
      <alignment horizontal="center" vertical="center"/>
    </xf>
    <xf numFmtId="0" fontId="25" fillId="6" borderId="35" xfId="2" applyFont="1" applyFill="1" applyBorder="1" applyAlignment="1" applyProtection="1">
      <alignment horizontal="center" vertical="center"/>
    </xf>
    <xf numFmtId="0" fontId="8" fillId="6" borderId="36" xfId="0" applyFont="1" applyFill="1" applyBorder="1" applyAlignment="1">
      <alignment horizontal="center" vertical="center"/>
    </xf>
    <xf numFmtId="0" fontId="7" fillId="0" borderId="51" xfId="0" applyFont="1" applyBorder="1" applyAlignment="1" applyProtection="1">
      <alignment horizontal="center" vertical="center"/>
      <protection locked="0"/>
    </xf>
    <xf numFmtId="0" fontId="8" fillId="6" borderId="203" xfId="0" applyFont="1" applyFill="1" applyBorder="1" applyAlignment="1">
      <alignment horizontal="center" vertical="center"/>
    </xf>
    <xf numFmtId="0" fontId="8" fillId="6" borderId="19" xfId="0" applyFont="1" applyFill="1" applyBorder="1" applyAlignment="1">
      <alignment horizontal="center" vertical="center"/>
    </xf>
    <xf numFmtId="0" fontId="8" fillId="6" borderId="204" xfId="0" applyFont="1" applyFill="1" applyBorder="1" applyAlignment="1">
      <alignment horizontal="center" vertical="center"/>
    </xf>
    <xf numFmtId="0" fontId="7" fillId="0" borderId="169" xfId="0" applyFont="1" applyBorder="1" applyAlignment="1">
      <alignment horizontal="left" vertical="center" wrapText="1"/>
    </xf>
    <xf numFmtId="0" fontId="7" fillId="0" borderId="33" xfId="0" applyFont="1" applyBorder="1" applyAlignment="1" applyProtection="1">
      <alignment horizontal="center" vertical="center"/>
      <protection locked="0"/>
    </xf>
    <xf numFmtId="0" fontId="8" fillId="6" borderId="205" xfId="0" applyFont="1" applyFill="1" applyBorder="1" applyAlignment="1">
      <alignment horizontal="center" vertical="center"/>
    </xf>
    <xf numFmtId="0" fontId="7" fillId="0" borderId="169" xfId="0" applyFont="1" applyBorder="1" applyAlignment="1" applyProtection="1">
      <alignment horizontal="center" vertical="center"/>
      <protection locked="0"/>
    </xf>
    <xf numFmtId="0" fontId="7" fillId="0" borderId="166" xfId="0" applyFont="1" applyBorder="1" applyAlignment="1" applyProtection="1">
      <alignment horizontal="center" vertical="center"/>
      <protection locked="0"/>
    </xf>
    <xf numFmtId="0" fontId="8" fillId="6" borderId="173" xfId="0" applyFont="1" applyFill="1" applyBorder="1" applyAlignment="1">
      <alignment horizontal="center" vertical="center"/>
    </xf>
    <xf numFmtId="0" fontId="7" fillId="0" borderId="195" xfId="0" applyFont="1" applyBorder="1" applyAlignment="1" applyProtection="1">
      <alignment horizontal="center" vertical="center"/>
      <protection locked="0"/>
    </xf>
    <xf numFmtId="0" fontId="7" fillId="0" borderId="43" xfId="0" applyFont="1" applyBorder="1" applyAlignment="1" applyProtection="1">
      <alignment horizontal="center" vertical="center"/>
      <protection locked="0"/>
    </xf>
    <xf numFmtId="0" fontId="25" fillId="6" borderId="39" xfId="2" applyFont="1" applyFill="1" applyBorder="1" applyAlignment="1" applyProtection="1">
      <alignment horizontal="center" vertical="center"/>
    </xf>
    <xf numFmtId="0" fontId="25" fillId="6" borderId="18" xfId="2" applyFont="1" applyFill="1" applyBorder="1" applyAlignment="1" applyProtection="1">
      <alignment horizontal="center" vertical="center"/>
    </xf>
    <xf numFmtId="0" fontId="25" fillId="6" borderId="51" xfId="2" applyFont="1" applyFill="1" applyBorder="1" applyAlignment="1" applyProtection="1">
      <alignment horizontal="center" vertical="center"/>
    </xf>
    <xf numFmtId="0" fontId="25" fillId="6" borderId="19" xfId="2" applyFont="1" applyFill="1" applyBorder="1" applyAlignment="1" applyProtection="1">
      <alignment horizontal="center" vertical="center"/>
    </xf>
    <xf numFmtId="49" fontId="8" fillId="5" borderId="169" xfId="0" applyNumberFormat="1" applyFont="1" applyFill="1" applyBorder="1" applyAlignment="1">
      <alignment horizontal="left" vertical="center" wrapText="1"/>
    </xf>
    <xf numFmtId="0" fontId="7" fillId="4" borderId="206" xfId="0" applyFont="1" applyFill="1" applyBorder="1" applyAlignment="1" applyProtection="1">
      <alignment horizontal="center" vertical="center"/>
    </xf>
    <xf numFmtId="0" fontId="7" fillId="5" borderId="60" xfId="0" applyFont="1" applyFill="1" applyBorder="1" applyAlignment="1">
      <alignment vertical="top" wrapText="1"/>
    </xf>
    <xf numFmtId="0" fontId="7" fillId="4" borderId="207" xfId="0" applyFont="1" applyFill="1" applyBorder="1" applyAlignment="1" applyProtection="1">
      <alignment horizontal="center" vertical="center"/>
    </xf>
    <xf numFmtId="0" fontId="7" fillId="0" borderId="208" xfId="0" applyFont="1" applyBorder="1" applyAlignment="1" applyProtection="1">
      <alignment horizontal="center" vertical="center"/>
      <protection locked="0"/>
    </xf>
    <xf numFmtId="0" fontId="7" fillId="0" borderId="15" xfId="0" applyFont="1" applyBorder="1" applyAlignment="1" applyProtection="1">
      <alignment horizontal="center" vertical="center"/>
      <protection locked="0"/>
    </xf>
    <xf numFmtId="1" fontId="8" fillId="6" borderId="63" xfId="0" applyNumberFormat="1" applyFont="1" applyFill="1" applyBorder="1" applyAlignment="1" applyProtection="1">
      <alignment horizontal="center" vertical="center"/>
      <protection locked="0"/>
    </xf>
    <xf numFmtId="1" fontId="8" fillId="6" borderId="63" xfId="0" applyNumberFormat="1" applyFont="1" applyFill="1" applyBorder="1" applyAlignment="1" applyProtection="1">
      <alignment horizontal="center" vertical="center"/>
    </xf>
    <xf numFmtId="0" fontId="7" fillId="2" borderId="22" xfId="0" applyFont="1" applyFill="1" applyBorder="1" applyAlignment="1">
      <alignment horizontal="left" vertical="top"/>
    </xf>
    <xf numFmtId="0" fontId="7" fillId="0" borderId="28" xfId="0" applyFont="1" applyBorder="1" applyAlignment="1">
      <alignment horizontal="left" vertical="center"/>
    </xf>
    <xf numFmtId="0" fontId="7" fillId="0" borderId="27" xfId="0" applyFont="1" applyBorder="1" applyAlignment="1">
      <alignment horizontal="left" vertical="center"/>
    </xf>
    <xf numFmtId="0" fontId="8" fillId="2" borderId="22" xfId="0" applyFont="1" applyFill="1" applyBorder="1" applyAlignment="1">
      <alignment horizontal="left" vertical="top"/>
    </xf>
    <xf numFmtId="0" fontId="7" fillId="5" borderId="180" xfId="0" applyFont="1" applyFill="1" applyBorder="1" applyAlignment="1">
      <alignment horizontal="left" vertical="center" wrapText="1"/>
    </xf>
    <xf numFmtId="0" fontId="8" fillId="0" borderId="209" xfId="0" applyFont="1" applyBorder="1" applyAlignment="1" applyProtection="1">
      <alignment horizontal="center" vertical="center"/>
      <protection locked="0"/>
    </xf>
    <xf numFmtId="0" fontId="7" fillId="2" borderId="22" xfId="0" applyFont="1" applyFill="1" applyBorder="1" applyAlignment="1">
      <alignment horizontal="left" vertical="top"/>
    </xf>
    <xf numFmtId="0" fontId="9" fillId="5" borderId="78" xfId="0" applyFont="1" applyFill="1" applyBorder="1" applyAlignment="1" applyProtection="1">
      <alignment horizontal="center" vertical="center"/>
      <protection locked="0"/>
    </xf>
    <xf numFmtId="0" fontId="8" fillId="0" borderId="210" xfId="0" applyFont="1" applyBorder="1" applyAlignment="1" applyProtection="1">
      <alignment horizontal="center" vertical="center"/>
      <protection locked="0"/>
    </xf>
    <xf numFmtId="0" fontId="8" fillId="0" borderId="68" xfId="0" applyFont="1" applyBorder="1" applyAlignment="1" applyProtection="1">
      <alignment horizontal="center" vertical="center"/>
      <protection locked="0"/>
    </xf>
    <xf numFmtId="0" fontId="8" fillId="0" borderId="211" xfId="0" applyFont="1" applyBorder="1" applyAlignment="1" applyProtection="1">
      <alignment horizontal="center" vertical="center"/>
      <protection locked="0"/>
    </xf>
    <xf numFmtId="0" fontId="9" fillId="5" borderId="69" xfId="0" applyFont="1" applyFill="1" applyBorder="1" applyAlignment="1" applyProtection="1">
      <alignment horizontal="center" vertical="center"/>
      <protection locked="0"/>
    </xf>
    <xf numFmtId="0" fontId="7" fillId="4" borderId="59" xfId="0" applyFont="1" applyFill="1" applyBorder="1" applyAlignment="1">
      <alignment vertical="center"/>
    </xf>
    <xf numFmtId="0" fontId="16" fillId="4" borderId="49" xfId="0" applyFont="1" applyFill="1" applyBorder="1" applyAlignment="1">
      <alignment vertical="center"/>
    </xf>
    <xf numFmtId="0" fontId="16" fillId="4" borderId="60" xfId="0" applyFont="1" applyFill="1" applyBorder="1" applyAlignment="1">
      <alignment vertical="center"/>
    </xf>
    <xf numFmtId="0" fontId="16" fillId="4" borderId="59" xfId="0" applyFont="1" applyFill="1" applyBorder="1" applyAlignment="1">
      <alignment vertical="center"/>
    </xf>
    <xf numFmtId="0" fontId="7" fillId="4" borderId="23" xfId="0" applyFont="1" applyFill="1" applyBorder="1" applyAlignment="1">
      <alignment vertical="center"/>
    </xf>
    <xf numFmtId="0" fontId="7" fillId="4" borderId="24" xfId="0" applyFont="1" applyFill="1" applyBorder="1" applyAlignment="1">
      <alignment vertical="center"/>
    </xf>
    <xf numFmtId="0" fontId="7" fillId="4" borderId="25" xfId="0" applyFont="1" applyFill="1" applyBorder="1" applyAlignment="1">
      <alignment vertical="center"/>
    </xf>
    <xf numFmtId="0" fontId="7" fillId="4" borderId="49" xfId="0" applyFont="1" applyFill="1" applyBorder="1" applyAlignment="1">
      <alignment vertical="center"/>
    </xf>
    <xf numFmtId="0" fontId="7" fillId="4" borderId="56" xfId="0" applyFont="1" applyFill="1" applyBorder="1" applyAlignment="1">
      <alignment vertical="center"/>
    </xf>
    <xf numFmtId="0" fontId="7" fillId="4" borderId="57" xfId="0" applyFont="1" applyFill="1" applyBorder="1" applyAlignment="1">
      <alignment vertical="center"/>
    </xf>
    <xf numFmtId="0" fontId="7" fillId="4" borderId="193" xfId="0" applyFont="1" applyFill="1" applyBorder="1" applyAlignment="1">
      <alignment vertical="center"/>
    </xf>
    <xf numFmtId="0" fontId="7" fillId="4" borderId="58" xfId="0" applyFont="1" applyFill="1" applyBorder="1" applyAlignment="1">
      <alignment vertical="center"/>
    </xf>
    <xf numFmtId="0" fontId="7" fillId="4" borderId="62" xfId="0" applyFont="1" applyFill="1" applyBorder="1" applyAlignment="1">
      <alignment vertical="center"/>
    </xf>
    <xf numFmtId="0" fontId="16" fillId="4" borderId="57" xfId="0" applyFont="1" applyFill="1" applyBorder="1" applyAlignment="1">
      <alignment vertical="center"/>
    </xf>
    <xf numFmtId="0" fontId="16" fillId="4" borderId="58" xfId="0" applyFont="1" applyFill="1" applyBorder="1" applyAlignment="1">
      <alignment vertical="center"/>
    </xf>
    <xf numFmtId="0" fontId="7" fillId="4" borderId="60" xfId="0" applyFont="1" applyFill="1" applyBorder="1" applyAlignment="1">
      <alignment vertical="center"/>
    </xf>
    <xf numFmtId="0" fontId="7" fillId="4" borderId="27" xfId="0" applyFont="1" applyFill="1" applyBorder="1" applyAlignment="1">
      <alignment vertical="center"/>
    </xf>
    <xf numFmtId="0" fontId="7" fillId="4" borderId="28" xfId="0" applyFont="1" applyFill="1" applyBorder="1" applyAlignment="1">
      <alignment vertical="center"/>
    </xf>
    <xf numFmtId="0" fontId="7" fillId="4" borderId="50" xfId="0" applyFont="1" applyFill="1" applyBorder="1" applyAlignment="1">
      <alignment vertical="center"/>
    </xf>
    <xf numFmtId="0" fontId="7" fillId="4" borderId="54" xfId="0" applyFont="1" applyFill="1" applyBorder="1" applyAlignment="1">
      <alignment vertical="center"/>
    </xf>
    <xf numFmtId="0" fontId="7" fillId="4" borderId="29" xfId="0" applyFont="1" applyFill="1" applyBorder="1" applyAlignment="1">
      <alignment vertical="center"/>
    </xf>
    <xf numFmtId="0" fontId="18" fillId="4" borderId="23" xfId="0" applyFont="1" applyFill="1" applyBorder="1" applyAlignment="1">
      <alignment vertical="center"/>
    </xf>
    <xf numFmtId="0" fontId="18" fillId="4" borderId="25" xfId="0" applyFont="1" applyFill="1" applyBorder="1" applyAlignment="1">
      <alignment vertical="center"/>
    </xf>
    <xf numFmtId="0" fontId="18" fillId="4" borderId="40" xfId="0" applyFont="1" applyFill="1" applyBorder="1" applyAlignment="1">
      <alignment vertical="center"/>
    </xf>
    <xf numFmtId="0" fontId="7" fillId="4" borderId="40" xfId="0" applyFont="1" applyFill="1" applyBorder="1" applyAlignment="1">
      <alignment vertical="center"/>
    </xf>
    <xf numFmtId="0" fontId="7" fillId="4" borderId="41" xfId="0" applyFont="1" applyFill="1" applyBorder="1" applyAlignment="1">
      <alignment vertical="center"/>
    </xf>
    <xf numFmtId="0" fontId="7" fillId="4" borderId="10" xfId="0" applyFont="1" applyFill="1" applyBorder="1" applyAlignment="1">
      <alignment vertical="center"/>
    </xf>
    <xf numFmtId="0" fontId="27" fillId="3" borderId="25" xfId="0" applyFont="1" applyFill="1" applyBorder="1" applyAlignment="1">
      <alignment vertical="center"/>
    </xf>
    <xf numFmtId="0" fontId="16" fillId="4" borderId="23" xfId="0" applyFont="1" applyFill="1" applyBorder="1" applyAlignment="1">
      <alignment vertical="center"/>
    </xf>
    <xf numFmtId="0" fontId="8" fillId="2" borderId="22" xfId="0" applyFont="1" applyFill="1" applyBorder="1" applyAlignment="1">
      <alignment horizontal="left" vertical="top"/>
    </xf>
    <xf numFmtId="0" fontId="7" fillId="4" borderId="25" xfId="0" applyFont="1" applyFill="1" applyBorder="1" applyAlignment="1">
      <alignment vertical="center"/>
    </xf>
    <xf numFmtId="0" fontId="7" fillId="4" borderId="41" xfId="0" applyFont="1" applyFill="1" applyBorder="1" applyAlignment="1">
      <alignment vertical="center"/>
    </xf>
    <xf numFmtId="0" fontId="7" fillId="2" borderId="22" xfId="0" applyFont="1" applyFill="1" applyBorder="1" applyAlignment="1">
      <alignment horizontal="left" vertical="top"/>
    </xf>
    <xf numFmtId="0" fontId="7" fillId="4" borderId="23" xfId="0" applyFont="1" applyFill="1" applyBorder="1" applyAlignment="1">
      <alignment vertical="center"/>
    </xf>
    <xf numFmtId="0" fontId="7" fillId="4" borderId="41" xfId="0" applyFont="1" applyFill="1" applyBorder="1" applyAlignment="1">
      <alignment vertical="center"/>
    </xf>
    <xf numFmtId="0" fontId="8" fillId="8" borderId="48" xfId="0" applyFont="1" applyFill="1" applyBorder="1" applyAlignment="1">
      <alignment horizontal="center" vertical="center" wrapText="1"/>
    </xf>
    <xf numFmtId="0" fontId="7" fillId="4" borderId="25" xfId="0" applyFont="1" applyFill="1" applyBorder="1" applyAlignment="1">
      <alignment vertical="center"/>
    </xf>
    <xf numFmtId="0" fontId="7" fillId="2" borderId="22" xfId="0" applyFont="1" applyFill="1" applyBorder="1" applyAlignment="1">
      <alignment horizontal="left" vertical="top"/>
    </xf>
    <xf numFmtId="0" fontId="7" fillId="4" borderId="27" xfId="0" applyFont="1" applyFill="1" applyBorder="1" applyAlignment="1">
      <alignment vertical="center"/>
    </xf>
    <xf numFmtId="0" fontId="7" fillId="4" borderId="29" xfId="0" applyFont="1" applyFill="1" applyBorder="1" applyAlignment="1">
      <alignment vertical="center"/>
    </xf>
    <xf numFmtId="0" fontId="7" fillId="4" borderId="40" xfId="0" applyFont="1" applyFill="1" applyBorder="1" applyAlignment="1">
      <alignment vertical="center"/>
    </xf>
    <xf numFmtId="0" fontId="8" fillId="6" borderId="23" xfId="0" applyFont="1" applyFill="1" applyBorder="1" applyAlignment="1">
      <alignment horizontal="center" vertical="center" wrapText="1"/>
    </xf>
    <xf numFmtId="0" fontId="8" fillId="6" borderId="24" xfId="0" applyFont="1" applyFill="1" applyBorder="1" applyAlignment="1">
      <alignment horizontal="center" vertical="center" wrapText="1"/>
    </xf>
    <xf numFmtId="0" fontId="8" fillId="6" borderId="25" xfId="0" applyFont="1" applyFill="1" applyBorder="1" applyAlignment="1">
      <alignment horizontal="center" vertical="center" wrapText="1"/>
    </xf>
    <xf numFmtId="0" fontId="8" fillId="6" borderId="24" xfId="0" applyFont="1" applyFill="1" applyBorder="1" applyAlignment="1">
      <alignment horizontal="center" vertical="center"/>
    </xf>
    <xf numFmtId="0" fontId="7" fillId="2" borderId="20" xfId="0" applyFont="1" applyFill="1" applyBorder="1" applyAlignment="1" applyProtection="1">
      <alignment horizontal="center" vertical="center"/>
    </xf>
    <xf numFmtId="0" fontId="7" fillId="2" borderId="21" xfId="0" applyFont="1" applyFill="1" applyBorder="1" applyAlignment="1" applyProtection="1">
      <alignment horizontal="center" vertical="center"/>
    </xf>
    <xf numFmtId="0" fontId="7" fillId="2" borderId="45" xfId="0" applyFont="1" applyFill="1" applyBorder="1" applyAlignment="1" applyProtection="1">
      <alignment horizontal="center" vertical="center"/>
    </xf>
    <xf numFmtId="0" fontId="7" fillId="2" borderId="168" xfId="0" applyFont="1" applyFill="1" applyBorder="1" applyAlignment="1" applyProtection="1">
      <alignment horizontal="center" vertical="center"/>
    </xf>
    <xf numFmtId="0" fontId="7" fillId="2" borderId="37" xfId="0" applyFont="1" applyFill="1" applyBorder="1" applyAlignment="1" applyProtection="1">
      <alignment horizontal="center" vertical="center"/>
    </xf>
    <xf numFmtId="0" fontId="7" fillId="2" borderId="7" xfId="0" applyFont="1" applyFill="1" applyBorder="1" applyAlignment="1" applyProtection="1">
      <alignment horizontal="center" vertical="center"/>
    </xf>
    <xf numFmtId="0" fontId="7" fillId="2" borderId="31" xfId="0" applyFont="1" applyFill="1" applyBorder="1" applyAlignment="1" applyProtection="1">
      <alignment horizontal="center" vertical="center"/>
    </xf>
    <xf numFmtId="0" fontId="7" fillId="2" borderId="30" xfId="0" applyFont="1" applyFill="1" applyBorder="1" applyAlignment="1" applyProtection="1">
      <alignment horizontal="center" vertical="center"/>
    </xf>
    <xf numFmtId="0" fontId="8" fillId="6" borderId="67" xfId="0" applyFont="1" applyFill="1" applyBorder="1" applyAlignment="1">
      <alignment horizontal="center" vertical="center"/>
    </xf>
    <xf numFmtId="0" fontId="8" fillId="6" borderId="70" xfId="0" applyFont="1" applyFill="1" applyBorder="1" applyAlignment="1">
      <alignment horizontal="center" vertical="center"/>
    </xf>
    <xf numFmtId="49" fontId="18" fillId="4" borderId="73" xfId="1" applyNumberFormat="1" applyFont="1" applyFill="1" applyBorder="1" applyAlignment="1">
      <alignment horizontal="center" vertical="center"/>
    </xf>
    <xf numFmtId="49" fontId="18" fillId="4" borderId="15" xfId="1" applyNumberFormat="1" applyFont="1" applyFill="1" applyBorder="1" applyAlignment="1">
      <alignment horizontal="center" vertical="center"/>
    </xf>
    <xf numFmtId="0" fontId="16" fillId="0" borderId="22" xfId="0" applyFont="1" applyBorder="1" applyAlignment="1">
      <alignment horizontal="left" vertical="center" wrapText="1"/>
    </xf>
    <xf numFmtId="0" fontId="16" fillId="4" borderId="24" xfId="0" applyFont="1" applyFill="1" applyBorder="1" applyAlignment="1">
      <alignment vertical="center"/>
    </xf>
    <xf numFmtId="0" fontId="16" fillId="4" borderId="25" xfId="0" applyFont="1" applyFill="1" applyBorder="1" applyAlignment="1">
      <alignment vertical="center"/>
    </xf>
    <xf numFmtId="0" fontId="8" fillId="0" borderId="42" xfId="0" applyFont="1" applyBorder="1" applyAlignment="1">
      <alignment horizontal="left" vertical="center" wrapText="1"/>
    </xf>
    <xf numFmtId="0" fontId="7" fillId="0" borderId="214" xfId="0" applyFont="1" applyBorder="1" applyAlignment="1">
      <alignment horizontal="left" vertical="center" wrapText="1"/>
    </xf>
    <xf numFmtId="0" fontId="16" fillId="4" borderId="215" xfId="0" applyFont="1" applyFill="1" applyBorder="1" applyAlignment="1">
      <alignment vertical="center"/>
    </xf>
    <xf numFmtId="0" fontId="7" fillId="4" borderId="216" xfId="0" applyFont="1" applyFill="1" applyBorder="1" applyAlignment="1">
      <alignment vertical="center"/>
    </xf>
    <xf numFmtId="0" fontId="10" fillId="4" borderId="35" xfId="0" applyFont="1" applyFill="1" applyBorder="1" applyAlignment="1" applyProtection="1">
      <alignment horizontal="center" vertical="center"/>
    </xf>
    <xf numFmtId="0" fontId="10" fillId="4" borderId="8" xfId="0" applyFont="1" applyFill="1" applyBorder="1" applyAlignment="1" applyProtection="1">
      <alignment horizontal="center" vertical="center"/>
    </xf>
    <xf numFmtId="0" fontId="11" fillId="0" borderId="8" xfId="0" applyFont="1" applyBorder="1" applyAlignment="1" applyProtection="1">
      <alignment horizontal="center" vertical="center"/>
      <protection locked="0"/>
    </xf>
    <xf numFmtId="0" fontId="7" fillId="0" borderId="209" xfId="0" applyFont="1" applyBorder="1" applyAlignment="1" applyProtection="1">
      <alignment horizontal="center" vertical="center"/>
      <protection locked="0"/>
    </xf>
    <xf numFmtId="0" fontId="7" fillId="0" borderId="217" xfId="0" applyFont="1" applyBorder="1" applyAlignment="1" applyProtection="1">
      <alignment horizontal="center" vertical="center"/>
      <protection locked="0"/>
    </xf>
    <xf numFmtId="0" fontId="7" fillId="0" borderId="210" xfId="0" applyFont="1" applyBorder="1" applyAlignment="1" applyProtection="1">
      <alignment horizontal="center" vertical="center"/>
      <protection locked="0"/>
    </xf>
    <xf numFmtId="0" fontId="7" fillId="0" borderId="68" xfId="0" applyFont="1" applyBorder="1" applyAlignment="1" applyProtection="1">
      <alignment horizontal="center" vertical="center"/>
      <protection locked="0"/>
    </xf>
    <xf numFmtId="0" fontId="10" fillId="4" borderId="219" xfId="0" applyFont="1" applyFill="1" applyBorder="1" applyAlignment="1" applyProtection="1">
      <alignment horizontal="center" vertical="center"/>
    </xf>
    <xf numFmtId="0" fontId="10" fillId="4" borderId="179" xfId="0" applyFont="1" applyFill="1" applyBorder="1" applyAlignment="1" applyProtection="1">
      <alignment horizontal="center" vertical="center"/>
    </xf>
    <xf numFmtId="0" fontId="7" fillId="4" borderId="220" xfId="0" applyFont="1" applyFill="1" applyBorder="1" applyAlignment="1" applyProtection="1">
      <alignment horizontal="center" vertical="center"/>
    </xf>
    <xf numFmtId="0" fontId="9" fillId="0" borderId="213" xfId="0" applyFont="1" applyBorder="1" applyAlignment="1">
      <alignment horizontal="left" vertical="center" wrapText="1"/>
    </xf>
    <xf numFmtId="0" fontId="16" fillId="0" borderId="53" xfId="0" applyFont="1" applyBorder="1" applyAlignment="1">
      <alignment horizontal="left" vertical="center" wrapText="1"/>
    </xf>
    <xf numFmtId="0" fontId="9" fillId="0" borderId="52" xfId="0" applyFont="1" applyBorder="1" applyAlignment="1">
      <alignment horizontal="left" vertical="center" wrapText="1"/>
    </xf>
    <xf numFmtId="0" fontId="16" fillId="0" borderId="43" xfId="0" applyFont="1" applyBorder="1" applyAlignment="1">
      <alignment horizontal="left" vertical="center" wrapText="1"/>
    </xf>
    <xf numFmtId="0" fontId="15" fillId="2" borderId="0" xfId="0" applyFont="1" applyFill="1" applyBorder="1" applyAlignment="1">
      <alignment horizontal="left" vertical="top" wrapText="1"/>
    </xf>
    <xf numFmtId="0" fontId="7" fillId="4" borderId="222" xfId="0" applyFont="1" applyFill="1" applyBorder="1" applyAlignment="1">
      <alignment vertical="center"/>
    </xf>
    <xf numFmtId="0" fontId="8" fillId="6" borderId="10" xfId="0" applyFont="1" applyFill="1" applyBorder="1" applyAlignment="1">
      <alignment vertical="center" wrapText="1"/>
    </xf>
    <xf numFmtId="0" fontId="7" fillId="12" borderId="49" xfId="0" applyFont="1" applyFill="1" applyBorder="1" applyAlignment="1">
      <alignment vertical="top" wrapText="1"/>
    </xf>
    <xf numFmtId="0" fontId="7" fillId="6" borderId="54" xfId="0" applyFont="1" applyFill="1" applyBorder="1" applyAlignment="1">
      <alignment vertical="top" wrapText="1"/>
    </xf>
    <xf numFmtId="0" fontId="7" fillId="5" borderId="59" xfId="0" applyFont="1" applyFill="1" applyBorder="1" applyAlignment="1">
      <alignment vertical="top" wrapText="1"/>
    </xf>
    <xf numFmtId="0" fontId="7" fillId="5" borderId="10" xfId="0" applyFont="1" applyFill="1" applyBorder="1" applyAlignment="1">
      <alignment vertical="top" wrapText="1"/>
    </xf>
    <xf numFmtId="0" fontId="7" fillId="0" borderId="10" xfId="0" applyFont="1" applyBorder="1" applyAlignment="1">
      <alignment vertical="top" wrapText="1"/>
    </xf>
    <xf numFmtId="0" fontId="7" fillId="0" borderId="59" xfId="0" applyFont="1" applyBorder="1" applyAlignment="1">
      <alignment vertical="top" wrapText="1"/>
    </xf>
    <xf numFmtId="0" fontId="7" fillId="5" borderId="27" xfId="0" applyFont="1" applyFill="1" applyBorder="1" applyAlignment="1">
      <alignment vertical="center" wrapText="1"/>
    </xf>
    <xf numFmtId="0" fontId="9" fillId="0" borderId="0" xfId="0" applyFont="1" applyAlignment="1">
      <alignment vertical="top" wrapText="1"/>
    </xf>
    <xf numFmtId="0" fontId="29" fillId="0" borderId="0" xfId="0" applyFont="1" applyAlignment="1">
      <alignment vertical="top" wrapText="1"/>
    </xf>
    <xf numFmtId="0" fontId="38" fillId="0" borderId="0" xfId="0" applyFont="1" applyAlignment="1">
      <alignment vertical="top" wrapText="1"/>
    </xf>
    <xf numFmtId="0" fontId="8" fillId="6" borderId="53" xfId="0" applyFont="1" applyFill="1" applyBorder="1" applyAlignment="1">
      <alignment horizontal="center" vertical="center"/>
    </xf>
    <xf numFmtId="0" fontId="11" fillId="6" borderId="42" xfId="0" applyFont="1" applyFill="1" applyBorder="1" applyAlignment="1">
      <alignment horizontal="center" vertical="center"/>
    </xf>
    <xf numFmtId="0" fontId="11" fillId="6" borderId="52" xfId="0" applyFont="1" applyFill="1" applyBorder="1" applyAlignment="1">
      <alignment horizontal="center" vertical="center"/>
    </xf>
    <xf numFmtId="0" fontId="11" fillId="4" borderId="8" xfId="0" applyFont="1" applyFill="1" applyBorder="1" applyAlignment="1" applyProtection="1">
      <alignment horizontal="center" vertical="center"/>
    </xf>
    <xf numFmtId="0" fontId="11" fillId="4" borderId="15" xfId="0" applyFont="1" applyFill="1" applyBorder="1" applyAlignment="1" applyProtection="1">
      <alignment horizontal="center" vertical="center"/>
    </xf>
    <xf numFmtId="0" fontId="8" fillId="0" borderId="50" xfId="0" applyFont="1" applyBorder="1" applyAlignment="1">
      <alignment horizontal="left" vertical="center" wrapText="1"/>
    </xf>
    <xf numFmtId="0" fontId="16" fillId="0" borderId="23" xfId="0" applyFont="1" applyBorder="1" applyAlignment="1">
      <alignment horizontal="left" vertical="center" wrapText="1"/>
    </xf>
    <xf numFmtId="0" fontId="9" fillId="0" borderId="25" xfId="0" applyFont="1" applyBorder="1" applyAlignment="1">
      <alignment horizontal="left" vertical="center" wrapText="1"/>
    </xf>
    <xf numFmtId="0" fontId="8" fillId="0" borderId="38" xfId="0" applyFont="1" applyBorder="1" applyAlignment="1">
      <alignment vertical="top"/>
    </xf>
    <xf numFmtId="0" fontId="7" fillId="0" borderId="38" xfId="0" applyFont="1" applyBorder="1" applyAlignment="1">
      <alignment horizontal="left" vertical="center"/>
    </xf>
    <xf numFmtId="0" fontId="7" fillId="4" borderId="226" xfId="0" applyFont="1" applyFill="1" applyBorder="1" applyAlignment="1" applyProtection="1">
      <alignment horizontal="center" vertical="center"/>
    </xf>
    <xf numFmtId="0" fontId="7" fillId="0" borderId="226" xfId="0" applyFont="1" applyBorder="1" applyAlignment="1" applyProtection="1">
      <alignment horizontal="center" vertical="center"/>
      <protection locked="0"/>
    </xf>
    <xf numFmtId="0" fontId="7" fillId="0" borderId="227" xfId="0" applyFont="1" applyBorder="1" applyAlignment="1" applyProtection="1">
      <alignment horizontal="center" vertical="center"/>
      <protection locked="0"/>
    </xf>
    <xf numFmtId="0" fontId="7" fillId="4" borderId="229" xfId="0" applyFont="1" applyFill="1" applyBorder="1" applyAlignment="1" applyProtection="1">
      <alignment horizontal="center" vertical="center"/>
    </xf>
    <xf numFmtId="0" fontId="7" fillId="0" borderId="229" xfId="0" applyFont="1" applyBorder="1" applyAlignment="1" applyProtection="1">
      <alignment horizontal="center" vertical="center"/>
      <protection locked="0"/>
    </xf>
    <xf numFmtId="0" fontId="7" fillId="4" borderId="230" xfId="0" applyFont="1" applyFill="1" applyBorder="1" applyAlignment="1" applyProtection="1">
      <alignment horizontal="center" vertical="center"/>
    </xf>
    <xf numFmtId="0" fontId="14" fillId="6" borderId="231" xfId="0" applyFont="1" applyFill="1" applyBorder="1" applyAlignment="1">
      <alignment horizontal="center" vertical="center"/>
    </xf>
    <xf numFmtId="0" fontId="16" fillId="4" borderId="234" xfId="0" applyFont="1" applyFill="1" applyBorder="1" applyAlignment="1">
      <alignment vertical="center"/>
    </xf>
    <xf numFmtId="0" fontId="16" fillId="4" borderId="237" xfId="0" applyFont="1" applyFill="1" applyBorder="1" applyAlignment="1">
      <alignment vertical="center"/>
    </xf>
    <xf numFmtId="0" fontId="8" fillId="0" borderId="238" xfId="0" applyFont="1" applyBorder="1" applyAlignment="1">
      <alignment horizontal="left" vertical="center" wrapText="1"/>
    </xf>
    <xf numFmtId="0" fontId="7" fillId="4" borderId="239" xfId="0" applyFont="1" applyFill="1" applyBorder="1" applyAlignment="1" applyProtection="1">
      <alignment horizontal="center" vertical="center"/>
    </xf>
    <xf numFmtId="0" fontId="7" fillId="4" borderId="202" xfId="0" applyFont="1" applyFill="1" applyBorder="1" applyAlignment="1" applyProtection="1">
      <alignment horizontal="center" vertical="center"/>
    </xf>
    <xf numFmtId="0" fontId="11" fillId="0" borderId="211" xfId="0" applyFont="1" applyBorder="1" applyAlignment="1" applyProtection="1">
      <alignment horizontal="center" vertical="center"/>
      <protection locked="0"/>
    </xf>
    <xf numFmtId="0" fontId="11" fillId="0" borderId="190" xfId="0" applyFont="1" applyBorder="1" applyAlignment="1" applyProtection="1">
      <alignment horizontal="center" vertical="center"/>
      <protection locked="0"/>
    </xf>
    <xf numFmtId="0" fontId="11" fillId="0" borderId="240" xfId="0" applyFont="1" applyBorder="1" applyAlignment="1" applyProtection="1">
      <alignment horizontal="center" vertical="center"/>
      <protection locked="0"/>
    </xf>
    <xf numFmtId="0" fontId="8" fillId="6" borderId="241" xfId="0" applyFont="1" applyFill="1" applyBorder="1" applyAlignment="1">
      <alignment horizontal="left" vertical="center" wrapText="1"/>
    </xf>
    <xf numFmtId="0" fontId="7" fillId="4" borderId="242" xfId="0" applyFont="1" applyFill="1" applyBorder="1" applyAlignment="1">
      <alignment vertical="center"/>
    </xf>
    <xf numFmtId="0" fontId="8" fillId="6" borderId="243" xfId="0" applyFont="1" applyFill="1" applyBorder="1" applyAlignment="1">
      <alignment horizontal="left" vertical="center" wrapText="1"/>
    </xf>
    <xf numFmtId="0" fontId="7" fillId="4" borderId="244" xfId="0" applyFont="1" applyFill="1" applyBorder="1" applyAlignment="1">
      <alignment vertical="center"/>
    </xf>
    <xf numFmtId="0" fontId="7" fillId="4" borderId="44" xfId="0" applyFont="1" applyFill="1" applyBorder="1" applyAlignment="1">
      <alignment vertical="center"/>
    </xf>
    <xf numFmtId="0" fontId="7" fillId="4" borderId="38" xfId="0" applyFont="1" applyFill="1" applyBorder="1" applyAlignment="1">
      <alignment vertical="center"/>
    </xf>
    <xf numFmtId="49" fontId="18" fillId="4" borderId="35" xfId="1" applyNumberFormat="1" applyFont="1" applyFill="1" applyBorder="1" applyAlignment="1">
      <alignment horizontal="center" vertical="center"/>
    </xf>
    <xf numFmtId="49" fontId="18" fillId="4" borderId="36" xfId="1" applyNumberFormat="1" applyFont="1" applyFill="1" applyBorder="1" applyAlignment="1">
      <alignment horizontal="center" vertical="center"/>
    </xf>
    <xf numFmtId="0" fontId="7" fillId="4" borderId="67" xfId="0" applyFont="1" applyFill="1" applyBorder="1" applyAlignment="1" applyProtection="1">
      <alignment horizontal="center" vertical="center"/>
    </xf>
    <xf numFmtId="0" fontId="7" fillId="0" borderId="67" xfId="0" applyFont="1" applyBorder="1" applyAlignment="1" applyProtection="1">
      <alignment horizontal="center" vertical="center"/>
      <protection locked="0"/>
    </xf>
    <xf numFmtId="0" fontId="7" fillId="2" borderId="67" xfId="0" applyFont="1" applyFill="1" applyBorder="1" applyAlignment="1" applyProtection="1">
      <alignment horizontal="center" vertical="center"/>
    </xf>
    <xf numFmtId="0" fontId="8" fillId="6" borderId="68" xfId="0" applyFont="1" applyFill="1" applyBorder="1" applyAlignment="1">
      <alignment horizontal="center" vertical="center"/>
    </xf>
    <xf numFmtId="0" fontId="7" fillId="4" borderId="70" xfId="0" applyFont="1" applyFill="1" applyBorder="1" applyAlignment="1" applyProtection="1">
      <alignment horizontal="center" vertical="center"/>
    </xf>
    <xf numFmtId="0" fontId="7" fillId="0" borderId="70" xfId="0" applyFont="1" applyBorder="1" applyAlignment="1" applyProtection="1">
      <alignment horizontal="center" vertical="center"/>
      <protection locked="0"/>
    </xf>
    <xf numFmtId="0" fontId="7" fillId="4" borderId="245" xfId="0" applyFont="1" applyFill="1" applyBorder="1" applyAlignment="1" applyProtection="1">
      <alignment horizontal="center" vertical="center"/>
    </xf>
    <xf numFmtId="0" fontId="7" fillId="4" borderId="246" xfId="0" applyFont="1" applyFill="1" applyBorder="1" applyAlignment="1" applyProtection="1">
      <alignment horizontal="center" vertical="center"/>
    </xf>
    <xf numFmtId="0" fontId="7" fillId="4" borderId="247" xfId="0" applyFont="1" applyFill="1" applyBorder="1" applyAlignment="1" applyProtection="1">
      <alignment horizontal="center" vertical="center"/>
    </xf>
    <xf numFmtId="0" fontId="7" fillId="4" borderId="209" xfId="0" applyFont="1" applyFill="1" applyBorder="1" applyAlignment="1" applyProtection="1">
      <alignment horizontal="center" vertical="center"/>
    </xf>
    <xf numFmtId="0" fontId="7" fillId="2" borderId="209" xfId="0" applyFont="1" applyFill="1" applyBorder="1" applyAlignment="1" applyProtection="1">
      <alignment horizontal="center" vertical="center"/>
    </xf>
    <xf numFmtId="0" fontId="7" fillId="0" borderId="248" xfId="0" applyFont="1" applyBorder="1" applyAlignment="1" applyProtection="1">
      <alignment horizontal="center" vertical="center"/>
      <protection locked="0"/>
    </xf>
    <xf numFmtId="0" fontId="7" fillId="4" borderId="78" xfId="0" applyFont="1" applyFill="1" applyBorder="1" applyAlignment="1" applyProtection="1">
      <alignment horizontal="center" vertical="center"/>
    </xf>
    <xf numFmtId="49" fontId="8" fillId="6" borderId="78" xfId="0" applyNumberFormat="1" applyFont="1" applyFill="1" applyBorder="1" applyAlignment="1" applyProtection="1">
      <alignment horizontal="center" vertical="center"/>
    </xf>
    <xf numFmtId="49" fontId="8" fillId="6" borderId="218" xfId="0" applyNumberFormat="1" applyFont="1" applyFill="1" applyBorder="1" applyAlignment="1" applyProtection="1">
      <alignment horizontal="center" vertical="center"/>
    </xf>
    <xf numFmtId="0" fontId="7" fillId="4" borderId="223" xfId="0" applyFont="1" applyFill="1" applyBorder="1" applyAlignment="1" applyProtection="1">
      <alignment horizontal="center" vertical="center"/>
    </xf>
    <xf numFmtId="0" fontId="7" fillId="4" borderId="68" xfId="0" applyFont="1" applyFill="1" applyBorder="1" applyAlignment="1" applyProtection="1">
      <alignment horizontal="center" vertical="center"/>
    </xf>
    <xf numFmtId="0" fontId="7" fillId="0" borderId="78" xfId="0" applyFont="1" applyBorder="1" applyAlignment="1" applyProtection="1">
      <alignment horizontal="center" vertical="center"/>
      <protection locked="0"/>
    </xf>
    <xf numFmtId="0" fontId="7" fillId="2" borderId="78" xfId="0" applyFont="1" applyFill="1" applyBorder="1" applyAlignment="1" applyProtection="1">
      <alignment horizontal="center" vertical="center"/>
    </xf>
    <xf numFmtId="0" fontId="7" fillId="0" borderId="218" xfId="0" applyFont="1" applyBorder="1" applyAlignment="1" applyProtection="1">
      <alignment horizontal="center" vertical="center"/>
      <protection locked="0"/>
    </xf>
    <xf numFmtId="0" fontId="16" fillId="0" borderId="29" xfId="0" applyFont="1" applyBorder="1" applyAlignment="1">
      <alignment horizontal="left" vertical="center" wrapText="1"/>
    </xf>
    <xf numFmtId="0" fontId="7" fillId="4" borderId="218" xfId="0" applyFont="1" applyFill="1" applyBorder="1" applyAlignment="1" applyProtection="1">
      <alignment horizontal="center" vertical="center"/>
    </xf>
    <xf numFmtId="0" fontId="16" fillId="4" borderId="29" xfId="0" applyFont="1" applyFill="1" applyBorder="1" applyAlignment="1">
      <alignment vertical="center"/>
    </xf>
    <xf numFmtId="0" fontId="7" fillId="4" borderId="69" xfId="0" applyFont="1" applyFill="1" applyBorder="1" applyAlignment="1" applyProtection="1">
      <alignment horizontal="center" vertical="center"/>
    </xf>
    <xf numFmtId="0" fontId="7" fillId="4" borderId="190" xfId="0" applyFont="1" applyFill="1" applyBorder="1" applyAlignment="1" applyProtection="1">
      <alignment horizontal="center" vertical="center"/>
    </xf>
    <xf numFmtId="0" fontId="7" fillId="0" borderId="190" xfId="0" applyFont="1" applyBorder="1" applyAlignment="1" applyProtection="1">
      <alignment horizontal="center" vertical="center"/>
      <protection locked="0"/>
    </xf>
    <xf numFmtId="0" fontId="7" fillId="4" borderId="212" xfId="0" applyFont="1" applyFill="1" applyBorder="1" applyAlignment="1" applyProtection="1">
      <alignment horizontal="center" vertical="center"/>
    </xf>
    <xf numFmtId="0" fontId="7" fillId="4" borderId="249" xfId="0" applyFont="1" applyFill="1" applyBorder="1" applyAlignment="1" applyProtection="1">
      <alignment horizontal="center" vertical="center"/>
    </xf>
    <xf numFmtId="0" fontId="7" fillId="0" borderId="249" xfId="0" applyFont="1" applyBorder="1" applyAlignment="1" applyProtection="1">
      <alignment horizontal="center" vertical="center"/>
      <protection locked="0"/>
    </xf>
    <xf numFmtId="0" fontId="7" fillId="4" borderId="250" xfId="0" applyFont="1" applyFill="1" applyBorder="1" applyAlignment="1" applyProtection="1">
      <alignment horizontal="center" vertical="center"/>
    </xf>
    <xf numFmtId="0" fontId="16" fillId="0" borderId="48" xfId="0" applyFont="1" applyBorder="1" applyAlignment="1">
      <alignment horizontal="left" vertical="center" wrapText="1"/>
    </xf>
    <xf numFmtId="0" fontId="8" fillId="6" borderId="217" xfId="0" applyFont="1" applyFill="1" applyBorder="1" applyAlignment="1">
      <alignment horizontal="center" vertical="center"/>
    </xf>
    <xf numFmtId="0" fontId="8" fillId="6" borderId="218" xfId="0" applyFont="1" applyFill="1" applyBorder="1" applyAlignment="1">
      <alignment horizontal="center" vertical="center"/>
    </xf>
    <xf numFmtId="0" fontId="7" fillId="0" borderId="187" xfId="0" applyFont="1" applyBorder="1" applyAlignment="1" applyProtection="1">
      <alignment horizontal="center" vertical="center"/>
      <protection locked="0"/>
    </xf>
    <xf numFmtId="0" fontId="7" fillId="0" borderId="252" xfId="0" applyFont="1" applyBorder="1" applyAlignment="1" applyProtection="1">
      <alignment horizontal="center" vertical="center"/>
      <protection locked="0"/>
    </xf>
    <xf numFmtId="0" fontId="7" fillId="4" borderId="255" xfId="0" applyFont="1" applyFill="1" applyBorder="1" applyAlignment="1" applyProtection="1">
      <alignment horizontal="center" vertical="center"/>
    </xf>
    <xf numFmtId="0" fontId="7" fillId="4" borderId="256" xfId="0" applyFont="1" applyFill="1" applyBorder="1" applyAlignment="1" applyProtection="1">
      <alignment horizontal="center" vertical="center"/>
    </xf>
    <xf numFmtId="0" fontId="7" fillId="4" borderId="257" xfId="0" applyFont="1" applyFill="1" applyBorder="1" applyAlignment="1" applyProtection="1">
      <alignment horizontal="center" vertical="center"/>
    </xf>
    <xf numFmtId="0" fontId="7" fillId="4" borderId="187" xfId="0" applyFont="1" applyFill="1" applyBorder="1" applyAlignment="1" applyProtection="1">
      <alignment horizontal="center" vertical="center"/>
    </xf>
    <xf numFmtId="0" fontId="7" fillId="4" borderId="217" xfId="0" applyFont="1" applyFill="1" applyBorder="1" applyAlignment="1" applyProtection="1">
      <alignment horizontal="center" vertical="center"/>
    </xf>
    <xf numFmtId="0" fontId="7" fillId="4" borderId="188" xfId="0" applyFont="1" applyFill="1" applyBorder="1" applyAlignment="1" applyProtection="1">
      <alignment horizontal="center" vertical="center"/>
    </xf>
    <xf numFmtId="0" fontId="7" fillId="4" borderId="248" xfId="0" applyFont="1" applyFill="1" applyBorder="1" applyAlignment="1" applyProtection="1">
      <alignment horizontal="center" vertical="center"/>
    </xf>
    <xf numFmtId="0" fontId="7" fillId="4" borderId="252" xfId="0" applyFont="1" applyFill="1" applyBorder="1" applyAlignment="1" applyProtection="1">
      <alignment horizontal="center" vertical="center"/>
    </xf>
    <xf numFmtId="0" fontId="7" fillId="0" borderId="188" xfId="0" applyFont="1" applyBorder="1" applyAlignment="1" applyProtection="1">
      <alignment horizontal="center" vertical="center"/>
      <protection locked="0"/>
    </xf>
    <xf numFmtId="0" fontId="7" fillId="4" borderId="258" xfId="0" applyFont="1" applyFill="1" applyBorder="1" applyAlignment="1" applyProtection="1">
      <alignment horizontal="center" vertical="center"/>
    </xf>
    <xf numFmtId="0" fontId="7" fillId="4" borderId="76" xfId="0" applyFont="1" applyFill="1" applyBorder="1" applyAlignment="1" applyProtection="1">
      <alignment horizontal="center" vertical="center"/>
    </xf>
    <xf numFmtId="0" fontId="7" fillId="4" borderId="83" xfId="0" applyFont="1" applyFill="1" applyBorder="1" applyAlignment="1" applyProtection="1">
      <alignment horizontal="center" vertical="center"/>
    </xf>
    <xf numFmtId="0" fontId="7" fillId="4" borderId="253" xfId="0" applyFont="1" applyFill="1" applyBorder="1" applyAlignment="1" applyProtection="1">
      <alignment horizontal="center" vertical="center"/>
    </xf>
    <xf numFmtId="0" fontId="7" fillId="4" borderId="254" xfId="0" applyFont="1" applyFill="1" applyBorder="1" applyAlignment="1" applyProtection="1">
      <alignment horizontal="center" vertical="center"/>
    </xf>
    <xf numFmtId="0" fontId="7" fillId="4" borderId="259" xfId="0" applyFont="1" applyFill="1" applyBorder="1" applyAlignment="1" applyProtection="1">
      <alignment horizontal="center" vertical="center"/>
    </xf>
    <xf numFmtId="49" fontId="8" fillId="6" borderId="69" xfId="0" applyNumberFormat="1" applyFont="1" applyFill="1" applyBorder="1" applyAlignment="1" applyProtection="1">
      <alignment horizontal="center" vertical="center"/>
    </xf>
    <xf numFmtId="0" fontId="7" fillId="0" borderId="69" xfId="0" applyFont="1" applyBorder="1" applyAlignment="1" applyProtection="1">
      <alignment horizontal="center" vertical="center"/>
      <protection locked="0"/>
    </xf>
    <xf numFmtId="0" fontId="7" fillId="4" borderId="210" xfId="0" applyFont="1" applyFill="1" applyBorder="1" applyAlignment="1" applyProtection="1">
      <alignment horizontal="center" vertical="center"/>
    </xf>
    <xf numFmtId="0" fontId="8" fillId="6" borderId="248" xfId="0" applyFont="1" applyFill="1" applyBorder="1" applyAlignment="1">
      <alignment horizontal="center" vertical="center"/>
    </xf>
    <xf numFmtId="49" fontId="8" fillId="6" borderId="252" xfId="0" applyNumberFormat="1" applyFont="1" applyFill="1" applyBorder="1" applyAlignment="1" applyProtection="1">
      <alignment horizontal="center" vertical="center"/>
    </xf>
    <xf numFmtId="0" fontId="7" fillId="0" borderId="191" xfId="0" applyFont="1" applyBorder="1" applyAlignment="1" applyProtection="1">
      <alignment horizontal="center" vertical="center"/>
      <protection locked="0"/>
    </xf>
    <xf numFmtId="0" fontId="8" fillId="6" borderId="251" xfId="0" applyFont="1" applyFill="1" applyBorder="1" applyAlignment="1">
      <alignment horizontal="center" vertical="center"/>
    </xf>
    <xf numFmtId="0" fontId="7" fillId="0" borderId="189" xfId="0" applyFont="1" applyBorder="1" applyAlignment="1" applyProtection="1">
      <alignment horizontal="center" vertical="center"/>
      <protection locked="0"/>
    </xf>
    <xf numFmtId="0" fontId="8" fillId="6" borderId="240" xfId="0" applyFont="1" applyFill="1" applyBorder="1" applyAlignment="1">
      <alignment horizontal="center" vertical="center"/>
    </xf>
    <xf numFmtId="0" fontId="7" fillId="0" borderId="212" xfId="0" applyFont="1" applyBorder="1" applyAlignment="1" applyProtection="1">
      <alignment horizontal="center" vertical="center"/>
      <protection locked="0"/>
    </xf>
    <xf numFmtId="0" fontId="8" fillId="2" borderId="43" xfId="0" applyFont="1" applyFill="1" applyBorder="1" applyAlignment="1">
      <alignment vertical="top"/>
    </xf>
    <xf numFmtId="0" fontId="9" fillId="5" borderId="190" xfId="0" applyFont="1" applyFill="1" applyBorder="1" applyAlignment="1" applyProtection="1">
      <alignment horizontal="center" vertical="center"/>
      <protection locked="0"/>
    </xf>
    <xf numFmtId="0" fontId="8" fillId="4" borderId="67" xfId="0" applyFont="1" applyFill="1" applyBorder="1" applyAlignment="1" applyProtection="1">
      <alignment horizontal="center" vertical="center"/>
    </xf>
    <xf numFmtId="0" fontId="8" fillId="15" borderId="67" xfId="0" applyFont="1" applyFill="1" applyBorder="1" applyAlignment="1" applyProtection="1">
      <alignment horizontal="center" vertical="center"/>
    </xf>
    <xf numFmtId="0" fontId="7" fillId="4" borderId="184" xfId="0" applyFont="1" applyFill="1" applyBorder="1" applyAlignment="1">
      <alignment vertical="center"/>
    </xf>
    <xf numFmtId="0" fontId="7" fillId="4" borderId="185" xfId="0" applyFont="1" applyFill="1" applyBorder="1" applyAlignment="1">
      <alignment vertical="center"/>
    </xf>
    <xf numFmtId="0" fontId="7" fillId="4" borderId="186" xfId="0" applyFont="1" applyFill="1" applyBorder="1" applyAlignment="1">
      <alignment vertical="center"/>
    </xf>
    <xf numFmtId="0" fontId="8" fillId="4" borderId="190" xfId="0" applyFont="1" applyFill="1" applyBorder="1" applyAlignment="1" applyProtection="1">
      <alignment horizontal="center" vertical="center"/>
    </xf>
    <xf numFmtId="0" fontId="8" fillId="4" borderId="219" xfId="0" applyFont="1" applyFill="1" applyBorder="1" applyAlignment="1" applyProtection="1">
      <alignment horizontal="center" vertical="center"/>
    </xf>
    <xf numFmtId="0" fontId="8" fillId="15" borderId="248" xfId="0" applyFont="1" applyFill="1" applyBorder="1" applyAlignment="1" applyProtection="1">
      <alignment horizontal="center" vertical="center"/>
    </xf>
    <xf numFmtId="0" fontId="8" fillId="4" borderId="220" xfId="0" applyFont="1" applyFill="1" applyBorder="1" applyAlignment="1" applyProtection="1">
      <alignment horizontal="center" vertical="center"/>
    </xf>
    <xf numFmtId="0" fontId="8" fillId="4" borderId="221" xfId="0" applyFont="1" applyFill="1" applyBorder="1" applyAlignment="1" applyProtection="1">
      <alignment horizontal="center" vertical="center"/>
    </xf>
    <xf numFmtId="0" fontId="9" fillId="15" borderId="78" xfId="0" applyFont="1" applyFill="1" applyBorder="1" applyAlignment="1" applyProtection="1">
      <alignment horizontal="center" vertical="center"/>
    </xf>
    <xf numFmtId="0" fontId="9" fillId="15" borderId="218" xfId="0" applyFont="1" applyFill="1" applyBorder="1" applyAlignment="1" applyProtection="1">
      <alignment horizontal="center" vertical="center"/>
    </xf>
    <xf numFmtId="0" fontId="11" fillId="4" borderId="209" xfId="0" applyFont="1" applyFill="1" applyBorder="1" applyAlignment="1" applyProtection="1">
      <alignment horizontal="center" vertical="center"/>
    </xf>
    <xf numFmtId="0" fontId="11" fillId="4" borderId="217" xfId="0" applyFont="1" applyFill="1" applyBorder="1" applyAlignment="1" applyProtection="1">
      <alignment horizontal="center" vertical="center"/>
    </xf>
    <xf numFmtId="0" fontId="8" fillId="0" borderId="248" xfId="0" applyFont="1" applyBorder="1" applyAlignment="1" applyProtection="1">
      <alignment horizontal="center" vertical="center"/>
      <protection locked="0"/>
    </xf>
    <xf numFmtId="0" fontId="8" fillId="4" borderId="78" xfId="0" applyFont="1" applyFill="1" applyBorder="1" applyAlignment="1" applyProtection="1">
      <alignment horizontal="center" vertical="center"/>
    </xf>
    <xf numFmtId="0" fontId="9" fillId="5" borderId="218" xfId="0" applyFont="1" applyFill="1" applyBorder="1" applyAlignment="1" applyProtection="1">
      <alignment horizontal="center" vertical="center"/>
      <protection locked="0"/>
    </xf>
    <xf numFmtId="0" fontId="8" fillId="15" borderId="70" xfId="0" applyFont="1" applyFill="1" applyBorder="1" applyAlignment="1" applyProtection="1">
      <alignment horizontal="center" vertical="center"/>
    </xf>
    <xf numFmtId="0" fontId="11" fillId="4" borderId="210" xfId="0" applyFont="1" applyFill="1" applyBorder="1" applyAlignment="1" applyProtection="1">
      <alignment horizontal="center" vertical="center"/>
    </xf>
    <xf numFmtId="0" fontId="8" fillId="2" borderId="184" xfId="0" applyFont="1" applyFill="1" applyBorder="1" applyAlignment="1">
      <alignment horizontal="left" vertical="center" wrapText="1"/>
    </xf>
    <xf numFmtId="0" fontId="7" fillId="0" borderId="185" xfId="0" applyFont="1" applyBorder="1" applyAlignment="1">
      <alignment horizontal="left" vertical="center" wrapText="1"/>
    </xf>
    <xf numFmtId="0" fontId="7" fillId="5" borderId="186" xfId="0" applyFont="1" applyFill="1" applyBorder="1" applyAlignment="1">
      <alignment horizontal="left" vertical="center" wrapText="1"/>
    </xf>
    <xf numFmtId="0" fontId="8" fillId="4" borderId="260" xfId="0" applyFont="1" applyFill="1" applyBorder="1" applyAlignment="1" applyProtection="1">
      <alignment horizontal="center" vertical="center"/>
    </xf>
    <xf numFmtId="0" fontId="7" fillId="4" borderId="261" xfId="0" applyFont="1" applyFill="1" applyBorder="1" applyAlignment="1">
      <alignment vertical="center"/>
    </xf>
    <xf numFmtId="0" fontId="7" fillId="4" borderId="262" xfId="0" applyFont="1" applyFill="1" applyBorder="1" applyAlignment="1">
      <alignment vertical="center"/>
    </xf>
    <xf numFmtId="0" fontId="7" fillId="4" borderId="263" xfId="0" applyFont="1" applyFill="1" applyBorder="1" applyAlignment="1">
      <alignment vertical="center"/>
    </xf>
    <xf numFmtId="0" fontId="8" fillId="4" borderId="264" xfId="0" applyFont="1" applyFill="1" applyBorder="1" applyAlignment="1" applyProtection="1">
      <alignment horizontal="center" vertical="center"/>
    </xf>
    <xf numFmtId="0" fontId="8" fillId="4" borderId="265" xfId="0" applyFont="1" applyFill="1" applyBorder="1" applyAlignment="1" applyProtection="1">
      <alignment horizontal="center" vertical="center"/>
    </xf>
    <xf numFmtId="0" fontId="11" fillId="15" borderId="223" xfId="0" applyFont="1" applyFill="1" applyBorder="1" applyAlignment="1" applyProtection="1">
      <alignment horizontal="center" vertical="center"/>
    </xf>
    <xf numFmtId="0" fontId="11" fillId="15" borderId="70" xfId="0" applyFont="1" applyFill="1" applyBorder="1" applyAlignment="1" applyProtection="1">
      <alignment horizontal="center" vertical="center"/>
    </xf>
    <xf numFmtId="0" fontId="11" fillId="15" borderId="251" xfId="0" applyFont="1" applyFill="1" applyBorder="1" applyAlignment="1" applyProtection="1">
      <alignment horizontal="center" vertical="center"/>
    </xf>
    <xf numFmtId="0" fontId="11" fillId="4" borderId="266" xfId="0" applyFont="1" applyFill="1" applyBorder="1" applyAlignment="1" applyProtection="1">
      <alignment horizontal="center" vertical="center"/>
    </xf>
    <xf numFmtId="0" fontId="8" fillId="0" borderId="217" xfId="0" applyFont="1" applyBorder="1" applyAlignment="1" applyProtection="1">
      <alignment horizontal="center" vertical="center"/>
      <protection locked="0"/>
    </xf>
    <xf numFmtId="0" fontId="8" fillId="0" borderId="240" xfId="0" applyFont="1" applyBorder="1" applyAlignment="1" applyProtection="1">
      <alignment horizontal="center" vertical="center"/>
      <protection locked="0"/>
    </xf>
    <xf numFmtId="0" fontId="13" fillId="4" borderId="267" xfId="0" applyFont="1" applyFill="1" applyBorder="1" applyAlignment="1" applyProtection="1">
      <alignment horizontal="center" vertical="center"/>
    </xf>
    <xf numFmtId="0" fontId="7" fillId="4" borderId="268" xfId="0" applyFont="1" applyFill="1" applyBorder="1" applyAlignment="1" applyProtection="1">
      <alignment horizontal="center" vertical="center"/>
    </xf>
    <xf numFmtId="0" fontId="8" fillId="4" borderId="268" xfId="0" applyFont="1" applyFill="1" applyBorder="1" applyAlignment="1" applyProtection="1">
      <alignment horizontal="center" vertical="center"/>
    </xf>
    <xf numFmtId="0" fontId="8" fillId="4" borderId="269" xfId="0" applyFont="1" applyFill="1" applyBorder="1" applyAlignment="1" applyProtection="1">
      <alignment horizontal="center" vertical="center"/>
    </xf>
    <xf numFmtId="0" fontId="8" fillId="15" borderId="223" xfId="0" applyFont="1" applyFill="1" applyBorder="1" applyAlignment="1" applyProtection="1">
      <alignment horizontal="center" vertical="center"/>
    </xf>
    <xf numFmtId="0" fontId="8" fillId="15" borderId="68" xfId="0" applyFont="1" applyFill="1" applyBorder="1" applyAlignment="1" applyProtection="1">
      <alignment horizontal="center" vertical="center"/>
    </xf>
    <xf numFmtId="0" fontId="9" fillId="15" borderId="69" xfId="0" applyFont="1" applyFill="1" applyBorder="1" applyAlignment="1" applyProtection="1">
      <alignment horizontal="center" vertical="center"/>
    </xf>
    <xf numFmtId="0" fontId="9" fillId="5" borderId="211" xfId="0" applyFont="1" applyFill="1" applyBorder="1" applyAlignment="1" applyProtection="1">
      <alignment horizontal="center" vertical="center"/>
      <protection locked="0"/>
    </xf>
    <xf numFmtId="0" fontId="9" fillId="5" borderId="240" xfId="0" applyFont="1" applyFill="1" applyBorder="1" applyAlignment="1" applyProtection="1">
      <alignment horizontal="center" vertical="center"/>
      <protection locked="0"/>
    </xf>
    <xf numFmtId="0" fontId="8" fillId="15" borderId="251" xfId="0" applyFont="1" applyFill="1" applyBorder="1" applyAlignment="1" applyProtection="1">
      <alignment horizontal="center" vertical="center"/>
    </xf>
    <xf numFmtId="0" fontId="9" fillId="4" borderId="221" xfId="0" applyFont="1" applyFill="1" applyBorder="1" applyAlignment="1" applyProtection="1">
      <alignment horizontal="center" vertical="center"/>
    </xf>
    <xf numFmtId="0" fontId="11" fillId="4" borderId="270" xfId="0" applyFont="1" applyFill="1" applyBorder="1" applyAlignment="1" applyProtection="1">
      <alignment horizontal="center" vertical="center"/>
    </xf>
    <xf numFmtId="0" fontId="38" fillId="5" borderId="97" xfId="0" applyFont="1" applyFill="1" applyBorder="1" applyAlignment="1">
      <alignment wrapText="1"/>
    </xf>
    <xf numFmtId="0" fontId="16" fillId="4" borderId="238" xfId="0" applyFont="1" applyFill="1" applyBorder="1" applyAlignment="1">
      <alignment vertical="center"/>
    </xf>
    <xf numFmtId="0" fontId="16" fillId="4" borderId="40" xfId="0" applyFont="1" applyFill="1" applyBorder="1" applyAlignment="1">
      <alignment vertical="center"/>
    </xf>
    <xf numFmtId="0" fontId="38" fillId="5" borderId="96" xfId="0" applyFont="1" applyFill="1" applyBorder="1" applyAlignment="1">
      <alignment wrapText="1"/>
    </xf>
    <xf numFmtId="0" fontId="29" fillId="5" borderId="1" xfId="0" applyFont="1" applyFill="1" applyBorder="1" applyAlignment="1">
      <alignment wrapText="1"/>
    </xf>
    <xf numFmtId="0" fontId="29" fillId="5" borderId="4" xfId="0" applyFont="1" applyFill="1" applyBorder="1" applyAlignment="1">
      <alignment wrapText="1"/>
    </xf>
    <xf numFmtId="0" fontId="38" fillId="5" borderId="0" xfId="0" applyFont="1" applyFill="1" applyAlignment="1">
      <alignment wrapText="1"/>
    </xf>
    <xf numFmtId="0" fontId="29" fillId="5" borderId="1" xfId="0" applyFont="1" applyFill="1" applyBorder="1" applyAlignment="1">
      <alignment vertical="top"/>
    </xf>
    <xf numFmtId="0" fontId="29" fillId="5" borderId="5" xfId="0" applyFont="1" applyFill="1" applyBorder="1" applyAlignment="1">
      <alignment vertical="top"/>
    </xf>
    <xf numFmtId="0" fontId="29" fillId="4" borderId="88" xfId="0" applyFont="1" applyFill="1" applyBorder="1" applyAlignment="1">
      <alignment vertical="center"/>
    </xf>
    <xf numFmtId="0" fontId="29" fillId="4" borderId="75" xfId="0" applyFont="1" applyFill="1" applyBorder="1" applyAlignment="1">
      <alignment vertical="center"/>
    </xf>
    <xf numFmtId="0" fontId="29" fillId="4" borderId="93" xfId="0" applyFont="1" applyFill="1" applyBorder="1" applyAlignment="1">
      <alignment vertical="center"/>
    </xf>
    <xf numFmtId="0" fontId="29" fillId="4" borderId="90" xfId="0" applyFont="1" applyFill="1" applyBorder="1" applyAlignment="1">
      <alignment vertical="center"/>
    </xf>
    <xf numFmtId="0" fontId="29" fillId="4" borderId="198" xfId="0" applyFont="1" applyFill="1" applyBorder="1" applyAlignment="1">
      <alignment vertical="center"/>
    </xf>
    <xf numFmtId="0" fontId="38" fillId="4" borderId="75" xfId="0" applyFont="1" applyFill="1" applyBorder="1" applyAlignment="1">
      <alignment vertical="center"/>
    </xf>
    <xf numFmtId="0" fontId="7" fillId="4" borderId="48" xfId="0" applyFont="1" applyFill="1" applyBorder="1" applyAlignment="1">
      <alignment vertical="center"/>
    </xf>
    <xf numFmtId="0" fontId="7" fillId="4" borderId="174" xfId="0" applyFont="1" applyFill="1" applyBorder="1" applyAlignment="1">
      <alignment vertical="center"/>
    </xf>
    <xf numFmtId="0" fontId="38" fillId="4" borderId="24" xfId="0" applyFont="1" applyFill="1" applyBorder="1" applyAlignment="1">
      <alignment vertical="center" wrapText="1"/>
    </xf>
    <xf numFmtId="0" fontId="29" fillId="4" borderId="75" xfId="0" applyFont="1" applyFill="1" applyBorder="1" applyAlignment="1">
      <alignment vertical="center" wrapText="1"/>
    </xf>
    <xf numFmtId="0" fontId="29" fillId="0" borderId="75" xfId="0" applyFont="1" applyFill="1" applyBorder="1" applyAlignment="1">
      <alignment vertical="center"/>
    </xf>
    <xf numFmtId="0" fontId="29" fillId="4" borderId="49" xfId="0" applyFont="1" applyFill="1" applyBorder="1" applyAlignment="1">
      <alignment vertical="center" wrapText="1"/>
    </xf>
    <xf numFmtId="0" fontId="29" fillId="3" borderId="75" xfId="0" applyFont="1" applyFill="1" applyBorder="1" applyAlignment="1">
      <alignment vertical="center"/>
    </xf>
    <xf numFmtId="0" fontId="38" fillId="5" borderId="0" xfId="0" applyFont="1" applyFill="1" applyAlignment="1">
      <alignment vertical="top"/>
    </xf>
    <xf numFmtId="0" fontId="9" fillId="5" borderId="233" xfId="0" applyFont="1" applyFill="1" applyBorder="1" applyAlignment="1">
      <alignment horizontal="left" vertical="center" wrapText="1"/>
    </xf>
    <xf numFmtId="0" fontId="9" fillId="5" borderId="41" xfId="0" applyFont="1" applyFill="1" applyBorder="1" applyAlignment="1">
      <alignment horizontal="left" vertical="center" wrapText="1"/>
    </xf>
    <xf numFmtId="0" fontId="8" fillId="5" borderId="241" xfId="0" applyFont="1" applyFill="1" applyBorder="1" applyAlignment="1">
      <alignment horizontal="left" vertical="center" wrapText="1"/>
    </xf>
    <xf numFmtId="0" fontId="8" fillId="5" borderId="243" xfId="0" applyFont="1" applyFill="1" applyBorder="1" applyAlignment="1">
      <alignment horizontal="left" vertical="center" wrapText="1"/>
    </xf>
    <xf numFmtId="0" fontId="48" fillId="0" borderId="53" xfId="0" applyFont="1" applyBorder="1" applyAlignment="1">
      <alignment horizontal="left" vertical="center" wrapText="1"/>
    </xf>
    <xf numFmtId="0" fontId="42" fillId="0" borderId="52" xfId="0" applyFont="1" applyBorder="1" applyAlignment="1">
      <alignment horizontal="left" vertical="center" wrapText="1"/>
    </xf>
    <xf numFmtId="0" fontId="42" fillId="4" borderId="75" xfId="0" applyFont="1" applyFill="1" applyBorder="1" applyAlignment="1">
      <alignment vertical="center"/>
    </xf>
    <xf numFmtId="0" fontId="16" fillId="0" borderId="224" xfId="0" applyFont="1" applyBorder="1" applyAlignment="1">
      <alignment horizontal="left" vertical="center" wrapText="1"/>
    </xf>
    <xf numFmtId="0" fontId="16" fillId="0" borderId="170" xfId="0" applyFont="1" applyBorder="1" applyAlignment="1">
      <alignment horizontal="left" vertical="center" wrapText="1"/>
    </xf>
    <xf numFmtId="0" fontId="16" fillId="4" borderId="225" xfId="0" applyFont="1" applyFill="1" applyBorder="1" applyAlignment="1">
      <alignment vertical="center"/>
    </xf>
    <xf numFmtId="0" fontId="16" fillId="4" borderId="228" xfId="0" applyFont="1" applyFill="1" applyBorder="1" applyAlignment="1">
      <alignment vertical="center"/>
    </xf>
    <xf numFmtId="0" fontId="38" fillId="0" borderId="88" xfId="0" applyFont="1" applyBorder="1" applyAlignment="1">
      <alignment horizontal="left" vertical="center" wrapText="1"/>
    </xf>
    <xf numFmtId="0" fontId="38" fillId="12" borderId="88" xfId="0" applyFont="1" applyFill="1" applyBorder="1" applyAlignment="1">
      <alignment wrapText="1"/>
    </xf>
    <xf numFmtId="0" fontId="38" fillId="5" borderId="196" xfId="0" applyFont="1" applyFill="1" applyBorder="1" applyAlignment="1"/>
    <xf numFmtId="0" fontId="7" fillId="0" borderId="10" xfId="0" applyFont="1" applyBorder="1" applyAlignment="1" applyProtection="1">
      <alignment horizontal="center" vertical="center"/>
      <protection locked="0"/>
    </xf>
    <xf numFmtId="0" fontId="8" fillId="6" borderId="28" xfId="0" applyFont="1" applyFill="1" applyBorder="1" applyAlignment="1">
      <alignment horizontal="center" vertical="center"/>
    </xf>
    <xf numFmtId="0" fontId="8" fillId="6" borderId="29" xfId="0" applyFont="1" applyFill="1" applyBorder="1" applyAlignment="1">
      <alignment horizontal="center" vertical="center"/>
    </xf>
    <xf numFmtId="0" fontId="11" fillId="4" borderId="48" xfId="0" applyFont="1" applyFill="1" applyBorder="1" applyAlignment="1" applyProtection="1">
      <alignment horizontal="center" vertical="center"/>
    </xf>
    <xf numFmtId="0" fontId="8" fillId="2" borderId="271" xfId="0" applyFont="1" applyFill="1" applyBorder="1" applyAlignment="1">
      <alignment vertical="top"/>
    </xf>
    <xf numFmtId="0" fontId="7" fillId="2" borderId="271" xfId="0" applyFont="1" applyFill="1" applyBorder="1" applyAlignment="1">
      <alignment horizontal="left" vertical="top"/>
    </xf>
    <xf numFmtId="0" fontId="8" fillId="2" borderId="59" xfId="0" applyFont="1" applyFill="1" applyBorder="1" applyAlignment="1">
      <alignment horizontal="center" vertical="center" wrapText="1"/>
    </xf>
    <xf numFmtId="0" fontId="8" fillId="2" borderId="49" xfId="0" applyFont="1" applyFill="1" applyBorder="1" applyAlignment="1">
      <alignment horizontal="center" vertical="center" wrapText="1"/>
    </xf>
    <xf numFmtId="0" fontId="8" fillId="2" borderId="60" xfId="0" applyFont="1" applyFill="1" applyBorder="1" applyAlignment="1">
      <alignment horizontal="center" vertical="center" wrapText="1"/>
    </xf>
    <xf numFmtId="0" fontId="16" fillId="0" borderId="40" xfId="0" applyFont="1" applyBorder="1" applyAlignment="1">
      <alignment vertical="top" wrapText="1"/>
    </xf>
    <xf numFmtId="0" fontId="8" fillId="8" borderId="48" xfId="0" applyFont="1" applyFill="1" applyBorder="1" applyAlignment="1">
      <alignment horizontal="center" vertical="center" wrapText="1"/>
    </xf>
    <xf numFmtId="0" fontId="7" fillId="2" borderId="22" xfId="0" applyFont="1" applyFill="1" applyBorder="1" applyAlignment="1">
      <alignment horizontal="left" vertical="top"/>
    </xf>
    <xf numFmtId="0" fontId="18" fillId="4" borderId="41" xfId="0" applyFont="1" applyFill="1" applyBorder="1" applyAlignment="1">
      <alignment vertical="center"/>
    </xf>
    <xf numFmtId="0" fontId="7" fillId="0" borderId="9" xfId="0" applyFont="1" applyBorder="1" applyAlignment="1" applyProtection="1">
      <alignment horizontal="center" vertical="center" wrapText="1"/>
      <protection locked="0"/>
    </xf>
    <xf numFmtId="0" fontId="7" fillId="0" borderId="20" xfId="0" applyFont="1" applyBorder="1" applyAlignment="1" applyProtection="1">
      <alignment horizontal="center" vertical="center" wrapText="1"/>
      <protection locked="0"/>
    </xf>
    <xf numFmtId="0" fontId="16" fillId="4" borderId="41" xfId="0" applyFont="1" applyFill="1" applyBorder="1" applyAlignment="1">
      <alignment vertical="center"/>
    </xf>
    <xf numFmtId="0" fontId="16" fillId="4" borderId="61" xfId="0" applyFont="1" applyFill="1" applyBorder="1" applyAlignment="1">
      <alignment vertical="center"/>
    </xf>
    <xf numFmtId="0" fontId="7" fillId="0" borderId="64" xfId="0" applyFont="1" applyBorder="1" applyAlignment="1">
      <alignment horizontal="left" vertical="center" wrapText="1"/>
    </xf>
    <xf numFmtId="0" fontId="7" fillId="0" borderId="61" xfId="0" applyFont="1" applyBorder="1" applyAlignment="1">
      <alignment horizontal="left" vertical="center" wrapText="1"/>
    </xf>
    <xf numFmtId="0" fontId="8" fillId="0" borderId="213" xfId="0" applyFont="1" applyBorder="1" applyAlignment="1">
      <alignment horizontal="left" vertical="center" wrapText="1"/>
    </xf>
    <xf numFmtId="0" fontId="8" fillId="6" borderId="233" xfId="0" applyFont="1" applyFill="1" applyBorder="1" applyAlignment="1">
      <alignment horizontal="left" vertical="center" wrapText="1"/>
    </xf>
    <xf numFmtId="0" fontId="8" fillId="6" borderId="236" xfId="0" applyFont="1" applyFill="1" applyBorder="1" applyAlignment="1">
      <alignment horizontal="left" vertical="center" wrapText="1"/>
    </xf>
    <xf numFmtId="0" fontId="7" fillId="0" borderId="224" xfId="0" applyFont="1" applyBorder="1" applyAlignment="1">
      <alignment horizontal="left" vertical="center" wrapText="1"/>
    </xf>
    <xf numFmtId="0" fontId="7" fillId="4" borderId="234" xfId="0" applyFont="1" applyFill="1" applyBorder="1" applyAlignment="1">
      <alignment vertical="center"/>
    </xf>
    <xf numFmtId="0" fontId="7" fillId="4" borderId="237" xfId="0" applyFont="1" applyFill="1" applyBorder="1" applyAlignment="1">
      <alignment vertical="center"/>
    </xf>
    <xf numFmtId="0" fontId="14" fillId="6" borderId="272" xfId="0" applyFont="1" applyFill="1" applyBorder="1" applyAlignment="1">
      <alignment horizontal="center" vertical="center"/>
    </xf>
    <xf numFmtId="0" fontId="14" fillId="6" borderId="187" xfId="0" applyFont="1" applyFill="1" applyBorder="1" applyAlignment="1">
      <alignment horizontal="center" vertical="center"/>
    </xf>
    <xf numFmtId="0" fontId="14" fillId="6" borderId="209" xfId="0" applyFont="1" applyFill="1" applyBorder="1" applyAlignment="1">
      <alignment horizontal="center" vertical="center"/>
    </xf>
    <xf numFmtId="0" fontId="14" fillId="6" borderId="217" xfId="0" applyFont="1" applyFill="1" applyBorder="1" applyAlignment="1">
      <alignment horizontal="center" vertical="center"/>
    </xf>
    <xf numFmtId="0" fontId="14" fillId="6" borderId="252" xfId="0" applyFont="1" applyFill="1" applyBorder="1" applyAlignment="1">
      <alignment horizontal="center" vertical="center"/>
    </xf>
    <xf numFmtId="0" fontId="14" fillId="6" borderId="78" xfId="0" applyFont="1" applyFill="1" applyBorder="1" applyAlignment="1">
      <alignment horizontal="center" vertical="center"/>
    </xf>
    <xf numFmtId="0" fontId="14" fillId="6" borderId="218" xfId="0" applyFont="1" applyFill="1" applyBorder="1" applyAlignment="1">
      <alignment horizontal="center" vertical="center"/>
    </xf>
    <xf numFmtId="0" fontId="16" fillId="0" borderId="40" xfId="0" applyFont="1" applyBorder="1" applyAlignment="1">
      <alignment vertical="top" wrapText="1"/>
    </xf>
    <xf numFmtId="0" fontId="7" fillId="4" borderId="23" xfId="0" applyFont="1" applyFill="1" applyBorder="1" applyAlignment="1">
      <alignment vertical="center"/>
    </xf>
    <xf numFmtId="0" fontId="7" fillId="4" borderId="41" xfId="0" applyFont="1" applyFill="1" applyBorder="1" applyAlignment="1">
      <alignment vertical="center"/>
    </xf>
    <xf numFmtId="0" fontId="7" fillId="5" borderId="60" xfId="0" applyFont="1" applyFill="1" applyBorder="1" applyAlignment="1">
      <alignment vertical="top" wrapText="1"/>
    </xf>
    <xf numFmtId="0" fontId="7" fillId="4" borderId="27" xfId="0" applyFont="1" applyFill="1" applyBorder="1" applyAlignment="1">
      <alignment vertical="center"/>
    </xf>
    <xf numFmtId="0" fontId="38" fillId="5" borderId="0" xfId="0" applyFont="1" applyFill="1" applyBorder="1" applyAlignment="1"/>
    <xf numFmtId="0" fontId="16" fillId="0" borderId="75" xfId="0" applyFont="1" applyBorder="1" applyAlignment="1">
      <alignment horizontal="left" vertical="center" wrapText="1"/>
    </xf>
    <xf numFmtId="0" fontId="38" fillId="5" borderId="274" xfId="0" applyFont="1" applyFill="1" applyBorder="1" applyAlignment="1"/>
    <xf numFmtId="0" fontId="7" fillId="0" borderId="75" xfId="0" applyFont="1" applyBorder="1" applyAlignment="1">
      <alignment horizontal="left" vertical="center" wrapText="1"/>
    </xf>
    <xf numFmtId="0" fontId="18" fillId="5" borderId="75" xfId="0" applyFont="1" applyFill="1" applyBorder="1" applyAlignment="1">
      <alignment horizontal="left" vertical="center" wrapText="1"/>
    </xf>
    <xf numFmtId="0" fontId="16" fillId="4" borderId="75" xfId="0" applyFont="1" applyFill="1" applyBorder="1" applyAlignment="1">
      <alignment vertical="center" wrapText="1"/>
    </xf>
    <xf numFmtId="0" fontId="29" fillId="5" borderId="3" xfId="0" applyFont="1" applyFill="1" applyBorder="1" applyAlignment="1"/>
    <xf numFmtId="0" fontId="29" fillId="5" borderId="2" xfId="0" applyFont="1" applyFill="1" applyBorder="1" applyAlignment="1">
      <alignment horizontal="left" vertical="center"/>
    </xf>
    <xf numFmtId="0" fontId="29" fillId="5" borderId="5" xfId="0" applyFont="1" applyFill="1" applyBorder="1" applyAlignment="1">
      <alignment horizontal="left" vertical="center"/>
    </xf>
    <xf numFmtId="0" fontId="38" fillId="5" borderId="0" xfId="0" applyFont="1" applyFill="1" applyBorder="1" applyAlignment="1">
      <alignment horizontal="left"/>
    </xf>
    <xf numFmtId="0" fontId="38" fillId="0" borderId="0" xfId="0" applyFont="1" applyBorder="1"/>
    <xf numFmtId="0" fontId="38" fillId="5" borderId="0" xfId="0" applyFont="1" applyFill="1" applyBorder="1" applyAlignment="1">
      <alignment vertical="center"/>
    </xf>
    <xf numFmtId="0" fontId="38" fillId="0" borderId="0" xfId="0" applyFont="1" applyFill="1" applyBorder="1" applyAlignment="1"/>
    <xf numFmtId="0" fontId="9" fillId="0" borderId="0" xfId="0" applyFont="1" applyFill="1" applyBorder="1" applyAlignment="1">
      <alignment vertical="center"/>
    </xf>
    <xf numFmtId="0" fontId="7" fillId="0" borderId="0" xfId="0" applyFont="1" applyBorder="1" applyAlignment="1">
      <alignment horizontal="left"/>
    </xf>
    <xf numFmtId="0" fontId="5" fillId="0" borderId="0" xfId="0" applyFont="1" applyBorder="1"/>
    <xf numFmtId="0" fontId="29" fillId="5" borderId="0" xfId="0" applyFont="1" applyFill="1" applyBorder="1" applyAlignment="1"/>
    <xf numFmtId="0" fontId="38" fillId="0" borderId="0" xfId="0" applyFont="1" applyBorder="1" applyAlignment="1"/>
    <xf numFmtId="0" fontId="8" fillId="0" borderId="177" xfId="0" applyFont="1" applyFill="1" applyBorder="1" applyAlignment="1">
      <alignment horizontal="left" vertical="center" wrapText="1"/>
    </xf>
    <xf numFmtId="0" fontId="38" fillId="5" borderId="275" xfId="0" applyFont="1" applyFill="1" applyBorder="1" applyAlignment="1"/>
    <xf numFmtId="0" fontId="38" fillId="5" borderId="276" xfId="0" applyFont="1" applyFill="1" applyBorder="1" applyAlignment="1"/>
    <xf numFmtId="0" fontId="38" fillId="5" borderId="277" xfId="0" applyFont="1" applyFill="1" applyBorder="1" applyAlignment="1"/>
    <xf numFmtId="0" fontId="38" fillId="0" borderId="278" xfId="0" applyFont="1" applyBorder="1" applyAlignment="1" applyProtection="1">
      <alignment horizontal="left" vertical="center"/>
      <protection locked="0"/>
    </xf>
    <xf numFmtId="0" fontId="38" fillId="0" borderId="276" xfId="0" applyFont="1" applyBorder="1" applyAlignment="1" applyProtection="1">
      <alignment horizontal="left" vertical="center"/>
      <protection locked="0"/>
    </xf>
    <xf numFmtId="0" fontId="38" fillId="0" borderId="277" xfId="0" applyFont="1" applyBorder="1" applyAlignment="1" applyProtection="1">
      <alignment horizontal="left" vertical="center"/>
      <protection locked="0"/>
    </xf>
    <xf numFmtId="0" fontId="38" fillId="12" borderId="282" xfId="0" applyFont="1" applyFill="1" applyBorder="1" applyAlignment="1"/>
    <xf numFmtId="0" fontId="38" fillId="12" borderId="276" xfId="0" applyFont="1" applyFill="1" applyBorder="1" applyAlignment="1"/>
    <xf numFmtId="0" fontId="38" fillId="12" borderId="283" xfId="0" applyFont="1" applyFill="1" applyBorder="1" applyAlignment="1"/>
    <xf numFmtId="0" fontId="38" fillId="12" borderId="277" xfId="0" applyFont="1" applyFill="1" applyBorder="1" applyAlignment="1"/>
    <xf numFmtId="0" fontId="38" fillId="12" borderId="278" xfId="0" applyFont="1" applyFill="1" applyBorder="1" applyAlignment="1"/>
    <xf numFmtId="0" fontId="38" fillId="12" borderId="277" xfId="0" applyFont="1" applyFill="1" applyBorder="1" applyAlignment="1">
      <alignment vertical="center"/>
    </xf>
    <xf numFmtId="0" fontId="38" fillId="5" borderId="283" xfId="0" applyFont="1" applyFill="1" applyBorder="1" applyAlignment="1"/>
    <xf numFmtId="0" fontId="42" fillId="0" borderId="276" xfId="0" applyFont="1" applyFill="1" applyBorder="1" applyAlignment="1">
      <alignment horizontal="left" vertical="center"/>
    </xf>
    <xf numFmtId="0" fontId="38" fillId="5" borderId="91" xfId="0" applyFont="1" applyFill="1" applyBorder="1" applyAlignment="1">
      <alignment vertical="center" wrapText="1"/>
    </xf>
    <xf numFmtId="0" fontId="38" fillId="12" borderId="275" xfId="0" applyFont="1" applyFill="1" applyBorder="1" applyAlignment="1"/>
    <xf numFmtId="0" fontId="16" fillId="0" borderId="91" xfId="0" applyFont="1" applyBorder="1" applyAlignment="1">
      <alignment vertical="top" wrapText="1"/>
    </xf>
    <xf numFmtId="0" fontId="38" fillId="12" borderId="276" xfId="0" applyFont="1" applyFill="1" applyBorder="1" applyAlignment="1">
      <alignment wrapText="1"/>
    </xf>
    <xf numFmtId="49" fontId="29" fillId="6" borderId="276" xfId="0" applyNumberFormat="1" applyFont="1" applyFill="1" applyBorder="1" applyAlignment="1">
      <alignment horizontal="center" vertical="center"/>
    </xf>
    <xf numFmtId="0" fontId="38" fillId="12" borderId="276" xfId="0" applyFont="1" applyFill="1" applyBorder="1"/>
    <xf numFmtId="0" fontId="29" fillId="12" borderId="276" xfId="0" applyFont="1" applyFill="1" applyBorder="1" applyAlignment="1"/>
    <xf numFmtId="0" fontId="38" fillId="13" borderId="276" xfId="0" applyFont="1" applyFill="1" applyBorder="1" applyAlignment="1"/>
    <xf numFmtId="0" fontId="38" fillId="0" borderId="91" xfId="0" applyFont="1" applyBorder="1" applyAlignment="1">
      <alignment vertical="center" wrapText="1"/>
    </xf>
    <xf numFmtId="0" fontId="38" fillId="0" borderId="59" xfId="0" applyFont="1" applyBorder="1" applyAlignment="1">
      <alignment vertical="top" wrapText="1"/>
    </xf>
    <xf numFmtId="0" fontId="38" fillId="5" borderId="276" xfId="0" applyFont="1" applyFill="1" applyBorder="1" applyAlignment="1">
      <alignment horizontal="left" vertical="center"/>
    </xf>
    <xf numFmtId="0" fontId="38" fillId="0" borderId="276" xfId="0" applyFont="1" applyBorder="1" applyAlignment="1" applyProtection="1">
      <alignment horizontal="center" vertical="center"/>
    </xf>
    <xf numFmtId="0" fontId="42" fillId="3" borderId="293" xfId="0" applyFont="1" applyFill="1" applyBorder="1" applyAlignment="1">
      <alignment vertical="center"/>
    </xf>
    <xf numFmtId="0" fontId="42" fillId="3" borderId="74" xfId="0" applyFont="1" applyFill="1" applyBorder="1" applyAlignment="1">
      <alignment vertical="center"/>
    </xf>
    <xf numFmtId="0" fontId="42" fillId="5" borderId="27" xfId="0" applyFont="1" applyFill="1" applyBorder="1" applyAlignment="1">
      <alignment vertical="center" wrapText="1"/>
    </xf>
    <xf numFmtId="0" fontId="38" fillId="5" borderId="285" xfId="0" applyFont="1" applyFill="1" applyBorder="1" applyAlignment="1">
      <alignment horizontal="left" vertical="center"/>
    </xf>
    <xf numFmtId="0" fontId="38" fillId="5" borderId="294" xfId="0" applyFont="1" applyFill="1" applyBorder="1" applyAlignment="1">
      <alignment vertical="top" wrapText="1"/>
    </xf>
    <xf numFmtId="0" fontId="38" fillId="5" borderId="295" xfId="0" applyFont="1" applyFill="1" applyBorder="1" applyAlignment="1">
      <alignment horizontal="left" vertical="center"/>
    </xf>
    <xf numFmtId="0" fontId="7" fillId="0" borderId="91" xfId="0" applyFont="1" applyBorder="1" applyAlignment="1">
      <alignment horizontal="left" vertical="top" wrapText="1"/>
    </xf>
    <xf numFmtId="0" fontId="18" fillId="5" borderId="91" xfId="0" applyFont="1" applyFill="1" applyBorder="1" applyAlignment="1">
      <alignment vertical="top" wrapText="1"/>
    </xf>
    <xf numFmtId="0" fontId="7" fillId="0" borderId="54" xfId="0" applyFont="1" applyBorder="1" applyAlignment="1">
      <alignment vertical="center" wrapText="1"/>
    </xf>
    <xf numFmtId="0" fontId="7" fillId="0" borderId="48" xfId="0" applyFont="1" applyBorder="1" applyAlignment="1">
      <alignment vertical="center" wrapText="1"/>
    </xf>
    <xf numFmtId="0" fontId="7" fillId="0" borderId="79" xfId="0" applyFont="1" applyBorder="1" applyAlignment="1">
      <alignment vertical="center" wrapText="1"/>
    </xf>
    <xf numFmtId="0" fontId="38" fillId="0" borderId="91" xfId="0" applyFont="1" applyBorder="1" applyAlignment="1">
      <alignment vertical="center" wrapText="1"/>
    </xf>
    <xf numFmtId="0" fontId="42" fillId="3" borderId="290" xfId="0" applyFont="1" applyFill="1" applyBorder="1" applyAlignment="1">
      <alignment horizontal="left" vertical="center"/>
    </xf>
    <xf numFmtId="0" fontId="42" fillId="3" borderId="144" xfId="0" applyFont="1" applyFill="1" applyBorder="1" applyAlignment="1">
      <alignment horizontal="left" vertical="center"/>
    </xf>
    <xf numFmtId="0" fontId="42" fillId="3" borderId="291" xfId="0" applyFont="1" applyFill="1" applyBorder="1" applyAlignment="1">
      <alignment horizontal="left" vertical="center"/>
    </xf>
    <xf numFmtId="0" fontId="29" fillId="0" borderId="91" xfId="0" applyFont="1" applyBorder="1" applyAlignment="1">
      <alignment vertical="center" wrapText="1"/>
    </xf>
    <xf numFmtId="0" fontId="29" fillId="0" borderId="91" xfId="0" applyFont="1" applyFill="1" applyBorder="1" applyAlignment="1">
      <alignment vertical="center" wrapText="1"/>
    </xf>
    <xf numFmtId="0" fontId="29" fillId="5" borderId="91" xfId="0" applyFont="1" applyFill="1" applyBorder="1" applyAlignment="1">
      <alignment vertical="center" wrapText="1"/>
    </xf>
    <xf numFmtId="0" fontId="7" fillId="0" borderId="23" xfId="0" applyFont="1" applyBorder="1" applyAlignment="1">
      <alignment vertical="top" wrapText="1"/>
    </xf>
    <xf numFmtId="0" fontId="7" fillId="0" borderId="41" xfId="0" applyFont="1" applyBorder="1" applyAlignment="1">
      <alignment vertical="top" wrapText="1"/>
    </xf>
    <xf numFmtId="0" fontId="7" fillId="0" borderId="54" xfId="0" applyFont="1" applyBorder="1" applyAlignment="1">
      <alignment vertical="top" wrapText="1"/>
    </xf>
    <xf numFmtId="0" fontId="7" fillId="0" borderId="79" xfId="0" applyFont="1" applyBorder="1" applyAlignment="1">
      <alignment vertical="top" wrapText="1"/>
    </xf>
    <xf numFmtId="0" fontId="42" fillId="5" borderId="91" xfId="0" applyFont="1" applyFill="1" applyBorder="1" applyAlignment="1">
      <alignment vertical="center" wrapText="1"/>
    </xf>
    <xf numFmtId="0" fontId="38" fillId="5" borderId="91" xfId="0" applyFont="1" applyFill="1" applyBorder="1" applyAlignment="1">
      <alignment vertical="center" wrapText="1"/>
    </xf>
    <xf numFmtId="0" fontId="16" fillId="0" borderId="59" xfId="0" applyFont="1" applyBorder="1" applyAlignment="1">
      <alignment vertical="top" wrapText="1"/>
    </xf>
    <xf numFmtId="0" fontId="16" fillId="0" borderId="60" xfId="0" applyFont="1" applyBorder="1" applyAlignment="1">
      <alignment vertical="top" wrapText="1"/>
    </xf>
    <xf numFmtId="0" fontId="16" fillId="0" borderId="59" xfId="0" applyFont="1" applyBorder="1" applyAlignment="1">
      <alignment horizontal="left" vertical="center" wrapText="1"/>
    </xf>
    <xf numFmtId="0" fontId="16" fillId="0" borderId="49" xfId="0" applyFont="1" applyBorder="1" applyAlignment="1">
      <alignment horizontal="left" vertical="center" wrapText="1"/>
    </xf>
    <xf numFmtId="0" fontId="16" fillId="0" borderId="60" xfId="0" applyFont="1" applyBorder="1" applyAlignment="1">
      <alignment horizontal="left" vertical="center" wrapText="1"/>
    </xf>
    <xf numFmtId="0" fontId="16" fillId="0" borderId="54" xfId="0" applyFont="1" applyBorder="1" applyAlignment="1">
      <alignment vertical="top" wrapText="1"/>
    </xf>
    <xf numFmtId="0" fontId="29" fillId="0" borderId="287" xfId="0" applyFont="1" applyBorder="1" applyAlignment="1">
      <alignment horizontal="left" vertical="center" wrapText="1"/>
    </xf>
    <xf numFmtId="0" fontId="29" fillId="0" borderId="279" xfId="0" applyFont="1" applyBorder="1" applyAlignment="1">
      <alignment horizontal="left" vertical="center" wrapText="1"/>
    </xf>
    <xf numFmtId="0" fontId="29" fillId="0" borderId="286" xfId="0" applyFont="1" applyBorder="1" applyAlignment="1">
      <alignment horizontal="left" vertical="center" wrapText="1"/>
    </xf>
    <xf numFmtId="0" fontId="29" fillId="0" borderId="292" xfId="0" applyFont="1" applyBorder="1" applyAlignment="1">
      <alignment horizontal="left" vertical="center" wrapText="1"/>
    </xf>
    <xf numFmtId="0" fontId="29" fillId="0" borderId="48" xfId="0" applyFont="1" applyBorder="1" applyAlignment="1">
      <alignment horizontal="left" vertical="center" wrapText="1"/>
    </xf>
    <xf numFmtId="0" fontId="29" fillId="0" borderId="288" xfId="0" applyFont="1" applyBorder="1" applyAlignment="1">
      <alignment horizontal="left" vertical="center" wrapText="1"/>
    </xf>
    <xf numFmtId="0" fontId="38" fillId="12" borderId="56" xfId="0" applyFont="1" applyFill="1" applyBorder="1" applyAlignment="1">
      <alignment vertical="center"/>
    </xf>
    <xf numFmtId="0" fontId="38" fillId="12" borderId="57" xfId="0" applyFont="1" applyFill="1" applyBorder="1" applyAlignment="1">
      <alignment vertical="center"/>
    </xf>
    <xf numFmtId="0" fontId="38" fillId="12" borderId="58" xfId="0" applyFont="1" applyFill="1" applyBorder="1" applyAlignment="1">
      <alignment vertical="center"/>
    </xf>
    <xf numFmtId="0" fontId="42" fillId="3" borderId="279" xfId="0" applyFont="1" applyFill="1" applyBorder="1" applyAlignment="1">
      <alignment horizontal="left" vertical="center"/>
    </xf>
    <xf numFmtId="0" fontId="42" fillId="3" borderId="100" xfId="0" applyFont="1" applyFill="1" applyBorder="1" applyAlignment="1">
      <alignment horizontal="left" vertical="center"/>
    </xf>
    <xf numFmtId="0" fontId="42" fillId="3" borderId="280" xfId="0" applyFont="1" applyFill="1" applyBorder="1" applyAlignment="1">
      <alignment horizontal="left" vertical="center"/>
    </xf>
    <xf numFmtId="0" fontId="38" fillId="0" borderId="281" xfId="0" applyFont="1" applyBorder="1" applyAlignment="1">
      <alignment vertical="center" wrapText="1"/>
    </xf>
    <xf numFmtId="0" fontId="38" fillId="0" borderId="57" xfId="0" applyFont="1" applyBorder="1" applyAlignment="1">
      <alignment vertical="center" wrapText="1"/>
    </xf>
    <xf numFmtId="0" fontId="38" fillId="0" borderId="193" xfId="0" applyFont="1" applyBorder="1" applyAlignment="1">
      <alignment vertical="center" wrapText="1"/>
    </xf>
    <xf numFmtId="0" fontId="38" fillId="0" borderId="58" xfId="0" applyFont="1" applyBorder="1" applyAlignment="1">
      <alignment vertical="center" wrapText="1"/>
    </xf>
    <xf numFmtId="0" fontId="7" fillId="0" borderId="59" xfId="0" applyFont="1" applyBorder="1" applyAlignment="1">
      <alignment vertical="top" wrapText="1"/>
    </xf>
    <xf numFmtId="0" fontId="7" fillId="0" borderId="49" xfId="0" applyFont="1" applyBorder="1" applyAlignment="1">
      <alignment vertical="top" wrapText="1"/>
    </xf>
    <xf numFmtId="0" fontId="7" fillId="0" borderId="60" xfId="0" applyFont="1" applyBorder="1" applyAlignment="1">
      <alignment vertical="top" wrapText="1"/>
    </xf>
    <xf numFmtId="0" fontId="7" fillId="0" borderId="59" xfId="0" applyFont="1" applyBorder="1" applyAlignment="1">
      <alignment vertical="center" wrapText="1"/>
    </xf>
    <xf numFmtId="0" fontId="7" fillId="0" borderId="49" xfId="0" applyFont="1" applyBorder="1" applyAlignment="1">
      <alignment vertical="center" wrapText="1"/>
    </xf>
    <xf numFmtId="0" fontId="7" fillId="0" borderId="60" xfId="0" applyFont="1" applyBorder="1" applyAlignment="1">
      <alignment vertical="center" wrapText="1"/>
    </xf>
    <xf numFmtId="0" fontId="38" fillId="0" borderId="89" xfId="0" applyFont="1" applyBorder="1" applyAlignment="1">
      <alignment vertical="center" wrapText="1"/>
    </xf>
    <xf numFmtId="0" fontId="38" fillId="0" borderId="92" xfId="0" applyFont="1" applyBorder="1" applyAlignment="1">
      <alignment vertical="center" wrapText="1"/>
    </xf>
    <xf numFmtId="0" fontId="42" fillId="3" borderId="287" xfId="0" applyFont="1" applyFill="1" applyBorder="1" applyAlignment="1">
      <alignment horizontal="left" vertical="center"/>
    </xf>
    <xf numFmtId="0" fontId="42" fillId="3" borderId="177" xfId="0" applyFont="1" applyFill="1" applyBorder="1" applyAlignment="1">
      <alignment horizontal="left" vertical="center"/>
    </xf>
    <xf numFmtId="0" fontId="42" fillId="3" borderId="283" xfId="0" applyFont="1" applyFill="1" applyBorder="1" applyAlignment="1">
      <alignment horizontal="left" vertical="center"/>
    </xf>
    <xf numFmtId="0" fontId="29" fillId="5" borderId="2" xfId="0" applyFont="1" applyFill="1" applyBorder="1" applyAlignment="1">
      <alignment horizontal="center"/>
    </xf>
    <xf numFmtId="0" fontId="29" fillId="5" borderId="3" xfId="0" applyFont="1" applyFill="1" applyBorder="1" applyAlignment="1">
      <alignment horizontal="center"/>
    </xf>
    <xf numFmtId="0" fontId="42" fillId="3" borderId="288" xfId="0" applyFont="1" applyFill="1" applyBorder="1" applyAlignment="1">
      <alignment horizontal="left" vertical="center"/>
    </xf>
    <xf numFmtId="0" fontId="42" fillId="3" borderId="273" xfId="0" applyFont="1" applyFill="1" applyBorder="1" applyAlignment="1">
      <alignment horizontal="left" vertical="center"/>
    </xf>
    <xf numFmtId="0" fontId="42" fillId="3" borderId="289" xfId="0" applyFont="1" applyFill="1" applyBorder="1" applyAlignment="1">
      <alignment horizontal="left" vertical="center"/>
    </xf>
    <xf numFmtId="0" fontId="38" fillId="0" borderId="286" xfId="0" applyFont="1" applyBorder="1" applyAlignment="1">
      <alignment vertical="center" wrapText="1"/>
    </xf>
    <xf numFmtId="0" fontId="42" fillId="3" borderId="46" xfId="0" applyFont="1" applyFill="1" applyBorder="1" applyAlignment="1">
      <alignment horizontal="left" vertical="center"/>
    </xf>
    <xf numFmtId="0" fontId="42" fillId="3" borderId="94" xfId="0" applyFont="1" applyFill="1" applyBorder="1" applyAlignment="1">
      <alignment horizontal="left" vertical="center"/>
    </xf>
    <xf numFmtId="0" fontId="42" fillId="3" borderId="95" xfId="0" applyFont="1" applyFill="1" applyBorder="1" applyAlignment="1">
      <alignment horizontal="left" vertical="center"/>
    </xf>
    <xf numFmtId="0" fontId="38" fillId="12" borderId="89" xfId="0" applyFont="1" applyFill="1" applyBorder="1" applyAlignment="1">
      <alignment vertical="center"/>
    </xf>
    <xf numFmtId="0" fontId="38" fillId="12" borderId="91" xfId="0" applyFont="1" applyFill="1" applyBorder="1" applyAlignment="1">
      <alignment vertical="center"/>
    </xf>
    <xf numFmtId="0" fontId="38" fillId="12" borderId="92" xfId="0" applyFont="1" applyFill="1" applyBorder="1" applyAlignment="1">
      <alignment vertical="center"/>
    </xf>
    <xf numFmtId="0" fontId="42" fillId="3" borderId="286" xfId="0" applyFont="1" applyFill="1" applyBorder="1" applyAlignment="1">
      <alignment horizontal="left" vertical="center"/>
    </xf>
    <xf numFmtId="0" fontId="42" fillId="3" borderId="88" xfId="0" applyFont="1" applyFill="1" applyBorder="1" applyAlignment="1">
      <alignment horizontal="left" vertical="center"/>
    </xf>
    <xf numFmtId="0" fontId="42" fillId="3" borderId="75" xfId="0" applyFont="1" applyFill="1" applyBorder="1" applyAlignment="1">
      <alignment horizontal="left" vertical="center"/>
    </xf>
    <xf numFmtId="0" fontId="42" fillId="3" borderId="276" xfId="0" applyFont="1" applyFill="1" applyBorder="1" applyAlignment="1">
      <alignment horizontal="left" vertical="center"/>
    </xf>
    <xf numFmtId="0" fontId="38" fillId="5" borderId="0" xfId="0" applyFont="1" applyFill="1" applyBorder="1" applyAlignment="1">
      <alignment horizontal="center" wrapText="1"/>
    </xf>
    <xf numFmtId="0" fontId="42" fillId="3" borderId="91" xfId="0" applyFont="1" applyFill="1" applyBorder="1" applyAlignment="1">
      <alignment horizontal="left" vertical="center"/>
    </xf>
    <xf numFmtId="0" fontId="8" fillId="5" borderId="233" xfId="0" applyFont="1" applyFill="1" applyBorder="1" applyAlignment="1">
      <alignment vertical="center" wrapText="1"/>
    </xf>
    <xf numFmtId="0" fontId="8" fillId="5" borderId="236" xfId="0" applyFont="1" applyFill="1" applyBorder="1" applyAlignment="1">
      <alignment vertical="center" wrapText="1"/>
    </xf>
    <xf numFmtId="0" fontId="9" fillId="5" borderId="233" xfId="0" applyFont="1" applyFill="1" applyBorder="1" applyAlignment="1">
      <alignment vertical="center" wrapText="1"/>
    </xf>
    <xf numFmtId="0" fontId="9" fillId="5" borderId="41" xfId="0" applyFont="1" applyFill="1" applyBorder="1" applyAlignment="1">
      <alignment vertical="center" wrapText="1"/>
    </xf>
    <xf numFmtId="0" fontId="9" fillId="6" borderId="284" xfId="0" applyFont="1" applyFill="1" applyBorder="1" applyAlignment="1">
      <alignment horizontal="left" vertical="top" wrapText="1"/>
    </xf>
    <xf numFmtId="0" fontId="9" fillId="6" borderId="196" xfId="0" applyFont="1" applyFill="1" applyBorder="1" applyAlignment="1">
      <alignment horizontal="left" vertical="top" wrapText="1"/>
    </xf>
    <xf numFmtId="0" fontId="9" fillId="6" borderId="285" xfId="0" applyFont="1" applyFill="1" applyBorder="1" applyAlignment="1">
      <alignment horizontal="left" vertical="top" wrapText="1"/>
    </xf>
    <xf numFmtId="0" fontId="16" fillId="0" borderId="40" xfId="0" applyFont="1" applyBorder="1" applyAlignment="1">
      <alignment vertical="top" wrapText="1"/>
    </xf>
    <xf numFmtId="0" fontId="16" fillId="0" borderId="25" xfId="0" applyFont="1" applyBorder="1" applyAlignment="1">
      <alignment vertical="top" wrapText="1"/>
    </xf>
    <xf numFmtId="0" fontId="16" fillId="0" borderId="23" xfId="0" applyFont="1" applyBorder="1" applyAlignment="1">
      <alignment vertical="top" wrapText="1"/>
    </xf>
    <xf numFmtId="0" fontId="8" fillId="2" borderId="22" xfId="0" applyFont="1" applyFill="1" applyBorder="1" applyAlignment="1">
      <alignment horizontal="left" vertical="top"/>
    </xf>
    <xf numFmtId="49" fontId="18" fillId="4" borderId="168" xfId="1" applyNumberFormat="1" applyFont="1" applyFill="1" applyBorder="1" applyAlignment="1">
      <alignment horizontal="center" vertical="center"/>
    </xf>
    <xf numFmtId="49" fontId="18" fillId="4" borderId="30" xfId="1" applyNumberFormat="1" applyFont="1" applyFill="1" applyBorder="1" applyAlignment="1">
      <alignment horizontal="center" vertical="center"/>
    </xf>
    <xf numFmtId="49" fontId="18" fillId="4" borderId="169" xfId="1" applyNumberFormat="1" applyFont="1" applyFill="1" applyBorder="1" applyAlignment="1">
      <alignment horizontal="center" vertical="center"/>
    </xf>
    <xf numFmtId="49" fontId="18" fillId="4" borderId="167" xfId="1" applyNumberFormat="1" applyFont="1" applyFill="1" applyBorder="1" applyAlignment="1">
      <alignment horizontal="center" vertical="center"/>
    </xf>
    <xf numFmtId="49" fontId="18" fillId="4" borderId="64" xfId="1" applyNumberFormat="1" applyFont="1" applyFill="1" applyBorder="1" applyAlignment="1">
      <alignment horizontal="center" vertical="center"/>
    </xf>
    <xf numFmtId="49" fontId="18" fillId="4" borderId="48" xfId="1" applyNumberFormat="1" applyFont="1" applyFill="1" applyBorder="1" applyAlignment="1">
      <alignment horizontal="center" vertical="center"/>
    </xf>
    <xf numFmtId="49" fontId="18" fillId="4" borderId="0" xfId="1" applyNumberFormat="1" applyFont="1" applyFill="1" applyBorder="1" applyAlignment="1">
      <alignment horizontal="center" vertical="center"/>
    </xf>
    <xf numFmtId="49" fontId="18" fillId="4" borderId="66" xfId="1" applyNumberFormat="1" applyFont="1" applyFill="1" applyBorder="1" applyAlignment="1">
      <alignment horizontal="center" vertical="center"/>
    </xf>
    <xf numFmtId="49" fontId="18" fillId="4" borderId="9" xfId="1" applyNumberFormat="1" applyFont="1" applyFill="1" applyBorder="1" applyAlignment="1">
      <alignment horizontal="center" vertical="center"/>
    </xf>
    <xf numFmtId="0" fontId="7" fillId="0" borderId="24" xfId="0" applyFont="1" applyBorder="1" applyAlignment="1">
      <alignment vertical="top" wrapText="1"/>
    </xf>
    <xf numFmtId="49" fontId="14" fillId="4" borderId="9" xfId="1" applyNumberFormat="1" applyFont="1" applyFill="1" applyBorder="1" applyAlignment="1">
      <alignment horizontal="center" vertical="center"/>
    </xf>
    <xf numFmtId="0" fontId="9" fillId="3" borderId="38" xfId="0" applyFont="1" applyFill="1" applyBorder="1" applyAlignment="1">
      <alignment horizontal="left" vertical="center"/>
    </xf>
    <xf numFmtId="0" fontId="9" fillId="3" borderId="47" xfId="0" applyFont="1" applyFill="1" applyBorder="1" applyAlignment="1">
      <alignment horizontal="left" vertical="center"/>
    </xf>
    <xf numFmtId="0" fontId="9" fillId="3" borderId="139" xfId="0" applyFont="1" applyFill="1" applyBorder="1" applyAlignment="1">
      <alignment horizontal="left" vertical="center"/>
    </xf>
    <xf numFmtId="0" fontId="9" fillId="5" borderId="49" xfId="0" applyFont="1" applyFill="1" applyBorder="1" applyAlignment="1">
      <alignment vertical="top" wrapText="1"/>
    </xf>
    <xf numFmtId="0" fontId="9" fillId="5" borderId="60" xfId="0" applyFont="1" applyFill="1" applyBorder="1" applyAlignment="1">
      <alignment vertical="top" wrapText="1"/>
    </xf>
    <xf numFmtId="0" fontId="7" fillId="5" borderId="23" xfId="0" applyFont="1" applyFill="1" applyBorder="1" applyAlignment="1">
      <alignment vertical="top" wrapText="1"/>
    </xf>
    <xf numFmtId="0" fontId="7" fillId="5" borderId="24" xfId="0" applyFont="1" applyFill="1" applyBorder="1" applyAlignment="1">
      <alignment vertical="top" wrapText="1"/>
    </xf>
    <xf numFmtId="0" fontId="7" fillId="5" borderId="25" xfId="0" applyFont="1" applyFill="1" applyBorder="1" applyAlignment="1">
      <alignment vertical="top" wrapText="1"/>
    </xf>
    <xf numFmtId="0" fontId="8" fillId="4" borderId="9" xfId="0" applyFont="1" applyFill="1" applyBorder="1" applyAlignment="1">
      <alignment horizontal="center" vertical="center" wrapText="1"/>
    </xf>
    <xf numFmtId="0" fontId="8" fillId="4" borderId="8" xfId="0" applyFont="1" applyFill="1" applyBorder="1" applyAlignment="1">
      <alignment horizontal="center" vertical="center" wrapText="1"/>
    </xf>
    <xf numFmtId="0" fontId="7" fillId="4" borderId="9" xfId="0" applyFont="1" applyFill="1" applyBorder="1" applyAlignment="1">
      <alignment horizontal="center" wrapText="1"/>
    </xf>
    <xf numFmtId="0" fontId="7" fillId="4" borderId="8" xfId="0" applyFont="1" applyFill="1" applyBorder="1" applyAlignment="1">
      <alignment horizontal="center" wrapText="1"/>
    </xf>
    <xf numFmtId="0" fontId="8" fillId="7" borderId="20" xfId="0" applyFont="1" applyFill="1" applyBorder="1" applyAlignment="1">
      <alignment horizontal="center" vertical="center"/>
    </xf>
    <xf numFmtId="0" fontId="8" fillId="7" borderId="45" xfId="0" applyFont="1" applyFill="1" applyBorder="1" applyAlignment="1">
      <alignment horizontal="center" vertical="center"/>
    </xf>
    <xf numFmtId="0" fontId="8" fillId="7" borderId="9" xfId="0" applyFont="1" applyFill="1" applyBorder="1" applyAlignment="1">
      <alignment horizontal="center" vertical="center"/>
    </xf>
    <xf numFmtId="0" fontId="8" fillId="7" borderId="6" xfId="0" applyFont="1" applyFill="1" applyBorder="1" applyAlignment="1">
      <alignment horizontal="center" vertical="center"/>
    </xf>
    <xf numFmtId="0" fontId="8" fillId="2" borderId="23" xfId="0" applyFont="1" applyFill="1" applyBorder="1" applyAlignment="1">
      <alignment vertical="top" wrapText="1"/>
    </xf>
    <xf numFmtId="0" fontId="8" fillId="2" borderId="25" xfId="0" applyFont="1" applyFill="1" applyBorder="1" applyAlignment="1">
      <alignment vertical="top" wrapText="1"/>
    </xf>
    <xf numFmtId="0" fontId="8" fillId="2" borderId="23" xfId="0" applyFont="1" applyFill="1" applyBorder="1" applyAlignment="1">
      <alignment horizontal="left" vertical="center" wrapText="1"/>
    </xf>
    <xf numFmtId="0" fontId="8" fillId="2" borderId="25" xfId="0" applyFont="1" applyFill="1" applyBorder="1" applyAlignment="1">
      <alignment horizontal="left" vertical="center" wrapText="1"/>
    </xf>
    <xf numFmtId="0" fontId="9" fillId="3" borderId="17" xfId="0" applyFont="1" applyFill="1" applyBorder="1" applyAlignment="1">
      <alignment horizontal="left" vertical="center"/>
    </xf>
    <xf numFmtId="0" fontId="9" fillId="3" borderId="18" xfId="0" applyFont="1" applyFill="1" applyBorder="1" applyAlignment="1">
      <alignment horizontal="left" vertical="center"/>
    </xf>
    <xf numFmtId="0" fontId="9" fillId="3" borderId="16" xfId="0" applyFont="1" applyFill="1" applyBorder="1" applyAlignment="1">
      <alignment horizontal="left" vertical="center"/>
    </xf>
    <xf numFmtId="0" fontId="9" fillId="3" borderId="51" xfId="0" applyFont="1" applyFill="1" applyBorder="1" applyAlignment="1">
      <alignment horizontal="left" vertical="center"/>
    </xf>
    <xf numFmtId="0" fontId="8" fillId="8" borderId="27" xfId="0" applyFont="1" applyFill="1" applyBorder="1" applyAlignment="1">
      <alignment horizontal="center" vertical="center" wrapText="1"/>
    </xf>
    <xf numFmtId="0" fontId="8" fillId="8" borderId="29" xfId="0" applyFont="1" applyFill="1" applyBorder="1" applyAlignment="1">
      <alignment horizontal="center" vertical="center" wrapText="1"/>
    </xf>
    <xf numFmtId="0" fontId="7" fillId="4" borderId="23" xfId="0" applyFont="1" applyFill="1" applyBorder="1" applyAlignment="1">
      <alignment vertical="center"/>
    </xf>
    <xf numFmtId="0" fontId="7" fillId="4" borderId="41" xfId="0" applyFont="1" applyFill="1" applyBorder="1" applyAlignment="1">
      <alignment vertical="center"/>
    </xf>
    <xf numFmtId="0" fontId="7" fillId="10" borderId="44" xfId="0" applyFont="1" applyFill="1" applyBorder="1" applyAlignment="1">
      <alignment horizontal="left" vertical="top" wrapText="1"/>
    </xf>
    <xf numFmtId="0" fontId="7" fillId="10" borderId="28" xfId="0" applyFont="1" applyFill="1" applyBorder="1" applyAlignment="1">
      <alignment horizontal="left" vertical="top" wrapText="1"/>
    </xf>
    <xf numFmtId="0" fontId="7" fillId="10" borderId="50" xfId="0" applyFont="1" applyFill="1" applyBorder="1" applyAlignment="1">
      <alignment horizontal="left" vertical="top" wrapText="1"/>
    </xf>
    <xf numFmtId="0" fontId="8" fillId="0" borderId="23" xfId="0" applyFont="1" applyBorder="1" applyAlignment="1">
      <alignment vertical="top" wrapText="1"/>
    </xf>
    <xf numFmtId="0" fontId="8" fillId="0" borderId="24" xfId="0" applyFont="1" applyBorder="1" applyAlignment="1">
      <alignment vertical="top" wrapText="1"/>
    </xf>
    <xf numFmtId="0" fontId="8" fillId="0" borderId="41" xfId="0" applyFont="1" applyBorder="1" applyAlignment="1">
      <alignment vertical="top" wrapText="1"/>
    </xf>
    <xf numFmtId="49" fontId="18" fillId="4" borderId="11" xfId="1" applyNumberFormat="1" applyFont="1" applyFill="1" applyBorder="1" applyAlignment="1">
      <alignment horizontal="center" vertical="center"/>
    </xf>
    <xf numFmtId="0" fontId="8" fillId="8" borderId="22" xfId="0" applyFont="1" applyFill="1" applyBorder="1" applyAlignment="1">
      <alignment horizontal="center" vertical="center"/>
    </xf>
    <xf numFmtId="0" fontId="7" fillId="4" borderId="25" xfId="0" applyFont="1" applyFill="1" applyBorder="1" applyAlignment="1">
      <alignment vertical="center"/>
    </xf>
    <xf numFmtId="0" fontId="7" fillId="10" borderId="27" xfId="0" applyFont="1" applyFill="1" applyBorder="1" applyAlignment="1">
      <alignment horizontal="center" vertical="top" wrapText="1"/>
    </xf>
    <xf numFmtId="0" fontId="7" fillId="10" borderId="28" xfId="0" applyFont="1" applyFill="1" applyBorder="1" applyAlignment="1">
      <alignment horizontal="center" vertical="top" wrapText="1"/>
    </xf>
    <xf numFmtId="0" fontId="7" fillId="10" borderId="50" xfId="0" applyFont="1" applyFill="1" applyBorder="1" applyAlignment="1">
      <alignment horizontal="center" vertical="top" wrapText="1"/>
    </xf>
    <xf numFmtId="0" fontId="7" fillId="4" borderId="63" xfId="0" applyFont="1" applyFill="1" applyBorder="1" applyAlignment="1">
      <alignment horizontal="center" vertical="center" wrapText="1"/>
    </xf>
    <xf numFmtId="0" fontId="7" fillId="4" borderId="172" xfId="0" applyFont="1" applyFill="1" applyBorder="1" applyAlignment="1">
      <alignment horizontal="center" vertical="center" wrapText="1"/>
    </xf>
    <xf numFmtId="0" fontId="22" fillId="2" borderId="40" xfId="0" applyFont="1" applyFill="1" applyBorder="1" applyAlignment="1">
      <alignment horizontal="left" vertical="top" wrapText="1"/>
    </xf>
    <xf numFmtId="0" fontId="22" fillId="2" borderId="24" xfId="0" applyFont="1" applyFill="1" applyBorder="1" applyAlignment="1">
      <alignment horizontal="left" vertical="top" wrapText="1"/>
    </xf>
    <xf numFmtId="0" fontId="22" fillId="2" borderId="41" xfId="0" applyFont="1" applyFill="1" applyBorder="1" applyAlignment="1">
      <alignment horizontal="left" vertical="top" wrapText="1"/>
    </xf>
    <xf numFmtId="0" fontId="8" fillId="0" borderId="23" xfId="0" applyFont="1" applyBorder="1" applyAlignment="1">
      <alignment vertical="center" wrapText="1"/>
    </xf>
    <xf numFmtId="0" fontId="8" fillId="0" borderId="25" xfId="0" applyFont="1" applyBorder="1" applyAlignment="1">
      <alignment vertical="center" wrapText="1"/>
    </xf>
    <xf numFmtId="0" fontId="7" fillId="0" borderId="25" xfId="0" applyFont="1" applyBorder="1" applyAlignment="1">
      <alignment vertical="top" wrapText="1"/>
    </xf>
    <xf numFmtId="0" fontId="8" fillId="0" borderId="25" xfId="0" applyFont="1" applyBorder="1" applyAlignment="1">
      <alignment vertical="top" wrapText="1"/>
    </xf>
    <xf numFmtId="0" fontId="8" fillId="0" borderId="20" xfId="0" applyFont="1" applyBorder="1" applyAlignment="1">
      <alignment vertical="top" wrapText="1"/>
    </xf>
    <xf numFmtId="0" fontId="8" fillId="0" borderId="21" xfId="0" applyFont="1" applyBorder="1" applyAlignment="1">
      <alignment vertical="top" wrapText="1"/>
    </xf>
    <xf numFmtId="0" fontId="8" fillId="0" borderId="26" xfId="0" applyFont="1" applyBorder="1" applyAlignment="1">
      <alignment vertical="top" wrapText="1"/>
    </xf>
    <xf numFmtId="0" fontId="8" fillId="8" borderId="44" xfId="0" applyFont="1" applyFill="1" applyBorder="1" applyAlignment="1">
      <alignment horizontal="center" vertical="center"/>
    </xf>
    <xf numFmtId="0" fontId="8" fillId="8" borderId="29" xfId="0" applyFont="1" applyFill="1" applyBorder="1" applyAlignment="1">
      <alignment horizontal="center" vertical="center"/>
    </xf>
    <xf numFmtId="0" fontId="9" fillId="3" borderId="172" xfId="0" applyFont="1" applyFill="1" applyBorder="1" applyAlignment="1">
      <alignment horizontal="left" vertical="center"/>
    </xf>
    <xf numFmtId="0" fontId="7" fillId="0" borderId="27" xfId="0" applyFont="1" applyBorder="1" applyAlignment="1">
      <alignment vertical="top" wrapText="1"/>
    </xf>
    <xf numFmtId="0" fontId="7" fillId="0" borderId="28" xfId="0" applyFont="1" applyBorder="1" applyAlignment="1">
      <alignment vertical="top" wrapText="1"/>
    </xf>
    <xf numFmtId="0" fontId="7" fillId="0" borderId="29" xfId="0" applyFont="1" applyBorder="1" applyAlignment="1">
      <alignment vertical="top" wrapText="1"/>
    </xf>
    <xf numFmtId="0" fontId="7" fillId="10" borderId="48" xfId="0" applyFont="1" applyFill="1" applyBorder="1" applyAlignment="1">
      <alignment horizontal="center" vertical="top" wrapText="1"/>
    </xf>
    <xf numFmtId="0" fontId="7" fillId="10" borderId="79" xfId="0" applyFont="1" applyFill="1" applyBorder="1" applyAlignment="1">
      <alignment horizontal="center" vertical="top" wrapText="1"/>
    </xf>
    <xf numFmtId="0" fontId="22" fillId="2" borderId="23" xfId="0" applyFont="1" applyFill="1" applyBorder="1" applyAlignment="1">
      <alignment horizontal="center" vertical="top" wrapText="1"/>
    </xf>
    <xf numFmtId="0" fontId="22" fillId="2" borderId="24" xfId="0" applyFont="1" applyFill="1" applyBorder="1" applyAlignment="1">
      <alignment horizontal="center" vertical="top" wrapText="1"/>
    </xf>
    <xf numFmtId="0" fontId="22" fillId="2" borderId="41" xfId="0" applyFont="1" applyFill="1" applyBorder="1" applyAlignment="1">
      <alignment horizontal="center" vertical="top" wrapText="1"/>
    </xf>
    <xf numFmtId="0" fontId="8" fillId="8" borderId="23" xfId="0" applyFont="1" applyFill="1" applyBorder="1" applyAlignment="1">
      <alignment horizontal="center" vertical="center" wrapText="1"/>
    </xf>
    <xf numFmtId="0" fontId="8" fillId="8" borderId="25" xfId="0" applyFont="1" applyFill="1" applyBorder="1" applyAlignment="1">
      <alignment horizontal="center" vertical="center" wrapText="1"/>
    </xf>
    <xf numFmtId="0" fontId="22" fillId="2" borderId="49" xfId="0" applyFont="1" applyFill="1" applyBorder="1" applyAlignment="1">
      <alignment horizontal="center" vertical="top" wrapText="1"/>
    </xf>
    <xf numFmtId="0" fontId="22" fillId="2" borderId="60" xfId="0" applyFont="1" applyFill="1" applyBorder="1" applyAlignment="1">
      <alignment horizontal="center" vertical="top" wrapText="1"/>
    </xf>
    <xf numFmtId="0" fontId="7" fillId="10" borderId="54" xfId="0" applyFont="1" applyFill="1" applyBorder="1" applyAlignment="1">
      <alignment horizontal="center" vertical="top" wrapText="1"/>
    </xf>
    <xf numFmtId="0" fontId="7" fillId="10" borderId="44" xfId="0" applyFont="1" applyFill="1" applyBorder="1" applyAlignment="1">
      <alignment horizontal="center" vertical="top" wrapText="1"/>
    </xf>
    <xf numFmtId="0" fontId="7" fillId="5" borderId="41" xfId="0" applyFont="1" applyFill="1" applyBorder="1" applyAlignment="1">
      <alignment vertical="top" wrapText="1"/>
    </xf>
    <xf numFmtId="0" fontId="8" fillId="5" borderId="23" xfId="0" applyFont="1" applyFill="1" applyBorder="1" applyAlignment="1">
      <alignment vertical="top" wrapText="1"/>
    </xf>
    <xf numFmtId="0" fontId="8" fillId="5" borderId="24" xfId="0" applyFont="1" applyFill="1" applyBorder="1" applyAlignment="1">
      <alignment vertical="top" wrapText="1"/>
    </xf>
    <xf numFmtId="0" fontId="8" fillId="5" borderId="25" xfId="0" applyFont="1" applyFill="1" applyBorder="1" applyAlignment="1">
      <alignment vertical="top" wrapText="1"/>
    </xf>
    <xf numFmtId="0" fontId="9" fillId="3" borderId="6" xfId="0" applyFont="1" applyFill="1" applyBorder="1" applyAlignment="1">
      <alignment horizontal="left" vertical="center"/>
    </xf>
    <xf numFmtId="0" fontId="9" fillId="3" borderId="8" xfId="0" applyFont="1" applyFill="1" applyBorder="1" applyAlignment="1">
      <alignment horizontal="left" vertical="center"/>
    </xf>
    <xf numFmtId="0" fontId="9" fillId="3" borderId="32" xfId="0" applyFont="1" applyFill="1" applyBorder="1" applyAlignment="1">
      <alignment horizontal="left" vertical="center"/>
    </xf>
    <xf numFmtId="0" fontId="26" fillId="2" borderId="59" xfId="0" applyFont="1" applyFill="1" applyBorder="1" applyAlignment="1">
      <alignment horizontal="center" vertical="top" wrapText="1"/>
    </xf>
    <xf numFmtId="0" fontId="26" fillId="2" borderId="49" xfId="0" applyFont="1" applyFill="1" applyBorder="1" applyAlignment="1">
      <alignment horizontal="center" vertical="top" wrapText="1"/>
    </xf>
    <xf numFmtId="0" fontId="26" fillId="2" borderId="40" xfId="0" applyFont="1" applyFill="1" applyBorder="1" applyAlignment="1">
      <alignment horizontal="center" vertical="top" wrapText="1"/>
    </xf>
    <xf numFmtId="0" fontId="26" fillId="2" borderId="41" xfId="0" applyFont="1" applyFill="1" applyBorder="1" applyAlignment="1">
      <alignment horizontal="center" vertical="top" wrapText="1"/>
    </xf>
    <xf numFmtId="0" fontId="22" fillId="2" borderId="59" xfId="0" applyFont="1" applyFill="1" applyBorder="1" applyAlignment="1">
      <alignment horizontal="center" vertical="top" wrapText="1"/>
    </xf>
    <xf numFmtId="0" fontId="22" fillId="2" borderId="40" xfId="0" applyFont="1" applyFill="1" applyBorder="1" applyAlignment="1">
      <alignment horizontal="center" vertical="top" wrapText="1"/>
    </xf>
    <xf numFmtId="0" fontId="7" fillId="10" borderId="49" xfId="0" applyFont="1" applyFill="1" applyBorder="1" applyAlignment="1">
      <alignment horizontal="center" vertical="top" wrapText="1"/>
    </xf>
    <xf numFmtId="0" fontId="7" fillId="10" borderId="60" xfId="0" applyFont="1" applyFill="1" applyBorder="1" applyAlignment="1">
      <alignment horizontal="center" vertical="top" wrapText="1"/>
    </xf>
    <xf numFmtId="0" fontId="8" fillId="0" borderId="59" xfId="0" applyFont="1" applyBorder="1" applyAlignment="1">
      <alignment vertical="center" wrapText="1"/>
    </xf>
    <xf numFmtId="0" fontId="8" fillId="0" borderId="49" xfId="0" applyFont="1" applyBorder="1" applyAlignment="1">
      <alignment vertical="center" wrapText="1"/>
    </xf>
    <xf numFmtId="0" fontId="8" fillId="0" borderId="48" xfId="0" applyFont="1" applyBorder="1" applyAlignment="1">
      <alignment vertical="center" wrapText="1"/>
    </xf>
    <xf numFmtId="0" fontId="8" fillId="0" borderId="79" xfId="0" applyFont="1" applyBorder="1" applyAlignment="1">
      <alignment vertical="center" wrapText="1"/>
    </xf>
    <xf numFmtId="0" fontId="8" fillId="5" borderId="27" xfId="0" applyFont="1" applyFill="1" applyBorder="1" applyAlignment="1">
      <alignment vertical="top" wrapText="1"/>
    </xf>
    <xf numFmtId="0" fontId="8" fillId="5" borderId="29" xfId="0" applyFont="1" applyFill="1" applyBorder="1" applyAlignment="1">
      <alignment vertical="top" wrapText="1"/>
    </xf>
    <xf numFmtId="0" fontId="8" fillId="5" borderId="40" xfId="0" applyFont="1" applyFill="1" applyBorder="1" applyAlignment="1">
      <alignment vertical="top" wrapText="1"/>
    </xf>
    <xf numFmtId="0" fontId="8" fillId="0" borderId="44" xfId="0" applyFont="1" applyBorder="1" applyAlignment="1">
      <alignment vertical="top" wrapText="1"/>
    </xf>
    <xf numFmtId="0" fontId="8" fillId="0" borderId="28" xfId="0" applyFont="1" applyBorder="1" applyAlignment="1">
      <alignment vertical="top" wrapText="1"/>
    </xf>
    <xf numFmtId="0" fontId="8" fillId="0" borderId="29" xfId="0" applyFont="1" applyBorder="1" applyAlignment="1">
      <alignment vertical="top" wrapText="1"/>
    </xf>
    <xf numFmtId="0" fontId="8" fillId="2" borderId="64" xfId="0" applyFont="1" applyFill="1" applyBorder="1" applyAlignment="1">
      <alignment horizontal="left" vertical="center" wrapText="1"/>
    </xf>
    <xf numFmtId="0" fontId="8" fillId="2" borderId="174" xfId="0" applyFont="1" applyFill="1" applyBorder="1" applyAlignment="1">
      <alignment horizontal="left" vertical="center" wrapText="1"/>
    </xf>
    <xf numFmtId="0" fontId="7" fillId="0" borderId="44" xfId="0" applyFont="1" applyBorder="1" applyAlignment="1">
      <alignment vertical="top" wrapText="1"/>
    </xf>
    <xf numFmtId="0" fontId="8" fillId="8" borderId="44" xfId="0" applyFont="1" applyFill="1" applyBorder="1" applyAlignment="1">
      <alignment horizontal="center" vertical="center" wrapText="1"/>
    </xf>
    <xf numFmtId="0" fontId="8" fillId="8" borderId="43" xfId="0" applyFont="1" applyFill="1" applyBorder="1" applyAlignment="1">
      <alignment horizontal="center" vertical="center"/>
    </xf>
    <xf numFmtId="0" fontId="8" fillId="6" borderId="38" xfId="0" applyFont="1" applyFill="1" applyBorder="1" applyAlignment="1">
      <alignment horizontal="center" vertical="center"/>
    </xf>
    <xf numFmtId="0" fontId="8" fillId="6" borderId="139" xfId="0" applyFont="1" applyFill="1" applyBorder="1" applyAlignment="1">
      <alignment horizontal="center" vertical="center"/>
    </xf>
    <xf numFmtId="0" fontId="40" fillId="0" borderId="38" xfId="0" applyFont="1" applyBorder="1" applyAlignment="1">
      <alignment horizontal="center" vertical="center" wrapText="1"/>
    </xf>
    <xf numFmtId="0" fontId="40" fillId="0" borderId="47" xfId="0" applyFont="1" applyBorder="1" applyAlignment="1">
      <alignment horizontal="center" vertical="center" wrapText="1"/>
    </xf>
    <xf numFmtId="0" fontId="12" fillId="7" borderId="40"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8" fillId="8" borderId="52" xfId="0" applyFont="1" applyFill="1" applyBorder="1" applyAlignment="1">
      <alignment horizontal="center" vertical="center"/>
    </xf>
    <xf numFmtId="0" fontId="4" fillId="0" borderId="103" xfId="0" applyFont="1" applyBorder="1" applyAlignment="1">
      <alignment horizontal="left" vertical="top" wrapText="1"/>
    </xf>
    <xf numFmtId="0" fontId="4" fillId="0" borderId="104" xfId="0" applyFont="1" applyBorder="1" applyAlignment="1">
      <alignment horizontal="left" vertical="top" wrapText="1"/>
    </xf>
    <xf numFmtId="0" fontId="4" fillId="0" borderId="105" xfId="0" applyFont="1" applyBorder="1" applyAlignment="1">
      <alignment horizontal="left" vertical="top" wrapText="1"/>
    </xf>
    <xf numFmtId="0" fontId="4" fillId="0" borderId="106" xfId="0" applyFont="1" applyBorder="1" applyAlignment="1">
      <alignment horizontal="left" vertical="top" wrapText="1"/>
    </xf>
    <xf numFmtId="0" fontId="4" fillId="0" borderId="0" xfId="0" applyFont="1" applyBorder="1" applyAlignment="1">
      <alignment horizontal="left" vertical="top" wrapText="1"/>
    </xf>
    <xf numFmtId="0" fontId="4" fillId="0" borderId="107" xfId="0" applyFont="1" applyBorder="1" applyAlignment="1">
      <alignment horizontal="left" vertical="top" wrapText="1"/>
    </xf>
    <xf numFmtId="0" fontId="4" fillId="0" borderId="108" xfId="0" applyFont="1" applyBorder="1" applyAlignment="1">
      <alignment horizontal="left" vertical="top" wrapText="1"/>
    </xf>
    <xf numFmtId="0" fontId="4" fillId="0" borderId="109" xfId="0" applyFont="1" applyBorder="1" applyAlignment="1">
      <alignment horizontal="left" vertical="top" wrapText="1"/>
    </xf>
    <xf numFmtId="0" fontId="4" fillId="0" borderId="110" xfId="0" applyFont="1" applyBorder="1" applyAlignment="1">
      <alignment horizontal="left" vertical="top" wrapText="1"/>
    </xf>
    <xf numFmtId="0" fontId="37" fillId="0" borderId="103" xfId="0" applyFont="1" applyBorder="1" applyAlignment="1" applyProtection="1">
      <alignment horizontal="left" vertical="top"/>
      <protection locked="0"/>
    </xf>
    <xf numFmtId="0" fontId="37" fillId="0" borderId="104" xfId="0" applyFont="1" applyBorder="1" applyAlignment="1" applyProtection="1">
      <alignment horizontal="left" vertical="top"/>
      <protection locked="0"/>
    </xf>
    <xf numFmtId="0" fontId="37" fillId="0" borderId="105" xfId="0" applyFont="1" applyBorder="1" applyAlignment="1" applyProtection="1">
      <alignment horizontal="left" vertical="top"/>
      <protection locked="0"/>
    </xf>
    <xf numFmtId="0" fontId="37" fillId="0" borderId="106" xfId="0" applyFont="1" applyBorder="1" applyAlignment="1" applyProtection="1">
      <alignment horizontal="left" vertical="top"/>
      <protection locked="0"/>
    </xf>
    <xf numFmtId="0" fontId="37" fillId="0" borderId="0" xfId="0" applyFont="1" applyBorder="1" applyAlignment="1" applyProtection="1">
      <alignment horizontal="left" vertical="top"/>
      <protection locked="0"/>
    </xf>
    <xf numFmtId="0" fontId="37" fillId="0" borderId="107" xfId="0" applyFont="1" applyBorder="1" applyAlignment="1" applyProtection="1">
      <alignment horizontal="left" vertical="top"/>
      <protection locked="0"/>
    </xf>
    <xf numFmtId="0" fontId="37" fillId="0" borderId="108" xfId="0" applyFont="1" applyBorder="1" applyAlignment="1" applyProtection="1">
      <alignment horizontal="left" vertical="top"/>
      <protection locked="0"/>
    </xf>
    <xf numFmtId="0" fontId="37" fillId="0" borderId="109" xfId="0" applyFont="1" applyBorder="1" applyAlignment="1" applyProtection="1">
      <alignment horizontal="left" vertical="top"/>
      <protection locked="0"/>
    </xf>
    <xf numFmtId="0" fontId="37" fillId="0" borderId="110" xfId="0" applyFont="1" applyBorder="1" applyAlignment="1" applyProtection="1">
      <alignment horizontal="left" vertical="top"/>
      <protection locked="0"/>
    </xf>
    <xf numFmtId="0" fontId="34" fillId="13" borderId="101" xfId="0" applyFont="1" applyFill="1" applyBorder="1" applyAlignment="1">
      <alignment horizontal="center" vertical="top" wrapText="1"/>
    </xf>
    <xf numFmtId="0" fontId="34" fillId="13" borderId="0" xfId="0" applyFont="1" applyFill="1" applyBorder="1" applyAlignment="1">
      <alignment horizontal="center" vertical="top" wrapText="1"/>
    </xf>
    <xf numFmtId="0" fontId="34" fillId="13" borderId="102" xfId="0" applyFont="1" applyFill="1" applyBorder="1" applyAlignment="1">
      <alignment horizontal="center" vertical="top" wrapText="1"/>
    </xf>
    <xf numFmtId="0" fontId="34" fillId="13" borderId="0" xfId="0" applyFont="1" applyFill="1" applyBorder="1" applyAlignment="1">
      <alignment horizontal="left" vertical="top" wrapText="1"/>
    </xf>
    <xf numFmtId="0" fontId="34" fillId="13" borderId="66" xfId="0" applyFont="1" applyFill="1" applyBorder="1" applyAlignment="1">
      <alignment horizontal="left" vertical="top" wrapText="1"/>
    </xf>
    <xf numFmtId="0" fontId="12" fillId="0" borderId="111" xfId="0" applyFont="1" applyBorder="1" applyAlignment="1">
      <alignment horizontal="left" vertical="top" wrapText="1"/>
    </xf>
    <xf numFmtId="0" fontId="12" fillId="0" borderId="112" xfId="0" applyFont="1" applyBorder="1" applyAlignment="1">
      <alignment horizontal="left" vertical="top" wrapText="1"/>
    </xf>
    <xf numFmtId="0" fontId="12" fillId="0" borderId="113" xfId="0" applyFont="1" applyBorder="1" applyAlignment="1">
      <alignment horizontal="left" vertical="top" wrapText="1"/>
    </xf>
    <xf numFmtId="0" fontId="12" fillId="0" borderId="114" xfId="0" applyFont="1" applyBorder="1" applyAlignment="1">
      <alignment horizontal="left" vertical="top" wrapText="1"/>
    </xf>
    <xf numFmtId="0" fontId="12" fillId="0" borderId="0" xfId="0" applyFont="1" applyBorder="1" applyAlignment="1">
      <alignment horizontal="left" vertical="top" wrapText="1"/>
    </xf>
    <xf numFmtId="0" fontId="12" fillId="0" borderId="115" xfId="0" applyFont="1" applyBorder="1" applyAlignment="1">
      <alignment horizontal="left" vertical="top" wrapText="1"/>
    </xf>
    <xf numFmtId="0" fontId="12" fillId="0" borderId="116" xfId="0" applyFont="1" applyBorder="1" applyAlignment="1">
      <alignment horizontal="left" vertical="top" wrapText="1"/>
    </xf>
    <xf numFmtId="0" fontId="12" fillId="0" borderId="117" xfId="0" applyFont="1" applyBorder="1" applyAlignment="1">
      <alignment horizontal="left" vertical="top" wrapText="1"/>
    </xf>
    <xf numFmtId="0" fontId="12" fillId="0" borderId="118" xfId="0" applyFont="1" applyBorder="1" applyAlignment="1">
      <alignment horizontal="left" vertical="top" wrapText="1"/>
    </xf>
    <xf numFmtId="0" fontId="30" fillId="14" borderId="119" xfId="0" applyFont="1" applyFill="1" applyBorder="1" applyAlignment="1">
      <alignment horizontal="center" vertical="center" wrapText="1"/>
    </xf>
    <xf numFmtId="0" fontId="30" fillId="14" borderId="120" xfId="0" applyFont="1" applyFill="1" applyBorder="1" applyAlignment="1">
      <alignment horizontal="center" vertical="center" wrapText="1"/>
    </xf>
    <xf numFmtId="0" fontId="30" fillId="14" borderId="122" xfId="0" applyFont="1" applyFill="1" applyBorder="1" applyAlignment="1">
      <alignment horizontal="center" vertical="center" wrapText="1"/>
    </xf>
    <xf numFmtId="0" fontId="30" fillId="14" borderId="121" xfId="0" applyFont="1" applyFill="1" applyBorder="1" applyAlignment="1">
      <alignment horizontal="center" vertical="center" wrapText="1"/>
    </xf>
    <xf numFmtId="0" fontId="33" fillId="0" borderId="111" xfId="0" applyFont="1" applyBorder="1" applyAlignment="1" applyProtection="1">
      <alignment horizontal="left" vertical="top" wrapText="1"/>
      <protection locked="0"/>
    </xf>
    <xf numFmtId="0" fontId="33" fillId="0" borderId="112" xfId="0" applyFont="1" applyBorder="1" applyAlignment="1" applyProtection="1">
      <alignment horizontal="left" vertical="top" wrapText="1"/>
      <protection locked="0"/>
    </xf>
    <xf numFmtId="0" fontId="33" fillId="0" borderId="113" xfId="0" applyFont="1" applyBorder="1" applyAlignment="1" applyProtection="1">
      <alignment horizontal="left" vertical="top" wrapText="1"/>
      <protection locked="0"/>
    </xf>
    <xf numFmtId="0" fontId="33" fillId="0" borderId="114" xfId="0" applyFont="1" applyBorder="1" applyAlignment="1" applyProtection="1">
      <alignment horizontal="left" vertical="top" wrapText="1"/>
      <protection locked="0"/>
    </xf>
    <xf numFmtId="0" fontId="33" fillId="0" borderId="0" xfId="0" applyFont="1" applyBorder="1" applyAlignment="1" applyProtection="1">
      <alignment horizontal="left" vertical="top" wrapText="1"/>
      <protection locked="0"/>
    </xf>
    <xf numFmtId="0" fontId="33" fillId="0" borderId="115" xfId="0" applyFont="1" applyBorder="1" applyAlignment="1" applyProtection="1">
      <alignment horizontal="left" vertical="top" wrapText="1"/>
      <protection locked="0"/>
    </xf>
    <xf numFmtId="0" fontId="33" fillId="0" borderId="116" xfId="0" applyFont="1" applyBorder="1" applyAlignment="1" applyProtection="1">
      <alignment horizontal="left" vertical="top" wrapText="1"/>
      <protection locked="0"/>
    </xf>
    <xf numFmtId="0" fontId="33" fillId="0" borderId="117" xfId="0" applyFont="1" applyBorder="1" applyAlignment="1" applyProtection="1">
      <alignment horizontal="left" vertical="top" wrapText="1"/>
      <protection locked="0"/>
    </xf>
    <xf numFmtId="0" fontId="33" fillId="0" borderId="118" xfId="0" applyFont="1" applyBorder="1" applyAlignment="1" applyProtection="1">
      <alignment horizontal="left" vertical="top" wrapText="1"/>
      <protection locked="0"/>
    </xf>
    <xf numFmtId="0" fontId="9" fillId="3" borderId="19" xfId="0" applyFont="1" applyFill="1" applyBorder="1" applyAlignment="1">
      <alignment horizontal="left" vertical="center"/>
    </xf>
    <xf numFmtId="0" fontId="8" fillId="2" borderId="41" xfId="0" applyFont="1" applyFill="1" applyBorder="1" applyAlignment="1">
      <alignment vertical="top" wrapText="1"/>
    </xf>
    <xf numFmtId="0" fontId="8" fillId="2" borderId="41" xfId="0" applyFont="1" applyFill="1" applyBorder="1" applyAlignment="1">
      <alignment horizontal="left" vertical="center" wrapText="1"/>
    </xf>
    <xf numFmtId="0" fontId="8" fillId="6" borderId="47" xfId="0" applyFont="1" applyFill="1" applyBorder="1" applyAlignment="1">
      <alignment horizontal="center" vertical="center"/>
    </xf>
    <xf numFmtId="0" fontId="9" fillId="3" borderId="55" xfId="0" applyFont="1" applyFill="1" applyBorder="1" applyAlignment="1">
      <alignment horizontal="left" vertical="center"/>
    </xf>
    <xf numFmtId="0" fontId="9" fillId="3" borderId="63" xfId="0" applyFont="1" applyFill="1" applyBorder="1" applyAlignment="1">
      <alignment horizontal="left" vertical="center"/>
    </xf>
    <xf numFmtId="0" fontId="8" fillId="2" borderId="40" xfId="0" applyFont="1" applyFill="1" applyBorder="1" applyAlignment="1">
      <alignment vertical="top" wrapText="1"/>
    </xf>
    <xf numFmtId="0" fontId="8" fillId="2" borderId="40" xfId="0" applyFont="1" applyFill="1" applyBorder="1" applyAlignment="1">
      <alignment horizontal="left" vertical="center" wrapText="1"/>
    </xf>
    <xf numFmtId="0" fontId="7" fillId="4" borderId="40" xfId="0" applyFont="1" applyFill="1" applyBorder="1" applyAlignment="1">
      <alignment vertical="center"/>
    </xf>
    <xf numFmtId="0" fontId="12" fillId="7" borderId="23" xfId="0" applyFont="1" applyFill="1" applyBorder="1" applyAlignment="1">
      <alignment horizontal="center" vertical="center" wrapText="1"/>
    </xf>
    <xf numFmtId="0" fontId="9" fillId="0" borderId="47" xfId="0" applyFont="1" applyBorder="1" applyAlignment="1">
      <alignment horizontal="center" vertical="center" wrapText="1"/>
    </xf>
    <xf numFmtId="0" fontId="8" fillId="0" borderId="38" xfId="0" applyFont="1" applyBorder="1" applyAlignment="1">
      <alignment horizontal="center" vertical="center"/>
    </xf>
    <xf numFmtId="0" fontId="8" fillId="0" borderId="47" xfId="0" applyFont="1" applyBorder="1" applyAlignment="1">
      <alignment horizontal="center" vertical="center"/>
    </xf>
    <xf numFmtId="0" fontId="8" fillId="0" borderId="139" xfId="0" applyFont="1" applyBorder="1" applyAlignment="1">
      <alignment horizontal="center" vertical="center"/>
    </xf>
    <xf numFmtId="0" fontId="8" fillId="4" borderId="9" xfId="0" applyFont="1" applyFill="1" applyBorder="1" applyAlignment="1">
      <alignment horizontal="center" wrapText="1"/>
    </xf>
    <xf numFmtId="0" fontId="8" fillId="4" borderId="14" xfId="0" applyFont="1" applyFill="1" applyBorder="1" applyAlignment="1">
      <alignment horizontal="center" wrapText="1"/>
    </xf>
    <xf numFmtId="0" fontId="7" fillId="0" borderId="40" xfId="0" applyFont="1" applyBorder="1" applyAlignment="1">
      <alignment vertical="top" wrapText="1"/>
    </xf>
    <xf numFmtId="0" fontId="8" fillId="5" borderId="41" xfId="0" applyFont="1" applyFill="1" applyBorder="1" applyAlignment="1">
      <alignment vertical="top" wrapText="1"/>
    </xf>
    <xf numFmtId="0" fontId="8" fillId="7" borderId="11" xfId="0" applyFont="1" applyFill="1" applyBorder="1" applyAlignment="1">
      <alignment horizontal="center" vertical="center"/>
    </xf>
    <xf numFmtId="0" fontId="8" fillId="7" borderId="14" xfId="0" applyFont="1" applyFill="1" applyBorder="1" applyAlignment="1">
      <alignment horizontal="center" vertical="center"/>
    </xf>
    <xf numFmtId="0" fontId="7" fillId="4" borderId="30" xfId="0" applyFont="1" applyFill="1" applyBorder="1" applyAlignment="1">
      <alignment horizontal="center" vertical="center" wrapText="1"/>
    </xf>
    <xf numFmtId="0" fontId="7" fillId="4" borderId="35" xfId="0" applyFont="1" applyFill="1" applyBorder="1" applyAlignment="1">
      <alignment horizontal="center" vertical="center" wrapText="1"/>
    </xf>
    <xf numFmtId="0" fontId="7" fillId="2" borderId="22" xfId="0" applyFont="1" applyFill="1" applyBorder="1" applyAlignment="1">
      <alignment horizontal="left" vertical="top"/>
    </xf>
    <xf numFmtId="0" fontId="7" fillId="4" borderId="31" xfId="0" applyFont="1" applyFill="1" applyBorder="1" applyAlignment="1">
      <alignment horizontal="center" vertical="center" wrapText="1"/>
    </xf>
    <xf numFmtId="0" fontId="8" fillId="2" borderId="27" xfId="0" applyFont="1" applyFill="1" applyBorder="1" applyAlignment="1">
      <alignment horizontal="left" vertical="center" wrapText="1"/>
    </xf>
    <xf numFmtId="0" fontId="8" fillId="2" borderId="29" xfId="0" applyFont="1" applyFill="1" applyBorder="1" applyAlignment="1">
      <alignment horizontal="left" vertical="center" wrapText="1"/>
    </xf>
    <xf numFmtId="0" fontId="9" fillId="0" borderId="38" xfId="0" applyFont="1" applyBorder="1" applyAlignment="1">
      <alignment horizontal="left" vertical="center" wrapText="1"/>
    </xf>
    <xf numFmtId="0" fontId="9" fillId="0" borderId="47" xfId="0" applyFont="1" applyBorder="1" applyAlignment="1">
      <alignment horizontal="left" vertical="center" wrapText="1"/>
    </xf>
    <xf numFmtId="0" fontId="9" fillId="0" borderId="139" xfId="0" applyFont="1" applyBorder="1" applyAlignment="1">
      <alignment horizontal="left" vertical="center" wrapText="1"/>
    </xf>
    <xf numFmtId="0" fontId="7" fillId="12" borderId="62" xfId="0" applyFont="1" applyFill="1" applyBorder="1" applyAlignment="1">
      <alignment vertical="top" wrapText="1"/>
    </xf>
    <xf numFmtId="0" fontId="7" fillId="12" borderId="57" xfId="0" applyFont="1" applyFill="1" applyBorder="1" applyAlignment="1">
      <alignment vertical="top" wrapText="1"/>
    </xf>
    <xf numFmtId="0" fontId="7" fillId="12" borderId="58" xfId="0" applyFont="1" applyFill="1" applyBorder="1" applyAlignment="1">
      <alignment vertical="top" wrapText="1"/>
    </xf>
    <xf numFmtId="0" fontId="7" fillId="12" borderId="56" xfId="0" applyFont="1" applyFill="1" applyBorder="1" applyAlignment="1">
      <alignment vertical="top" wrapText="1"/>
    </xf>
    <xf numFmtId="0" fontId="8" fillId="6" borderId="232" xfId="0" applyFont="1" applyFill="1" applyBorder="1" applyAlignment="1">
      <alignment vertical="top" wrapText="1"/>
    </xf>
    <xf numFmtId="0" fontId="8" fillId="6" borderId="235" xfId="0" applyFont="1" applyFill="1" applyBorder="1" applyAlignment="1">
      <alignment vertical="top" wrapText="1"/>
    </xf>
    <xf numFmtId="0" fontId="7" fillId="0" borderId="48" xfId="0" applyFont="1" applyBorder="1" applyAlignment="1">
      <alignment vertical="top" wrapText="1"/>
    </xf>
    <xf numFmtId="0" fontId="7" fillId="4" borderId="27" xfId="0" applyFont="1" applyFill="1" applyBorder="1" applyAlignment="1">
      <alignment vertical="center"/>
    </xf>
    <xf numFmtId="0" fontId="7" fillId="4" borderId="29" xfId="0" applyFont="1" applyFill="1" applyBorder="1" applyAlignment="1">
      <alignment vertical="center"/>
    </xf>
    <xf numFmtId="0" fontId="15" fillId="2" borderId="40" xfId="0" applyFont="1" applyFill="1" applyBorder="1" applyAlignment="1">
      <alignment horizontal="left" vertical="top" wrapText="1"/>
    </xf>
    <xf numFmtId="0" fontId="15" fillId="2" borderId="24" xfId="0" applyFont="1" applyFill="1" applyBorder="1" applyAlignment="1">
      <alignment horizontal="left" vertical="top" wrapText="1"/>
    </xf>
    <xf numFmtId="0" fontId="15" fillId="2" borderId="41" xfId="0" applyFont="1" applyFill="1" applyBorder="1" applyAlignment="1">
      <alignment horizontal="left" vertical="top" wrapText="1"/>
    </xf>
    <xf numFmtId="49" fontId="18" fillId="4" borderId="71" xfId="1" applyNumberFormat="1" applyFont="1" applyFill="1" applyBorder="1" applyAlignment="1">
      <alignment horizontal="center" vertical="center"/>
    </xf>
    <xf numFmtId="0" fontId="7" fillId="4" borderId="14" xfId="0" applyFont="1" applyFill="1" applyBorder="1" applyAlignment="1">
      <alignment horizontal="center" wrapText="1"/>
    </xf>
    <xf numFmtId="0" fontId="7" fillId="5" borderId="40" xfId="0" applyFont="1" applyFill="1" applyBorder="1" applyAlignment="1">
      <alignment vertical="top" wrapText="1"/>
    </xf>
    <xf numFmtId="0" fontId="8" fillId="8" borderId="37" xfId="0" applyFont="1" applyFill="1" applyBorder="1" applyAlignment="1">
      <alignment horizontal="center" vertical="center"/>
    </xf>
    <xf numFmtId="0" fontId="8" fillId="8" borderId="31" xfId="0" applyFont="1" applyFill="1" applyBorder="1" applyAlignment="1">
      <alignment horizontal="center" vertical="center"/>
    </xf>
    <xf numFmtId="0" fontId="8" fillId="2" borderId="43" xfId="0" applyFont="1" applyFill="1" applyBorder="1" applyAlignment="1">
      <alignment horizontal="left" vertical="top"/>
    </xf>
    <xf numFmtId="0" fontId="8" fillId="2" borderId="75" xfId="0" applyFont="1" applyFill="1" applyBorder="1" applyAlignment="1">
      <alignment horizontal="left" vertical="top"/>
    </xf>
    <xf numFmtId="0" fontId="9" fillId="3" borderId="199" xfId="0" applyFont="1" applyFill="1" applyBorder="1" applyAlignment="1">
      <alignment horizontal="left" vertical="center"/>
    </xf>
    <xf numFmtId="0" fontId="12" fillId="10" borderId="44" xfId="0" applyFont="1" applyFill="1" applyBorder="1" applyAlignment="1">
      <alignment horizontal="left" vertical="top" wrapText="1"/>
    </xf>
    <xf numFmtId="0" fontId="12" fillId="10" borderId="28" xfId="0" applyFont="1" applyFill="1" applyBorder="1" applyAlignment="1">
      <alignment horizontal="left" vertical="top" wrapText="1"/>
    </xf>
    <xf numFmtId="0" fontId="12" fillId="10" borderId="50" xfId="0" applyFont="1" applyFill="1" applyBorder="1" applyAlignment="1">
      <alignment horizontal="left" vertical="top" wrapText="1"/>
    </xf>
    <xf numFmtId="49" fontId="18" fillId="4" borderId="54" xfId="1" applyNumberFormat="1" applyFont="1" applyFill="1" applyBorder="1" applyAlignment="1">
      <alignment horizontal="center" vertical="center"/>
    </xf>
    <xf numFmtId="0" fontId="15" fillId="2" borderId="59" xfId="0" applyFont="1" applyFill="1" applyBorder="1" applyAlignment="1">
      <alignment horizontal="center" vertical="top" wrapText="1"/>
    </xf>
    <xf numFmtId="0" fontId="15" fillId="2" borderId="49" xfId="0" applyFont="1" applyFill="1" applyBorder="1" applyAlignment="1">
      <alignment horizontal="center" vertical="top" wrapText="1"/>
    </xf>
    <xf numFmtId="0" fontId="15" fillId="2" borderId="60" xfId="0" applyFont="1" applyFill="1" applyBorder="1" applyAlignment="1">
      <alignment horizontal="center" vertical="top" wrapText="1"/>
    </xf>
    <xf numFmtId="0" fontId="7" fillId="5" borderId="59" xfId="0" applyFont="1" applyFill="1" applyBorder="1" applyAlignment="1">
      <alignment vertical="top" wrapText="1"/>
    </xf>
    <xf numFmtId="0" fontId="7" fillId="5" borderId="49" xfId="0" applyFont="1" applyFill="1" applyBorder="1" applyAlignment="1">
      <alignment vertical="top" wrapText="1"/>
    </xf>
    <xf numFmtId="0" fontId="7" fillId="5" borderId="60" xfId="0" applyFont="1" applyFill="1" applyBorder="1" applyAlignment="1">
      <alignment vertical="top" wrapText="1"/>
    </xf>
    <xf numFmtId="0" fontId="8" fillId="5" borderId="38" xfId="0" applyFont="1" applyFill="1" applyBorder="1" applyAlignment="1">
      <alignment horizontal="center" vertical="center"/>
    </xf>
    <xf numFmtId="0" fontId="8" fillId="5" borderId="139" xfId="0" applyFont="1" applyFill="1" applyBorder="1" applyAlignment="1">
      <alignment horizontal="center" vertical="center"/>
    </xf>
    <xf numFmtId="0" fontId="19" fillId="0" borderId="0" xfId="0" applyFont="1" applyFill="1" applyBorder="1" applyAlignment="1">
      <alignment horizontal="center" vertical="center" textRotation="90"/>
    </xf>
    <xf numFmtId="0" fontId="7" fillId="4" borderId="9" xfId="0" applyFont="1" applyFill="1" applyBorder="1" applyAlignment="1">
      <alignment horizontal="center" vertical="center" wrapText="1"/>
    </xf>
    <xf numFmtId="0" fontId="7" fillId="4" borderId="8" xfId="0" applyFont="1" applyFill="1" applyBorder="1" applyAlignment="1">
      <alignment horizontal="center" vertical="center" wrapText="1"/>
    </xf>
    <xf numFmtId="0" fontId="8" fillId="7" borderId="21" xfId="0" applyFont="1" applyFill="1" applyBorder="1" applyAlignment="1">
      <alignment horizontal="center" vertical="center"/>
    </xf>
    <xf numFmtId="0" fontId="9" fillId="9" borderId="38" xfId="0" applyFont="1" applyFill="1" applyBorder="1" applyAlignment="1">
      <alignment horizontal="center" vertical="center" wrapText="1"/>
    </xf>
    <xf numFmtId="0" fontId="9" fillId="9" borderId="47" xfId="0" applyFont="1" applyFill="1" applyBorder="1" applyAlignment="1">
      <alignment horizontal="center" vertical="center" wrapText="1"/>
    </xf>
    <xf numFmtId="0" fontId="15" fillId="2" borderId="59" xfId="0" applyFont="1" applyFill="1" applyBorder="1" applyAlignment="1">
      <alignment horizontal="center" vertical="center" wrapText="1"/>
    </xf>
    <xf numFmtId="0" fontId="15" fillId="2" borderId="49" xfId="0" applyFont="1" applyFill="1" applyBorder="1" applyAlignment="1">
      <alignment horizontal="center" vertical="center" wrapText="1"/>
    </xf>
    <xf numFmtId="0" fontId="18" fillId="5" borderId="23" xfId="0" applyFont="1" applyFill="1" applyBorder="1" applyAlignment="1">
      <alignment vertical="top" wrapText="1"/>
    </xf>
    <xf numFmtId="0" fontId="18" fillId="5" borderId="25" xfId="0" applyFont="1" applyFill="1" applyBorder="1" applyAlignment="1">
      <alignment vertical="top" wrapText="1"/>
    </xf>
    <xf numFmtId="0" fontId="8" fillId="0" borderId="38" xfId="0" applyFont="1" applyBorder="1" applyAlignment="1">
      <alignment horizontal="center" vertical="center" wrapText="1"/>
    </xf>
    <xf numFmtId="0" fontId="8" fillId="0" borderId="139" xfId="0" applyFont="1" applyBorder="1" applyAlignment="1">
      <alignment horizontal="center" vertical="center" wrapText="1"/>
    </xf>
    <xf numFmtId="0" fontId="8" fillId="10" borderId="44" xfId="0" applyFont="1" applyFill="1" applyBorder="1" applyAlignment="1">
      <alignment horizontal="left" vertical="top" wrapText="1"/>
    </xf>
    <xf numFmtId="0" fontId="8" fillId="10" borderId="28" xfId="0" applyFont="1" applyFill="1" applyBorder="1" applyAlignment="1">
      <alignment horizontal="left" vertical="top" wrapText="1"/>
    </xf>
    <xf numFmtId="0" fontId="8" fillId="10" borderId="50" xfId="0" applyFont="1" applyFill="1" applyBorder="1" applyAlignment="1">
      <alignment horizontal="left" vertical="top" wrapText="1"/>
    </xf>
    <xf numFmtId="0" fontId="8" fillId="0" borderId="38" xfId="0" applyFont="1" applyBorder="1" applyAlignment="1">
      <alignment horizontal="center" wrapText="1"/>
    </xf>
    <xf numFmtId="0" fontId="8" fillId="0" borderId="47" xfId="0" applyFont="1" applyBorder="1" applyAlignment="1">
      <alignment horizontal="center" wrapText="1"/>
    </xf>
    <xf numFmtId="0" fontId="8" fillId="0" borderId="139" xfId="0" applyFont="1" applyBorder="1" applyAlignment="1">
      <alignment horizontal="center" wrapText="1"/>
    </xf>
    <xf numFmtId="0" fontId="39" fillId="0" borderId="38" xfId="0" applyFont="1" applyBorder="1" applyAlignment="1">
      <alignment horizontal="left" vertical="center" wrapText="1"/>
    </xf>
    <xf numFmtId="0" fontId="39" fillId="0" borderId="47" xfId="0" applyFont="1" applyBorder="1" applyAlignment="1">
      <alignment horizontal="left" vertical="center" wrapText="1"/>
    </xf>
    <xf numFmtId="0" fontId="39" fillId="0" borderId="139" xfId="0" applyFont="1" applyBorder="1" applyAlignment="1">
      <alignment horizontal="left" vertical="center" wrapText="1"/>
    </xf>
    <xf numFmtId="0" fontId="8" fillId="8" borderId="54" xfId="0" applyFont="1" applyFill="1" applyBorder="1" applyAlignment="1">
      <alignment horizontal="center" vertical="center" wrapText="1"/>
    </xf>
    <xf numFmtId="0" fontId="8" fillId="8" borderId="48" xfId="0" applyFont="1" applyFill="1" applyBorder="1" applyAlignment="1">
      <alignment horizontal="center" vertical="center" wrapText="1"/>
    </xf>
    <xf numFmtId="0" fontId="26" fillId="2" borderId="60" xfId="0" applyFont="1" applyFill="1" applyBorder="1" applyAlignment="1">
      <alignment horizontal="center" vertical="top" wrapText="1"/>
    </xf>
    <xf numFmtId="0" fontId="8" fillId="7" borderId="173" xfId="0" applyFont="1" applyFill="1" applyBorder="1" applyAlignment="1">
      <alignment horizontal="center" vertical="center"/>
    </xf>
    <xf numFmtId="0" fontId="8" fillId="7" borderId="34" xfId="0" applyFont="1" applyFill="1" applyBorder="1" applyAlignment="1">
      <alignment horizontal="center" vertical="center"/>
    </xf>
    <xf numFmtId="0" fontId="16" fillId="4" borderId="161" xfId="0" applyFont="1" applyFill="1" applyBorder="1" applyAlignment="1">
      <alignment horizontal="center" vertical="center" wrapText="1"/>
    </xf>
    <xf numFmtId="0" fontId="16" fillId="4" borderId="162" xfId="0" applyFont="1" applyFill="1" applyBorder="1" applyAlignment="1">
      <alignment horizontal="center" vertical="center" wrapText="1"/>
    </xf>
    <xf numFmtId="0" fontId="16" fillId="4" borderId="163" xfId="0" applyFont="1" applyFill="1" applyBorder="1" applyAlignment="1">
      <alignment horizontal="center" vertical="center" wrapText="1"/>
    </xf>
    <xf numFmtId="0" fontId="16" fillId="4" borderId="164" xfId="0" applyFont="1" applyFill="1" applyBorder="1" applyAlignment="1">
      <alignment horizontal="center" vertical="center" wrapText="1"/>
    </xf>
    <xf numFmtId="0" fontId="8" fillId="10" borderId="27" xfId="0" applyFont="1" applyFill="1" applyBorder="1" applyAlignment="1">
      <alignment horizontal="left" vertical="top" wrapText="1"/>
    </xf>
    <xf numFmtId="0" fontId="16" fillId="2" borderId="71" xfId="0" applyFont="1" applyFill="1" applyBorder="1" applyAlignment="1">
      <alignment horizontal="center" vertical="center" wrapText="1"/>
    </xf>
    <xf numFmtId="0" fontId="16" fillId="2" borderId="11" xfId="0" applyFont="1" applyFill="1" applyBorder="1" applyAlignment="1">
      <alignment horizontal="center" vertical="center" wrapText="1"/>
    </xf>
    <xf numFmtId="0" fontId="16" fillId="2" borderId="12" xfId="0" applyFont="1" applyFill="1" applyBorder="1" applyAlignment="1">
      <alignment horizontal="center" vertical="center" wrapText="1"/>
    </xf>
    <xf numFmtId="0" fontId="16" fillId="2" borderId="73" xfId="0" applyFont="1" applyFill="1" applyBorder="1" applyAlignment="1">
      <alignment horizontal="center" vertical="center" wrapText="1"/>
    </xf>
    <xf numFmtId="0" fontId="16" fillId="2" borderId="14" xfId="0" applyFont="1" applyFill="1" applyBorder="1" applyAlignment="1">
      <alignment horizontal="center" vertical="center" wrapText="1"/>
    </xf>
    <xf numFmtId="0" fontId="16" fillId="2" borderId="15" xfId="0" applyFont="1" applyFill="1" applyBorder="1" applyAlignment="1">
      <alignment horizontal="center" vertical="center" wrapText="1"/>
    </xf>
    <xf numFmtId="0" fontId="16" fillId="2" borderId="9" xfId="0" applyFont="1" applyFill="1" applyBorder="1" applyAlignment="1">
      <alignment horizontal="center" vertical="center" wrapText="1"/>
    </xf>
    <xf numFmtId="0" fontId="16" fillId="2" borderId="8" xfId="0" applyFont="1" applyFill="1" applyBorder="1" applyAlignment="1">
      <alignment horizontal="center" vertical="center" wrapText="1"/>
    </xf>
    <xf numFmtId="0" fontId="15" fillId="2" borderId="59" xfId="0" applyFont="1" applyFill="1" applyBorder="1" applyAlignment="1">
      <alignment horizontal="left" vertical="top" wrapText="1"/>
    </xf>
    <xf numFmtId="0" fontId="15" fillId="2" borderId="49" xfId="0" applyFont="1" applyFill="1" applyBorder="1" applyAlignment="1">
      <alignment horizontal="left" vertical="top" wrapText="1"/>
    </xf>
    <xf numFmtId="0" fontId="15" fillId="2" borderId="60" xfId="0" applyFont="1" applyFill="1" applyBorder="1" applyAlignment="1">
      <alignment horizontal="left" vertical="top" wrapText="1"/>
    </xf>
    <xf numFmtId="0" fontId="12" fillId="7" borderId="41" xfId="0" applyFont="1" applyFill="1" applyBorder="1" applyAlignment="1">
      <alignment horizontal="center" vertical="center" wrapText="1"/>
    </xf>
    <xf numFmtId="0" fontId="12" fillId="2" borderId="59" xfId="0" applyFont="1" applyFill="1" applyBorder="1" applyAlignment="1">
      <alignment horizontal="left" vertical="top" wrapText="1"/>
    </xf>
    <xf numFmtId="0" fontId="12" fillId="2" borderId="49" xfId="0" applyFont="1" applyFill="1" applyBorder="1" applyAlignment="1">
      <alignment horizontal="left" vertical="top" wrapText="1"/>
    </xf>
    <xf numFmtId="0" fontId="12" fillId="2" borderId="60" xfId="0" applyFont="1" applyFill="1" applyBorder="1" applyAlignment="1">
      <alignment horizontal="left" vertical="top" wrapText="1"/>
    </xf>
    <xf numFmtId="0" fontId="7" fillId="0" borderId="23" xfId="0" applyFont="1" applyBorder="1" applyAlignment="1">
      <alignment horizontal="left" vertical="top" wrapText="1"/>
    </xf>
    <xf numFmtId="0" fontId="7" fillId="0" borderId="25" xfId="0" applyFont="1" applyBorder="1" applyAlignment="1">
      <alignment horizontal="left" vertical="top" wrapText="1"/>
    </xf>
    <xf numFmtId="0" fontId="7" fillId="0" borderId="40" xfId="0" applyFont="1" applyBorder="1" applyAlignment="1">
      <alignment horizontal="left" vertical="top" wrapText="1"/>
    </xf>
    <xf numFmtId="0" fontId="18" fillId="5" borderId="41" xfId="0" applyFont="1" applyFill="1" applyBorder="1" applyAlignment="1">
      <alignment vertical="top" wrapText="1"/>
    </xf>
    <xf numFmtId="0" fontId="8" fillId="0" borderId="59" xfId="0" applyFont="1" applyBorder="1" applyAlignment="1">
      <alignment horizontal="left" vertical="center" wrapText="1"/>
    </xf>
    <xf numFmtId="0" fontId="8" fillId="0" borderId="49" xfId="0" applyFont="1" applyBorder="1" applyAlignment="1">
      <alignment horizontal="left" vertical="center" wrapText="1"/>
    </xf>
    <xf numFmtId="0" fontId="8" fillId="0" borderId="60" xfId="0" applyFont="1" applyBorder="1" applyAlignment="1">
      <alignment horizontal="left" vertical="center" wrapText="1"/>
    </xf>
    <xf numFmtId="0" fontId="7" fillId="10" borderId="54" xfId="0" applyFont="1" applyFill="1" applyBorder="1" applyAlignment="1">
      <alignment horizontal="left" vertical="top" wrapText="1"/>
    </xf>
    <xf numFmtId="0" fontId="7" fillId="10" borderId="48" xfId="0" applyFont="1" applyFill="1" applyBorder="1" applyAlignment="1">
      <alignment horizontal="left" vertical="top" wrapText="1"/>
    </xf>
    <xf numFmtId="0" fontId="7" fillId="10" borderId="79" xfId="0" applyFont="1" applyFill="1" applyBorder="1" applyAlignment="1">
      <alignment horizontal="left" vertical="top" wrapText="1"/>
    </xf>
    <xf numFmtId="0" fontId="16" fillId="0" borderId="40" xfId="0" applyFont="1" applyBorder="1" applyAlignment="1">
      <alignment horizontal="left" vertical="top" wrapText="1"/>
    </xf>
    <xf numFmtId="0" fontId="15" fillId="2" borderId="40" xfId="0" applyFont="1" applyFill="1" applyBorder="1" applyAlignment="1">
      <alignment horizontal="center" vertical="top" wrapText="1"/>
    </xf>
    <xf numFmtId="0" fontId="15" fillId="2" borderId="41" xfId="0" applyFont="1" applyFill="1" applyBorder="1" applyAlignment="1">
      <alignment horizontal="center" vertical="top" wrapText="1"/>
    </xf>
  </cellXfs>
  <cellStyles count="4">
    <cellStyle name="Hyperlink" xfId="3" builtinId="8"/>
    <cellStyle name="Neutral" xfId="2" builtinId="28"/>
    <cellStyle name="Normal" xfId="0" builtinId="0"/>
    <cellStyle name="Normal 3" xfId="1"/>
  </cellStyles>
  <dxfs count="1893">
    <dxf>
      <font>
        <b/>
        <i val="0"/>
        <color theme="0"/>
      </font>
      <fill>
        <patternFill>
          <bgColor rgb="FFFF00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ill>
        <patternFill>
          <bgColor rgb="FFFF0000"/>
        </patternFill>
      </fill>
      <border>
        <left style="thin">
          <color auto="1"/>
        </left>
        <right style="thin">
          <color auto="1"/>
        </right>
        <top style="thin">
          <color auto="1"/>
        </top>
        <bottom style="thin">
          <color auto="1"/>
        </bottom>
        <vertical/>
        <horizontal/>
      </border>
    </dxf>
    <dxf>
      <font>
        <color theme="0"/>
      </font>
      <fill>
        <patternFill>
          <bgColor rgb="FFFF0000"/>
        </patternFill>
      </fill>
    </dxf>
    <dxf>
      <font>
        <color theme="0"/>
      </font>
      <fill>
        <patternFill>
          <bgColor rgb="FFFF0000"/>
        </patternFill>
      </fill>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ill>
        <patternFill>
          <bgColor rgb="FFFF0000"/>
        </patternFill>
      </fill>
      <border>
        <left style="thin">
          <color auto="1"/>
        </left>
        <right style="thin">
          <color auto="1"/>
        </right>
        <top style="thin">
          <color auto="1"/>
        </top>
        <bottom style="thin">
          <color auto="1"/>
        </bottom>
        <vertical/>
        <horizontal/>
      </border>
    </dxf>
    <dxf>
      <fill>
        <patternFill>
          <bgColor rgb="FFFF0000"/>
        </patternFill>
      </fill>
      <border>
        <left style="thin">
          <color auto="1"/>
        </left>
        <right style="thin">
          <color auto="1"/>
        </right>
        <top style="thin">
          <color auto="1"/>
        </top>
        <bottom style="thin">
          <color auto="1"/>
        </bottom>
        <vertical/>
        <horizontal/>
      </border>
    </dxf>
    <dxf>
      <fill>
        <patternFill>
          <bgColor rgb="FFFF0000"/>
        </patternFill>
      </fill>
      <border>
        <left style="thin">
          <color auto="1"/>
        </left>
        <right style="thin">
          <color auto="1"/>
        </right>
        <top style="thin">
          <color auto="1"/>
        </top>
        <bottom style="thin">
          <color auto="1"/>
        </bottom>
        <vertical/>
        <horizontal/>
      </border>
    </dxf>
    <dxf>
      <fill>
        <patternFill>
          <bgColor rgb="FFFF0000"/>
        </patternFill>
      </fill>
      <border>
        <left style="thin">
          <color auto="1"/>
        </left>
        <right style="thin">
          <color auto="1"/>
        </right>
        <top style="thin">
          <color auto="1"/>
        </top>
        <bottom style="thin">
          <color auto="1"/>
        </bottom>
        <vertical/>
        <horizontal/>
      </border>
    </dxf>
    <dxf>
      <font>
        <color theme="0"/>
      </font>
      <fill>
        <patternFill>
          <bgColor rgb="FFFF0000"/>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59996337778862885"/>
      </font>
      <fill>
        <patternFill>
          <bgColor theme="9" tint="0.59996337778862885"/>
        </patternFill>
      </fill>
    </dxf>
    <dxf>
      <font>
        <b/>
        <i val="0"/>
        <color theme="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ill>
        <patternFill>
          <bgColor rgb="FFFF0000"/>
        </patternFill>
      </fill>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ill>
        <patternFill>
          <bgColor rgb="FFFF0000"/>
        </patternFill>
      </fill>
      <border>
        <left style="thin">
          <color auto="1"/>
        </left>
        <right style="thin">
          <color auto="1"/>
        </right>
        <top style="thin">
          <color auto="1"/>
        </top>
        <bottom style="thin">
          <color auto="1"/>
        </bottom>
        <vertical/>
        <horizontal/>
      </border>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b/>
        <i val="0"/>
        <color theme="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FF00"/>
        </patternFill>
      </fill>
    </dxf>
    <dxf>
      <font>
        <b/>
        <i val="0"/>
      </font>
      <fill>
        <patternFill>
          <bgColor rgb="FFFFFF00"/>
        </patternFill>
      </fill>
      <border>
        <left style="thin">
          <color auto="1"/>
        </left>
        <right style="thin">
          <color auto="1"/>
        </right>
        <top style="thin">
          <color auto="1"/>
        </top>
        <bottom style="thin">
          <color auto="1"/>
        </bottom>
        <vertical/>
        <horizontal/>
      </border>
    </dxf>
    <dxf>
      <fill>
        <patternFill>
          <bgColor rgb="FFFF0000"/>
        </patternFill>
      </fill>
      <border>
        <left style="thin">
          <color rgb="FFC00000"/>
        </left>
        <right style="thin">
          <color rgb="FFC00000"/>
        </right>
        <top style="thin">
          <color rgb="FFC00000"/>
        </top>
        <bottom style="thin">
          <color rgb="FFC00000"/>
        </bottom>
        <vertical/>
        <horizontal/>
      </border>
    </dxf>
    <dxf>
      <font>
        <color theme="0"/>
      </font>
      <fill>
        <patternFill>
          <bgColor rgb="FFFF0000"/>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b/>
        <i val="0"/>
        <color theme="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FF00"/>
        </patternFill>
      </fill>
    </dxf>
    <dxf>
      <font>
        <b/>
        <i val="0"/>
      </font>
      <fill>
        <patternFill>
          <bgColor rgb="FFFFFF00"/>
        </patternFill>
      </fill>
      <border>
        <left style="thin">
          <color auto="1"/>
        </left>
        <right style="thin">
          <color auto="1"/>
        </right>
        <top style="thin">
          <color auto="1"/>
        </top>
        <bottom style="thin">
          <color auto="1"/>
        </bottom>
        <vertical/>
        <horizontal/>
      </border>
    </dxf>
    <dxf>
      <fill>
        <patternFill>
          <bgColor rgb="FFFF0000"/>
        </patternFill>
      </fill>
      <border>
        <left style="thin">
          <color rgb="FFC00000"/>
        </left>
        <right style="thin">
          <color rgb="FFC00000"/>
        </right>
        <top style="thin">
          <color rgb="FFC00000"/>
        </top>
        <bottom style="thin">
          <color rgb="FFC00000"/>
        </bottom>
        <vertical/>
        <horizontal/>
      </border>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ill>
        <patternFill>
          <bgColor rgb="FFFF0000"/>
        </patternFill>
      </fill>
    </dxf>
    <dxf>
      <font>
        <color theme="1"/>
      </font>
      <fill>
        <patternFill>
          <bgColor rgb="FFFFFF00"/>
        </patternFill>
      </fill>
    </dxf>
    <dxf>
      <font>
        <color theme="9" tint="0.59996337778862885"/>
      </font>
      <fill>
        <patternFill>
          <bgColor theme="9" tint="0.59996337778862885"/>
        </patternFill>
      </fill>
    </dxf>
    <dxf>
      <font>
        <color theme="3" tint="0.59996337778862885"/>
      </font>
      <fill>
        <patternFill>
          <bgColor theme="3"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3" tint="0.59996337778862885"/>
      </font>
      <fill>
        <patternFill>
          <bgColor theme="3"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ill>
        <patternFill>
          <bgColor rgb="FFFF0000"/>
        </patternFill>
      </fill>
      <border>
        <left style="thin">
          <color rgb="FFC00000"/>
        </left>
        <right style="thin">
          <color rgb="FFC00000"/>
        </right>
        <top style="thin">
          <color rgb="FFC00000"/>
        </top>
        <bottom style="thin">
          <color rgb="FFC00000"/>
        </bottom>
        <vertical/>
        <horizontal/>
      </border>
    </dxf>
    <dxf>
      <font>
        <color theme="0"/>
      </font>
      <fill>
        <patternFill>
          <bgColor rgb="FFFF0000"/>
        </patternFill>
      </fill>
    </dxf>
    <dxf>
      <font>
        <b/>
        <i val="0"/>
      </font>
      <fill>
        <patternFill>
          <bgColor rgb="FFFFFF00"/>
        </patternFill>
      </fill>
      <border>
        <left style="thin">
          <color auto="1"/>
        </left>
        <right style="thin">
          <color auto="1"/>
        </right>
        <top style="thin">
          <color auto="1"/>
        </top>
        <bottom style="thin">
          <color auto="1"/>
        </bottom>
        <vertical/>
        <horizontal/>
      </border>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ont>
        <color theme="0"/>
      </font>
      <fill>
        <patternFill>
          <bgColor rgb="FFFF0000"/>
        </patternFill>
      </fill>
    </dxf>
    <dxf>
      <font>
        <color theme="0"/>
      </font>
      <fill>
        <patternFill>
          <bgColor theme="0"/>
        </patternFill>
      </fill>
    </dxf>
    <dxf>
      <font>
        <color theme="9" tint="0.59996337778862885"/>
      </font>
      <fill>
        <patternFill>
          <bgColor theme="9" tint="0.59996337778862885"/>
        </patternFill>
      </fill>
    </dxf>
    <dxf>
      <font>
        <color theme="0"/>
      </font>
      <fill>
        <patternFill>
          <bgColor rgb="FFFF0000"/>
        </patternFill>
      </fill>
    </dxf>
    <dxf>
      <font>
        <color theme="0"/>
      </font>
      <fill>
        <patternFill>
          <bgColor theme="0"/>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ill>
        <patternFill>
          <bgColor rgb="FFFF0000"/>
        </patternFill>
      </fill>
      <border>
        <left style="thin">
          <color auto="1"/>
        </left>
        <right style="thin">
          <color auto="1"/>
        </right>
        <top style="thin">
          <color auto="1"/>
        </top>
        <bottom style="thin">
          <color auto="1"/>
        </bottom>
        <vertical/>
        <horizontal/>
      </border>
    </dxf>
    <dxf>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tint="-0.34998626667073579"/>
      </font>
      <fill>
        <patternFill>
          <bgColor theme="0" tint="-0.34998626667073579"/>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tint="-0.34998626667073579"/>
      </font>
      <fill>
        <patternFill>
          <bgColor theme="0" tint="-0.34998626667073579"/>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tint="-0.34998626667073579"/>
      </font>
      <fill>
        <patternFill>
          <bgColor theme="0" tint="-0.34998626667073579"/>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tint="-0.34998626667073579"/>
      </font>
      <fill>
        <patternFill>
          <bgColor theme="0" tint="-0.34998626667073579"/>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tint="-0.34998626667073579"/>
      </font>
      <fill>
        <patternFill>
          <bgColor theme="0" tint="-0.34998626667073579"/>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tint="-0.34998626667073579"/>
      </font>
      <fill>
        <patternFill>
          <bgColor theme="0" tint="-0.34998626667073579"/>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tint="-0.34998626667073579"/>
      </font>
      <fill>
        <patternFill>
          <bgColor theme="0" tint="-0.34998626667073579"/>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tint="-0.34998626667073579"/>
      </font>
      <fill>
        <patternFill>
          <bgColor theme="0" tint="-0.34998626667073579"/>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tint="-0.34998626667073579"/>
      </font>
      <fill>
        <patternFill>
          <bgColor theme="0" tint="-0.34998626667073579"/>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tint="-0.34998626667073579"/>
      </font>
      <fill>
        <patternFill>
          <bgColor theme="0" tint="-0.34998626667073579"/>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tint="-0.34998626667073579"/>
      </font>
      <fill>
        <patternFill>
          <bgColor theme="0" tint="-0.34998626667073579"/>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tint="-0.34998626667073579"/>
      </font>
      <fill>
        <patternFill>
          <bgColor theme="0" tint="-0.34998626667073579"/>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tint="-0.34998626667073579"/>
      </font>
      <fill>
        <patternFill>
          <bgColor theme="0" tint="-0.34998626667073579"/>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tint="-0.34998626667073579"/>
      </font>
      <fill>
        <patternFill>
          <bgColor theme="0" tint="-0.34998626667073579"/>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tint="-0.34998626667073579"/>
      </font>
      <fill>
        <patternFill>
          <bgColor theme="0" tint="-0.34998626667073579"/>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tint="-0.34998626667073579"/>
      </font>
      <fill>
        <patternFill>
          <bgColor theme="0" tint="-0.34998626667073579"/>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tint="-0.34998626667073579"/>
      </font>
      <fill>
        <patternFill>
          <bgColor theme="0" tint="-0.34998626667073579"/>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tint="-0.34998626667073579"/>
      </font>
      <fill>
        <patternFill>
          <bgColor theme="0" tint="-0.34998626667073579"/>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tint="-0.34998626667073579"/>
      </font>
      <fill>
        <patternFill>
          <bgColor theme="0" tint="-0.34998626667073579"/>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tint="-0.34998626667073579"/>
      </font>
      <fill>
        <patternFill>
          <bgColor theme="0" tint="-0.34998626667073579"/>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tint="-0.34998626667073579"/>
      </font>
      <fill>
        <patternFill>
          <bgColor theme="0" tint="-0.34998626667073579"/>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font>
      <fill>
        <patternFill>
          <bgColor rgb="FFFF0000"/>
        </patternFill>
      </fill>
    </dxf>
    <dxf>
      <font>
        <b/>
        <i val="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dxf>
    <dxf>
      <font>
        <color theme="9" tint="0.59996337778862885"/>
      </font>
      <fill>
        <patternFill>
          <bgColor theme="9" tint="0.59996337778862885"/>
        </patternFill>
      </fill>
    </dxf>
    <dxf>
      <font>
        <b/>
        <i val="0"/>
        <color theme="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59996337778862885"/>
      </font>
    </dxf>
    <dxf>
      <font>
        <color theme="9" tint="0.59996337778862885"/>
      </font>
      <fill>
        <patternFill>
          <bgColor theme="9" tint="0.59996337778862885"/>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59996337778862885"/>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59996337778862885"/>
      </font>
    </dxf>
    <dxf>
      <font>
        <color theme="9" tint="0.59996337778862885"/>
      </font>
      <fill>
        <patternFill>
          <bgColor theme="9" tint="0.59996337778862885"/>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59996337778862885"/>
      </font>
    </dxf>
    <dxf>
      <font>
        <color theme="1"/>
      </font>
      <fill>
        <patternFill>
          <bgColor rgb="FFFFFF00"/>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1"/>
      </font>
      <fill>
        <patternFill>
          <bgColor rgb="FFFFFF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59996337778862885"/>
      </font>
      <fill>
        <patternFill>
          <bgColor theme="9" tint="0.59996337778862885"/>
        </patternFill>
      </fill>
    </dxf>
    <dxf>
      <font>
        <color theme="1" tint="0.499984740745262"/>
      </font>
      <fill>
        <patternFill>
          <bgColor theme="1" tint="0.499984740745262"/>
        </patternFill>
      </fill>
    </dxf>
    <dxf>
      <font>
        <color theme="2" tint="-9.9948118533890809E-2"/>
      </font>
      <fill>
        <patternFill>
          <bgColor theme="2"/>
        </patternFill>
      </fill>
    </dxf>
    <dxf>
      <font>
        <color theme="0"/>
      </font>
      <fill>
        <patternFill>
          <bgColor theme="0"/>
        </patternFill>
      </fill>
    </dxf>
    <dxf>
      <font>
        <color theme="9" tint="0.59996337778862885"/>
      </font>
      <fill>
        <patternFill>
          <bgColor theme="9" tint="0.59996337778862885"/>
        </patternFill>
      </fill>
    </dxf>
    <dxf>
      <font>
        <color theme="0"/>
      </font>
      <fill>
        <patternFill>
          <bgColor rgb="FFFF0000"/>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1" tint="0.499984740745262"/>
      </font>
      <fill>
        <patternFill>
          <bgColor theme="1" tint="0.499984740745262"/>
        </patternFill>
      </fill>
    </dxf>
    <dxf>
      <font>
        <color theme="2" tint="-9.9948118533890809E-2"/>
      </font>
      <fill>
        <patternFill>
          <bgColor theme="2"/>
        </patternFill>
      </fill>
    </dxf>
    <dxf>
      <font>
        <color theme="1" tint="0.499984740745262"/>
      </font>
      <fill>
        <patternFill>
          <bgColor theme="1" tint="0.499984740745262"/>
        </patternFill>
      </fill>
    </dxf>
    <dxf>
      <font>
        <color theme="0" tint="-0.34998626667073579"/>
      </font>
      <fill>
        <patternFill>
          <bgColor theme="0" tint="-0.34998626667073579"/>
        </patternFill>
      </fill>
    </dxf>
    <dxf>
      <font>
        <color theme="0" tint="-0.34998626667073579"/>
      </font>
      <fill>
        <patternFill>
          <bgColor theme="0" tint="-0.34998626667073579"/>
        </patternFill>
      </fill>
    </dxf>
    <dxf>
      <font>
        <color theme="0" tint="-0.24994659260841701"/>
      </font>
      <fill>
        <patternFill>
          <bgColor theme="0" tint="-0.24994659260841701"/>
        </patternFill>
      </fill>
    </dxf>
    <dxf>
      <font>
        <color theme="0" tint="-0.34998626667073579"/>
      </font>
      <fill>
        <patternFill>
          <bgColor theme="0" tint="-0.34998626667073579"/>
        </patternFill>
      </fill>
    </dxf>
    <dxf>
      <font>
        <color theme="0" tint="-0.24994659260841701"/>
      </font>
      <fill>
        <patternFill>
          <bgColor theme="0" tint="-0.24994659260841701"/>
        </patternFill>
      </fill>
    </dxf>
    <dxf>
      <font>
        <color theme="0" tint="-0.34998626667073579"/>
      </font>
      <fill>
        <patternFill>
          <bgColor theme="0" tint="-0.34998626667073579"/>
        </patternFill>
      </fill>
    </dxf>
    <dxf>
      <font>
        <color theme="0" tint="-0.34998626667073579"/>
      </font>
      <fill>
        <patternFill>
          <bgColor theme="0" tint="-0.34998626667073579"/>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b/>
        <i val="0"/>
      </font>
      <fill>
        <patternFill>
          <bgColor rgb="FFFFFF00"/>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b/>
        <i val="0"/>
      </font>
      <fill>
        <patternFill>
          <bgColor rgb="FFFFFF00"/>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b/>
        <i val="0"/>
      </font>
      <fill>
        <patternFill>
          <bgColor rgb="FFFFFF00"/>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color theme="0"/>
      </font>
      <fill>
        <patternFill>
          <bgColor rgb="FFFF0000"/>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b/>
        <i val="0"/>
        <color theme="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dxf>
    <dxf>
      <font>
        <b/>
        <i val="0"/>
      </font>
      <fill>
        <patternFill>
          <bgColor rgb="FFFF0000"/>
        </patternFill>
      </fill>
      <border>
        <left style="thin">
          <color auto="1"/>
        </left>
        <right style="thin">
          <color auto="1"/>
        </right>
        <top style="thin">
          <color auto="1"/>
        </top>
        <bottom style="thin">
          <color auto="1"/>
        </bottom>
        <vertical/>
        <horizontal/>
      </border>
    </dxf>
    <dxf>
      <font>
        <color theme="0"/>
      </font>
      <fill>
        <patternFill>
          <bgColor rgb="FFFF0000"/>
        </patternFill>
      </fill>
    </dxf>
    <dxf>
      <font>
        <color theme="0"/>
      </font>
      <fill>
        <patternFill>
          <bgColor rgb="FFFF0000"/>
        </patternFill>
      </fill>
    </dxf>
    <dxf>
      <font>
        <color theme="0"/>
      </font>
      <fill>
        <patternFill>
          <bgColor theme="0"/>
        </patternFill>
      </fill>
    </dxf>
    <dxf>
      <font>
        <color theme="0"/>
      </font>
      <fill>
        <patternFill>
          <bgColor rgb="FFFF0000"/>
        </patternFill>
      </fill>
    </dxf>
    <dxf>
      <font>
        <color theme="0"/>
      </font>
      <fill>
        <patternFill>
          <bgColor rgb="FFFF0000"/>
        </patternFill>
      </fill>
    </dxf>
    <dxf>
      <font>
        <color theme="9" tint="0.39994506668294322"/>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39994506668294322"/>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39994506668294322"/>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39994506668294322"/>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39994506668294322"/>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39994506668294322"/>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39994506668294322"/>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39994506668294322"/>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39994506668294322"/>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39994506668294322"/>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39994506668294322"/>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39994506668294322"/>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39994506668294322"/>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39994506668294322"/>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39994506668294322"/>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39994506668294322"/>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39994506668294322"/>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39994506668294322"/>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39994506668294322"/>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39994506668294322"/>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39994506668294322"/>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39994506668294322"/>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39994506668294322"/>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39994506668294322"/>
      </font>
    </dxf>
    <dxf>
      <font>
        <color theme="0"/>
      </font>
      <fill>
        <patternFill>
          <bgColor rgb="FFFF0000"/>
        </patternFill>
      </fill>
    </dxf>
    <dxf>
      <font>
        <color theme="9" tint="0.39994506668294322"/>
      </font>
    </dxf>
    <dxf>
      <font>
        <color theme="0"/>
      </font>
      <fill>
        <patternFill>
          <bgColor rgb="FFFF0000"/>
        </patternFill>
      </fill>
    </dxf>
    <dxf>
      <font>
        <color theme="9" tint="0.39994506668294322"/>
      </font>
    </dxf>
    <dxf>
      <font>
        <color theme="0"/>
      </font>
      <fill>
        <patternFill>
          <bgColor rgb="FFFF0000"/>
        </patternFill>
      </fill>
    </dxf>
    <dxf>
      <font>
        <color theme="9" tint="0.39994506668294322"/>
      </font>
    </dxf>
    <dxf>
      <font>
        <color theme="0"/>
      </font>
      <fill>
        <patternFill>
          <bgColor rgb="FFFF0000"/>
        </patternFill>
      </fill>
    </dxf>
    <dxf>
      <font>
        <color theme="9" tint="0.39994506668294322"/>
      </font>
    </dxf>
    <dxf>
      <font>
        <color theme="0"/>
      </font>
      <fill>
        <patternFill>
          <bgColor rgb="FFFF0000"/>
        </patternFill>
      </fill>
    </dxf>
    <dxf>
      <font>
        <color theme="9" tint="0.39994506668294322"/>
      </font>
    </dxf>
    <dxf>
      <font>
        <color theme="0"/>
      </font>
      <fill>
        <patternFill>
          <bgColor rgb="FFFF0000"/>
        </patternFill>
      </fill>
    </dxf>
    <dxf>
      <font>
        <color theme="9" tint="0.39994506668294322"/>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39994506668294322"/>
      </font>
    </dxf>
    <dxf>
      <font>
        <color theme="0"/>
      </font>
      <fill>
        <patternFill>
          <bgColor rgb="FFFF0000"/>
        </patternFill>
      </fill>
    </dxf>
    <dxf>
      <font>
        <color theme="9" tint="0.39994506668294322"/>
      </font>
    </dxf>
    <dxf>
      <font>
        <color theme="0"/>
      </font>
      <fill>
        <patternFill>
          <bgColor rgb="FFFF0000"/>
        </patternFill>
      </fill>
    </dxf>
    <dxf>
      <font>
        <color theme="9" tint="0.39994506668294322"/>
      </font>
    </dxf>
    <dxf>
      <font>
        <color theme="0"/>
      </font>
      <fill>
        <patternFill>
          <bgColor rgb="FFFF0000"/>
        </patternFill>
      </fill>
    </dxf>
    <dxf>
      <font>
        <color theme="9" tint="0.39994506668294322"/>
      </font>
    </dxf>
    <dxf>
      <font>
        <color theme="0"/>
      </font>
      <fill>
        <patternFill>
          <bgColor rgb="FFFF0000"/>
        </patternFill>
      </fill>
    </dxf>
    <dxf>
      <font>
        <color theme="9" tint="0.39994506668294322"/>
      </font>
    </dxf>
    <dxf>
      <font>
        <color theme="0"/>
      </font>
      <fill>
        <patternFill>
          <bgColor rgb="FFFF0000"/>
        </patternFill>
      </fill>
    </dxf>
    <dxf>
      <font>
        <color theme="9" tint="0.39994506668294322"/>
      </font>
    </dxf>
    <dxf>
      <font>
        <color theme="0"/>
      </font>
      <fill>
        <patternFill>
          <bgColor rgb="FFFF0000"/>
        </patternFill>
      </fill>
    </dxf>
    <dxf>
      <font>
        <color theme="9" tint="0.39994506668294322"/>
      </font>
    </dxf>
    <dxf>
      <font>
        <color theme="0"/>
      </font>
      <fill>
        <patternFill>
          <bgColor rgb="FFFF0000"/>
        </patternFill>
      </fill>
    </dxf>
    <dxf>
      <font>
        <color theme="9" tint="0.39994506668294322"/>
      </font>
    </dxf>
    <dxf>
      <font>
        <color theme="0"/>
      </font>
      <fill>
        <patternFill>
          <bgColor rgb="FFFF0000"/>
        </patternFill>
      </fill>
    </dxf>
    <dxf>
      <font>
        <color theme="9" tint="0.39994506668294322"/>
      </font>
    </dxf>
    <dxf>
      <font>
        <color theme="0"/>
      </font>
      <fill>
        <patternFill>
          <bgColor rgb="FFFF0000"/>
        </patternFill>
      </fill>
    </dxf>
    <dxf>
      <font>
        <color theme="9" tint="0.39994506668294322"/>
      </font>
    </dxf>
    <dxf>
      <font>
        <color theme="0"/>
      </font>
      <fill>
        <patternFill>
          <bgColor rgb="FFFF0000"/>
        </patternFill>
      </fill>
    </dxf>
    <dxf>
      <font>
        <color theme="9" tint="0.39994506668294322"/>
      </font>
    </dxf>
    <dxf>
      <font>
        <color theme="0"/>
      </font>
      <fill>
        <patternFill>
          <bgColor rgb="FFFF0000"/>
        </patternFill>
      </fill>
    </dxf>
    <dxf>
      <font>
        <color theme="9" tint="0.39994506668294322"/>
      </font>
    </dxf>
    <dxf>
      <font>
        <color theme="0"/>
      </font>
      <fill>
        <patternFill>
          <bgColor rgb="FFFF0000"/>
        </patternFill>
      </fill>
    </dxf>
    <dxf>
      <font>
        <color theme="9" tint="0.39994506668294322"/>
      </font>
    </dxf>
    <dxf>
      <font>
        <color theme="0"/>
      </font>
      <fill>
        <patternFill>
          <bgColor rgb="FFFF0000"/>
        </patternFill>
      </fill>
    </dxf>
    <dxf>
      <font>
        <color theme="9" tint="0.39994506668294322"/>
      </font>
    </dxf>
    <dxf>
      <font>
        <color theme="0"/>
      </font>
      <fill>
        <patternFill>
          <bgColor rgb="FFFF0000"/>
        </patternFill>
      </fill>
    </dxf>
    <dxf>
      <font>
        <color theme="9" tint="0.39994506668294322"/>
      </font>
    </dxf>
    <dxf>
      <font>
        <color theme="0"/>
      </font>
      <fill>
        <patternFill>
          <bgColor rgb="FFFF0000"/>
        </patternFill>
      </fill>
    </dxf>
    <dxf>
      <font>
        <color theme="9" tint="0.39994506668294322"/>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b/>
        <i/>
        <color theme="1"/>
      </font>
      <fill>
        <patternFill patternType="solid">
          <fgColor rgb="FFFF0000"/>
          <bgColor rgb="FFFFFF00"/>
        </patternFill>
      </fill>
      <border>
        <left style="hair">
          <color rgb="FFC00000"/>
        </left>
        <right style="hair">
          <color rgb="FFC00000"/>
        </right>
        <top style="hair">
          <color rgb="FFC00000"/>
        </top>
        <bottom style="hair">
          <color rgb="FFC00000"/>
        </bottom>
        <vertical/>
        <horizontal/>
      </border>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1"/>
      </font>
      <fill>
        <patternFill>
          <bgColor rgb="FFFFFF00"/>
        </patternFill>
      </fill>
    </dxf>
    <dxf>
      <font>
        <color theme="1"/>
      </font>
      <fill>
        <patternFill>
          <bgColor rgb="FFFFFF00"/>
        </patternFill>
      </fill>
    </dxf>
    <dxf>
      <font>
        <color theme="1"/>
      </font>
      <fill>
        <patternFill>
          <bgColor rgb="FFFFFF00"/>
        </patternFill>
      </fill>
    </dxf>
    <dxf>
      <font>
        <color theme="1"/>
      </font>
      <fill>
        <patternFill>
          <bgColor rgb="FFFFFF00"/>
        </patternFill>
      </fill>
    </dxf>
    <dxf>
      <font>
        <b/>
        <i val="0"/>
        <color theme="1"/>
      </font>
      <fill>
        <patternFill>
          <bgColor rgb="FFFFFF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59996337778862885"/>
      </font>
    </dxf>
    <dxf>
      <font>
        <color theme="0"/>
      </font>
      <fill>
        <patternFill>
          <bgColor theme="0"/>
        </patternFill>
      </fill>
    </dxf>
    <dxf>
      <font>
        <color theme="0"/>
      </font>
      <fill>
        <patternFill>
          <bgColor theme="0"/>
        </patternFill>
      </fill>
    </dxf>
    <dxf>
      <font>
        <b/>
        <i val="0"/>
        <color theme="1"/>
      </font>
      <fill>
        <patternFill>
          <bgColor rgb="FFFFFF00"/>
        </patternFill>
      </fill>
    </dxf>
    <dxf>
      <font>
        <b/>
        <i val="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59996337778862885"/>
      </font>
    </dxf>
    <dxf>
      <font>
        <color theme="9" tint="0.59996337778862885"/>
      </font>
      <fill>
        <patternFill>
          <bgColor theme="9" tint="0.59996337778862885"/>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59996337778862885"/>
      </font>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59996337778862885"/>
      </font>
    </dxf>
    <dxf>
      <font>
        <color theme="9" tint="0.59996337778862885"/>
      </font>
      <fill>
        <patternFill>
          <bgColor theme="9" tint="0.59996337778862885"/>
        </patternFill>
      </fill>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ill>
        <patternFill>
          <bgColor rgb="FFFF0000"/>
        </patternFill>
      </fill>
      <border>
        <left style="thin">
          <color auto="1"/>
        </left>
        <right style="thin">
          <color auto="1"/>
        </right>
        <top style="thin">
          <color auto="1"/>
        </top>
        <bottom style="thin">
          <color auto="1"/>
        </bottom>
        <vertical/>
        <horizontal/>
      </border>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ill>
        <patternFill>
          <bgColor rgb="FFFF0000"/>
        </patternFill>
      </fill>
      <border>
        <left style="thin">
          <color auto="1"/>
        </left>
        <right style="thin">
          <color auto="1"/>
        </right>
        <top style="thin">
          <color auto="1"/>
        </top>
        <bottom style="thin">
          <color auto="1"/>
        </bottom>
        <vertical/>
        <horizontal/>
      </border>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ill>
        <patternFill>
          <bgColor rgb="FFFF0000"/>
        </patternFill>
      </fill>
      <border>
        <left style="thin">
          <color auto="1"/>
        </left>
        <right style="thin">
          <color auto="1"/>
        </right>
        <top style="thin">
          <color auto="1"/>
        </top>
        <bottom style="thin">
          <color auto="1"/>
        </bottom>
        <vertical/>
        <horizontal/>
      </border>
    </dxf>
    <dxf>
      <font>
        <color theme="0"/>
      </font>
      <fill>
        <patternFill>
          <bgColor rgb="FFFF0000"/>
        </patternFill>
      </fill>
    </dxf>
    <dxf>
      <font>
        <color theme="0"/>
      </font>
      <fill>
        <patternFill>
          <bgColor rgb="FFFF0000"/>
        </patternFill>
      </fill>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color theme="0"/>
      </font>
      <fill>
        <patternFill>
          <bgColor rgb="FFFF0000"/>
        </patternFill>
      </fill>
    </dxf>
    <dxf>
      <font>
        <color theme="0"/>
      </font>
      <fill>
        <patternFill>
          <bgColor rgb="FFFF0000"/>
        </patternFill>
      </fill>
    </dxf>
    <dxf>
      <font>
        <b val="0"/>
        <i val="0"/>
      </font>
      <fill>
        <patternFill>
          <bgColor rgb="FFFF0000"/>
        </patternFill>
      </fill>
      <border>
        <left style="thin">
          <color auto="1"/>
        </left>
        <right style="thin">
          <color auto="1"/>
        </right>
        <top style="thin">
          <color auto="1"/>
        </top>
        <bottom style="thin">
          <color auto="1"/>
        </bottom>
        <vertical/>
        <horizontal/>
      </border>
    </dxf>
    <dxf>
      <font>
        <b val="0"/>
        <i val="0"/>
      </font>
      <fill>
        <patternFill>
          <bgColor rgb="FFFF0000"/>
        </patternFill>
      </fill>
      <border>
        <left style="thin">
          <color auto="1"/>
        </left>
        <right style="thin">
          <color auto="1"/>
        </right>
        <top style="thin">
          <color auto="1"/>
        </top>
        <bottom style="thin">
          <color auto="1"/>
        </bottom>
        <vertical/>
        <horizontal/>
      </border>
    </dxf>
    <dxf>
      <font>
        <b val="0"/>
        <i val="0"/>
      </font>
      <fill>
        <patternFill>
          <bgColor rgb="FFFF0000"/>
        </patternFill>
      </fill>
      <border>
        <left style="thin">
          <color auto="1"/>
        </left>
        <right style="thin">
          <color auto="1"/>
        </right>
        <top style="thin">
          <color auto="1"/>
        </top>
        <bottom style="thin">
          <color auto="1"/>
        </bottom>
        <vertical/>
        <horizontal/>
      </border>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0"/>
      </font>
      <fill>
        <patternFill>
          <bgColor rgb="FFFF0000"/>
        </patternFill>
      </fill>
    </dxf>
    <dxf>
      <font>
        <color theme="0"/>
      </font>
      <fill>
        <patternFill>
          <bgColor rgb="FFFF0000"/>
        </patternFill>
      </fill>
    </dxf>
    <dxf>
      <font>
        <color theme="9" tint="0.59996337778862885"/>
      </font>
    </dxf>
    <dxf>
      <font>
        <color theme="9" tint="0.59996337778862885"/>
      </font>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39994506668294322"/>
      </font>
    </dxf>
    <dxf>
      <font>
        <color theme="1"/>
      </font>
      <fill>
        <patternFill>
          <bgColor rgb="FFFFFF00"/>
        </patternFill>
      </fill>
    </dxf>
    <dxf>
      <font>
        <color theme="1"/>
      </font>
      <fill>
        <patternFill>
          <bgColor rgb="FFFFFF00"/>
        </patternFill>
      </fill>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color theme="9" tint="0.59996337778862885"/>
      </font>
      <fill>
        <patternFill>
          <bgColor theme="9" tint="0.59996337778862885"/>
        </patternFill>
      </fill>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color theme="9" tint="0.59996337778862885"/>
      </font>
      <fill>
        <patternFill>
          <bgColor theme="9" tint="0.59996337778862885"/>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1"/>
      </font>
      <fill>
        <patternFill>
          <bgColor rgb="FFFFFF00"/>
        </patternFill>
      </fill>
    </dxf>
    <dxf>
      <font>
        <color theme="1"/>
      </font>
      <fill>
        <patternFill>
          <bgColor rgb="FFFFFF00"/>
        </patternFill>
      </fill>
    </dxf>
    <dxf>
      <font>
        <color theme="1"/>
      </font>
      <fill>
        <patternFill>
          <bgColor rgb="FFFFFF00"/>
        </patternFill>
      </fill>
    </dxf>
    <dxf>
      <font>
        <color theme="1"/>
      </font>
      <fill>
        <patternFill>
          <bgColor rgb="FFFFFF00"/>
        </patternFill>
      </fill>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color theme="1"/>
      </font>
      <fill>
        <patternFill patternType="solid">
          <fgColor rgb="FFFF0000"/>
          <bgColor rgb="FFFFFF00"/>
        </patternFill>
      </fill>
      <border>
        <left style="hair">
          <color rgb="FFC00000"/>
        </left>
        <right style="hair">
          <color rgb="FFC00000"/>
        </right>
        <top style="hair">
          <color rgb="FFC00000"/>
        </top>
        <bottom style="hair">
          <color rgb="FFC00000"/>
        </bottom>
        <vertical/>
        <horizontal/>
      </border>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color theme="0"/>
      </font>
      <fill>
        <patternFill>
          <bgColor rgb="FFFF0000"/>
        </patternFill>
      </fill>
    </dxf>
    <dxf>
      <font>
        <color theme="0"/>
      </font>
      <fill>
        <patternFill>
          <bgColor rgb="FFFF0000"/>
        </patternFill>
      </fill>
    </dxf>
    <dxf>
      <font>
        <color theme="0"/>
      </font>
      <fill>
        <patternFill>
          <bgColor rgb="FFFF0000"/>
        </patternFill>
      </fill>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b val="0"/>
        <i val="0"/>
      </font>
      <fill>
        <patternFill>
          <bgColor rgb="FFFF0000"/>
        </patternFill>
      </fill>
      <border>
        <left style="thin">
          <color auto="1"/>
        </left>
        <right style="thin">
          <color auto="1"/>
        </right>
        <top style="thin">
          <color auto="1"/>
        </top>
        <bottom style="thin">
          <color auto="1"/>
        </bottom>
        <vertical/>
        <horizontal/>
      </border>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color theme="0"/>
      </font>
      <fill>
        <patternFill>
          <bgColor rgb="FFFF0000"/>
        </patternFill>
      </fill>
    </dxf>
    <dxf>
      <fill>
        <patternFill>
          <bgColor rgb="FFFF0000"/>
        </patternFill>
      </fill>
    </dxf>
    <dxf>
      <fill>
        <patternFill>
          <bgColor rgb="FFFF0000"/>
        </patternFill>
      </fill>
    </dxf>
    <dxf>
      <font>
        <color theme="0"/>
      </font>
      <fill>
        <patternFill>
          <bgColor rgb="FFFF0000"/>
        </patternFill>
      </fill>
    </dxf>
    <dxf>
      <font>
        <color theme="0"/>
      </font>
      <fill>
        <patternFill>
          <bgColor rgb="FFFF0000"/>
        </patternFill>
      </fill>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color theme="0"/>
      </font>
      <fill>
        <patternFill>
          <bgColor rgb="FFFF0000"/>
        </patternFill>
      </fill>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color theme="0"/>
      </font>
      <fill>
        <patternFill>
          <bgColor rgb="FFFF0000"/>
        </patternFill>
      </fill>
    </dxf>
    <dxf>
      <font>
        <color theme="9" tint="0.59996337778862885"/>
      </font>
      <fill>
        <patternFill>
          <bgColor theme="9" tint="0.59996337778862885"/>
        </patternFill>
      </fill>
    </dxf>
    <dxf>
      <font>
        <color theme="0"/>
      </font>
      <fill>
        <patternFill>
          <bgColor rgb="FFFF0000"/>
        </patternFill>
      </fill>
    </dxf>
    <dxf>
      <font>
        <color theme="9" tint="0.59996337778862885"/>
      </font>
      <fill>
        <patternFill>
          <bgColor theme="9" tint="0.59996337778862885"/>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1"/>
      </font>
      <fill>
        <patternFill>
          <bgColor rgb="FFFFFF00"/>
        </patternFill>
      </fill>
    </dxf>
    <dxf>
      <font>
        <color theme="0"/>
      </font>
      <fill>
        <patternFill>
          <bgColor rgb="FFFF0000"/>
        </patternFill>
      </fill>
    </dxf>
    <dxf>
      <font>
        <color theme="1"/>
      </font>
      <fill>
        <patternFill>
          <bgColor rgb="FFFFFF00"/>
        </patternFill>
      </fill>
    </dxf>
    <dxf>
      <font>
        <color theme="0"/>
      </font>
      <fill>
        <patternFill>
          <bgColor rgb="FFFF0000"/>
        </patternFill>
      </fill>
    </dxf>
    <dxf>
      <font>
        <color theme="1"/>
      </font>
      <fill>
        <patternFill>
          <bgColor rgb="FFFFFF00"/>
        </patternFill>
      </fill>
    </dxf>
    <dxf>
      <font>
        <color theme="0"/>
      </font>
      <fill>
        <patternFill>
          <bgColor rgb="FFFF0000"/>
        </patternFill>
      </fill>
    </dxf>
    <dxf>
      <font>
        <color theme="1"/>
      </font>
      <fill>
        <patternFill>
          <bgColor rgb="FFFFFF00"/>
        </patternFill>
      </fill>
    </dxf>
    <dxf>
      <font>
        <color theme="0"/>
      </font>
      <fill>
        <patternFill>
          <bgColor rgb="FFFF0000"/>
        </patternFill>
      </fill>
    </dxf>
    <dxf>
      <font>
        <color theme="1"/>
      </font>
      <fill>
        <patternFill>
          <bgColor rgb="FFFFFF00"/>
        </patternFill>
      </fill>
    </dxf>
    <dxf>
      <font>
        <color theme="0"/>
      </font>
      <fill>
        <patternFill>
          <bgColor rgb="FFFF0000"/>
        </patternFill>
      </fill>
    </dxf>
    <dxf>
      <font>
        <color theme="1"/>
      </font>
      <fill>
        <patternFill>
          <bgColor rgb="FFFFFF00"/>
        </patternFill>
      </fill>
    </dxf>
    <dxf>
      <font>
        <color theme="0"/>
      </font>
      <fill>
        <patternFill>
          <bgColor rgb="FFFF0000"/>
        </patternFill>
      </fill>
    </dxf>
    <dxf>
      <font>
        <color theme="1"/>
      </font>
      <fill>
        <patternFill>
          <bgColor rgb="FFFFFF00"/>
        </patternFill>
      </fill>
    </dxf>
    <dxf>
      <font>
        <color theme="1"/>
      </font>
      <fill>
        <patternFill>
          <bgColor rgb="FFFFFF00"/>
        </patternFill>
      </fill>
    </dxf>
    <dxf>
      <font>
        <color theme="0"/>
      </font>
      <fill>
        <patternFill>
          <bgColor theme="0"/>
        </patternFill>
      </fill>
    </dxf>
    <dxf>
      <font>
        <color theme="1"/>
      </font>
      <fill>
        <patternFill>
          <bgColor rgb="FFFFFF00"/>
        </patternFill>
      </fill>
    </dxf>
    <dxf>
      <font>
        <color theme="0"/>
      </font>
      <fill>
        <patternFill>
          <bgColor theme="0"/>
        </patternFill>
      </fill>
    </dxf>
    <dxf>
      <font>
        <color theme="1"/>
      </font>
      <fill>
        <patternFill>
          <bgColor rgb="FFFFFF00"/>
        </patternFill>
      </fill>
    </dxf>
    <dxf>
      <font>
        <color theme="0"/>
      </font>
      <fill>
        <patternFill>
          <bgColor theme="0"/>
        </patternFill>
      </fill>
    </dxf>
    <dxf>
      <font>
        <color theme="1"/>
      </font>
      <fill>
        <patternFill>
          <bgColor rgb="FFFFFF00"/>
        </patternFill>
      </fill>
    </dxf>
    <dxf>
      <font>
        <color theme="0"/>
      </font>
      <fill>
        <patternFill>
          <bgColor theme="0"/>
        </patternFill>
      </fill>
    </dxf>
    <dxf>
      <font>
        <color theme="1"/>
      </font>
      <fill>
        <patternFill>
          <bgColor rgb="FFFFFF00"/>
        </patternFill>
      </fill>
    </dxf>
    <dxf>
      <font>
        <color theme="0"/>
      </font>
      <fill>
        <patternFill>
          <bgColor theme="0"/>
        </patternFill>
      </fill>
    </dxf>
    <dxf>
      <font>
        <color theme="1"/>
      </font>
      <fill>
        <patternFill>
          <bgColor rgb="FFFFFF00"/>
        </patternFill>
      </fill>
    </dxf>
    <dxf>
      <font>
        <color theme="0"/>
      </font>
      <fill>
        <patternFill>
          <bgColor theme="0"/>
        </patternFill>
      </fill>
    </dxf>
    <dxf>
      <font>
        <color theme="1"/>
      </font>
      <fill>
        <patternFill>
          <bgColor rgb="FFFFFF00"/>
        </patternFill>
      </fill>
    </dxf>
    <dxf>
      <font>
        <color theme="0"/>
      </font>
      <fill>
        <patternFill>
          <bgColor theme="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1"/>
      </font>
      <fill>
        <patternFill>
          <bgColor rgb="FFFFFF00"/>
        </patternFill>
      </fill>
    </dxf>
    <dxf>
      <font>
        <color theme="1"/>
      </font>
      <fill>
        <patternFill>
          <bgColor rgb="FFFFFF00"/>
        </patternFill>
      </fill>
    </dxf>
    <dxf>
      <font>
        <color theme="0"/>
      </font>
      <fill>
        <patternFill>
          <bgColor theme="0"/>
        </patternFill>
      </fill>
    </dxf>
    <dxf>
      <font>
        <color theme="1"/>
      </font>
      <fill>
        <patternFill>
          <bgColor rgb="FFFFFF00"/>
        </patternFill>
      </fill>
    </dxf>
    <dxf>
      <font>
        <color theme="0"/>
      </font>
      <fill>
        <patternFill>
          <bgColor theme="0"/>
        </patternFill>
      </fill>
    </dxf>
    <dxf>
      <font>
        <color theme="1"/>
      </font>
      <fill>
        <patternFill>
          <bgColor rgb="FFFFFF00"/>
        </patternFill>
      </fill>
    </dxf>
    <dxf>
      <font>
        <color theme="0"/>
      </font>
      <fill>
        <patternFill>
          <bgColor theme="0"/>
        </patternFill>
      </fill>
    </dxf>
    <dxf>
      <font>
        <color theme="1"/>
      </font>
      <fill>
        <patternFill>
          <bgColor rgb="FFFFFF00"/>
        </patternFill>
      </fill>
    </dxf>
    <dxf>
      <font>
        <color theme="0"/>
      </font>
      <fill>
        <patternFill>
          <bgColor theme="0"/>
        </patternFill>
      </fill>
    </dxf>
    <dxf>
      <font>
        <color theme="1"/>
      </font>
      <fill>
        <patternFill>
          <bgColor rgb="FFFFFF00"/>
        </patternFill>
      </fill>
    </dxf>
    <dxf>
      <font>
        <color theme="0"/>
      </font>
      <fill>
        <patternFill>
          <bgColor theme="0"/>
        </patternFill>
      </fill>
    </dxf>
    <dxf>
      <font>
        <color theme="1"/>
      </font>
      <fill>
        <patternFill>
          <bgColor rgb="FFFFFF00"/>
        </patternFill>
      </fill>
    </dxf>
    <dxf>
      <font>
        <color theme="0"/>
      </font>
      <fill>
        <patternFill>
          <bgColor theme="0"/>
        </patternFill>
      </fill>
    </dxf>
    <dxf>
      <font>
        <color theme="1"/>
      </font>
      <fill>
        <patternFill>
          <bgColor rgb="FFFFFF00"/>
        </patternFill>
      </fill>
    </dxf>
    <dxf>
      <font>
        <color theme="0"/>
      </font>
      <fill>
        <patternFill>
          <bgColor theme="0"/>
        </patternFill>
      </fill>
    </dxf>
    <dxf>
      <font>
        <color theme="0"/>
      </font>
      <fill>
        <patternFill>
          <bgColor rgb="FFFF0000"/>
        </patternFill>
      </fill>
    </dxf>
    <dxf>
      <font>
        <color auto="1"/>
      </font>
      <fill>
        <patternFill>
          <bgColor rgb="FFFFFF00"/>
        </patternFill>
      </fill>
    </dxf>
    <dxf>
      <font>
        <color theme="0"/>
      </font>
      <fill>
        <patternFill>
          <bgColor rgb="FFFF0000"/>
        </patternFill>
      </fill>
    </dxf>
    <dxf>
      <font>
        <color auto="1"/>
      </font>
      <fill>
        <patternFill>
          <bgColor rgb="FFFFFF00"/>
        </patternFill>
      </fill>
    </dxf>
    <dxf>
      <font>
        <color theme="0"/>
      </font>
      <fill>
        <patternFill>
          <bgColor rgb="FFFF0000"/>
        </patternFill>
      </fill>
    </dxf>
    <dxf>
      <font>
        <color auto="1"/>
      </font>
      <fill>
        <patternFill>
          <bgColor rgb="FFFFFF00"/>
        </patternFill>
      </fill>
    </dxf>
    <dxf>
      <font>
        <color theme="0"/>
      </font>
      <fill>
        <patternFill>
          <bgColor rgb="FFFF0000"/>
        </patternFill>
      </fill>
    </dxf>
    <dxf>
      <font>
        <color auto="1"/>
      </font>
      <fill>
        <patternFill>
          <bgColor rgb="FFFFFF00"/>
        </patternFill>
      </fill>
    </dxf>
    <dxf>
      <font>
        <color theme="0"/>
      </font>
      <fill>
        <patternFill>
          <bgColor rgb="FFFF0000"/>
        </patternFill>
      </fill>
    </dxf>
    <dxf>
      <font>
        <color auto="1"/>
      </font>
      <fill>
        <patternFill>
          <bgColor rgb="FFFFFF00"/>
        </patternFill>
      </fill>
    </dxf>
    <dxf>
      <font>
        <color theme="0"/>
      </font>
      <fill>
        <patternFill>
          <bgColor rgb="FFFF0000"/>
        </patternFill>
      </fill>
    </dxf>
    <dxf>
      <font>
        <color auto="1"/>
      </font>
      <fill>
        <patternFill>
          <bgColor rgb="FFFFFF00"/>
        </patternFill>
      </fill>
    </dxf>
    <dxf>
      <font>
        <color theme="0"/>
      </font>
      <fill>
        <patternFill>
          <bgColor rgb="FFFF0000"/>
        </patternFill>
      </fill>
    </dxf>
    <dxf>
      <font>
        <color auto="1"/>
      </font>
      <fill>
        <patternFill>
          <bgColor rgb="FFFFFF00"/>
        </patternFill>
      </fill>
    </dxf>
    <dxf>
      <font>
        <color theme="1"/>
      </font>
      <fill>
        <patternFill>
          <bgColor rgb="FFFFFF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1"/>
      </font>
      <fill>
        <patternFill>
          <bgColor rgb="FFFFFF00"/>
        </patternFill>
      </fill>
    </dxf>
    <dxf>
      <font>
        <color theme="1"/>
      </font>
      <fill>
        <patternFill>
          <bgColor rgb="FFFFFF00"/>
        </patternFill>
      </fill>
    </dxf>
    <dxf>
      <fill>
        <patternFill>
          <bgColor rgb="FFFFFF00"/>
        </patternFill>
      </fill>
    </dxf>
    <dxf>
      <font>
        <color theme="0"/>
      </font>
      <fill>
        <patternFill>
          <bgColor rgb="FFFF0000"/>
        </patternFill>
      </fill>
    </dxf>
    <dxf>
      <font>
        <color theme="0"/>
      </font>
      <fill>
        <patternFill>
          <bgColor theme="0"/>
        </patternFill>
      </fill>
    </dxf>
    <dxf>
      <font>
        <color theme="0"/>
      </font>
      <fill>
        <patternFill>
          <bgColor rgb="FFFF0000"/>
        </patternFill>
      </fill>
    </dxf>
    <dxf>
      <font>
        <color theme="0"/>
      </font>
      <fill>
        <patternFill>
          <bgColor rgb="FFFF0000"/>
        </patternFill>
      </fill>
    </dxf>
    <dxf>
      <font>
        <color theme="9" tint="0.59996337778862885"/>
      </font>
      <fill>
        <patternFill>
          <bgColor theme="9" tint="0.59996337778862885"/>
        </patternFill>
      </fill>
    </dxf>
    <dxf>
      <font>
        <color theme="0"/>
      </font>
      <fill>
        <patternFill>
          <bgColor rgb="FFFF0000"/>
        </patternFill>
      </fill>
    </dxf>
    <dxf>
      <font>
        <color theme="9" tint="0.59996337778862885"/>
      </font>
      <fill>
        <patternFill>
          <bgColor theme="9" tint="0.59996337778862885"/>
        </patternFill>
      </fill>
    </dxf>
    <dxf>
      <font>
        <color theme="0"/>
      </font>
      <fill>
        <patternFill>
          <bgColor rgb="FFFF0000"/>
        </patternFill>
      </fill>
    </dxf>
    <dxf>
      <font>
        <color theme="0"/>
      </font>
      <fill>
        <patternFill>
          <bgColor theme="0"/>
        </patternFill>
      </fill>
    </dxf>
    <dxf>
      <font>
        <color theme="9" tint="0.59996337778862885"/>
      </font>
      <fill>
        <patternFill>
          <bgColor theme="9" tint="0.59996337778862885"/>
        </patternFill>
      </fill>
    </dxf>
    <dxf>
      <font>
        <color theme="0"/>
      </font>
      <fill>
        <patternFill>
          <bgColor rgb="FFFF0000"/>
        </patternFill>
      </fill>
    </dxf>
    <dxf>
      <font>
        <color theme="0"/>
      </font>
      <fill>
        <patternFill>
          <bgColor theme="0"/>
        </patternFill>
      </fill>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1"/>
      </font>
      <fill>
        <patternFill>
          <bgColor rgb="FFFFFF00"/>
        </patternFill>
      </fill>
    </dxf>
    <dxf>
      <font>
        <color theme="0"/>
      </font>
      <fill>
        <patternFill>
          <bgColor rgb="FFFF0000"/>
        </patternFill>
      </fill>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auto="1"/>
      </font>
      <fill>
        <patternFill>
          <bgColor rgb="FFFFFF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b/>
        <i val="0"/>
      </font>
      <fill>
        <patternFill>
          <bgColor rgb="FFFF0000"/>
        </patternFill>
      </fill>
      <border>
        <left style="thin">
          <color rgb="FFC00000"/>
        </left>
        <right style="thin">
          <color rgb="FFC00000"/>
        </right>
        <top style="thin">
          <color rgb="FFC00000"/>
        </top>
        <bottom style="thin">
          <color rgb="FFC00000"/>
        </bottom>
        <vertical/>
        <horizontal/>
      </border>
    </dxf>
    <dxf>
      <font>
        <color theme="0"/>
      </font>
      <fill>
        <patternFill>
          <bgColor rgb="FFFF0000"/>
        </patternFill>
      </fill>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color theme="0"/>
      </font>
      <fill>
        <patternFill>
          <bgColor rgb="FFFF0000"/>
        </patternFill>
      </fill>
    </dxf>
    <dxf>
      <font>
        <color theme="0"/>
      </font>
      <fill>
        <patternFill>
          <bgColor rgb="FFFF0000"/>
        </patternFill>
      </fill>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color theme="0"/>
      </font>
      <fill>
        <patternFill>
          <bgColor rgb="FFFF0000"/>
        </patternFill>
      </fill>
    </dxf>
    <dxf>
      <font>
        <color theme="0"/>
      </font>
      <fill>
        <patternFill>
          <bgColor rgb="FFFF0000"/>
        </patternFill>
      </fill>
    </dxf>
    <dxf>
      <font>
        <color theme="0"/>
      </font>
      <fill>
        <patternFill>
          <bgColor rgb="FFFF0000"/>
        </patternFill>
      </fill>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color theme="9" tint="0.59996337778862885"/>
      </font>
      <fill>
        <patternFill>
          <bgColor theme="9" tint="0.59996337778862885"/>
        </patternFill>
      </fill>
    </dxf>
    <dxf>
      <font>
        <color theme="1" tint="0.499984740745262"/>
      </font>
      <fill>
        <patternFill>
          <bgColor theme="1" tint="0.499984740745262"/>
        </patternFill>
      </fill>
    </dxf>
    <dxf>
      <font>
        <color theme="2" tint="-9.9948118533890809E-2"/>
      </font>
      <fill>
        <patternFill>
          <bgColor theme="2"/>
        </patternFill>
      </fill>
    </dxf>
    <dxf>
      <font>
        <b/>
        <i val="0"/>
      </font>
      <fill>
        <patternFill>
          <bgColor rgb="FFFFFF00"/>
        </patternFill>
      </fill>
      <border>
        <left style="thin">
          <color auto="1"/>
        </left>
        <right style="thin">
          <color auto="1"/>
        </right>
        <top style="thin">
          <color auto="1"/>
        </top>
        <bottom style="thin">
          <color auto="1"/>
        </bottom>
        <vertical/>
        <horizontal/>
      </border>
    </dxf>
    <dxf>
      <fill>
        <patternFill>
          <bgColor rgb="FFFF0000"/>
        </patternFill>
      </fill>
    </dxf>
    <dxf>
      <font>
        <b/>
        <i val="0"/>
      </font>
      <fill>
        <patternFill>
          <bgColor rgb="FFFFFF00"/>
        </patternFill>
      </fill>
      <border>
        <left style="thin">
          <color auto="1"/>
        </left>
        <right style="thin">
          <color auto="1"/>
        </right>
        <top style="thin">
          <color auto="1"/>
        </top>
        <bottom style="thin">
          <color auto="1"/>
        </bottom>
        <vertical/>
        <horizontal/>
      </border>
    </dxf>
    <dxf>
      <fill>
        <patternFill>
          <bgColor rgb="FFFF0000"/>
        </patternFill>
      </fill>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ill>
        <patternFill>
          <bgColor rgb="FFFF0000"/>
        </patternFill>
      </fill>
    </dxf>
    <dxf>
      <font>
        <color theme="0"/>
      </font>
      <fill>
        <patternFill>
          <bgColor theme="0"/>
        </patternFill>
      </fill>
    </dxf>
    <dxf>
      <font>
        <color theme="9" tint="0.59996337778862885"/>
      </font>
      <fill>
        <patternFill>
          <bgColor theme="9" tint="0.59996337778862885"/>
        </patternFill>
      </fill>
    </dxf>
    <dxf>
      <font>
        <color theme="0"/>
      </font>
      <fill>
        <patternFill>
          <bgColor theme="0"/>
        </patternFill>
      </fill>
    </dxf>
    <dxf>
      <font>
        <b/>
        <i val="0"/>
      </font>
      <fill>
        <patternFill>
          <bgColor rgb="FFFFFF00"/>
        </patternFill>
      </fill>
      <border>
        <left style="thin">
          <color auto="1"/>
        </left>
        <right style="thin">
          <color auto="1"/>
        </right>
        <top style="thin">
          <color auto="1"/>
        </top>
        <bottom style="thin">
          <color auto="1"/>
        </bottom>
        <vertical/>
        <horizontal/>
      </border>
    </dxf>
    <dxf>
      <fill>
        <patternFill>
          <bgColor rgb="FFFF0000"/>
        </patternFill>
      </fill>
    </dxf>
    <dxf>
      <font>
        <color theme="9" tint="0.59996337778862885"/>
      </font>
      <fill>
        <patternFill>
          <bgColor theme="9" tint="0.59996337778862885"/>
        </patternFill>
      </fill>
    </dxf>
    <dxf>
      <font>
        <color theme="1" tint="0.499984740745262"/>
      </font>
      <fill>
        <patternFill>
          <bgColor theme="1" tint="0.499984740745262"/>
        </patternFill>
      </fill>
    </dxf>
    <dxf>
      <font>
        <color theme="2" tint="-9.9948118533890809E-2"/>
      </font>
      <fill>
        <patternFill>
          <bgColor theme="2"/>
        </patternFill>
      </fill>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ill>
        <patternFill>
          <bgColor rgb="FFFF0000"/>
        </patternFill>
      </fill>
    </dxf>
    <dxf>
      <font>
        <b/>
        <i val="0"/>
      </font>
      <fill>
        <patternFill>
          <bgColor rgb="FFFFFF00"/>
        </patternFill>
      </fill>
      <border>
        <left style="thin">
          <color auto="1"/>
        </left>
        <right style="thin">
          <color auto="1"/>
        </right>
        <top style="thin">
          <color auto="1"/>
        </top>
        <bottom style="thin">
          <color auto="1"/>
        </bottom>
        <vertical/>
        <horizontal/>
      </border>
    </dxf>
    <dxf>
      <fill>
        <patternFill>
          <bgColor rgb="FFFF0000"/>
        </patternFill>
      </fill>
    </dxf>
    <dxf>
      <font>
        <color theme="9" tint="0.59996337778862885"/>
      </font>
      <fill>
        <patternFill>
          <bgColor theme="9" tint="0.59996337778862885"/>
        </patternFill>
      </fill>
    </dxf>
    <dxf>
      <font>
        <color theme="1" tint="0.499984740745262"/>
      </font>
      <fill>
        <patternFill>
          <bgColor theme="1" tint="0.499984740745262"/>
        </patternFill>
      </fill>
    </dxf>
    <dxf>
      <font>
        <color theme="2" tint="-9.9948118533890809E-2"/>
      </font>
      <fill>
        <patternFill>
          <bgColor theme="2"/>
        </patternFill>
      </fill>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ill>
        <patternFill>
          <bgColor rgb="FFFF0000"/>
        </patternFill>
      </fill>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ill>
        <patternFill>
          <bgColor rgb="FFFF0000"/>
        </patternFill>
      </fill>
    </dxf>
    <dxf>
      <font>
        <b/>
        <i val="0"/>
      </font>
      <fill>
        <patternFill>
          <bgColor rgb="FFFFFF00"/>
        </patternFill>
      </fill>
      <border>
        <left style="thin">
          <color auto="1"/>
        </left>
        <right style="thin">
          <color auto="1"/>
        </right>
        <top style="thin">
          <color auto="1"/>
        </top>
        <bottom style="thin">
          <color auto="1"/>
        </bottom>
        <vertical/>
        <horizontal/>
      </border>
    </dxf>
    <dxf>
      <fill>
        <patternFill>
          <bgColor rgb="FFFF0000"/>
        </patternFill>
      </fill>
    </dxf>
    <dxf>
      <font>
        <color theme="9" tint="0.59996337778862885"/>
      </font>
      <fill>
        <patternFill>
          <bgColor theme="9" tint="0.59996337778862885"/>
        </patternFill>
      </fill>
    </dxf>
    <dxf>
      <font>
        <color theme="0"/>
      </font>
      <fill>
        <patternFill>
          <bgColor rgb="FFFF0000"/>
        </patternFill>
      </fill>
    </dxf>
    <dxf>
      <font>
        <color theme="0"/>
      </font>
      <fill>
        <patternFill>
          <bgColor theme="0"/>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1" tint="0.499984740745262"/>
      </font>
      <fill>
        <patternFill>
          <bgColor theme="1" tint="0.499984740745262"/>
        </patternFill>
      </fill>
    </dxf>
    <dxf>
      <font>
        <color theme="9" tint="0.59996337778862885"/>
      </font>
      <fill>
        <patternFill>
          <bgColor theme="9" tint="0.59996337778862885"/>
        </patternFill>
      </fill>
    </dxf>
    <dxf>
      <font>
        <color theme="0"/>
      </font>
      <fill>
        <patternFill>
          <bgColor theme="0"/>
        </patternFill>
      </fill>
    </dxf>
    <dxf>
      <font>
        <color theme="1"/>
      </font>
      <fill>
        <patternFill>
          <bgColor rgb="FFFFFF00"/>
        </patternFill>
      </fill>
    </dxf>
    <dxf>
      <font>
        <color theme="0"/>
      </font>
      <fill>
        <patternFill>
          <bgColor rgb="FFFF0000"/>
        </patternFill>
      </fill>
    </dxf>
    <dxf>
      <font>
        <color theme="0"/>
      </font>
      <fill>
        <patternFill>
          <bgColor rgb="FFFF0000"/>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0"/>
      </font>
      <fill>
        <patternFill>
          <bgColor theme="0"/>
        </patternFill>
      </fill>
    </dxf>
    <dxf>
      <font>
        <b/>
        <i val="0"/>
      </font>
      <fill>
        <patternFill>
          <bgColor rgb="FFFFFF00"/>
        </patternFill>
      </fill>
      <border>
        <left style="thin">
          <color auto="1"/>
        </left>
        <right style="thin">
          <color auto="1"/>
        </right>
        <top style="thin">
          <color auto="1"/>
        </top>
        <bottom style="thin">
          <color auto="1"/>
        </bottom>
        <vertical/>
        <horizontal/>
      </border>
    </dxf>
    <dxf>
      <fill>
        <patternFill>
          <bgColor rgb="FFFF0000"/>
        </patternFill>
      </fill>
    </dxf>
    <dxf>
      <fill>
        <patternFill>
          <bgColor rgb="FFFF0000"/>
        </patternFill>
      </fill>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ill>
        <patternFill>
          <bgColor rgb="FFFF00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b/>
        <i val="0"/>
        <color theme="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ill>
        <patternFill>
          <bgColor rgb="FFFF00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ill>
        <patternFill>
          <bgColor rgb="FFFF0000"/>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b/>
        <i val="0"/>
        <color theme="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tint="-0.14996795556505021"/>
      </font>
      <fill>
        <patternFill>
          <bgColor theme="0" tint="-0.14996795556505021"/>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59996337778862885"/>
      </font>
      <fill>
        <patternFill>
          <bgColor theme="9" tint="0.59996337778862885"/>
        </patternFill>
      </fill>
    </dxf>
    <dxf>
      <font>
        <color theme="3" tint="0.59996337778862885"/>
      </font>
      <fill>
        <patternFill>
          <bgColor theme="3"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3" tint="0.59996337778862885"/>
      </font>
      <fill>
        <patternFill>
          <bgColor theme="3" tint="0.59996337778862885"/>
        </patternFill>
      </fill>
    </dxf>
    <dxf>
      <font>
        <color theme="1" tint="0.499984740745262"/>
      </font>
      <fill>
        <patternFill>
          <bgColor theme="1" tint="0.499984740745262"/>
        </patternFill>
      </fill>
    </dxf>
    <dxf>
      <font>
        <color theme="2" tint="-9.9948118533890809E-2"/>
      </font>
      <fill>
        <patternFill>
          <bgColor theme="2"/>
        </patternFill>
      </fill>
    </dxf>
    <dxf>
      <font>
        <color theme="1" tint="0.499984740745262"/>
      </font>
      <fill>
        <patternFill>
          <bgColor theme="1" tint="0.499984740745262"/>
        </patternFill>
      </fill>
    </dxf>
    <dxf>
      <font>
        <b/>
        <i val="0"/>
        <color theme="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FF00"/>
        </patternFill>
      </fill>
    </dxf>
    <dxf>
      <font>
        <b/>
        <i val="0"/>
      </font>
      <fill>
        <patternFill>
          <bgColor rgb="FFFFFF00"/>
        </patternFill>
      </fill>
    </dxf>
    <dxf>
      <font>
        <b/>
        <i val="0"/>
      </font>
      <fill>
        <patternFill>
          <bgColor rgb="FFFFFF00"/>
        </patternFill>
      </fill>
    </dxf>
    <dxf>
      <font>
        <b/>
        <i val="0"/>
      </font>
      <fill>
        <patternFill>
          <bgColor rgb="FFFFFF00"/>
        </patternFill>
      </fill>
    </dxf>
    <dxf>
      <font>
        <b/>
        <i val="0"/>
      </font>
      <fill>
        <patternFill>
          <bgColor rgb="FFFFFF00"/>
        </patternFill>
      </fill>
    </dxf>
    <dxf>
      <font>
        <b/>
        <i val="0"/>
      </font>
      <fill>
        <patternFill>
          <bgColor rgb="FFFFFF00"/>
        </patternFill>
      </fill>
    </dxf>
    <dxf>
      <font>
        <b/>
        <i val="0"/>
      </font>
      <fill>
        <patternFill>
          <bgColor rgb="FFFFFF00"/>
        </patternFill>
      </fill>
    </dxf>
    <dxf>
      <font>
        <b/>
        <i val="0"/>
      </font>
      <fill>
        <patternFill>
          <bgColor rgb="FFFFFF00"/>
        </patternFill>
      </fill>
      <border>
        <left style="thin">
          <color auto="1"/>
        </left>
        <right style="thin">
          <color auto="1"/>
        </right>
        <top style="thin">
          <color auto="1"/>
        </top>
        <bottom style="thin">
          <color auto="1"/>
        </bottom>
        <vertical/>
        <horizontal/>
      </border>
    </dxf>
    <dxf>
      <fill>
        <patternFill>
          <bgColor rgb="FFFFFF00"/>
        </patternFill>
      </fill>
    </dxf>
    <dxf>
      <font>
        <b/>
        <i val="0"/>
      </font>
      <fill>
        <patternFill>
          <bgColor rgb="FFFFFF00"/>
        </patternFill>
      </fill>
    </dxf>
    <dxf>
      <font>
        <b/>
        <i val="0"/>
      </font>
      <fill>
        <patternFill>
          <bgColor rgb="FFFFFF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border>
        <left style="thin">
          <color auto="1"/>
        </left>
        <right style="thin">
          <color auto="1"/>
        </right>
        <top style="thin">
          <color auto="1"/>
        </top>
        <bottom style="thin">
          <color auto="1"/>
        </bottom>
        <vertical/>
        <horizontal/>
      </border>
    </dxf>
    <dxf>
      <fill>
        <patternFill>
          <bgColor rgb="FFFF0000"/>
        </patternFill>
      </fill>
    </dxf>
    <dxf>
      <fill>
        <patternFill>
          <bgColor rgb="FFFF0000"/>
        </patternFill>
      </fill>
      <border>
        <left style="thin">
          <color auto="1"/>
        </left>
        <right style="thin">
          <color auto="1"/>
        </right>
        <top style="thin">
          <color auto="1"/>
        </top>
        <bottom style="thin">
          <color auto="1"/>
        </bottom>
        <vertical/>
        <horizontal/>
      </border>
    </dxf>
    <dxf>
      <fill>
        <patternFill>
          <bgColor rgb="FFFF0000"/>
        </patternFill>
      </fill>
      <border>
        <left style="thin">
          <color auto="1"/>
        </left>
        <right style="thin">
          <color auto="1"/>
        </right>
        <top style="thin">
          <color auto="1"/>
        </top>
        <bottom style="thin">
          <color auto="1"/>
        </bottom>
        <vertical/>
        <horizontal/>
      </border>
    </dxf>
    <dxf>
      <fill>
        <patternFill>
          <bgColor rgb="FFFF0000"/>
        </patternFill>
      </fill>
      <border>
        <left style="thin">
          <color auto="1"/>
        </left>
        <right style="thin">
          <color auto="1"/>
        </right>
        <top style="thin">
          <color auto="1"/>
        </top>
        <bottom style="thin">
          <color auto="1"/>
        </bottom>
        <vertical/>
        <horizontal/>
      </border>
    </dxf>
    <dxf>
      <fill>
        <patternFill>
          <bgColor rgb="FFFF0000"/>
        </patternFill>
      </fill>
      <border>
        <left style="thin">
          <color auto="1"/>
        </left>
        <right style="thin">
          <color auto="1"/>
        </right>
        <top style="thin">
          <color auto="1"/>
        </top>
        <bottom style="thin">
          <color auto="1"/>
        </bottom>
        <vertical/>
        <horizontal/>
      </border>
    </dxf>
    <dxf>
      <fill>
        <patternFill>
          <bgColor rgb="FFFF0000"/>
        </patternFill>
      </fill>
      <border>
        <left style="thin">
          <color auto="1"/>
        </left>
        <right style="thin">
          <color auto="1"/>
        </right>
        <top style="thin">
          <color auto="1"/>
        </top>
        <bottom style="thin">
          <color auto="1"/>
        </bottom>
        <vertical/>
        <horizontal/>
      </border>
    </dxf>
    <dxf>
      <fill>
        <patternFill>
          <bgColor rgb="FFFF0000"/>
        </patternFill>
      </fill>
      <border>
        <left style="thin">
          <color auto="1"/>
        </left>
        <right style="thin">
          <color auto="1"/>
        </right>
        <top style="thin">
          <color auto="1"/>
        </top>
        <bottom style="thin">
          <color auto="1"/>
        </bottom>
        <vertical/>
        <horizontal/>
      </border>
    </dxf>
    <dxf>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rgb="FFC00000"/>
        </left>
        <right style="thin">
          <color rgb="FFC00000"/>
        </right>
        <top style="thin">
          <color rgb="FFC00000"/>
        </top>
        <bottom style="thin">
          <color rgb="FFC00000"/>
        </bottom>
        <vertical/>
        <horizontal/>
      </border>
    </dxf>
    <dxf>
      <font>
        <b/>
        <i val="0"/>
      </font>
      <fill>
        <patternFill>
          <bgColor rgb="FFFF0000"/>
        </patternFill>
      </fill>
      <border>
        <left style="thin">
          <color rgb="FFC00000"/>
        </left>
        <right style="thin">
          <color rgb="FFC00000"/>
        </right>
        <top style="thin">
          <color rgb="FFC00000"/>
        </top>
        <bottom style="thin">
          <color rgb="FFC00000"/>
        </bottom>
        <vertical/>
        <horizontal/>
      </border>
    </dxf>
    <dxf>
      <fill>
        <patternFill>
          <bgColor rgb="FFFF0000"/>
        </patternFill>
      </fill>
      <border>
        <left style="thin">
          <color rgb="FFC00000"/>
        </left>
        <right style="thin">
          <color rgb="FFC00000"/>
        </right>
        <top style="thin">
          <color rgb="FFC00000"/>
        </top>
        <bottom style="thin">
          <color rgb="FFC00000"/>
        </bottom>
        <vertical/>
        <horizontal/>
      </border>
    </dxf>
    <dxf>
      <fill>
        <patternFill>
          <bgColor rgb="FFFF0000"/>
        </patternFill>
      </fill>
      <border>
        <left style="thin">
          <color rgb="FFC00000"/>
        </left>
        <right style="thin">
          <color rgb="FFC00000"/>
        </right>
        <top style="thin">
          <color rgb="FFC00000"/>
        </top>
        <bottom style="thin">
          <color rgb="FFC00000"/>
        </bottom>
        <vertical/>
        <horizontal/>
      </border>
    </dxf>
    <dxf>
      <fill>
        <patternFill>
          <bgColor rgb="FFFF0000"/>
        </patternFill>
      </fill>
      <border>
        <left style="thin">
          <color rgb="FFC00000"/>
        </left>
        <right style="thin">
          <color rgb="FFC00000"/>
        </right>
        <top style="thin">
          <color rgb="FFC00000"/>
        </top>
        <bottom style="thin">
          <color rgb="FFC00000"/>
        </bottom>
        <vertical/>
        <horizontal/>
      </border>
    </dxf>
    <dxf>
      <fill>
        <patternFill>
          <bgColor rgb="FFFF0000"/>
        </patternFill>
      </fill>
      <border>
        <left style="thin">
          <color rgb="FFC00000"/>
        </left>
        <right style="thin">
          <color rgb="FFC00000"/>
        </right>
        <top style="thin">
          <color rgb="FFC00000"/>
        </top>
        <bottom style="thin">
          <color rgb="FFC00000"/>
        </bottom>
        <vertical/>
        <horizontal/>
      </border>
    </dxf>
    <dxf>
      <fill>
        <patternFill>
          <bgColor rgb="FFFF0000"/>
        </patternFill>
      </fill>
      <border>
        <left style="thin">
          <color rgb="FFC00000"/>
        </left>
        <right style="thin">
          <color rgb="FFC00000"/>
        </right>
        <top style="thin">
          <color rgb="FFC00000"/>
        </top>
        <bottom style="thin">
          <color rgb="FFC00000"/>
        </bottom>
        <vertical/>
        <horizontal/>
      </border>
    </dxf>
    <dxf>
      <fill>
        <patternFill>
          <bgColor rgb="FFFF0000"/>
        </patternFill>
      </fill>
      <border>
        <left style="thin">
          <color rgb="FFC00000"/>
        </left>
        <right style="thin">
          <color rgb="FFC00000"/>
        </right>
        <top style="thin">
          <color rgb="FFC00000"/>
        </top>
        <bottom style="thin">
          <color rgb="FFC00000"/>
        </bottom>
        <vertical/>
        <horizontal/>
      </border>
    </dxf>
    <dxf>
      <fill>
        <patternFill>
          <bgColor rgb="FFFF0000"/>
        </patternFill>
      </fill>
      <border>
        <left style="thin">
          <color rgb="FFC00000"/>
        </left>
        <right style="thin">
          <color rgb="FFC00000"/>
        </right>
        <top style="thin">
          <color rgb="FFC00000"/>
        </top>
        <bottom style="thin">
          <color rgb="FFC00000"/>
        </bottom>
        <vertical/>
        <horizontal/>
      </border>
    </dxf>
    <dxf>
      <fill>
        <gradientFill degree="90">
          <stop position="0">
            <color rgb="FFFF0000"/>
          </stop>
          <stop position="1">
            <color rgb="FFFF0000"/>
          </stop>
        </gradientFill>
      </fill>
      <border>
        <left style="thin">
          <color rgb="FFC00000"/>
        </left>
        <right style="thin">
          <color rgb="FFC00000"/>
        </right>
        <top style="thin">
          <color rgb="FFC00000"/>
        </top>
        <bottom style="thin">
          <color rgb="FFC00000"/>
        </bottom>
        <vertical/>
        <horizontal/>
      </border>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ill>
        <gradientFill degree="270">
          <stop position="0">
            <color rgb="FFFF0000"/>
          </stop>
          <stop position="1">
            <color rgb="FFFF0000"/>
          </stop>
        </gradientFill>
      </fill>
      <border>
        <left style="thin">
          <color rgb="FFC00000"/>
        </left>
        <right style="thin">
          <color rgb="FFC00000"/>
        </right>
        <top style="thin">
          <color rgb="FFC00000"/>
        </top>
        <bottom style="thin">
          <color rgb="FFC00000"/>
        </bottom>
        <vertical/>
        <horizontal/>
      </border>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1"/>
      </font>
      <fill>
        <patternFill>
          <bgColor rgb="FFFFFF00"/>
        </patternFill>
      </fill>
    </dxf>
    <dxf>
      <font>
        <color theme="0"/>
      </font>
      <fill>
        <patternFill>
          <bgColor rgb="FFFF0000"/>
        </patternFill>
      </fill>
    </dxf>
    <dxf>
      <font>
        <color theme="1"/>
      </font>
      <fill>
        <patternFill>
          <bgColor rgb="FFFFFF00"/>
        </patternFill>
      </fill>
    </dxf>
    <dxf>
      <font>
        <b/>
        <i/>
        <color theme="1"/>
      </font>
      <fill>
        <patternFill patternType="solid">
          <fgColor rgb="FFFF0000"/>
          <bgColor rgb="FFFFFF00"/>
        </patternFill>
      </fill>
      <border>
        <left style="hair">
          <color rgb="FFC00000"/>
        </left>
        <right style="hair">
          <color rgb="FFC00000"/>
        </right>
        <top style="hair">
          <color rgb="FFC00000"/>
        </top>
        <bottom style="hair">
          <color rgb="FFC00000"/>
        </bottom>
        <vertical/>
        <horizontal/>
      </border>
    </dxf>
    <dxf>
      <font>
        <color theme="0"/>
      </font>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892"/>
      <tableStyleElement type="headerRow" dxfId="189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4.jpeg"/><Relationship Id="rId2" Type="http://schemas.openxmlformats.org/officeDocument/2006/relationships/image" Target="../media/image3.jpe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381000</xdr:colOff>
      <xdr:row>1</xdr:row>
      <xdr:rowOff>84667</xdr:rowOff>
    </xdr:from>
    <xdr:to>
      <xdr:col>0</xdr:col>
      <xdr:colOff>1651000</xdr:colOff>
      <xdr:row>1</xdr:row>
      <xdr:rowOff>1121834</xdr:rowOff>
    </xdr:to>
    <xdr:pic>
      <xdr:nvPicPr>
        <xdr:cNvPr id="2" name="Picture 1">
          <a:extLst>
            <a:ext uri="{FF2B5EF4-FFF2-40B4-BE49-F238E27FC236}">
              <a16:creationId xmlns:a16="http://schemas.microsoft.com/office/drawing/2014/main" id="{EC591C3C-3BCB-4D5A-9F40-ADC0DE0A12D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1000" y="571500"/>
          <a:ext cx="1270000" cy="1037167"/>
        </a:xfrm>
        <a:prstGeom prst="rect">
          <a:avLst/>
        </a:prstGeom>
      </xdr:spPr>
    </xdr:pic>
    <xdr:clientData/>
  </xdr:twoCellAnchor>
  <xdr:twoCellAnchor editAs="oneCell">
    <xdr:from>
      <xdr:col>1</xdr:col>
      <xdr:colOff>1692553</xdr:colOff>
      <xdr:row>1</xdr:row>
      <xdr:rowOff>43255</xdr:rowOff>
    </xdr:from>
    <xdr:to>
      <xdr:col>1</xdr:col>
      <xdr:colOff>3069167</xdr:colOff>
      <xdr:row>1</xdr:row>
      <xdr:rowOff>1143921</xdr:rowOff>
    </xdr:to>
    <xdr:pic>
      <xdr:nvPicPr>
        <xdr:cNvPr id="3" name="Shape 4">
          <a:extLst>
            <a:ext uri="{FF2B5EF4-FFF2-40B4-BE49-F238E27FC236}">
              <a16:creationId xmlns:a16="http://schemas.microsoft.com/office/drawing/2014/main" id="{FE80FF37-4731-430E-BA20-2D9CBE6EF181}"/>
            </a:ext>
          </a:extLst>
        </xdr:cNvPr>
        <xdr:cNvPicPr/>
      </xdr:nvPicPr>
      <xdr:blipFill rotWithShape="1">
        <a:blip xmlns:r="http://schemas.openxmlformats.org/officeDocument/2006/relationships" r:embed="rId2">
          <a:alphaModFix/>
        </a:blip>
        <a:srcRect/>
        <a:stretch/>
      </xdr:blipFill>
      <xdr:spPr>
        <a:xfrm>
          <a:off x="4156629" y="43255"/>
          <a:ext cx="1376614" cy="1100666"/>
        </a:xfrm>
        <a:prstGeom prst="rect">
          <a:avLst/>
        </a:prstGeom>
        <a:noFill/>
        <a:ln>
          <a:noFill/>
        </a:ln>
      </xdr:spPr>
    </xdr:pic>
    <xdr:clientData/>
  </xdr:twoCellAnchor>
  <xdr:twoCellAnchor editAs="oneCell">
    <xdr:from>
      <xdr:col>1</xdr:col>
      <xdr:colOff>5218355</xdr:colOff>
      <xdr:row>1</xdr:row>
      <xdr:rowOff>63502</xdr:rowOff>
    </xdr:from>
    <xdr:to>
      <xdr:col>1</xdr:col>
      <xdr:colOff>7230533</xdr:colOff>
      <xdr:row>1</xdr:row>
      <xdr:rowOff>1143002</xdr:rowOff>
    </xdr:to>
    <xdr:pic>
      <xdr:nvPicPr>
        <xdr:cNvPr id="4" name="Shape 5">
          <a:extLst>
            <a:ext uri="{FF2B5EF4-FFF2-40B4-BE49-F238E27FC236}">
              <a16:creationId xmlns:a16="http://schemas.microsoft.com/office/drawing/2014/main" id="{26B071F8-9EA2-4570-ABD1-CC2D83C39BAF}"/>
            </a:ext>
          </a:extLst>
        </xdr:cNvPr>
        <xdr:cNvPicPr/>
      </xdr:nvPicPr>
      <xdr:blipFill rotWithShape="1">
        <a:blip xmlns:r="http://schemas.openxmlformats.org/officeDocument/2006/relationships" r:embed="rId3">
          <a:alphaModFix/>
        </a:blip>
        <a:srcRect t="13575" b="20814"/>
        <a:stretch/>
      </xdr:blipFill>
      <xdr:spPr>
        <a:xfrm>
          <a:off x="7694855" y="63502"/>
          <a:ext cx="1999478" cy="1079500"/>
        </a:xfrm>
        <a:prstGeom prst="rect">
          <a:avLst/>
        </a:prstGeom>
        <a:noFill/>
        <a:ln>
          <a:noFill/>
        </a:ln>
      </xdr:spPr>
    </xdr:pic>
    <xdr:clientData/>
  </xdr:twoCellAnchor>
  <xdr:twoCellAnchor editAs="oneCell">
    <xdr:from>
      <xdr:col>7</xdr:col>
      <xdr:colOff>414760</xdr:colOff>
      <xdr:row>1</xdr:row>
      <xdr:rowOff>317499</xdr:rowOff>
    </xdr:from>
    <xdr:to>
      <xdr:col>13</xdr:col>
      <xdr:colOff>1348</xdr:colOff>
      <xdr:row>1</xdr:row>
      <xdr:rowOff>753284</xdr:rowOff>
    </xdr:to>
    <xdr:pic>
      <xdr:nvPicPr>
        <xdr:cNvPr id="5" name="Shape 7">
          <a:extLst>
            <a:ext uri="{FF2B5EF4-FFF2-40B4-BE49-F238E27FC236}">
              <a16:creationId xmlns:a16="http://schemas.microsoft.com/office/drawing/2014/main" id="{0EFD81E9-0E08-49F4-9498-88819FBAC9B5}"/>
            </a:ext>
          </a:extLst>
        </xdr:cNvPr>
        <xdr:cNvPicPr/>
      </xdr:nvPicPr>
      <xdr:blipFill rotWithShape="1">
        <a:blip xmlns:r="http://schemas.openxmlformats.org/officeDocument/2006/relationships" r:embed="rId4">
          <a:alphaModFix/>
        </a:blip>
        <a:srcRect/>
        <a:stretch/>
      </xdr:blipFill>
      <xdr:spPr>
        <a:xfrm>
          <a:off x="12437427" y="804332"/>
          <a:ext cx="2633237" cy="435785"/>
        </a:xfrm>
        <a:prstGeom prst="rect">
          <a:avLst/>
        </a:prstGeom>
        <a:noFill/>
        <a:ln>
          <a:noFill/>
        </a:ln>
      </xdr:spPr>
    </xdr:pic>
    <xdr:clientData/>
  </xdr:twoCellAnchor>
  <xdr:twoCellAnchor editAs="oneCell">
    <xdr:from>
      <xdr:col>17</xdr:col>
      <xdr:colOff>148166</xdr:colOff>
      <xdr:row>1</xdr:row>
      <xdr:rowOff>84667</xdr:rowOff>
    </xdr:from>
    <xdr:to>
      <xdr:col>22</xdr:col>
      <xdr:colOff>359833</xdr:colOff>
      <xdr:row>1</xdr:row>
      <xdr:rowOff>1143000</xdr:rowOff>
    </xdr:to>
    <xdr:pic>
      <xdr:nvPicPr>
        <xdr:cNvPr id="6" name="Shape 8">
          <a:extLst>
            <a:ext uri="{FF2B5EF4-FFF2-40B4-BE49-F238E27FC236}">
              <a16:creationId xmlns:a16="http://schemas.microsoft.com/office/drawing/2014/main" id="{7532368D-E47A-4675-B0B1-9A439F8F0594}"/>
            </a:ext>
          </a:extLst>
        </xdr:cNvPr>
        <xdr:cNvPicPr/>
      </xdr:nvPicPr>
      <xdr:blipFill rotWithShape="1">
        <a:blip xmlns:r="http://schemas.openxmlformats.org/officeDocument/2006/relationships" r:embed="rId5">
          <a:alphaModFix/>
        </a:blip>
        <a:srcRect b="17423"/>
        <a:stretch/>
      </xdr:blipFill>
      <xdr:spPr>
        <a:xfrm>
          <a:off x="17250833" y="571500"/>
          <a:ext cx="2751667" cy="1058333"/>
        </a:xfrm>
        <a:prstGeom prst="rect">
          <a:avLst/>
        </a:prstGeom>
        <a:noFill/>
        <a:ln>
          <a:noFill/>
        </a:ln>
      </xdr:spPr>
    </xdr:pic>
    <xdr:clientData/>
  </xdr:twoCellAnchor>
  <xdr:twoCellAnchor editAs="oneCell">
    <xdr:from>
      <xdr:col>29</xdr:col>
      <xdr:colOff>131600</xdr:colOff>
      <xdr:row>1</xdr:row>
      <xdr:rowOff>169333</xdr:rowOff>
    </xdr:from>
    <xdr:to>
      <xdr:col>33</xdr:col>
      <xdr:colOff>10582</xdr:colOff>
      <xdr:row>1</xdr:row>
      <xdr:rowOff>973667</xdr:rowOff>
    </xdr:to>
    <xdr:pic>
      <xdr:nvPicPr>
        <xdr:cNvPr id="7" name="Shape 9">
          <a:extLst>
            <a:ext uri="{FF2B5EF4-FFF2-40B4-BE49-F238E27FC236}">
              <a16:creationId xmlns:a16="http://schemas.microsoft.com/office/drawing/2014/main" id="{214EAAA6-C9DC-4073-B0AF-CC27709A077C}"/>
            </a:ext>
          </a:extLst>
        </xdr:cNvPr>
        <xdr:cNvPicPr/>
      </xdr:nvPicPr>
      <xdr:blipFill rotWithShape="1">
        <a:blip xmlns:r="http://schemas.openxmlformats.org/officeDocument/2006/relationships" r:embed="rId6">
          <a:alphaModFix/>
        </a:blip>
        <a:srcRect/>
        <a:stretch/>
      </xdr:blipFill>
      <xdr:spPr>
        <a:xfrm>
          <a:off x="23654209" y="169333"/>
          <a:ext cx="2280938" cy="804334"/>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I448"/>
  <sheetViews>
    <sheetView showGridLines="0" showWhiteSpace="0" zoomScale="50" zoomScaleNormal="50" zoomScalePageLayoutView="30" workbookViewId="0">
      <pane xSplit="4" ySplit="2" topLeftCell="E3" activePane="bottomRight" state="frozen"/>
      <selection pane="topRight" activeCell="D1" sqref="D1"/>
      <selection pane="bottomLeft" activeCell="A3" sqref="A3"/>
      <selection pane="bottomRight" activeCell="D16" sqref="D16"/>
    </sheetView>
  </sheetViews>
  <sheetFormatPr defaultColWidth="9" defaultRowHeight="28.5" x14ac:dyDescent="0.85"/>
  <cols>
    <col min="1" max="1" width="6.3984375" style="418" customWidth="1"/>
    <col min="2" max="2" width="66.3984375" style="813" customWidth="1" collapsed="1"/>
    <col min="3" max="3" width="79.59765625" style="471" customWidth="1" collapsed="1"/>
    <col min="4" max="4" width="20.1328125" style="829" bestFit="1" customWidth="1" collapsed="1"/>
    <col min="5" max="5" width="116.1328125" style="472" customWidth="1" collapsed="1"/>
    <col min="6" max="6" width="86" style="473" customWidth="1" collapsed="1"/>
    <col min="7" max="35" width="9" style="881"/>
    <col min="36" max="139" width="9" style="881" collapsed="1"/>
    <col min="140" max="16384" width="9" style="418" collapsed="1"/>
  </cols>
  <sheetData>
    <row r="1" spans="2:139" ht="79.5" customHeight="1" x14ac:dyDescent="0.85">
      <c r="B1" s="983" t="s">
        <v>110</v>
      </c>
      <c r="C1" s="984"/>
      <c r="D1" s="984"/>
      <c r="E1" s="984"/>
      <c r="F1" s="887"/>
    </row>
    <row r="2" spans="2:139" s="419" customFormat="1" x14ac:dyDescent="0.85">
      <c r="B2" s="811" t="s">
        <v>37</v>
      </c>
      <c r="C2" s="420" t="s">
        <v>38</v>
      </c>
      <c r="D2" s="814" t="s">
        <v>142</v>
      </c>
      <c r="E2" s="421" t="s">
        <v>36</v>
      </c>
      <c r="F2" s="888" t="s">
        <v>131</v>
      </c>
      <c r="G2" s="890"/>
      <c r="H2" s="890"/>
      <c r="I2" s="890"/>
      <c r="J2" s="890"/>
      <c r="K2" s="890"/>
      <c r="L2" s="890"/>
      <c r="M2" s="890"/>
      <c r="N2" s="890"/>
      <c r="O2" s="890"/>
      <c r="P2" s="890"/>
      <c r="Q2" s="890"/>
      <c r="R2" s="890"/>
      <c r="S2" s="890"/>
      <c r="T2" s="890"/>
      <c r="U2" s="890"/>
      <c r="V2" s="890"/>
      <c r="W2" s="890"/>
      <c r="X2" s="890"/>
      <c r="Y2" s="890"/>
      <c r="Z2" s="890"/>
      <c r="AA2" s="890"/>
      <c r="AB2" s="890"/>
      <c r="AC2" s="890"/>
      <c r="AD2" s="890"/>
      <c r="AE2" s="890"/>
      <c r="AF2" s="890"/>
      <c r="AG2" s="890"/>
      <c r="AH2" s="890"/>
      <c r="AI2" s="890"/>
      <c r="AJ2" s="890"/>
      <c r="AK2" s="890"/>
      <c r="AL2" s="890"/>
      <c r="AM2" s="890"/>
      <c r="AN2" s="890"/>
      <c r="AO2" s="890"/>
      <c r="AP2" s="890"/>
      <c r="AQ2" s="890"/>
      <c r="AR2" s="890"/>
      <c r="AS2" s="890"/>
      <c r="AT2" s="890"/>
      <c r="AU2" s="890"/>
      <c r="AV2" s="890"/>
      <c r="AW2" s="890"/>
      <c r="AX2" s="890"/>
      <c r="AY2" s="890"/>
      <c r="AZ2" s="890"/>
      <c r="BA2" s="890"/>
      <c r="BB2" s="890"/>
      <c r="BC2" s="890"/>
      <c r="BD2" s="890"/>
      <c r="BE2" s="890"/>
      <c r="BF2" s="890"/>
      <c r="BG2" s="890"/>
      <c r="BH2" s="890"/>
      <c r="BI2" s="890"/>
      <c r="BJ2" s="890"/>
      <c r="BK2" s="890"/>
      <c r="BL2" s="890"/>
      <c r="BM2" s="890"/>
      <c r="BN2" s="890"/>
      <c r="BO2" s="890"/>
      <c r="BP2" s="890"/>
      <c r="BQ2" s="890"/>
      <c r="BR2" s="890"/>
      <c r="BS2" s="890"/>
      <c r="BT2" s="890"/>
      <c r="BU2" s="890"/>
      <c r="BV2" s="890"/>
      <c r="BW2" s="890"/>
      <c r="BX2" s="890"/>
      <c r="BY2" s="890"/>
      <c r="BZ2" s="890"/>
      <c r="CA2" s="890"/>
      <c r="CB2" s="890"/>
      <c r="CC2" s="890"/>
      <c r="CD2" s="890"/>
      <c r="CE2" s="890"/>
      <c r="CF2" s="890"/>
      <c r="CG2" s="890"/>
      <c r="CH2" s="890"/>
      <c r="CI2" s="890"/>
      <c r="CJ2" s="890"/>
      <c r="CK2" s="890"/>
      <c r="CL2" s="890"/>
      <c r="CM2" s="890"/>
      <c r="CN2" s="890"/>
      <c r="CO2" s="890"/>
      <c r="CP2" s="890"/>
      <c r="CQ2" s="890"/>
      <c r="CR2" s="890"/>
      <c r="CS2" s="890"/>
      <c r="CT2" s="890"/>
      <c r="CU2" s="890"/>
      <c r="CV2" s="890"/>
      <c r="CW2" s="890"/>
      <c r="CX2" s="890"/>
      <c r="CY2" s="890"/>
      <c r="CZ2" s="890"/>
      <c r="DA2" s="890"/>
      <c r="DB2" s="890"/>
      <c r="DC2" s="890"/>
      <c r="DD2" s="890"/>
      <c r="DE2" s="890"/>
      <c r="DF2" s="890"/>
      <c r="DG2" s="890"/>
      <c r="DH2" s="890"/>
      <c r="DI2" s="890"/>
      <c r="DJ2" s="890"/>
      <c r="DK2" s="890"/>
      <c r="DL2" s="890"/>
      <c r="DM2" s="890"/>
      <c r="DN2" s="890"/>
      <c r="DO2" s="890"/>
      <c r="DP2" s="890"/>
      <c r="DQ2" s="890"/>
      <c r="DR2" s="890"/>
      <c r="DS2" s="890"/>
      <c r="DT2" s="890"/>
      <c r="DU2" s="890"/>
      <c r="DV2" s="890"/>
      <c r="DW2" s="890"/>
      <c r="DX2" s="890"/>
      <c r="DY2" s="890"/>
      <c r="DZ2" s="890"/>
      <c r="EA2" s="890"/>
      <c r="EB2" s="890"/>
      <c r="EC2" s="890"/>
      <c r="ED2" s="890"/>
      <c r="EE2" s="890"/>
      <c r="EF2" s="890"/>
      <c r="EG2" s="890"/>
      <c r="EH2" s="890"/>
      <c r="EI2" s="890"/>
    </row>
    <row r="3" spans="2:139" s="419" customFormat="1" ht="7.5" customHeight="1" x14ac:dyDescent="0.85">
      <c r="B3" s="812"/>
      <c r="C3" s="422"/>
      <c r="D3" s="815"/>
      <c r="E3" s="423"/>
      <c r="F3" s="889"/>
      <c r="G3" s="890"/>
      <c r="H3" s="890"/>
      <c r="I3" s="890"/>
      <c r="J3" s="890"/>
      <c r="K3" s="890"/>
      <c r="L3" s="890"/>
      <c r="M3" s="890"/>
      <c r="N3" s="890"/>
      <c r="O3" s="890"/>
      <c r="P3" s="890"/>
      <c r="Q3" s="890"/>
      <c r="R3" s="890"/>
      <c r="S3" s="890"/>
      <c r="T3" s="890"/>
      <c r="U3" s="890"/>
      <c r="V3" s="890"/>
      <c r="W3" s="890"/>
      <c r="X3" s="890"/>
      <c r="Y3" s="890"/>
      <c r="Z3" s="890"/>
      <c r="AA3" s="890"/>
      <c r="AB3" s="890"/>
      <c r="AC3" s="890"/>
      <c r="AD3" s="890"/>
      <c r="AE3" s="890"/>
      <c r="AF3" s="890"/>
      <c r="AG3" s="890"/>
      <c r="AH3" s="890"/>
      <c r="AI3" s="890"/>
      <c r="AJ3" s="890"/>
      <c r="AK3" s="890"/>
      <c r="AL3" s="890"/>
      <c r="AM3" s="890"/>
      <c r="AN3" s="890"/>
      <c r="AO3" s="890"/>
      <c r="AP3" s="890"/>
      <c r="AQ3" s="890"/>
      <c r="AR3" s="890"/>
      <c r="AS3" s="890"/>
      <c r="AT3" s="890"/>
      <c r="AU3" s="890"/>
      <c r="AV3" s="890"/>
      <c r="AW3" s="890"/>
      <c r="AX3" s="890"/>
      <c r="AY3" s="890"/>
      <c r="AZ3" s="890"/>
      <c r="BA3" s="890"/>
      <c r="BB3" s="890"/>
      <c r="BC3" s="890"/>
      <c r="BD3" s="890"/>
      <c r="BE3" s="890"/>
      <c r="BF3" s="890"/>
      <c r="BG3" s="890"/>
      <c r="BH3" s="890"/>
      <c r="BI3" s="890"/>
      <c r="BJ3" s="890"/>
      <c r="BK3" s="890"/>
      <c r="BL3" s="890"/>
      <c r="BM3" s="890"/>
      <c r="BN3" s="890"/>
      <c r="BO3" s="890"/>
      <c r="BP3" s="890"/>
      <c r="BQ3" s="890"/>
      <c r="BR3" s="890"/>
      <c r="BS3" s="890"/>
      <c r="BT3" s="890"/>
      <c r="BU3" s="890"/>
      <c r="BV3" s="890"/>
      <c r="BW3" s="890"/>
      <c r="BX3" s="890"/>
      <c r="BY3" s="890"/>
      <c r="BZ3" s="890"/>
      <c r="CA3" s="890"/>
      <c r="CB3" s="890"/>
      <c r="CC3" s="890"/>
      <c r="CD3" s="890"/>
      <c r="CE3" s="890"/>
      <c r="CF3" s="890"/>
      <c r="CG3" s="890"/>
      <c r="CH3" s="890"/>
      <c r="CI3" s="890"/>
      <c r="CJ3" s="890"/>
      <c r="CK3" s="890"/>
      <c r="CL3" s="890"/>
      <c r="CM3" s="890"/>
      <c r="CN3" s="890"/>
      <c r="CO3" s="890"/>
      <c r="CP3" s="890"/>
      <c r="CQ3" s="890"/>
      <c r="CR3" s="890"/>
      <c r="CS3" s="890"/>
      <c r="CT3" s="890"/>
      <c r="CU3" s="890"/>
      <c r="CV3" s="890"/>
      <c r="CW3" s="890"/>
      <c r="CX3" s="890"/>
      <c r="CY3" s="890"/>
      <c r="CZ3" s="890"/>
      <c r="DA3" s="890"/>
      <c r="DB3" s="890"/>
      <c r="DC3" s="890"/>
      <c r="DD3" s="890"/>
      <c r="DE3" s="890"/>
      <c r="DF3" s="890"/>
      <c r="DG3" s="890"/>
      <c r="DH3" s="890"/>
      <c r="DI3" s="890"/>
      <c r="DJ3" s="890"/>
      <c r="DK3" s="890"/>
      <c r="DL3" s="890"/>
      <c r="DM3" s="890"/>
      <c r="DN3" s="890"/>
      <c r="DO3" s="890"/>
      <c r="DP3" s="890"/>
      <c r="DQ3" s="890"/>
      <c r="DR3" s="890"/>
      <c r="DS3" s="890"/>
      <c r="DT3" s="890"/>
      <c r="DU3" s="890"/>
      <c r="DV3" s="890"/>
      <c r="DW3" s="890"/>
      <c r="DX3" s="890"/>
      <c r="DY3" s="890"/>
      <c r="DZ3" s="890"/>
      <c r="EA3" s="890"/>
      <c r="EB3" s="890"/>
      <c r="EC3" s="890"/>
      <c r="ED3" s="890"/>
      <c r="EE3" s="890"/>
      <c r="EF3" s="890"/>
      <c r="EG3" s="890"/>
      <c r="EH3" s="890"/>
      <c r="EI3" s="890"/>
    </row>
    <row r="4" spans="2:139" s="419" customFormat="1" ht="28.9" hidden="1" thickBot="1" x14ac:dyDescent="0.9">
      <c r="B4" s="989" t="s">
        <v>468</v>
      </c>
      <c r="C4" s="990"/>
      <c r="D4" s="990"/>
      <c r="E4" s="990"/>
      <c r="F4" s="991"/>
      <c r="G4" s="890"/>
      <c r="H4" s="890"/>
      <c r="I4" s="890"/>
      <c r="J4" s="890"/>
      <c r="K4" s="890"/>
      <c r="L4" s="890"/>
      <c r="M4" s="890"/>
      <c r="N4" s="890"/>
      <c r="O4" s="890"/>
      <c r="P4" s="890"/>
      <c r="Q4" s="890"/>
      <c r="R4" s="890"/>
      <c r="S4" s="890"/>
      <c r="T4" s="890"/>
      <c r="U4" s="890"/>
      <c r="V4" s="890"/>
      <c r="W4" s="890"/>
      <c r="X4" s="890"/>
      <c r="Y4" s="890"/>
      <c r="Z4" s="890"/>
      <c r="AA4" s="890"/>
      <c r="AB4" s="890"/>
      <c r="AC4" s="890"/>
      <c r="AD4" s="890"/>
      <c r="AE4" s="890"/>
      <c r="AF4" s="890"/>
      <c r="AG4" s="890"/>
      <c r="AH4" s="890"/>
      <c r="AI4" s="890"/>
      <c r="AJ4" s="890"/>
      <c r="AK4" s="890"/>
      <c r="AL4" s="890"/>
      <c r="AM4" s="890"/>
      <c r="AN4" s="890"/>
      <c r="AO4" s="890"/>
      <c r="AP4" s="890"/>
      <c r="AQ4" s="890"/>
      <c r="AR4" s="890"/>
      <c r="AS4" s="890"/>
      <c r="AT4" s="890"/>
      <c r="AU4" s="890"/>
      <c r="AV4" s="890"/>
      <c r="AW4" s="890"/>
      <c r="AX4" s="890"/>
      <c r="AY4" s="890"/>
      <c r="AZ4" s="890"/>
      <c r="BA4" s="890"/>
      <c r="BB4" s="890"/>
      <c r="BC4" s="890"/>
      <c r="BD4" s="890"/>
      <c r="BE4" s="890"/>
      <c r="BF4" s="890"/>
      <c r="BG4" s="890"/>
      <c r="BH4" s="890"/>
      <c r="BI4" s="890"/>
      <c r="BJ4" s="890"/>
      <c r="BK4" s="890"/>
      <c r="BL4" s="890"/>
      <c r="BM4" s="890"/>
      <c r="BN4" s="890"/>
      <c r="BO4" s="890"/>
      <c r="BP4" s="890"/>
      <c r="BQ4" s="890"/>
      <c r="BR4" s="890"/>
      <c r="BS4" s="890"/>
      <c r="BT4" s="890"/>
      <c r="BU4" s="890"/>
      <c r="BV4" s="890"/>
      <c r="BW4" s="890"/>
      <c r="BX4" s="890"/>
      <c r="BY4" s="890"/>
      <c r="BZ4" s="890"/>
      <c r="CA4" s="890"/>
      <c r="CB4" s="890"/>
      <c r="CC4" s="890"/>
      <c r="CD4" s="890"/>
      <c r="CE4" s="890"/>
      <c r="CF4" s="890"/>
      <c r="CG4" s="890"/>
      <c r="CH4" s="890"/>
      <c r="CI4" s="890"/>
      <c r="CJ4" s="890"/>
      <c r="CK4" s="890"/>
      <c r="CL4" s="890"/>
      <c r="CM4" s="890"/>
      <c r="CN4" s="890"/>
      <c r="CO4" s="890"/>
      <c r="CP4" s="890"/>
      <c r="CQ4" s="890"/>
      <c r="CR4" s="890"/>
      <c r="CS4" s="890"/>
      <c r="CT4" s="890"/>
      <c r="CU4" s="890"/>
      <c r="CV4" s="890"/>
      <c r="CW4" s="890"/>
      <c r="CX4" s="890"/>
      <c r="CY4" s="890"/>
      <c r="CZ4" s="890"/>
      <c r="DA4" s="890"/>
      <c r="DB4" s="890"/>
      <c r="DC4" s="890"/>
      <c r="DD4" s="890"/>
      <c r="DE4" s="890"/>
      <c r="DF4" s="890"/>
      <c r="DG4" s="890"/>
      <c r="DH4" s="890"/>
      <c r="DI4" s="890"/>
      <c r="DJ4" s="890"/>
      <c r="DK4" s="890"/>
      <c r="DL4" s="890"/>
      <c r="DM4" s="890"/>
      <c r="DN4" s="890"/>
      <c r="DO4" s="890"/>
      <c r="DP4" s="890"/>
      <c r="DQ4" s="890"/>
      <c r="DR4" s="890"/>
      <c r="DS4" s="890"/>
      <c r="DT4" s="890"/>
      <c r="DU4" s="890"/>
      <c r="DV4" s="890"/>
      <c r="DW4" s="890"/>
      <c r="DX4" s="890"/>
      <c r="DY4" s="890"/>
      <c r="DZ4" s="890"/>
      <c r="EA4" s="890"/>
      <c r="EB4" s="890"/>
      <c r="EC4" s="890"/>
      <c r="ED4" s="890"/>
      <c r="EE4" s="890"/>
      <c r="EF4" s="890"/>
      <c r="EG4" s="890"/>
      <c r="EH4" s="890"/>
      <c r="EI4" s="890"/>
    </row>
    <row r="5" spans="2:139" hidden="1" x14ac:dyDescent="0.85">
      <c r="B5" s="962" t="s">
        <v>844</v>
      </c>
      <c r="C5" s="424" t="s">
        <v>704</v>
      </c>
      <c r="D5" s="816" t="s">
        <v>470</v>
      </c>
      <c r="E5" s="425" t="s">
        <v>705</v>
      </c>
      <c r="F5" s="900" t="s">
        <v>963</v>
      </c>
    </row>
    <row r="6" spans="2:139" ht="57" hidden="1" x14ac:dyDescent="0.85">
      <c r="B6" s="963"/>
      <c r="C6" s="426" t="s">
        <v>707</v>
      </c>
      <c r="D6" s="817" t="s">
        <v>471</v>
      </c>
      <c r="E6" s="427" t="s">
        <v>708</v>
      </c>
      <c r="F6" s="901" t="s">
        <v>709</v>
      </c>
    </row>
    <row r="7" spans="2:139" ht="57.4" hidden="1" thickBot="1" x14ac:dyDescent="0.9">
      <c r="B7" s="964"/>
      <c r="C7" s="428" t="s">
        <v>710</v>
      </c>
      <c r="D7" s="818" t="s">
        <v>472</v>
      </c>
      <c r="E7" s="429" t="s">
        <v>711</v>
      </c>
      <c r="F7" s="902" t="s">
        <v>709</v>
      </c>
    </row>
    <row r="8" spans="2:139" s="430" customFormat="1" hidden="1" x14ac:dyDescent="0.85">
      <c r="B8" s="962" t="s">
        <v>845</v>
      </c>
      <c r="C8" s="431" t="s">
        <v>854</v>
      </c>
      <c r="D8" s="819" t="s">
        <v>847</v>
      </c>
      <c r="E8" s="432" t="s">
        <v>705</v>
      </c>
      <c r="F8" s="903" t="s">
        <v>963</v>
      </c>
      <c r="G8" s="891"/>
      <c r="H8" s="891"/>
      <c r="I8" s="891"/>
      <c r="J8" s="891"/>
      <c r="K8" s="891"/>
      <c r="L8" s="891"/>
      <c r="M8" s="891"/>
      <c r="N8" s="891"/>
      <c r="O8" s="891"/>
      <c r="P8" s="891"/>
      <c r="Q8" s="891"/>
      <c r="R8" s="891"/>
      <c r="S8" s="891"/>
      <c r="T8" s="891"/>
      <c r="U8" s="891"/>
      <c r="V8" s="891"/>
      <c r="W8" s="891"/>
      <c r="X8" s="891"/>
      <c r="Y8" s="891"/>
      <c r="Z8" s="891"/>
      <c r="AA8" s="891"/>
      <c r="AB8" s="891"/>
      <c r="AC8" s="891"/>
      <c r="AD8" s="891"/>
      <c r="AE8" s="891"/>
      <c r="AF8" s="891"/>
      <c r="AG8" s="891"/>
      <c r="AH8" s="891"/>
      <c r="AI8" s="891"/>
      <c r="AJ8" s="891"/>
      <c r="AK8" s="891"/>
      <c r="AL8" s="891"/>
      <c r="AM8" s="891"/>
      <c r="AN8" s="891"/>
      <c r="AO8" s="891"/>
      <c r="AP8" s="891"/>
      <c r="AQ8" s="891"/>
      <c r="AR8" s="891"/>
      <c r="AS8" s="891"/>
      <c r="AT8" s="891"/>
      <c r="AU8" s="891"/>
      <c r="AV8" s="891"/>
      <c r="AW8" s="891"/>
      <c r="AX8" s="891"/>
      <c r="AY8" s="891"/>
      <c r="AZ8" s="891"/>
      <c r="BA8" s="891"/>
      <c r="BB8" s="891"/>
      <c r="BC8" s="891"/>
      <c r="BD8" s="891"/>
      <c r="BE8" s="891"/>
      <c r="BF8" s="891"/>
      <c r="BG8" s="891"/>
      <c r="BH8" s="891"/>
      <c r="BI8" s="891"/>
      <c r="BJ8" s="891"/>
      <c r="BK8" s="891"/>
      <c r="BL8" s="891"/>
      <c r="BM8" s="891"/>
      <c r="BN8" s="891"/>
      <c r="BO8" s="891"/>
      <c r="BP8" s="891"/>
      <c r="BQ8" s="891"/>
      <c r="BR8" s="891"/>
      <c r="BS8" s="891"/>
      <c r="BT8" s="891"/>
      <c r="BU8" s="891"/>
      <c r="BV8" s="891"/>
      <c r="BW8" s="891"/>
      <c r="BX8" s="891"/>
      <c r="BY8" s="891"/>
      <c r="BZ8" s="891"/>
      <c r="CA8" s="891"/>
      <c r="CB8" s="891"/>
      <c r="CC8" s="891"/>
      <c r="CD8" s="891"/>
      <c r="CE8" s="891"/>
      <c r="CF8" s="891"/>
      <c r="CG8" s="891"/>
      <c r="CH8" s="891"/>
      <c r="CI8" s="891"/>
      <c r="CJ8" s="891"/>
      <c r="CK8" s="891"/>
      <c r="CL8" s="891"/>
      <c r="CM8" s="891"/>
      <c r="CN8" s="891"/>
      <c r="CO8" s="891"/>
      <c r="CP8" s="891"/>
      <c r="CQ8" s="891"/>
      <c r="CR8" s="891"/>
      <c r="CS8" s="891"/>
      <c r="CT8" s="891"/>
      <c r="CU8" s="891"/>
      <c r="CV8" s="891"/>
      <c r="CW8" s="891"/>
      <c r="CX8" s="891"/>
      <c r="CY8" s="891"/>
      <c r="CZ8" s="891"/>
      <c r="DA8" s="891"/>
      <c r="DB8" s="891"/>
      <c r="DC8" s="891"/>
      <c r="DD8" s="891"/>
      <c r="DE8" s="891"/>
      <c r="DF8" s="891"/>
      <c r="DG8" s="891"/>
      <c r="DH8" s="891"/>
      <c r="DI8" s="891"/>
      <c r="DJ8" s="891"/>
      <c r="DK8" s="891"/>
      <c r="DL8" s="891"/>
      <c r="DM8" s="891"/>
      <c r="DN8" s="891"/>
      <c r="DO8" s="891"/>
      <c r="DP8" s="891"/>
      <c r="DQ8" s="891"/>
      <c r="DR8" s="891"/>
      <c r="DS8" s="891"/>
      <c r="DT8" s="891"/>
      <c r="DU8" s="891"/>
      <c r="DV8" s="891"/>
      <c r="DW8" s="891"/>
      <c r="DX8" s="891"/>
      <c r="DY8" s="891"/>
      <c r="DZ8" s="891"/>
      <c r="EA8" s="891"/>
      <c r="EB8" s="891"/>
      <c r="EC8" s="891"/>
      <c r="ED8" s="891"/>
      <c r="EE8" s="891"/>
      <c r="EF8" s="891"/>
      <c r="EG8" s="891"/>
      <c r="EH8" s="891"/>
      <c r="EI8" s="891"/>
    </row>
    <row r="9" spans="2:139" s="430" customFormat="1" ht="57" hidden="1" x14ac:dyDescent="0.85">
      <c r="B9" s="963"/>
      <c r="C9" s="426" t="s">
        <v>642</v>
      </c>
      <c r="D9" s="817" t="s">
        <v>848</v>
      </c>
      <c r="E9" s="433" t="s">
        <v>708</v>
      </c>
      <c r="F9" s="904" t="s">
        <v>709</v>
      </c>
      <c r="G9" s="891"/>
      <c r="H9" s="891"/>
      <c r="I9" s="891"/>
      <c r="J9" s="891"/>
      <c r="K9" s="891"/>
      <c r="L9" s="891"/>
      <c r="M9" s="891"/>
      <c r="N9" s="891"/>
      <c r="O9" s="891"/>
      <c r="P9" s="891"/>
      <c r="Q9" s="891"/>
      <c r="R9" s="891"/>
      <c r="S9" s="891"/>
      <c r="T9" s="891"/>
      <c r="U9" s="891"/>
      <c r="V9" s="891"/>
      <c r="W9" s="891"/>
      <c r="X9" s="891"/>
      <c r="Y9" s="891"/>
      <c r="Z9" s="891"/>
      <c r="AA9" s="891"/>
      <c r="AB9" s="891"/>
      <c r="AC9" s="891"/>
      <c r="AD9" s="891"/>
      <c r="AE9" s="891"/>
      <c r="AF9" s="891"/>
      <c r="AG9" s="891"/>
      <c r="AH9" s="891"/>
      <c r="AI9" s="891"/>
      <c r="AJ9" s="891"/>
      <c r="AK9" s="891"/>
      <c r="AL9" s="891"/>
      <c r="AM9" s="891"/>
      <c r="AN9" s="891"/>
      <c r="AO9" s="891"/>
      <c r="AP9" s="891"/>
      <c r="AQ9" s="891"/>
      <c r="AR9" s="891"/>
      <c r="AS9" s="891"/>
      <c r="AT9" s="891"/>
      <c r="AU9" s="891"/>
      <c r="AV9" s="891"/>
      <c r="AW9" s="891"/>
      <c r="AX9" s="891"/>
      <c r="AY9" s="891"/>
      <c r="AZ9" s="891"/>
      <c r="BA9" s="891"/>
      <c r="BB9" s="891"/>
      <c r="BC9" s="891"/>
      <c r="BD9" s="891"/>
      <c r="BE9" s="891"/>
      <c r="BF9" s="891"/>
      <c r="BG9" s="891"/>
      <c r="BH9" s="891"/>
      <c r="BI9" s="891"/>
      <c r="BJ9" s="891"/>
      <c r="BK9" s="891"/>
      <c r="BL9" s="891"/>
      <c r="BM9" s="891"/>
      <c r="BN9" s="891"/>
      <c r="BO9" s="891"/>
      <c r="BP9" s="891"/>
      <c r="BQ9" s="891"/>
      <c r="BR9" s="891"/>
      <c r="BS9" s="891"/>
      <c r="BT9" s="891"/>
      <c r="BU9" s="891"/>
      <c r="BV9" s="891"/>
      <c r="BW9" s="891"/>
      <c r="BX9" s="891"/>
      <c r="BY9" s="891"/>
      <c r="BZ9" s="891"/>
      <c r="CA9" s="891"/>
      <c r="CB9" s="891"/>
      <c r="CC9" s="891"/>
      <c r="CD9" s="891"/>
      <c r="CE9" s="891"/>
      <c r="CF9" s="891"/>
      <c r="CG9" s="891"/>
      <c r="CH9" s="891"/>
      <c r="CI9" s="891"/>
      <c r="CJ9" s="891"/>
      <c r="CK9" s="891"/>
      <c r="CL9" s="891"/>
      <c r="CM9" s="891"/>
      <c r="CN9" s="891"/>
      <c r="CO9" s="891"/>
      <c r="CP9" s="891"/>
      <c r="CQ9" s="891"/>
      <c r="CR9" s="891"/>
      <c r="CS9" s="891"/>
      <c r="CT9" s="891"/>
      <c r="CU9" s="891"/>
      <c r="CV9" s="891"/>
      <c r="CW9" s="891"/>
      <c r="CX9" s="891"/>
      <c r="CY9" s="891"/>
      <c r="CZ9" s="891"/>
      <c r="DA9" s="891"/>
      <c r="DB9" s="891"/>
      <c r="DC9" s="891"/>
      <c r="DD9" s="891"/>
      <c r="DE9" s="891"/>
      <c r="DF9" s="891"/>
      <c r="DG9" s="891"/>
      <c r="DH9" s="891"/>
      <c r="DI9" s="891"/>
      <c r="DJ9" s="891"/>
      <c r="DK9" s="891"/>
      <c r="DL9" s="891"/>
      <c r="DM9" s="891"/>
      <c r="DN9" s="891"/>
      <c r="DO9" s="891"/>
      <c r="DP9" s="891"/>
      <c r="DQ9" s="891"/>
      <c r="DR9" s="891"/>
      <c r="DS9" s="891"/>
      <c r="DT9" s="891"/>
      <c r="DU9" s="891"/>
      <c r="DV9" s="891"/>
      <c r="DW9" s="891"/>
      <c r="DX9" s="891"/>
      <c r="DY9" s="891"/>
      <c r="DZ9" s="891"/>
      <c r="EA9" s="891"/>
      <c r="EB9" s="891"/>
      <c r="EC9" s="891"/>
      <c r="ED9" s="891"/>
      <c r="EE9" s="891"/>
      <c r="EF9" s="891"/>
      <c r="EG9" s="891"/>
      <c r="EH9" s="891"/>
      <c r="EI9" s="891"/>
    </row>
    <row r="10" spans="2:139" s="430" customFormat="1" ht="57.4" hidden="1" thickBot="1" x14ac:dyDescent="0.9">
      <c r="B10" s="964"/>
      <c r="C10" s="428" t="s">
        <v>469</v>
      </c>
      <c r="D10" s="818" t="s">
        <v>849</v>
      </c>
      <c r="E10" s="434" t="s">
        <v>711</v>
      </c>
      <c r="F10" s="905" t="s">
        <v>709</v>
      </c>
      <c r="G10" s="891"/>
      <c r="H10" s="891"/>
      <c r="I10" s="891"/>
      <c r="J10" s="891"/>
      <c r="K10" s="891"/>
      <c r="L10" s="891"/>
      <c r="M10" s="891"/>
      <c r="N10" s="891"/>
      <c r="O10" s="891"/>
      <c r="P10" s="891"/>
      <c r="Q10" s="891"/>
      <c r="R10" s="891"/>
      <c r="S10" s="891"/>
      <c r="T10" s="891"/>
      <c r="U10" s="891"/>
      <c r="V10" s="891"/>
      <c r="W10" s="891"/>
      <c r="X10" s="891"/>
      <c r="Y10" s="891"/>
      <c r="Z10" s="891"/>
      <c r="AA10" s="891"/>
      <c r="AB10" s="891"/>
      <c r="AC10" s="891"/>
      <c r="AD10" s="891"/>
      <c r="AE10" s="891"/>
      <c r="AF10" s="891"/>
      <c r="AG10" s="891"/>
      <c r="AH10" s="891"/>
      <c r="AI10" s="891"/>
      <c r="AJ10" s="891"/>
      <c r="AK10" s="891"/>
      <c r="AL10" s="891"/>
      <c r="AM10" s="891"/>
      <c r="AN10" s="891"/>
      <c r="AO10" s="891"/>
      <c r="AP10" s="891"/>
      <c r="AQ10" s="891"/>
      <c r="AR10" s="891"/>
      <c r="AS10" s="891"/>
      <c r="AT10" s="891"/>
      <c r="AU10" s="891"/>
      <c r="AV10" s="891"/>
      <c r="AW10" s="891"/>
      <c r="AX10" s="891"/>
      <c r="AY10" s="891"/>
      <c r="AZ10" s="891"/>
      <c r="BA10" s="891"/>
      <c r="BB10" s="891"/>
      <c r="BC10" s="891"/>
      <c r="BD10" s="891"/>
      <c r="BE10" s="891"/>
      <c r="BF10" s="891"/>
      <c r="BG10" s="891"/>
      <c r="BH10" s="891"/>
      <c r="BI10" s="891"/>
      <c r="BJ10" s="891"/>
      <c r="BK10" s="891"/>
      <c r="BL10" s="891"/>
      <c r="BM10" s="891"/>
      <c r="BN10" s="891"/>
      <c r="BO10" s="891"/>
      <c r="BP10" s="891"/>
      <c r="BQ10" s="891"/>
      <c r="BR10" s="891"/>
      <c r="BS10" s="891"/>
      <c r="BT10" s="891"/>
      <c r="BU10" s="891"/>
      <c r="BV10" s="891"/>
      <c r="BW10" s="891"/>
      <c r="BX10" s="891"/>
      <c r="BY10" s="891"/>
      <c r="BZ10" s="891"/>
      <c r="CA10" s="891"/>
      <c r="CB10" s="891"/>
      <c r="CC10" s="891"/>
      <c r="CD10" s="891"/>
      <c r="CE10" s="891"/>
      <c r="CF10" s="891"/>
      <c r="CG10" s="891"/>
      <c r="CH10" s="891"/>
      <c r="CI10" s="891"/>
      <c r="CJ10" s="891"/>
      <c r="CK10" s="891"/>
      <c r="CL10" s="891"/>
      <c r="CM10" s="891"/>
      <c r="CN10" s="891"/>
      <c r="CO10" s="891"/>
      <c r="CP10" s="891"/>
      <c r="CQ10" s="891"/>
      <c r="CR10" s="891"/>
      <c r="CS10" s="891"/>
      <c r="CT10" s="891"/>
      <c r="CU10" s="891"/>
      <c r="CV10" s="891"/>
      <c r="CW10" s="891"/>
      <c r="CX10" s="891"/>
      <c r="CY10" s="891"/>
      <c r="CZ10" s="891"/>
      <c r="DA10" s="891"/>
      <c r="DB10" s="891"/>
      <c r="DC10" s="891"/>
      <c r="DD10" s="891"/>
      <c r="DE10" s="891"/>
      <c r="DF10" s="891"/>
      <c r="DG10" s="891"/>
      <c r="DH10" s="891"/>
      <c r="DI10" s="891"/>
      <c r="DJ10" s="891"/>
      <c r="DK10" s="891"/>
      <c r="DL10" s="891"/>
      <c r="DM10" s="891"/>
      <c r="DN10" s="891"/>
      <c r="DO10" s="891"/>
      <c r="DP10" s="891"/>
      <c r="DQ10" s="891"/>
      <c r="DR10" s="891"/>
      <c r="DS10" s="891"/>
      <c r="DT10" s="891"/>
      <c r="DU10" s="891"/>
      <c r="DV10" s="891"/>
      <c r="DW10" s="891"/>
      <c r="DX10" s="891"/>
      <c r="DY10" s="891"/>
      <c r="DZ10" s="891"/>
      <c r="EA10" s="891"/>
      <c r="EB10" s="891"/>
      <c r="EC10" s="891"/>
      <c r="ED10" s="891"/>
      <c r="EE10" s="891"/>
      <c r="EF10" s="891"/>
      <c r="EG10" s="891"/>
      <c r="EH10" s="891"/>
      <c r="EI10" s="891"/>
    </row>
    <row r="11" spans="2:139" s="430" customFormat="1" hidden="1" x14ac:dyDescent="0.85">
      <c r="B11" s="992" t="s">
        <v>846</v>
      </c>
      <c r="C11" s="435" t="s">
        <v>855</v>
      </c>
      <c r="D11" s="819" t="s">
        <v>851</v>
      </c>
      <c r="E11" s="432" t="s">
        <v>705</v>
      </c>
      <c r="F11" s="903" t="s">
        <v>706</v>
      </c>
      <c r="G11" s="891"/>
      <c r="H11" s="891"/>
      <c r="I11" s="891"/>
      <c r="J11" s="891"/>
      <c r="K11" s="891"/>
      <c r="L11" s="891"/>
      <c r="M11" s="891"/>
      <c r="N11" s="891"/>
      <c r="O11" s="891"/>
      <c r="P11" s="891"/>
      <c r="Q11" s="891"/>
      <c r="R11" s="891"/>
      <c r="S11" s="891"/>
      <c r="T11" s="891"/>
      <c r="U11" s="891"/>
      <c r="V11" s="891"/>
      <c r="W11" s="891"/>
      <c r="X11" s="891"/>
      <c r="Y11" s="891"/>
      <c r="Z11" s="891"/>
      <c r="AA11" s="891"/>
      <c r="AB11" s="891"/>
      <c r="AC11" s="891"/>
      <c r="AD11" s="891"/>
      <c r="AE11" s="891"/>
      <c r="AF11" s="891"/>
      <c r="AG11" s="891"/>
      <c r="AH11" s="891"/>
      <c r="AI11" s="891"/>
      <c r="AJ11" s="891"/>
      <c r="AK11" s="891"/>
      <c r="AL11" s="891"/>
      <c r="AM11" s="891"/>
      <c r="AN11" s="891"/>
      <c r="AO11" s="891"/>
      <c r="AP11" s="891"/>
      <c r="AQ11" s="891"/>
      <c r="AR11" s="891"/>
      <c r="AS11" s="891"/>
      <c r="AT11" s="891"/>
      <c r="AU11" s="891"/>
      <c r="AV11" s="891"/>
      <c r="AW11" s="891"/>
      <c r="AX11" s="891"/>
      <c r="AY11" s="891"/>
      <c r="AZ11" s="891"/>
      <c r="BA11" s="891"/>
      <c r="BB11" s="891"/>
      <c r="BC11" s="891"/>
      <c r="BD11" s="891"/>
      <c r="BE11" s="891"/>
      <c r="BF11" s="891"/>
      <c r="BG11" s="891"/>
      <c r="BH11" s="891"/>
      <c r="BI11" s="891"/>
      <c r="BJ11" s="891"/>
      <c r="BK11" s="891"/>
      <c r="BL11" s="891"/>
      <c r="BM11" s="891"/>
      <c r="BN11" s="891"/>
      <c r="BO11" s="891"/>
      <c r="BP11" s="891"/>
      <c r="BQ11" s="891"/>
      <c r="BR11" s="891"/>
      <c r="BS11" s="891"/>
      <c r="BT11" s="891"/>
      <c r="BU11" s="891"/>
      <c r="BV11" s="891"/>
      <c r="BW11" s="891"/>
      <c r="BX11" s="891"/>
      <c r="BY11" s="891"/>
      <c r="BZ11" s="891"/>
      <c r="CA11" s="891"/>
      <c r="CB11" s="891"/>
      <c r="CC11" s="891"/>
      <c r="CD11" s="891"/>
      <c r="CE11" s="891"/>
      <c r="CF11" s="891"/>
      <c r="CG11" s="891"/>
      <c r="CH11" s="891"/>
      <c r="CI11" s="891"/>
      <c r="CJ11" s="891"/>
      <c r="CK11" s="891"/>
      <c r="CL11" s="891"/>
      <c r="CM11" s="891"/>
      <c r="CN11" s="891"/>
      <c r="CO11" s="891"/>
      <c r="CP11" s="891"/>
      <c r="CQ11" s="891"/>
      <c r="CR11" s="891"/>
      <c r="CS11" s="891"/>
      <c r="CT11" s="891"/>
      <c r="CU11" s="891"/>
      <c r="CV11" s="891"/>
      <c r="CW11" s="891"/>
      <c r="CX11" s="891"/>
      <c r="CY11" s="891"/>
      <c r="CZ11" s="891"/>
      <c r="DA11" s="891"/>
      <c r="DB11" s="891"/>
      <c r="DC11" s="891"/>
      <c r="DD11" s="891"/>
      <c r="DE11" s="891"/>
      <c r="DF11" s="891"/>
      <c r="DG11" s="891"/>
      <c r="DH11" s="891"/>
      <c r="DI11" s="891"/>
      <c r="DJ11" s="891"/>
      <c r="DK11" s="891"/>
      <c r="DL11" s="891"/>
      <c r="DM11" s="891"/>
      <c r="DN11" s="891"/>
      <c r="DO11" s="891"/>
      <c r="DP11" s="891"/>
      <c r="DQ11" s="891"/>
      <c r="DR11" s="891"/>
      <c r="DS11" s="891"/>
      <c r="DT11" s="891"/>
      <c r="DU11" s="891"/>
      <c r="DV11" s="891"/>
      <c r="DW11" s="891"/>
      <c r="DX11" s="891"/>
      <c r="DY11" s="891"/>
      <c r="DZ11" s="891"/>
      <c r="EA11" s="891"/>
      <c r="EB11" s="891"/>
      <c r="EC11" s="891"/>
      <c r="ED11" s="891"/>
      <c r="EE11" s="891"/>
      <c r="EF11" s="891"/>
      <c r="EG11" s="891"/>
      <c r="EH11" s="891"/>
      <c r="EI11" s="891"/>
    </row>
    <row r="12" spans="2:139" s="430" customFormat="1" ht="57" hidden="1" x14ac:dyDescent="0.85">
      <c r="B12" s="993"/>
      <c r="C12" s="498" t="s">
        <v>642</v>
      </c>
      <c r="D12" s="817" t="s">
        <v>852</v>
      </c>
      <c r="E12" s="433" t="s">
        <v>708</v>
      </c>
      <c r="F12" s="904" t="s">
        <v>709</v>
      </c>
      <c r="G12" s="891"/>
      <c r="H12" s="891"/>
      <c r="I12" s="891"/>
      <c r="J12" s="891"/>
      <c r="K12" s="891"/>
      <c r="L12" s="891"/>
      <c r="M12" s="891"/>
      <c r="N12" s="891"/>
      <c r="O12" s="891"/>
      <c r="P12" s="891"/>
      <c r="Q12" s="891"/>
      <c r="R12" s="891"/>
      <c r="S12" s="891"/>
      <c r="T12" s="891"/>
      <c r="U12" s="891"/>
      <c r="V12" s="891"/>
      <c r="W12" s="891"/>
      <c r="X12" s="891"/>
      <c r="Y12" s="891"/>
      <c r="Z12" s="891"/>
      <c r="AA12" s="891"/>
      <c r="AB12" s="891"/>
      <c r="AC12" s="891"/>
      <c r="AD12" s="891"/>
      <c r="AE12" s="891"/>
      <c r="AF12" s="891"/>
      <c r="AG12" s="891"/>
      <c r="AH12" s="891"/>
      <c r="AI12" s="891"/>
      <c r="AJ12" s="891"/>
      <c r="AK12" s="891"/>
      <c r="AL12" s="891"/>
      <c r="AM12" s="891"/>
      <c r="AN12" s="891"/>
      <c r="AO12" s="891"/>
      <c r="AP12" s="891"/>
      <c r="AQ12" s="891"/>
      <c r="AR12" s="891"/>
      <c r="AS12" s="891"/>
      <c r="AT12" s="891"/>
      <c r="AU12" s="891"/>
      <c r="AV12" s="891"/>
      <c r="AW12" s="891"/>
      <c r="AX12" s="891"/>
      <c r="AY12" s="891"/>
      <c r="AZ12" s="891"/>
      <c r="BA12" s="891"/>
      <c r="BB12" s="891"/>
      <c r="BC12" s="891"/>
      <c r="BD12" s="891"/>
      <c r="BE12" s="891"/>
      <c r="BF12" s="891"/>
      <c r="BG12" s="891"/>
      <c r="BH12" s="891"/>
      <c r="BI12" s="891"/>
      <c r="BJ12" s="891"/>
      <c r="BK12" s="891"/>
      <c r="BL12" s="891"/>
      <c r="BM12" s="891"/>
      <c r="BN12" s="891"/>
      <c r="BO12" s="891"/>
      <c r="BP12" s="891"/>
      <c r="BQ12" s="891"/>
      <c r="BR12" s="891"/>
      <c r="BS12" s="891"/>
      <c r="BT12" s="891"/>
      <c r="BU12" s="891"/>
      <c r="BV12" s="891"/>
      <c r="BW12" s="891"/>
      <c r="BX12" s="891"/>
      <c r="BY12" s="891"/>
      <c r="BZ12" s="891"/>
      <c r="CA12" s="891"/>
      <c r="CB12" s="891"/>
      <c r="CC12" s="891"/>
      <c r="CD12" s="891"/>
      <c r="CE12" s="891"/>
      <c r="CF12" s="891"/>
      <c r="CG12" s="891"/>
      <c r="CH12" s="891"/>
      <c r="CI12" s="891"/>
      <c r="CJ12" s="891"/>
      <c r="CK12" s="891"/>
      <c r="CL12" s="891"/>
      <c r="CM12" s="891"/>
      <c r="CN12" s="891"/>
      <c r="CO12" s="891"/>
      <c r="CP12" s="891"/>
      <c r="CQ12" s="891"/>
      <c r="CR12" s="891"/>
      <c r="CS12" s="891"/>
      <c r="CT12" s="891"/>
      <c r="CU12" s="891"/>
      <c r="CV12" s="891"/>
      <c r="CW12" s="891"/>
      <c r="CX12" s="891"/>
      <c r="CY12" s="891"/>
      <c r="CZ12" s="891"/>
      <c r="DA12" s="891"/>
      <c r="DB12" s="891"/>
      <c r="DC12" s="891"/>
      <c r="DD12" s="891"/>
      <c r="DE12" s="891"/>
      <c r="DF12" s="891"/>
      <c r="DG12" s="891"/>
      <c r="DH12" s="891"/>
      <c r="DI12" s="891"/>
      <c r="DJ12" s="891"/>
      <c r="DK12" s="891"/>
      <c r="DL12" s="891"/>
      <c r="DM12" s="891"/>
      <c r="DN12" s="891"/>
      <c r="DO12" s="891"/>
      <c r="DP12" s="891"/>
      <c r="DQ12" s="891"/>
      <c r="DR12" s="891"/>
      <c r="DS12" s="891"/>
      <c r="DT12" s="891"/>
      <c r="DU12" s="891"/>
      <c r="DV12" s="891"/>
      <c r="DW12" s="891"/>
      <c r="DX12" s="891"/>
      <c r="DY12" s="891"/>
      <c r="DZ12" s="891"/>
      <c r="EA12" s="891"/>
      <c r="EB12" s="891"/>
      <c r="EC12" s="891"/>
      <c r="ED12" s="891"/>
      <c r="EE12" s="891"/>
      <c r="EF12" s="891"/>
      <c r="EG12" s="891"/>
      <c r="EH12" s="891"/>
      <c r="EI12" s="891"/>
    </row>
    <row r="13" spans="2:139" s="430" customFormat="1" ht="57.4" hidden="1" thickBot="1" x14ac:dyDescent="0.9">
      <c r="B13" s="994"/>
      <c r="C13" s="436" t="s">
        <v>469</v>
      </c>
      <c r="D13" s="818" t="s">
        <v>853</v>
      </c>
      <c r="E13" s="434" t="s">
        <v>711</v>
      </c>
      <c r="F13" s="905" t="s">
        <v>709</v>
      </c>
      <c r="G13" s="891"/>
      <c r="H13" s="891"/>
      <c r="I13" s="891"/>
      <c r="J13" s="891"/>
      <c r="K13" s="891"/>
      <c r="L13" s="891"/>
      <c r="M13" s="891"/>
      <c r="N13" s="891"/>
      <c r="O13" s="891"/>
      <c r="P13" s="891"/>
      <c r="Q13" s="891"/>
      <c r="R13" s="891"/>
      <c r="S13" s="891"/>
      <c r="T13" s="891"/>
      <c r="U13" s="891"/>
      <c r="V13" s="891"/>
      <c r="W13" s="891"/>
      <c r="X13" s="891"/>
      <c r="Y13" s="891"/>
      <c r="Z13" s="891"/>
      <c r="AA13" s="891"/>
      <c r="AB13" s="891"/>
      <c r="AC13" s="891"/>
      <c r="AD13" s="891"/>
      <c r="AE13" s="891"/>
      <c r="AF13" s="891"/>
      <c r="AG13" s="891"/>
      <c r="AH13" s="891"/>
      <c r="AI13" s="891"/>
      <c r="AJ13" s="891"/>
      <c r="AK13" s="891"/>
      <c r="AL13" s="891"/>
      <c r="AM13" s="891"/>
      <c r="AN13" s="891"/>
      <c r="AO13" s="891"/>
      <c r="AP13" s="891"/>
      <c r="AQ13" s="891"/>
      <c r="AR13" s="891"/>
      <c r="AS13" s="891"/>
      <c r="AT13" s="891"/>
      <c r="AU13" s="891"/>
      <c r="AV13" s="891"/>
      <c r="AW13" s="891"/>
      <c r="AX13" s="891"/>
      <c r="AY13" s="891"/>
      <c r="AZ13" s="891"/>
      <c r="BA13" s="891"/>
      <c r="BB13" s="891"/>
      <c r="BC13" s="891"/>
      <c r="BD13" s="891"/>
      <c r="BE13" s="891"/>
      <c r="BF13" s="891"/>
      <c r="BG13" s="891"/>
      <c r="BH13" s="891"/>
      <c r="BI13" s="891"/>
      <c r="BJ13" s="891"/>
      <c r="BK13" s="891"/>
      <c r="BL13" s="891"/>
      <c r="BM13" s="891"/>
      <c r="BN13" s="891"/>
      <c r="BO13" s="891"/>
      <c r="BP13" s="891"/>
      <c r="BQ13" s="891"/>
      <c r="BR13" s="891"/>
      <c r="BS13" s="891"/>
      <c r="BT13" s="891"/>
      <c r="BU13" s="891"/>
      <c r="BV13" s="891"/>
      <c r="BW13" s="891"/>
      <c r="BX13" s="891"/>
      <c r="BY13" s="891"/>
      <c r="BZ13" s="891"/>
      <c r="CA13" s="891"/>
      <c r="CB13" s="891"/>
      <c r="CC13" s="891"/>
      <c r="CD13" s="891"/>
      <c r="CE13" s="891"/>
      <c r="CF13" s="891"/>
      <c r="CG13" s="891"/>
      <c r="CH13" s="891"/>
      <c r="CI13" s="891"/>
      <c r="CJ13" s="891"/>
      <c r="CK13" s="891"/>
      <c r="CL13" s="891"/>
      <c r="CM13" s="891"/>
      <c r="CN13" s="891"/>
      <c r="CO13" s="891"/>
      <c r="CP13" s="891"/>
      <c r="CQ13" s="891"/>
      <c r="CR13" s="891"/>
      <c r="CS13" s="891"/>
      <c r="CT13" s="891"/>
      <c r="CU13" s="891"/>
      <c r="CV13" s="891"/>
      <c r="CW13" s="891"/>
      <c r="CX13" s="891"/>
      <c r="CY13" s="891"/>
      <c r="CZ13" s="891"/>
      <c r="DA13" s="891"/>
      <c r="DB13" s="891"/>
      <c r="DC13" s="891"/>
      <c r="DD13" s="891"/>
      <c r="DE13" s="891"/>
      <c r="DF13" s="891"/>
      <c r="DG13" s="891"/>
      <c r="DH13" s="891"/>
      <c r="DI13" s="891"/>
      <c r="DJ13" s="891"/>
      <c r="DK13" s="891"/>
      <c r="DL13" s="891"/>
      <c r="DM13" s="891"/>
      <c r="DN13" s="891"/>
      <c r="DO13" s="891"/>
      <c r="DP13" s="891"/>
      <c r="DQ13" s="891"/>
      <c r="DR13" s="891"/>
      <c r="DS13" s="891"/>
      <c r="DT13" s="891"/>
      <c r="DU13" s="891"/>
      <c r="DV13" s="891"/>
      <c r="DW13" s="891"/>
      <c r="DX13" s="891"/>
      <c r="DY13" s="891"/>
      <c r="DZ13" s="891"/>
      <c r="EA13" s="891"/>
      <c r="EB13" s="891"/>
      <c r="EC13" s="891"/>
      <c r="ED13" s="891"/>
      <c r="EE13" s="891"/>
      <c r="EF13" s="891"/>
      <c r="EG13" s="891"/>
      <c r="EH13" s="891"/>
      <c r="EI13" s="891"/>
    </row>
    <row r="14" spans="2:139" ht="28.9" thickBot="1" x14ac:dyDescent="0.9">
      <c r="B14" s="965" t="s">
        <v>12</v>
      </c>
      <c r="C14" s="966"/>
      <c r="D14" s="966"/>
      <c r="E14" s="966"/>
      <c r="F14" s="967"/>
    </row>
    <row r="15" spans="2:139" ht="114" x14ac:dyDescent="0.85">
      <c r="B15" s="968" t="s">
        <v>121</v>
      </c>
      <c r="C15" s="521" t="s">
        <v>1016</v>
      </c>
      <c r="D15" s="820" t="s">
        <v>141</v>
      </c>
      <c r="E15" s="522" t="s">
        <v>92</v>
      </c>
      <c r="F15" s="906" t="s">
        <v>623</v>
      </c>
    </row>
    <row r="16" spans="2:139" ht="114" x14ac:dyDescent="0.85">
      <c r="B16" s="969"/>
      <c r="C16" s="76" t="s">
        <v>1017</v>
      </c>
      <c r="D16" s="817" t="s">
        <v>143</v>
      </c>
      <c r="E16" s="439" t="s">
        <v>93</v>
      </c>
      <c r="F16" s="907" t="s">
        <v>624</v>
      </c>
    </row>
    <row r="17" spans="2:6" ht="114" x14ac:dyDescent="0.85">
      <c r="B17" s="969"/>
      <c r="C17" s="438" t="s">
        <v>144</v>
      </c>
      <c r="D17" s="817" t="s">
        <v>345</v>
      </c>
      <c r="E17" s="439" t="s">
        <v>616</v>
      </c>
      <c r="F17" s="907" t="s">
        <v>625</v>
      </c>
    </row>
    <row r="18" spans="2:6" x14ac:dyDescent="0.85">
      <c r="B18" s="969"/>
      <c r="C18" s="438" t="s">
        <v>1060</v>
      </c>
      <c r="D18" s="817" t="s">
        <v>1059</v>
      </c>
      <c r="E18" s="439"/>
      <c r="F18" s="907"/>
    </row>
    <row r="19" spans="2:6" ht="57" x14ac:dyDescent="0.85">
      <c r="B19" s="969"/>
      <c r="C19" s="426" t="s">
        <v>145</v>
      </c>
      <c r="D19" s="817" t="s">
        <v>146</v>
      </c>
      <c r="E19" s="439" t="s">
        <v>43</v>
      </c>
      <c r="F19" s="907" t="s">
        <v>626</v>
      </c>
    </row>
    <row r="20" spans="2:6" ht="57" x14ac:dyDescent="0.85">
      <c r="B20" s="969"/>
      <c r="C20" s="426" t="s">
        <v>158</v>
      </c>
      <c r="D20" s="817" t="s">
        <v>147</v>
      </c>
      <c r="E20" s="439" t="s">
        <v>148</v>
      </c>
      <c r="F20" s="907" t="s">
        <v>627</v>
      </c>
    </row>
    <row r="21" spans="2:6" ht="57" x14ac:dyDescent="0.85">
      <c r="B21" s="969"/>
      <c r="C21" s="440" t="s">
        <v>150</v>
      </c>
      <c r="D21" s="821" t="s">
        <v>149</v>
      </c>
      <c r="E21" s="439" t="s">
        <v>39</v>
      </c>
      <c r="F21" s="907" t="s">
        <v>324</v>
      </c>
    </row>
    <row r="22" spans="2:6" ht="57" x14ac:dyDescent="0.85">
      <c r="B22" s="969"/>
      <c r="C22" s="426" t="s">
        <v>151</v>
      </c>
      <c r="D22" s="817" t="s">
        <v>152</v>
      </c>
      <c r="E22" s="439" t="s">
        <v>40</v>
      </c>
      <c r="F22" s="907" t="s">
        <v>628</v>
      </c>
    </row>
    <row r="23" spans="2:6" ht="57" x14ac:dyDescent="0.85">
      <c r="B23" s="969"/>
      <c r="C23" s="426" t="s">
        <v>633</v>
      </c>
      <c r="D23" s="817" t="s">
        <v>153</v>
      </c>
      <c r="E23" s="439" t="s">
        <v>41</v>
      </c>
      <c r="F23" s="907" t="s">
        <v>629</v>
      </c>
    </row>
    <row r="24" spans="2:6" x14ac:dyDescent="0.85">
      <c r="B24" s="970"/>
      <c r="C24" s="632" t="s">
        <v>1240</v>
      </c>
      <c r="D24" s="633" t="s">
        <v>1241</v>
      </c>
      <c r="E24" s="474"/>
      <c r="F24" s="908"/>
    </row>
    <row r="25" spans="2:6" ht="57.4" thickBot="1" x14ac:dyDescent="0.9">
      <c r="B25" s="971"/>
      <c r="C25" s="428" t="s">
        <v>154</v>
      </c>
      <c r="D25" s="818" t="s">
        <v>155</v>
      </c>
      <c r="E25" s="441" t="s">
        <v>42</v>
      </c>
      <c r="F25" s="909" t="s">
        <v>156</v>
      </c>
    </row>
    <row r="26" spans="2:6" ht="85.5" x14ac:dyDescent="0.85">
      <c r="B26" s="978" t="s">
        <v>13</v>
      </c>
      <c r="C26" s="435" t="s">
        <v>158</v>
      </c>
      <c r="D26" s="819" t="s">
        <v>157</v>
      </c>
      <c r="E26" s="437" t="s">
        <v>94</v>
      </c>
      <c r="F26" s="910" t="s">
        <v>630</v>
      </c>
    </row>
    <row r="27" spans="2:6" ht="85.9" thickBot="1" x14ac:dyDescent="0.9">
      <c r="B27" s="979"/>
      <c r="C27" s="442" t="s">
        <v>150</v>
      </c>
      <c r="D27" s="818" t="s">
        <v>159</v>
      </c>
      <c r="E27" s="441" t="s">
        <v>102</v>
      </c>
      <c r="F27" s="909" t="s">
        <v>630</v>
      </c>
    </row>
    <row r="28" spans="2:6" ht="57" x14ac:dyDescent="0.85">
      <c r="B28" s="978" t="s">
        <v>14</v>
      </c>
      <c r="C28" s="435" t="s">
        <v>1064</v>
      </c>
      <c r="D28" s="819" t="s">
        <v>160</v>
      </c>
      <c r="E28" s="437" t="s">
        <v>95</v>
      </c>
      <c r="F28" s="910" t="s">
        <v>630</v>
      </c>
    </row>
    <row r="29" spans="2:6" ht="57.4" thickBot="1" x14ac:dyDescent="0.9">
      <c r="B29" s="979"/>
      <c r="C29" s="442" t="s">
        <v>460</v>
      </c>
      <c r="D29" s="818" t="s">
        <v>161</v>
      </c>
      <c r="E29" s="441" t="s">
        <v>103</v>
      </c>
      <c r="F29" s="909" t="s">
        <v>630</v>
      </c>
    </row>
    <row r="30" spans="2:6" ht="57" x14ac:dyDescent="0.85">
      <c r="B30" s="978" t="s">
        <v>15</v>
      </c>
      <c r="C30" s="435" t="s">
        <v>1064</v>
      </c>
      <c r="D30" s="819" t="s">
        <v>162</v>
      </c>
      <c r="E30" s="437" t="s">
        <v>96</v>
      </c>
      <c r="F30" s="910" t="s">
        <v>630</v>
      </c>
    </row>
    <row r="31" spans="2:6" ht="85.9" thickBot="1" x14ac:dyDescent="0.9">
      <c r="B31" s="979"/>
      <c r="C31" s="442" t="s">
        <v>460</v>
      </c>
      <c r="D31" s="818" t="s">
        <v>163</v>
      </c>
      <c r="E31" s="441" t="s">
        <v>104</v>
      </c>
      <c r="F31" s="909" t="s">
        <v>630</v>
      </c>
    </row>
    <row r="32" spans="2:6" ht="57" x14ac:dyDescent="0.85">
      <c r="B32" s="978" t="s">
        <v>440</v>
      </c>
      <c r="C32" s="435" t="s">
        <v>1065</v>
      </c>
      <c r="D32" s="819" t="s">
        <v>164</v>
      </c>
      <c r="E32" s="437" t="s">
        <v>97</v>
      </c>
      <c r="F32" s="910" t="s">
        <v>630</v>
      </c>
    </row>
    <row r="33" spans="2:139" ht="57.4" thickBot="1" x14ac:dyDescent="0.9">
      <c r="B33" s="979"/>
      <c r="C33" s="442" t="s">
        <v>460</v>
      </c>
      <c r="D33" s="818" t="s">
        <v>165</v>
      </c>
      <c r="E33" s="441" t="s">
        <v>105</v>
      </c>
      <c r="F33" s="909" t="s">
        <v>630</v>
      </c>
    </row>
    <row r="34" spans="2:139" ht="57" x14ac:dyDescent="0.85">
      <c r="B34" s="978" t="s">
        <v>16</v>
      </c>
      <c r="C34" s="435" t="s">
        <v>1065</v>
      </c>
      <c r="D34" s="819" t="s">
        <v>166</v>
      </c>
      <c r="E34" s="437" t="s">
        <v>98</v>
      </c>
      <c r="F34" s="910" t="s">
        <v>630</v>
      </c>
    </row>
    <row r="35" spans="2:139" ht="57.4" thickBot="1" x14ac:dyDescent="0.9">
      <c r="B35" s="979"/>
      <c r="C35" s="442" t="s">
        <v>460</v>
      </c>
      <c r="D35" s="818" t="s">
        <v>167</v>
      </c>
      <c r="E35" s="441" t="s">
        <v>106</v>
      </c>
      <c r="F35" s="909" t="s">
        <v>630</v>
      </c>
    </row>
    <row r="36" spans="2:139" ht="57" x14ac:dyDescent="0.85">
      <c r="B36" s="978" t="s">
        <v>17</v>
      </c>
      <c r="C36" s="435" t="s">
        <v>1065</v>
      </c>
      <c r="D36" s="819" t="s">
        <v>346</v>
      </c>
      <c r="E36" s="437" t="s">
        <v>99</v>
      </c>
      <c r="F36" s="910" t="s">
        <v>630</v>
      </c>
    </row>
    <row r="37" spans="2:139" s="443" customFormat="1" ht="57.4" thickBot="1" x14ac:dyDescent="0.5">
      <c r="B37" s="979"/>
      <c r="C37" s="442" t="s">
        <v>460</v>
      </c>
      <c r="D37" s="818" t="s">
        <v>168</v>
      </c>
      <c r="E37" s="444" t="s">
        <v>107</v>
      </c>
      <c r="F37" s="911" t="s">
        <v>630</v>
      </c>
      <c r="G37" s="892"/>
      <c r="H37" s="892"/>
      <c r="I37" s="892"/>
      <c r="J37" s="892"/>
      <c r="K37" s="892"/>
      <c r="L37" s="892"/>
      <c r="M37" s="892"/>
      <c r="N37" s="892"/>
      <c r="O37" s="892"/>
      <c r="P37" s="892"/>
      <c r="Q37" s="892"/>
      <c r="R37" s="892"/>
      <c r="S37" s="892"/>
      <c r="T37" s="892"/>
      <c r="U37" s="892"/>
      <c r="V37" s="892"/>
      <c r="W37" s="892"/>
      <c r="X37" s="892"/>
      <c r="Y37" s="892"/>
      <c r="Z37" s="892"/>
      <c r="AA37" s="892"/>
      <c r="AB37" s="892"/>
      <c r="AC37" s="892"/>
      <c r="AD37" s="892"/>
      <c r="AE37" s="892"/>
      <c r="AF37" s="892"/>
      <c r="AG37" s="892"/>
      <c r="AH37" s="892"/>
      <c r="AI37" s="892"/>
      <c r="AJ37" s="892"/>
      <c r="AK37" s="892"/>
      <c r="AL37" s="892"/>
      <c r="AM37" s="892"/>
      <c r="AN37" s="892"/>
      <c r="AO37" s="892"/>
      <c r="AP37" s="892"/>
      <c r="AQ37" s="892"/>
      <c r="AR37" s="892"/>
      <c r="AS37" s="892"/>
      <c r="AT37" s="892"/>
      <c r="AU37" s="892"/>
      <c r="AV37" s="892"/>
      <c r="AW37" s="892"/>
      <c r="AX37" s="892"/>
      <c r="AY37" s="892"/>
      <c r="AZ37" s="892"/>
      <c r="BA37" s="892"/>
      <c r="BB37" s="892"/>
      <c r="BC37" s="892"/>
      <c r="BD37" s="892"/>
      <c r="BE37" s="892"/>
      <c r="BF37" s="892"/>
      <c r="BG37" s="892"/>
      <c r="BH37" s="892"/>
      <c r="BI37" s="892"/>
      <c r="BJ37" s="892"/>
      <c r="BK37" s="892"/>
      <c r="BL37" s="892"/>
      <c r="BM37" s="892"/>
      <c r="BN37" s="892"/>
      <c r="BO37" s="892"/>
      <c r="BP37" s="892"/>
      <c r="BQ37" s="892"/>
      <c r="BR37" s="892"/>
      <c r="BS37" s="892"/>
      <c r="BT37" s="892"/>
      <c r="BU37" s="892"/>
      <c r="BV37" s="892"/>
      <c r="BW37" s="892"/>
      <c r="BX37" s="892"/>
      <c r="BY37" s="892"/>
      <c r="BZ37" s="892"/>
      <c r="CA37" s="892"/>
      <c r="CB37" s="892"/>
      <c r="CC37" s="892"/>
      <c r="CD37" s="892"/>
      <c r="CE37" s="892"/>
      <c r="CF37" s="892"/>
      <c r="CG37" s="892"/>
      <c r="CH37" s="892"/>
      <c r="CI37" s="892"/>
      <c r="CJ37" s="892"/>
      <c r="CK37" s="892"/>
      <c r="CL37" s="892"/>
      <c r="CM37" s="892"/>
      <c r="CN37" s="892"/>
      <c r="CO37" s="892"/>
      <c r="CP37" s="892"/>
      <c r="CQ37" s="892"/>
      <c r="CR37" s="892"/>
      <c r="CS37" s="892"/>
      <c r="CT37" s="892"/>
      <c r="CU37" s="892"/>
      <c r="CV37" s="892"/>
      <c r="CW37" s="892"/>
      <c r="CX37" s="892"/>
      <c r="CY37" s="892"/>
      <c r="CZ37" s="892"/>
      <c r="DA37" s="892"/>
      <c r="DB37" s="892"/>
      <c r="DC37" s="892"/>
      <c r="DD37" s="892"/>
      <c r="DE37" s="892"/>
      <c r="DF37" s="892"/>
      <c r="DG37" s="892"/>
      <c r="DH37" s="892"/>
      <c r="DI37" s="892"/>
      <c r="DJ37" s="892"/>
      <c r="DK37" s="892"/>
      <c r="DL37" s="892"/>
      <c r="DM37" s="892"/>
      <c r="DN37" s="892"/>
      <c r="DO37" s="892"/>
      <c r="DP37" s="892"/>
      <c r="DQ37" s="892"/>
      <c r="DR37" s="892"/>
      <c r="DS37" s="892"/>
      <c r="DT37" s="892"/>
      <c r="DU37" s="892"/>
      <c r="DV37" s="892"/>
      <c r="DW37" s="892"/>
      <c r="DX37" s="892"/>
      <c r="DY37" s="892"/>
      <c r="DZ37" s="892"/>
      <c r="EA37" s="892"/>
      <c r="EB37" s="892"/>
      <c r="EC37" s="892"/>
      <c r="ED37" s="892"/>
      <c r="EE37" s="892"/>
      <c r="EF37" s="892"/>
      <c r="EG37" s="892"/>
      <c r="EH37" s="892"/>
      <c r="EI37" s="892"/>
    </row>
    <row r="38" spans="2:139" ht="85.5" x14ac:dyDescent="0.85">
      <c r="B38" s="978" t="s">
        <v>22</v>
      </c>
      <c r="C38" s="435" t="s">
        <v>1065</v>
      </c>
      <c r="D38" s="819" t="s">
        <v>169</v>
      </c>
      <c r="E38" s="437" t="s">
        <v>100</v>
      </c>
      <c r="F38" s="910" t="s">
        <v>630</v>
      </c>
    </row>
    <row r="39" spans="2:139" ht="114.4" thickBot="1" x14ac:dyDescent="0.9">
      <c r="B39" s="979"/>
      <c r="C39" s="442" t="s">
        <v>460</v>
      </c>
      <c r="D39" s="818" t="s">
        <v>170</v>
      </c>
      <c r="E39" s="441" t="s">
        <v>108</v>
      </c>
      <c r="F39" s="909" t="s">
        <v>630</v>
      </c>
    </row>
    <row r="40" spans="2:139" ht="57" x14ac:dyDescent="0.85">
      <c r="B40" s="978" t="s">
        <v>18</v>
      </c>
      <c r="C40" s="435" t="s">
        <v>1065</v>
      </c>
      <c r="D40" s="819" t="s">
        <v>171</v>
      </c>
      <c r="E40" s="437" t="s">
        <v>101</v>
      </c>
      <c r="F40" s="910" t="s">
        <v>630</v>
      </c>
    </row>
    <row r="41" spans="2:139" ht="85.9" thickBot="1" x14ac:dyDescent="0.9">
      <c r="B41" s="979"/>
      <c r="C41" s="442" t="s">
        <v>460</v>
      </c>
      <c r="D41" s="818" t="s">
        <v>172</v>
      </c>
      <c r="E41" s="441" t="s">
        <v>109</v>
      </c>
      <c r="F41" s="909" t="s">
        <v>630</v>
      </c>
    </row>
    <row r="42" spans="2:139" ht="57" x14ac:dyDescent="0.85">
      <c r="B42" s="978" t="s">
        <v>113</v>
      </c>
      <c r="C42" s="435" t="s">
        <v>1065</v>
      </c>
      <c r="D42" s="819" t="s">
        <v>347</v>
      </c>
      <c r="E42" s="437" t="s">
        <v>133</v>
      </c>
      <c r="F42" s="910" t="s">
        <v>630</v>
      </c>
    </row>
    <row r="43" spans="2:139" ht="57.4" thickBot="1" x14ac:dyDescent="0.9">
      <c r="B43" s="979"/>
      <c r="C43" s="442" t="s">
        <v>460</v>
      </c>
      <c r="D43" s="818" t="s">
        <v>173</v>
      </c>
      <c r="E43" s="474" t="s">
        <v>617</v>
      </c>
      <c r="F43" s="908" t="s">
        <v>630</v>
      </c>
    </row>
    <row r="44" spans="2:139" ht="28.9" thickBot="1" x14ac:dyDescent="0.9">
      <c r="B44" s="952" t="s">
        <v>1056</v>
      </c>
      <c r="C44" s="649" t="s">
        <v>144</v>
      </c>
      <c r="D44" s="637" t="s">
        <v>1242</v>
      </c>
      <c r="E44" s="474"/>
      <c r="F44" s="908"/>
    </row>
    <row r="45" spans="2:139" x14ac:dyDescent="0.85">
      <c r="B45" s="953"/>
      <c r="C45" s="91" t="s">
        <v>158</v>
      </c>
      <c r="D45" s="822" t="s">
        <v>1057</v>
      </c>
      <c r="E45" s="439"/>
      <c r="F45" s="907"/>
    </row>
    <row r="46" spans="2:139" ht="28.9" thickBot="1" x14ac:dyDescent="0.9">
      <c r="B46" s="954"/>
      <c r="C46" s="95" t="s">
        <v>150</v>
      </c>
      <c r="D46" s="822" t="s">
        <v>1058</v>
      </c>
      <c r="E46" s="439"/>
      <c r="F46" s="907"/>
    </row>
    <row r="47" spans="2:139" ht="57" x14ac:dyDescent="0.85">
      <c r="B47" s="1001" t="s">
        <v>1249</v>
      </c>
      <c r="C47" s="832" t="s">
        <v>635</v>
      </c>
      <c r="D47" s="692" t="s">
        <v>348</v>
      </c>
      <c r="E47" s="425" t="s">
        <v>942</v>
      </c>
      <c r="F47" s="900"/>
    </row>
    <row r="48" spans="2:139" ht="57.4" thickBot="1" x14ac:dyDescent="0.9">
      <c r="B48" s="1002"/>
      <c r="C48" s="833" t="s">
        <v>644</v>
      </c>
      <c r="D48" s="694" t="s">
        <v>349</v>
      </c>
      <c r="E48" s="427" t="s">
        <v>943</v>
      </c>
      <c r="F48" s="901"/>
    </row>
    <row r="49" spans="2:6" ht="57" x14ac:dyDescent="0.85">
      <c r="B49" s="1003" t="s">
        <v>1250</v>
      </c>
      <c r="C49" s="830" t="s">
        <v>1251</v>
      </c>
      <c r="D49" s="683" t="s">
        <v>1253</v>
      </c>
      <c r="E49" s="425" t="s">
        <v>1281</v>
      </c>
      <c r="F49" s="900"/>
    </row>
    <row r="50" spans="2:6" ht="57" x14ac:dyDescent="0.85">
      <c r="B50" s="1004"/>
      <c r="C50" s="831" t="s">
        <v>1252</v>
      </c>
      <c r="D50" s="808" t="s">
        <v>1254</v>
      </c>
      <c r="E50" s="514" t="s">
        <v>1282</v>
      </c>
      <c r="F50" s="912"/>
    </row>
    <row r="51" spans="2:6" x14ac:dyDescent="0.85">
      <c r="B51" s="1005" t="s">
        <v>1265</v>
      </c>
      <c r="C51" s="1006"/>
      <c r="D51" s="1006"/>
      <c r="E51" s="1006"/>
      <c r="F51" s="1007"/>
    </row>
    <row r="52" spans="2:6" x14ac:dyDescent="0.85">
      <c r="B52" s="1008" t="s">
        <v>391</v>
      </c>
      <c r="C52" s="652" t="s">
        <v>158</v>
      </c>
      <c r="D52" s="809" t="s">
        <v>1261</v>
      </c>
      <c r="E52" s="810"/>
      <c r="F52" s="900"/>
    </row>
    <row r="53" spans="2:6" ht="28.9" thickBot="1" x14ac:dyDescent="0.9">
      <c r="B53" s="1009"/>
      <c r="C53" s="651" t="s">
        <v>150</v>
      </c>
      <c r="D53" s="634" t="s">
        <v>1262</v>
      </c>
      <c r="E53" s="807"/>
      <c r="F53" s="901"/>
    </row>
    <row r="54" spans="2:6" x14ac:dyDescent="0.85">
      <c r="B54" s="1010" t="s">
        <v>389</v>
      </c>
      <c r="C54" s="650" t="s">
        <v>158</v>
      </c>
      <c r="D54" s="603" t="s">
        <v>1263</v>
      </c>
      <c r="E54" s="807"/>
      <c r="F54" s="901"/>
    </row>
    <row r="55" spans="2:6" ht="28.9" thickBot="1" x14ac:dyDescent="0.9">
      <c r="B55" s="1009"/>
      <c r="C55" s="651" t="s">
        <v>150</v>
      </c>
      <c r="D55" s="634" t="s">
        <v>1264</v>
      </c>
      <c r="E55" s="807"/>
      <c r="F55" s="901"/>
    </row>
    <row r="56" spans="2:6" ht="28.9" thickBot="1" x14ac:dyDescent="0.9">
      <c r="B56" s="995" t="s">
        <v>1023</v>
      </c>
      <c r="C56" s="996"/>
      <c r="D56" s="996"/>
      <c r="E56" s="997"/>
      <c r="F56" s="998"/>
    </row>
    <row r="57" spans="2:6" x14ac:dyDescent="0.85">
      <c r="B57" s="975" t="s">
        <v>1036</v>
      </c>
      <c r="C57" s="1" t="s">
        <v>1197</v>
      </c>
      <c r="D57" s="583" t="s">
        <v>1024</v>
      </c>
      <c r="E57" s="475"/>
      <c r="F57" s="913"/>
    </row>
    <row r="58" spans="2:6" ht="28.9" thickBot="1" x14ac:dyDescent="0.9">
      <c r="B58" s="976"/>
      <c r="C58" s="370" t="s">
        <v>1198</v>
      </c>
      <c r="D58" s="584" t="s">
        <v>1025</v>
      </c>
      <c r="E58" s="475"/>
      <c r="F58" s="913"/>
    </row>
    <row r="59" spans="2:6" x14ac:dyDescent="0.85">
      <c r="B59" s="976"/>
      <c r="C59" s="1" t="s">
        <v>1199</v>
      </c>
      <c r="D59" s="583" t="s">
        <v>1201</v>
      </c>
      <c r="E59" s="475"/>
      <c r="F59" s="913"/>
    </row>
    <row r="60" spans="2:6" ht="28.9" thickBot="1" x14ac:dyDescent="0.9">
      <c r="B60" s="977"/>
      <c r="C60" s="370" t="s">
        <v>1200</v>
      </c>
      <c r="D60" s="585" t="s">
        <v>1202</v>
      </c>
      <c r="E60" s="475"/>
      <c r="F60" s="913"/>
    </row>
    <row r="61" spans="2:6" x14ac:dyDescent="0.85">
      <c r="B61" s="972" t="s">
        <v>1037</v>
      </c>
      <c r="C61" s="1" t="s">
        <v>1197</v>
      </c>
      <c r="D61" s="583" t="s">
        <v>1026</v>
      </c>
      <c r="E61" s="475"/>
      <c r="F61" s="913"/>
    </row>
    <row r="62" spans="2:6" ht="28.9" thickBot="1" x14ac:dyDescent="0.9">
      <c r="B62" s="973"/>
      <c r="C62" s="370" t="s">
        <v>1198</v>
      </c>
      <c r="D62" s="584" t="s">
        <v>1027</v>
      </c>
      <c r="E62" s="475"/>
      <c r="F62" s="913"/>
    </row>
    <row r="63" spans="2:6" x14ac:dyDescent="0.85">
      <c r="B63" s="973"/>
      <c r="C63" s="1" t="s">
        <v>1199</v>
      </c>
      <c r="D63" s="584" t="s">
        <v>1203</v>
      </c>
      <c r="E63" s="475"/>
      <c r="F63" s="913"/>
    </row>
    <row r="64" spans="2:6" ht="28.9" thickBot="1" x14ac:dyDescent="0.9">
      <c r="B64" s="974"/>
      <c r="C64" s="370" t="s">
        <v>1200</v>
      </c>
      <c r="D64" s="586" t="s">
        <v>1204</v>
      </c>
      <c r="E64" s="475"/>
      <c r="F64" s="913"/>
    </row>
    <row r="65" spans="2:6" x14ac:dyDescent="0.85">
      <c r="B65" s="975" t="s">
        <v>1038</v>
      </c>
      <c r="C65" s="1" t="s">
        <v>1197</v>
      </c>
      <c r="D65" s="583" t="s">
        <v>1028</v>
      </c>
      <c r="E65" s="475"/>
      <c r="F65" s="913"/>
    </row>
    <row r="66" spans="2:6" ht="28.9" thickBot="1" x14ac:dyDescent="0.9">
      <c r="B66" s="976"/>
      <c r="C66" s="370" t="s">
        <v>1198</v>
      </c>
      <c r="D66" s="584" t="s">
        <v>1029</v>
      </c>
      <c r="E66" s="475"/>
      <c r="F66" s="913"/>
    </row>
    <row r="67" spans="2:6" x14ac:dyDescent="0.85">
      <c r="B67" s="976"/>
      <c r="C67" s="1" t="s">
        <v>1199</v>
      </c>
      <c r="D67" s="584" t="s">
        <v>1028</v>
      </c>
      <c r="E67" s="475"/>
      <c r="F67" s="913"/>
    </row>
    <row r="68" spans="2:6" ht="28.9" thickBot="1" x14ac:dyDescent="0.9">
      <c r="B68" s="977"/>
      <c r="C68" s="370" t="s">
        <v>1200</v>
      </c>
      <c r="D68" s="586" t="s">
        <v>1029</v>
      </c>
      <c r="E68" s="475"/>
      <c r="F68" s="913"/>
    </row>
    <row r="69" spans="2:6" x14ac:dyDescent="0.85">
      <c r="B69" s="972" t="s">
        <v>1039</v>
      </c>
      <c r="C69" s="1" t="s">
        <v>1197</v>
      </c>
      <c r="D69" s="583" t="s">
        <v>1030</v>
      </c>
      <c r="E69" s="475"/>
      <c r="F69" s="913"/>
    </row>
    <row r="70" spans="2:6" ht="28.9" thickBot="1" x14ac:dyDescent="0.9">
      <c r="B70" s="973"/>
      <c r="C70" s="370" t="s">
        <v>1198</v>
      </c>
      <c r="D70" s="584" t="s">
        <v>1031</v>
      </c>
      <c r="E70" s="475"/>
      <c r="F70" s="913"/>
    </row>
    <row r="71" spans="2:6" x14ac:dyDescent="0.85">
      <c r="B71" s="973"/>
      <c r="C71" s="1" t="s">
        <v>1199</v>
      </c>
      <c r="D71" s="584" t="s">
        <v>1205</v>
      </c>
      <c r="E71" s="475"/>
      <c r="F71" s="913"/>
    </row>
    <row r="72" spans="2:6" ht="28.9" thickBot="1" x14ac:dyDescent="0.9">
      <c r="B72" s="974"/>
      <c r="C72" s="370" t="s">
        <v>1200</v>
      </c>
      <c r="D72" s="586" t="s">
        <v>1206</v>
      </c>
      <c r="E72" s="475"/>
      <c r="F72" s="913"/>
    </row>
    <row r="73" spans="2:6" x14ac:dyDescent="0.85">
      <c r="B73" s="972" t="s">
        <v>1047</v>
      </c>
      <c r="C73" s="1" t="s">
        <v>1197</v>
      </c>
      <c r="D73" s="587" t="s">
        <v>1032</v>
      </c>
      <c r="E73" s="475"/>
      <c r="F73" s="913"/>
    </row>
    <row r="74" spans="2:6" ht="28.9" thickBot="1" x14ac:dyDescent="0.9">
      <c r="B74" s="973"/>
      <c r="C74" s="370" t="s">
        <v>1198</v>
      </c>
      <c r="D74" s="584" t="s">
        <v>1033</v>
      </c>
      <c r="E74" s="475"/>
      <c r="F74" s="913"/>
    </row>
    <row r="75" spans="2:6" x14ac:dyDescent="0.85">
      <c r="B75" s="973"/>
      <c r="C75" s="1" t="s">
        <v>1199</v>
      </c>
      <c r="D75" s="584" t="s">
        <v>1207</v>
      </c>
      <c r="E75" s="475"/>
      <c r="F75" s="913"/>
    </row>
    <row r="76" spans="2:6" ht="28.9" thickBot="1" x14ac:dyDescent="0.9">
      <c r="B76" s="974"/>
      <c r="C76" s="370" t="s">
        <v>1200</v>
      </c>
      <c r="D76" s="584" t="s">
        <v>1208</v>
      </c>
      <c r="E76" s="475"/>
      <c r="F76" s="913"/>
    </row>
    <row r="77" spans="2:6" ht="28.5" customHeight="1" x14ac:dyDescent="0.85">
      <c r="B77" s="972" t="s">
        <v>1040</v>
      </c>
      <c r="C77" s="1" t="s">
        <v>1197</v>
      </c>
      <c r="D77" s="584" t="s">
        <v>1034</v>
      </c>
      <c r="E77" s="475"/>
      <c r="F77" s="913"/>
    </row>
    <row r="78" spans="2:6" ht="28.9" thickBot="1" x14ac:dyDescent="0.9">
      <c r="B78" s="973"/>
      <c r="C78" s="370" t="s">
        <v>1198</v>
      </c>
      <c r="D78" s="584" t="s">
        <v>1035</v>
      </c>
      <c r="E78" s="475"/>
      <c r="F78" s="913"/>
    </row>
    <row r="79" spans="2:6" x14ac:dyDescent="0.85">
      <c r="B79" s="973"/>
      <c r="C79" s="1" t="s">
        <v>1199</v>
      </c>
      <c r="D79" s="584" t="s">
        <v>1209</v>
      </c>
      <c r="E79" s="475"/>
      <c r="F79" s="913"/>
    </row>
    <row r="80" spans="2:6" ht="28.9" thickBot="1" x14ac:dyDescent="0.9">
      <c r="B80" s="974"/>
      <c r="C80" s="370" t="s">
        <v>1200</v>
      </c>
      <c r="D80" s="584" t="s">
        <v>1210</v>
      </c>
      <c r="E80" s="475"/>
      <c r="F80" s="913"/>
    </row>
    <row r="81" spans="2:139" x14ac:dyDescent="0.85">
      <c r="B81" s="972" t="s">
        <v>1041</v>
      </c>
      <c r="C81" s="1" t="s">
        <v>1197</v>
      </c>
      <c r="D81" s="584" t="s">
        <v>1048</v>
      </c>
      <c r="E81" s="475"/>
      <c r="F81" s="913"/>
    </row>
    <row r="82" spans="2:139" ht="28.9" thickBot="1" x14ac:dyDescent="0.9">
      <c r="B82" s="973"/>
      <c r="C82" s="370" t="s">
        <v>1198</v>
      </c>
      <c r="D82" s="586" t="s">
        <v>1049</v>
      </c>
      <c r="E82" s="475"/>
      <c r="F82" s="913"/>
    </row>
    <row r="83" spans="2:139" ht="28.5" customHeight="1" x14ac:dyDescent="0.85">
      <c r="B83" s="973"/>
      <c r="C83" s="1" t="s">
        <v>1199</v>
      </c>
      <c r="D83" s="584" t="s">
        <v>1211</v>
      </c>
      <c r="E83" s="475"/>
      <c r="F83" s="913"/>
    </row>
    <row r="84" spans="2:139" ht="28.9" thickBot="1" x14ac:dyDescent="0.9">
      <c r="B84" s="974"/>
      <c r="C84" s="370" t="s">
        <v>1200</v>
      </c>
      <c r="D84" s="586" t="s">
        <v>1212</v>
      </c>
      <c r="E84" s="475"/>
      <c r="F84" s="913"/>
    </row>
    <row r="85" spans="2:139" ht="28.5" customHeight="1" x14ac:dyDescent="0.85">
      <c r="B85" s="972" t="s">
        <v>1042</v>
      </c>
      <c r="C85" s="1" t="s">
        <v>1197</v>
      </c>
      <c r="D85" s="584" t="s">
        <v>1050</v>
      </c>
      <c r="E85" s="475"/>
      <c r="F85" s="913"/>
    </row>
    <row r="86" spans="2:139" ht="28.9" thickBot="1" x14ac:dyDescent="0.9">
      <c r="B86" s="973"/>
      <c r="C86" s="370" t="s">
        <v>1198</v>
      </c>
      <c r="D86" s="586" t="s">
        <v>1051</v>
      </c>
      <c r="E86" s="475"/>
      <c r="F86" s="913"/>
    </row>
    <row r="87" spans="2:139" ht="28.5" customHeight="1" x14ac:dyDescent="0.85">
      <c r="B87" s="973"/>
      <c r="C87" s="1" t="s">
        <v>1199</v>
      </c>
      <c r="D87" s="584" t="s">
        <v>1213</v>
      </c>
      <c r="E87" s="475"/>
      <c r="F87" s="913"/>
    </row>
    <row r="88" spans="2:139" ht="28.9" thickBot="1" x14ac:dyDescent="0.9">
      <c r="B88" s="974"/>
      <c r="C88" s="370" t="s">
        <v>1200</v>
      </c>
      <c r="D88" s="586" t="s">
        <v>1214</v>
      </c>
      <c r="E88" s="475"/>
      <c r="F88" s="913"/>
    </row>
    <row r="89" spans="2:139" ht="28.5" customHeight="1" x14ac:dyDescent="0.85">
      <c r="B89" s="972" t="s">
        <v>1043</v>
      </c>
      <c r="C89" s="1" t="s">
        <v>1197</v>
      </c>
      <c r="D89" s="584" t="s">
        <v>1052</v>
      </c>
      <c r="E89" s="475"/>
      <c r="F89" s="913"/>
    </row>
    <row r="90" spans="2:139" ht="28.9" thickBot="1" x14ac:dyDescent="0.9">
      <c r="B90" s="973"/>
      <c r="C90" s="370" t="s">
        <v>1198</v>
      </c>
      <c r="D90" s="586" t="s">
        <v>1053</v>
      </c>
      <c r="E90" s="475"/>
      <c r="F90" s="913"/>
    </row>
    <row r="91" spans="2:139" ht="28.5" customHeight="1" x14ac:dyDescent="0.85">
      <c r="B91" s="973"/>
      <c r="C91" s="1" t="s">
        <v>1199</v>
      </c>
      <c r="D91" s="584" t="s">
        <v>1215</v>
      </c>
      <c r="E91" s="475"/>
      <c r="F91" s="913"/>
    </row>
    <row r="92" spans="2:139" ht="28.9" thickBot="1" x14ac:dyDescent="0.9">
      <c r="B92" s="974"/>
      <c r="C92" s="370" t="s">
        <v>1200</v>
      </c>
      <c r="D92" s="586" t="s">
        <v>1216</v>
      </c>
      <c r="E92" s="475"/>
      <c r="F92" s="913"/>
    </row>
    <row r="93" spans="2:139" s="466" customFormat="1" ht="28.5" customHeight="1" x14ac:dyDescent="0.85">
      <c r="B93" s="972" t="s">
        <v>1061</v>
      </c>
      <c r="C93" s="1" t="s">
        <v>1197</v>
      </c>
      <c r="D93" s="584" t="s">
        <v>1054</v>
      </c>
      <c r="E93" s="475"/>
      <c r="F93" s="913"/>
      <c r="G93" s="893"/>
      <c r="H93" s="893"/>
      <c r="I93" s="893"/>
      <c r="J93" s="893"/>
      <c r="K93" s="893"/>
      <c r="L93" s="893"/>
      <c r="M93" s="893"/>
      <c r="N93" s="893"/>
      <c r="O93" s="893"/>
      <c r="P93" s="893"/>
      <c r="Q93" s="893"/>
      <c r="R93" s="893"/>
      <c r="S93" s="893"/>
      <c r="T93" s="893"/>
      <c r="U93" s="893"/>
      <c r="V93" s="893"/>
      <c r="W93" s="893"/>
      <c r="X93" s="893"/>
      <c r="Y93" s="893"/>
      <c r="Z93" s="893"/>
      <c r="AA93" s="893"/>
      <c r="AB93" s="893"/>
      <c r="AC93" s="893"/>
      <c r="AD93" s="893"/>
      <c r="AE93" s="893"/>
      <c r="AF93" s="893"/>
      <c r="AG93" s="893"/>
      <c r="AH93" s="893"/>
      <c r="AI93" s="893"/>
      <c r="AJ93" s="893"/>
      <c r="AK93" s="893"/>
      <c r="AL93" s="893"/>
      <c r="AM93" s="893"/>
      <c r="AN93" s="893"/>
      <c r="AO93" s="893"/>
      <c r="AP93" s="893"/>
      <c r="AQ93" s="893"/>
      <c r="AR93" s="893"/>
      <c r="AS93" s="893"/>
      <c r="AT93" s="893"/>
      <c r="AU93" s="893"/>
      <c r="AV93" s="893"/>
      <c r="AW93" s="893"/>
      <c r="AX93" s="893"/>
      <c r="AY93" s="893"/>
      <c r="AZ93" s="893"/>
      <c r="BA93" s="893"/>
      <c r="BB93" s="893"/>
      <c r="BC93" s="893"/>
      <c r="BD93" s="893"/>
      <c r="BE93" s="893"/>
      <c r="BF93" s="893"/>
      <c r="BG93" s="893"/>
      <c r="BH93" s="893"/>
      <c r="BI93" s="893"/>
      <c r="BJ93" s="893"/>
      <c r="BK93" s="893"/>
      <c r="BL93" s="893"/>
      <c r="BM93" s="893"/>
      <c r="BN93" s="893"/>
      <c r="BO93" s="893"/>
      <c r="BP93" s="893"/>
      <c r="BQ93" s="893"/>
      <c r="BR93" s="893"/>
      <c r="BS93" s="893"/>
      <c r="BT93" s="893"/>
      <c r="BU93" s="893"/>
      <c r="BV93" s="893"/>
      <c r="BW93" s="893"/>
      <c r="BX93" s="893"/>
      <c r="BY93" s="893"/>
      <c r="BZ93" s="893"/>
      <c r="CA93" s="893"/>
      <c r="CB93" s="893"/>
      <c r="CC93" s="893"/>
      <c r="CD93" s="893"/>
      <c r="CE93" s="893"/>
      <c r="CF93" s="893"/>
      <c r="CG93" s="893"/>
      <c r="CH93" s="893"/>
      <c r="CI93" s="893"/>
      <c r="CJ93" s="893"/>
      <c r="CK93" s="893"/>
      <c r="CL93" s="893"/>
      <c r="CM93" s="893"/>
      <c r="CN93" s="893"/>
      <c r="CO93" s="893"/>
      <c r="CP93" s="893"/>
      <c r="CQ93" s="893"/>
      <c r="CR93" s="893"/>
      <c r="CS93" s="893"/>
      <c r="CT93" s="893"/>
      <c r="CU93" s="893"/>
      <c r="CV93" s="893"/>
      <c r="CW93" s="893"/>
      <c r="CX93" s="893"/>
      <c r="CY93" s="893"/>
      <c r="CZ93" s="893"/>
      <c r="DA93" s="893"/>
      <c r="DB93" s="893"/>
      <c r="DC93" s="893"/>
      <c r="DD93" s="893"/>
      <c r="DE93" s="893"/>
      <c r="DF93" s="893"/>
      <c r="DG93" s="893"/>
      <c r="DH93" s="893"/>
      <c r="DI93" s="893"/>
      <c r="DJ93" s="893"/>
      <c r="DK93" s="893"/>
      <c r="DL93" s="893"/>
      <c r="DM93" s="893"/>
      <c r="DN93" s="893"/>
      <c r="DO93" s="893"/>
      <c r="DP93" s="893"/>
      <c r="DQ93" s="893"/>
      <c r="DR93" s="893"/>
      <c r="DS93" s="893"/>
      <c r="DT93" s="893"/>
      <c r="DU93" s="893"/>
      <c r="DV93" s="893"/>
      <c r="DW93" s="893"/>
      <c r="DX93" s="893"/>
      <c r="DY93" s="893"/>
      <c r="DZ93" s="893"/>
      <c r="EA93" s="893"/>
      <c r="EB93" s="893"/>
      <c r="EC93" s="893"/>
      <c r="ED93" s="893"/>
      <c r="EE93" s="893"/>
      <c r="EF93" s="893"/>
      <c r="EG93" s="893"/>
      <c r="EH93" s="893"/>
      <c r="EI93" s="893"/>
    </row>
    <row r="94" spans="2:139" s="466" customFormat="1" ht="28.9" thickBot="1" x14ac:dyDescent="0.9">
      <c r="B94" s="973"/>
      <c r="C94" s="370" t="s">
        <v>1198</v>
      </c>
      <c r="D94" s="586" t="s">
        <v>1055</v>
      </c>
      <c r="E94" s="475"/>
      <c r="F94" s="913"/>
      <c r="G94" s="893"/>
      <c r="H94" s="893"/>
      <c r="I94" s="893"/>
      <c r="J94" s="893"/>
      <c r="K94" s="893"/>
      <c r="L94" s="893"/>
      <c r="M94" s="893"/>
      <c r="N94" s="893"/>
      <c r="O94" s="893"/>
      <c r="P94" s="893"/>
      <c r="Q94" s="893"/>
      <c r="R94" s="893"/>
      <c r="S94" s="893"/>
      <c r="T94" s="893"/>
      <c r="U94" s="893"/>
      <c r="V94" s="893"/>
      <c r="W94" s="893"/>
      <c r="X94" s="893"/>
      <c r="Y94" s="893"/>
      <c r="Z94" s="893"/>
      <c r="AA94" s="893"/>
      <c r="AB94" s="893"/>
      <c r="AC94" s="893"/>
      <c r="AD94" s="893"/>
      <c r="AE94" s="893"/>
      <c r="AF94" s="893"/>
      <c r="AG94" s="893"/>
      <c r="AH94" s="893"/>
      <c r="AI94" s="893"/>
      <c r="AJ94" s="893"/>
      <c r="AK94" s="893"/>
      <c r="AL94" s="893"/>
      <c r="AM94" s="893"/>
      <c r="AN94" s="893"/>
      <c r="AO94" s="893"/>
      <c r="AP94" s="893"/>
      <c r="AQ94" s="893"/>
      <c r="AR94" s="893"/>
      <c r="AS94" s="893"/>
      <c r="AT94" s="893"/>
      <c r="AU94" s="893"/>
      <c r="AV94" s="893"/>
      <c r="AW94" s="893"/>
      <c r="AX94" s="893"/>
      <c r="AY94" s="893"/>
      <c r="AZ94" s="893"/>
      <c r="BA94" s="893"/>
      <c r="BB94" s="893"/>
      <c r="BC94" s="893"/>
      <c r="BD94" s="893"/>
      <c r="BE94" s="893"/>
      <c r="BF94" s="893"/>
      <c r="BG94" s="893"/>
      <c r="BH94" s="893"/>
      <c r="BI94" s="893"/>
      <c r="BJ94" s="893"/>
      <c r="BK94" s="893"/>
      <c r="BL94" s="893"/>
      <c r="BM94" s="893"/>
      <c r="BN94" s="893"/>
      <c r="BO94" s="893"/>
      <c r="BP94" s="893"/>
      <c r="BQ94" s="893"/>
      <c r="BR94" s="893"/>
      <c r="BS94" s="893"/>
      <c r="BT94" s="893"/>
      <c r="BU94" s="893"/>
      <c r="BV94" s="893"/>
      <c r="BW94" s="893"/>
      <c r="BX94" s="893"/>
      <c r="BY94" s="893"/>
      <c r="BZ94" s="893"/>
      <c r="CA94" s="893"/>
      <c r="CB94" s="893"/>
      <c r="CC94" s="893"/>
      <c r="CD94" s="893"/>
      <c r="CE94" s="893"/>
      <c r="CF94" s="893"/>
      <c r="CG94" s="893"/>
      <c r="CH94" s="893"/>
      <c r="CI94" s="893"/>
      <c r="CJ94" s="893"/>
      <c r="CK94" s="893"/>
      <c r="CL94" s="893"/>
      <c r="CM94" s="893"/>
      <c r="CN94" s="893"/>
      <c r="CO94" s="893"/>
      <c r="CP94" s="893"/>
      <c r="CQ94" s="893"/>
      <c r="CR94" s="893"/>
      <c r="CS94" s="893"/>
      <c r="CT94" s="893"/>
      <c r="CU94" s="893"/>
      <c r="CV94" s="893"/>
      <c r="CW94" s="893"/>
      <c r="CX94" s="893"/>
      <c r="CY94" s="893"/>
      <c r="CZ94" s="893"/>
      <c r="DA94" s="893"/>
      <c r="DB94" s="893"/>
      <c r="DC94" s="893"/>
      <c r="DD94" s="893"/>
      <c r="DE94" s="893"/>
      <c r="DF94" s="893"/>
      <c r="DG94" s="893"/>
      <c r="DH94" s="893"/>
      <c r="DI94" s="893"/>
      <c r="DJ94" s="893"/>
      <c r="DK94" s="893"/>
      <c r="DL94" s="893"/>
      <c r="DM94" s="893"/>
      <c r="DN94" s="893"/>
      <c r="DO94" s="893"/>
      <c r="DP94" s="893"/>
      <c r="DQ94" s="893"/>
      <c r="DR94" s="893"/>
      <c r="DS94" s="893"/>
      <c r="DT94" s="893"/>
      <c r="DU94" s="893"/>
      <c r="DV94" s="893"/>
      <c r="DW94" s="893"/>
      <c r="DX94" s="893"/>
      <c r="DY94" s="893"/>
      <c r="DZ94" s="893"/>
      <c r="EA94" s="893"/>
      <c r="EB94" s="893"/>
      <c r="EC94" s="893"/>
      <c r="ED94" s="893"/>
      <c r="EE94" s="893"/>
      <c r="EF94" s="893"/>
      <c r="EG94" s="893"/>
      <c r="EH94" s="893"/>
      <c r="EI94" s="893"/>
    </row>
    <row r="95" spans="2:139" s="466" customFormat="1" ht="28.5" customHeight="1" x14ac:dyDescent="0.85">
      <c r="B95" s="973"/>
      <c r="C95" s="1" t="s">
        <v>1199</v>
      </c>
      <c r="D95" s="584" t="s">
        <v>1217</v>
      </c>
      <c r="E95" s="475"/>
      <c r="F95" s="913"/>
      <c r="G95" s="893"/>
      <c r="H95" s="893"/>
      <c r="I95" s="893"/>
      <c r="J95" s="893"/>
      <c r="K95" s="893"/>
      <c r="L95" s="893"/>
      <c r="M95" s="893"/>
      <c r="N95" s="893"/>
      <c r="O95" s="893"/>
      <c r="P95" s="893"/>
      <c r="Q95" s="893"/>
      <c r="R95" s="893"/>
      <c r="S95" s="893"/>
      <c r="T95" s="893"/>
      <c r="U95" s="893"/>
      <c r="V95" s="893"/>
      <c r="W95" s="893"/>
      <c r="X95" s="893"/>
      <c r="Y95" s="893"/>
      <c r="Z95" s="893"/>
      <c r="AA95" s="893"/>
      <c r="AB95" s="893"/>
      <c r="AC95" s="893"/>
      <c r="AD95" s="893"/>
      <c r="AE95" s="893"/>
      <c r="AF95" s="893"/>
      <c r="AG95" s="893"/>
      <c r="AH95" s="893"/>
      <c r="AI95" s="893"/>
      <c r="AJ95" s="893"/>
      <c r="AK95" s="893"/>
      <c r="AL95" s="893"/>
      <c r="AM95" s="893"/>
      <c r="AN95" s="893"/>
      <c r="AO95" s="893"/>
      <c r="AP95" s="893"/>
      <c r="AQ95" s="893"/>
      <c r="AR95" s="893"/>
      <c r="AS95" s="893"/>
      <c r="AT95" s="893"/>
      <c r="AU95" s="893"/>
      <c r="AV95" s="893"/>
      <c r="AW95" s="893"/>
      <c r="AX95" s="893"/>
      <c r="AY95" s="893"/>
      <c r="AZ95" s="893"/>
      <c r="BA95" s="893"/>
      <c r="BB95" s="893"/>
      <c r="BC95" s="893"/>
      <c r="BD95" s="893"/>
      <c r="BE95" s="893"/>
      <c r="BF95" s="893"/>
      <c r="BG95" s="893"/>
      <c r="BH95" s="893"/>
      <c r="BI95" s="893"/>
      <c r="BJ95" s="893"/>
      <c r="BK95" s="893"/>
      <c r="BL95" s="893"/>
      <c r="BM95" s="893"/>
      <c r="BN95" s="893"/>
      <c r="BO95" s="893"/>
      <c r="BP95" s="893"/>
      <c r="BQ95" s="893"/>
      <c r="BR95" s="893"/>
      <c r="BS95" s="893"/>
      <c r="BT95" s="893"/>
      <c r="BU95" s="893"/>
      <c r="BV95" s="893"/>
      <c r="BW95" s="893"/>
      <c r="BX95" s="893"/>
      <c r="BY95" s="893"/>
      <c r="BZ95" s="893"/>
      <c r="CA95" s="893"/>
      <c r="CB95" s="893"/>
      <c r="CC95" s="893"/>
      <c r="CD95" s="893"/>
      <c r="CE95" s="893"/>
      <c r="CF95" s="893"/>
      <c r="CG95" s="893"/>
      <c r="CH95" s="893"/>
      <c r="CI95" s="893"/>
      <c r="CJ95" s="893"/>
      <c r="CK95" s="893"/>
      <c r="CL95" s="893"/>
      <c r="CM95" s="893"/>
      <c r="CN95" s="893"/>
      <c r="CO95" s="893"/>
      <c r="CP95" s="893"/>
      <c r="CQ95" s="893"/>
      <c r="CR95" s="893"/>
      <c r="CS95" s="893"/>
      <c r="CT95" s="893"/>
      <c r="CU95" s="893"/>
      <c r="CV95" s="893"/>
      <c r="CW95" s="893"/>
      <c r="CX95" s="893"/>
      <c r="CY95" s="893"/>
      <c r="CZ95" s="893"/>
      <c r="DA95" s="893"/>
      <c r="DB95" s="893"/>
      <c r="DC95" s="893"/>
      <c r="DD95" s="893"/>
      <c r="DE95" s="893"/>
      <c r="DF95" s="893"/>
      <c r="DG95" s="893"/>
      <c r="DH95" s="893"/>
      <c r="DI95" s="893"/>
      <c r="DJ95" s="893"/>
      <c r="DK95" s="893"/>
      <c r="DL95" s="893"/>
      <c r="DM95" s="893"/>
      <c r="DN95" s="893"/>
      <c r="DO95" s="893"/>
      <c r="DP95" s="893"/>
      <c r="DQ95" s="893"/>
      <c r="DR95" s="893"/>
      <c r="DS95" s="893"/>
      <c r="DT95" s="893"/>
      <c r="DU95" s="893"/>
      <c r="DV95" s="893"/>
      <c r="DW95" s="893"/>
      <c r="DX95" s="893"/>
      <c r="DY95" s="893"/>
      <c r="DZ95" s="893"/>
      <c r="EA95" s="893"/>
      <c r="EB95" s="893"/>
      <c r="EC95" s="893"/>
      <c r="ED95" s="893"/>
      <c r="EE95" s="893"/>
      <c r="EF95" s="893"/>
      <c r="EG95" s="893"/>
      <c r="EH95" s="893"/>
      <c r="EI95" s="893"/>
    </row>
    <row r="96" spans="2:139" s="466" customFormat="1" ht="28.9" thickBot="1" x14ac:dyDescent="0.9">
      <c r="B96" s="974"/>
      <c r="C96" s="370" t="s">
        <v>1200</v>
      </c>
      <c r="D96" s="586" t="s">
        <v>1218</v>
      </c>
      <c r="E96" s="475"/>
      <c r="F96" s="913"/>
      <c r="G96" s="893"/>
      <c r="H96" s="893"/>
      <c r="I96" s="893"/>
      <c r="J96" s="893"/>
      <c r="K96" s="893"/>
      <c r="L96" s="893"/>
      <c r="M96" s="893"/>
      <c r="N96" s="893"/>
      <c r="O96" s="893"/>
      <c r="P96" s="893"/>
      <c r="Q96" s="893"/>
      <c r="R96" s="893"/>
      <c r="S96" s="893"/>
      <c r="T96" s="893"/>
      <c r="U96" s="893"/>
      <c r="V96" s="893"/>
      <c r="W96" s="893"/>
      <c r="X96" s="893"/>
      <c r="Y96" s="893"/>
      <c r="Z96" s="893"/>
      <c r="AA96" s="893"/>
      <c r="AB96" s="893"/>
      <c r="AC96" s="893"/>
      <c r="AD96" s="893"/>
      <c r="AE96" s="893"/>
      <c r="AF96" s="893"/>
      <c r="AG96" s="893"/>
      <c r="AH96" s="893"/>
      <c r="AI96" s="893"/>
      <c r="AJ96" s="893"/>
      <c r="AK96" s="893"/>
      <c r="AL96" s="893"/>
      <c r="AM96" s="893"/>
      <c r="AN96" s="893"/>
      <c r="AO96" s="893"/>
      <c r="AP96" s="893"/>
      <c r="AQ96" s="893"/>
      <c r="AR96" s="893"/>
      <c r="AS96" s="893"/>
      <c r="AT96" s="893"/>
      <c r="AU96" s="893"/>
      <c r="AV96" s="893"/>
      <c r="AW96" s="893"/>
      <c r="AX96" s="893"/>
      <c r="AY96" s="893"/>
      <c r="AZ96" s="893"/>
      <c r="BA96" s="893"/>
      <c r="BB96" s="893"/>
      <c r="BC96" s="893"/>
      <c r="BD96" s="893"/>
      <c r="BE96" s="893"/>
      <c r="BF96" s="893"/>
      <c r="BG96" s="893"/>
      <c r="BH96" s="893"/>
      <c r="BI96" s="893"/>
      <c r="BJ96" s="893"/>
      <c r="BK96" s="893"/>
      <c r="BL96" s="893"/>
      <c r="BM96" s="893"/>
      <c r="BN96" s="893"/>
      <c r="BO96" s="893"/>
      <c r="BP96" s="893"/>
      <c r="BQ96" s="893"/>
      <c r="BR96" s="893"/>
      <c r="BS96" s="893"/>
      <c r="BT96" s="893"/>
      <c r="BU96" s="893"/>
      <c r="BV96" s="893"/>
      <c r="BW96" s="893"/>
      <c r="BX96" s="893"/>
      <c r="BY96" s="893"/>
      <c r="BZ96" s="893"/>
      <c r="CA96" s="893"/>
      <c r="CB96" s="893"/>
      <c r="CC96" s="893"/>
      <c r="CD96" s="893"/>
      <c r="CE96" s="893"/>
      <c r="CF96" s="893"/>
      <c r="CG96" s="893"/>
      <c r="CH96" s="893"/>
      <c r="CI96" s="893"/>
      <c r="CJ96" s="893"/>
      <c r="CK96" s="893"/>
      <c r="CL96" s="893"/>
      <c r="CM96" s="893"/>
      <c r="CN96" s="893"/>
      <c r="CO96" s="893"/>
      <c r="CP96" s="893"/>
      <c r="CQ96" s="893"/>
      <c r="CR96" s="893"/>
      <c r="CS96" s="893"/>
      <c r="CT96" s="893"/>
      <c r="CU96" s="893"/>
      <c r="CV96" s="893"/>
      <c r="CW96" s="893"/>
      <c r="CX96" s="893"/>
      <c r="CY96" s="893"/>
      <c r="CZ96" s="893"/>
      <c r="DA96" s="893"/>
      <c r="DB96" s="893"/>
      <c r="DC96" s="893"/>
      <c r="DD96" s="893"/>
      <c r="DE96" s="893"/>
      <c r="DF96" s="893"/>
      <c r="DG96" s="893"/>
      <c r="DH96" s="893"/>
      <c r="DI96" s="893"/>
      <c r="DJ96" s="893"/>
      <c r="DK96" s="893"/>
      <c r="DL96" s="893"/>
      <c r="DM96" s="893"/>
      <c r="DN96" s="893"/>
      <c r="DO96" s="893"/>
      <c r="DP96" s="893"/>
      <c r="DQ96" s="893"/>
      <c r="DR96" s="893"/>
      <c r="DS96" s="893"/>
      <c r="DT96" s="893"/>
      <c r="DU96" s="893"/>
      <c r="DV96" s="893"/>
      <c r="DW96" s="893"/>
      <c r="DX96" s="893"/>
      <c r="DY96" s="893"/>
      <c r="DZ96" s="893"/>
      <c r="EA96" s="893"/>
      <c r="EB96" s="893"/>
      <c r="EC96" s="893"/>
      <c r="ED96" s="893"/>
      <c r="EE96" s="893"/>
      <c r="EF96" s="893"/>
      <c r="EG96" s="893"/>
      <c r="EH96" s="893"/>
      <c r="EI96" s="893"/>
    </row>
    <row r="97" spans="2:6" x14ac:dyDescent="0.85">
      <c r="B97" s="1000" t="s">
        <v>112</v>
      </c>
      <c r="C97" s="997"/>
      <c r="D97" s="997"/>
      <c r="E97" s="997"/>
      <c r="F97" s="998"/>
    </row>
    <row r="98" spans="2:6" ht="85.5" x14ac:dyDescent="0.85">
      <c r="B98" s="937" t="s">
        <v>20</v>
      </c>
      <c r="C98" s="498" t="s">
        <v>1066</v>
      </c>
      <c r="D98" s="817" t="s">
        <v>174</v>
      </c>
      <c r="E98" s="439" t="s">
        <v>44</v>
      </c>
      <c r="F98" s="907" t="s">
        <v>180</v>
      </c>
    </row>
    <row r="99" spans="2:6" ht="57" x14ac:dyDescent="0.85">
      <c r="B99" s="937"/>
      <c r="C99" s="498" t="s">
        <v>175</v>
      </c>
      <c r="D99" s="817" t="s">
        <v>176</v>
      </c>
      <c r="E99" s="439" t="s">
        <v>122</v>
      </c>
      <c r="F99" s="907"/>
    </row>
    <row r="100" spans="2:6" ht="57" x14ac:dyDescent="0.85">
      <c r="B100" s="937"/>
      <c r="C100" s="498" t="s">
        <v>326</v>
      </c>
      <c r="D100" s="817" t="s">
        <v>177</v>
      </c>
      <c r="E100" s="439" t="s">
        <v>45</v>
      </c>
      <c r="F100" s="907"/>
    </row>
    <row r="101" spans="2:6" ht="57" x14ac:dyDescent="0.85">
      <c r="B101" s="937"/>
      <c r="C101" s="446" t="s">
        <v>1067</v>
      </c>
      <c r="D101" s="817" t="s">
        <v>178</v>
      </c>
      <c r="E101" s="439" t="s">
        <v>46</v>
      </c>
      <c r="F101" s="907"/>
    </row>
    <row r="102" spans="2:6" ht="85.9" thickBot="1" x14ac:dyDescent="0.9">
      <c r="B102" s="937"/>
      <c r="C102" s="446" t="s">
        <v>327</v>
      </c>
      <c r="D102" s="817" t="s">
        <v>179</v>
      </c>
      <c r="E102" s="439" t="s">
        <v>47</v>
      </c>
      <c r="F102" s="907"/>
    </row>
    <row r="103" spans="2:6" ht="57" x14ac:dyDescent="0.85">
      <c r="B103" s="972" t="s">
        <v>1248</v>
      </c>
      <c r="C103" s="834" t="s">
        <v>158</v>
      </c>
      <c r="D103" s="836" t="s">
        <v>976</v>
      </c>
      <c r="E103" s="439" t="s">
        <v>982</v>
      </c>
      <c r="F103" s="907" t="s">
        <v>983</v>
      </c>
    </row>
    <row r="104" spans="2:6" ht="83.25" customHeight="1" thickBot="1" x14ac:dyDescent="0.9">
      <c r="B104" s="974"/>
      <c r="C104" s="835" t="s">
        <v>150</v>
      </c>
      <c r="D104" s="836" t="s">
        <v>977</v>
      </c>
      <c r="E104" s="439" t="s">
        <v>984</v>
      </c>
      <c r="F104" s="907" t="s">
        <v>983</v>
      </c>
    </row>
    <row r="105" spans="2:6" ht="31.5" customHeight="1" x14ac:dyDescent="0.85">
      <c r="B105" s="950" t="s">
        <v>1245</v>
      </c>
      <c r="C105" s="650" t="s">
        <v>158</v>
      </c>
      <c r="D105" s="633" t="s">
        <v>1246</v>
      </c>
      <c r="E105" s="439"/>
      <c r="F105" s="907"/>
    </row>
    <row r="106" spans="2:6" ht="28.9" thickBot="1" x14ac:dyDescent="0.9">
      <c r="B106" s="951"/>
      <c r="C106" s="651" t="s">
        <v>150</v>
      </c>
      <c r="D106" s="634" t="s">
        <v>1247</v>
      </c>
      <c r="E106" s="439"/>
      <c r="F106" s="907"/>
    </row>
    <row r="107" spans="2:6" x14ac:dyDescent="0.85">
      <c r="B107" s="1000" t="s">
        <v>124</v>
      </c>
      <c r="C107" s="997"/>
      <c r="D107" s="997"/>
      <c r="E107" s="997"/>
      <c r="F107" s="998"/>
    </row>
    <row r="108" spans="2:6" ht="85.5" x14ac:dyDescent="0.85">
      <c r="B108" s="949" t="s">
        <v>582</v>
      </c>
      <c r="C108" s="498" t="s">
        <v>1068</v>
      </c>
      <c r="D108" s="817" t="s">
        <v>184</v>
      </c>
      <c r="E108" s="439" t="s">
        <v>49</v>
      </c>
      <c r="F108" s="907" t="s">
        <v>197</v>
      </c>
    </row>
    <row r="109" spans="2:6" ht="57" x14ac:dyDescent="0.85">
      <c r="B109" s="949"/>
      <c r="C109" s="498" t="s">
        <v>712</v>
      </c>
      <c r="D109" s="817" t="s">
        <v>558</v>
      </c>
      <c r="E109" s="427" t="s">
        <v>713</v>
      </c>
      <c r="F109" s="901" t="s">
        <v>714</v>
      </c>
    </row>
    <row r="110" spans="2:6" ht="57" x14ac:dyDescent="0.85">
      <c r="B110" s="949"/>
      <c r="C110" s="498" t="s">
        <v>715</v>
      </c>
      <c r="D110" s="817" t="s">
        <v>559</v>
      </c>
      <c r="E110" s="427" t="s">
        <v>716</v>
      </c>
      <c r="F110" s="901" t="s">
        <v>714</v>
      </c>
    </row>
    <row r="111" spans="2:6" ht="142.5" x14ac:dyDescent="0.85">
      <c r="B111" s="949"/>
      <c r="C111" s="498" t="s">
        <v>1069</v>
      </c>
      <c r="D111" s="817" t="s">
        <v>185</v>
      </c>
      <c r="E111" s="439" t="s">
        <v>48</v>
      </c>
      <c r="F111" s="907" t="s">
        <v>198</v>
      </c>
    </row>
    <row r="112" spans="2:6" ht="85.5" x14ac:dyDescent="0.85">
      <c r="B112" s="914" t="s">
        <v>583</v>
      </c>
      <c r="C112" s="447" t="s">
        <v>634</v>
      </c>
      <c r="D112" s="817" t="s">
        <v>186</v>
      </c>
      <c r="E112" s="439" t="s">
        <v>120</v>
      </c>
      <c r="F112" s="907" t="s">
        <v>199</v>
      </c>
    </row>
    <row r="113" spans="2:6" ht="57" x14ac:dyDescent="0.85">
      <c r="B113" s="949" t="s">
        <v>575</v>
      </c>
      <c r="C113" s="446" t="s">
        <v>393</v>
      </c>
      <c r="D113" s="817" t="s">
        <v>576</v>
      </c>
      <c r="E113" s="427" t="s">
        <v>717</v>
      </c>
      <c r="F113" s="901" t="s">
        <v>718</v>
      </c>
    </row>
    <row r="114" spans="2:6" ht="57" x14ac:dyDescent="0.85">
      <c r="B114" s="949"/>
      <c r="C114" s="446" t="s">
        <v>388</v>
      </c>
      <c r="D114" s="817" t="s">
        <v>577</v>
      </c>
      <c r="E114" s="427" t="s">
        <v>719</v>
      </c>
      <c r="F114" s="901" t="s">
        <v>718</v>
      </c>
    </row>
    <row r="115" spans="2:6" ht="57" x14ac:dyDescent="0.85">
      <c r="B115" s="949"/>
      <c r="C115" s="498" t="s">
        <v>389</v>
      </c>
      <c r="D115" s="817" t="s">
        <v>578</v>
      </c>
      <c r="E115" s="427" t="s">
        <v>720</v>
      </c>
      <c r="F115" s="901" t="s">
        <v>718</v>
      </c>
    </row>
    <row r="116" spans="2:6" ht="57" x14ac:dyDescent="0.85">
      <c r="B116" s="949"/>
      <c r="C116" s="498" t="s">
        <v>390</v>
      </c>
      <c r="D116" s="817" t="s">
        <v>579</v>
      </c>
      <c r="E116" s="427" t="s">
        <v>721</v>
      </c>
      <c r="F116" s="901" t="s">
        <v>718</v>
      </c>
    </row>
    <row r="117" spans="2:6" ht="57" x14ac:dyDescent="0.85">
      <c r="B117" s="949"/>
      <c r="C117" s="498" t="s">
        <v>391</v>
      </c>
      <c r="D117" s="817" t="s">
        <v>580</v>
      </c>
      <c r="E117" s="427" t="s">
        <v>722</v>
      </c>
      <c r="F117" s="901" t="s">
        <v>718</v>
      </c>
    </row>
    <row r="118" spans="2:6" ht="57" x14ac:dyDescent="0.85">
      <c r="B118" s="949"/>
      <c r="C118" s="498" t="s">
        <v>392</v>
      </c>
      <c r="D118" s="817" t="s">
        <v>581</v>
      </c>
      <c r="E118" s="427" t="s">
        <v>723</v>
      </c>
      <c r="F118" s="901" t="s">
        <v>718</v>
      </c>
    </row>
    <row r="119" spans="2:6" ht="57" hidden="1" x14ac:dyDescent="0.85">
      <c r="B119" s="949" t="s">
        <v>1115</v>
      </c>
      <c r="C119" s="498" t="s">
        <v>556</v>
      </c>
      <c r="D119" s="817" t="s">
        <v>350</v>
      </c>
      <c r="E119" s="439" t="s">
        <v>724</v>
      </c>
      <c r="F119" s="907" t="s">
        <v>725</v>
      </c>
    </row>
    <row r="120" spans="2:6" ht="57" hidden="1" x14ac:dyDescent="0.85">
      <c r="B120" s="949"/>
      <c r="C120" s="498" t="s">
        <v>726</v>
      </c>
      <c r="D120" s="817" t="s">
        <v>560</v>
      </c>
      <c r="E120" s="427" t="s">
        <v>727</v>
      </c>
      <c r="F120" s="901" t="s">
        <v>728</v>
      </c>
    </row>
    <row r="121" spans="2:6" ht="57" hidden="1" x14ac:dyDescent="0.85">
      <c r="B121" s="949"/>
      <c r="C121" s="498" t="s">
        <v>729</v>
      </c>
      <c r="D121" s="817" t="s">
        <v>561</v>
      </c>
      <c r="E121" s="427" t="s">
        <v>730</v>
      </c>
      <c r="F121" s="901" t="s">
        <v>731</v>
      </c>
    </row>
    <row r="122" spans="2:6" ht="85.5" hidden="1" x14ac:dyDescent="0.85">
      <c r="B122" s="949"/>
      <c r="C122" s="498" t="s">
        <v>1070</v>
      </c>
      <c r="D122" s="817" t="s">
        <v>187</v>
      </c>
      <c r="E122" s="439" t="s">
        <v>50</v>
      </c>
      <c r="F122" s="907" t="s">
        <v>200</v>
      </c>
    </row>
    <row r="123" spans="2:6" ht="85.5" hidden="1" x14ac:dyDescent="0.85">
      <c r="B123" s="949"/>
      <c r="C123" s="447" t="s">
        <v>562</v>
      </c>
      <c r="D123" s="817" t="s">
        <v>563</v>
      </c>
      <c r="E123" s="427" t="s">
        <v>732</v>
      </c>
      <c r="F123" s="901" t="s">
        <v>733</v>
      </c>
    </row>
    <row r="124" spans="2:6" ht="85.5" hidden="1" x14ac:dyDescent="0.85">
      <c r="B124" s="949" t="s">
        <v>574</v>
      </c>
      <c r="C124" s="498" t="s">
        <v>393</v>
      </c>
      <c r="D124" s="817" t="s">
        <v>584</v>
      </c>
      <c r="E124" s="427" t="s">
        <v>734</v>
      </c>
      <c r="F124" s="901"/>
    </row>
    <row r="125" spans="2:6" ht="85.5" hidden="1" x14ac:dyDescent="0.85">
      <c r="B125" s="949"/>
      <c r="C125" s="498" t="s">
        <v>388</v>
      </c>
      <c r="D125" s="817" t="s">
        <v>585</v>
      </c>
      <c r="E125" s="427" t="s">
        <v>735</v>
      </c>
      <c r="F125" s="901"/>
    </row>
    <row r="126" spans="2:6" ht="85.5" hidden="1" x14ac:dyDescent="0.85">
      <c r="B126" s="949"/>
      <c r="C126" s="498" t="s">
        <v>389</v>
      </c>
      <c r="D126" s="817" t="s">
        <v>586</v>
      </c>
      <c r="E126" s="427" t="s">
        <v>736</v>
      </c>
      <c r="F126" s="901"/>
    </row>
    <row r="127" spans="2:6" ht="85.5" hidden="1" x14ac:dyDescent="0.85">
      <c r="B127" s="949"/>
      <c r="C127" s="498" t="s">
        <v>390</v>
      </c>
      <c r="D127" s="817" t="s">
        <v>587</v>
      </c>
      <c r="E127" s="427" t="s">
        <v>737</v>
      </c>
      <c r="F127" s="901"/>
    </row>
    <row r="128" spans="2:6" ht="85.5" hidden="1" x14ac:dyDescent="0.85">
      <c r="B128" s="949"/>
      <c r="C128" s="498" t="s">
        <v>391</v>
      </c>
      <c r="D128" s="817" t="s">
        <v>588</v>
      </c>
      <c r="E128" s="427" t="s">
        <v>738</v>
      </c>
      <c r="F128" s="901"/>
    </row>
    <row r="129" spans="2:6" ht="85.5" hidden="1" x14ac:dyDescent="0.85">
      <c r="B129" s="949"/>
      <c r="C129" s="498" t="s">
        <v>392</v>
      </c>
      <c r="D129" s="817" t="s">
        <v>589</v>
      </c>
      <c r="E129" s="427" t="s">
        <v>739</v>
      </c>
      <c r="F129" s="901"/>
    </row>
    <row r="130" spans="2:6" ht="57" hidden="1" x14ac:dyDescent="0.85">
      <c r="B130" s="937" t="s">
        <v>28</v>
      </c>
      <c r="C130" s="498" t="s">
        <v>188</v>
      </c>
      <c r="D130" s="817" t="s">
        <v>189</v>
      </c>
      <c r="E130" s="439" t="s">
        <v>51</v>
      </c>
      <c r="F130" s="907" t="s">
        <v>200</v>
      </c>
    </row>
    <row r="131" spans="2:6" ht="57" hidden="1" x14ac:dyDescent="0.85">
      <c r="B131" s="937"/>
      <c r="C131" s="498" t="s">
        <v>328</v>
      </c>
      <c r="D131" s="817" t="s">
        <v>190</v>
      </c>
      <c r="E131" s="439" t="s">
        <v>52</v>
      </c>
      <c r="F131" s="907" t="s">
        <v>200</v>
      </c>
    </row>
    <row r="132" spans="2:6" ht="85.5" hidden="1" x14ac:dyDescent="0.85">
      <c r="B132" s="937"/>
      <c r="C132" s="498" t="s">
        <v>329</v>
      </c>
      <c r="D132" s="817" t="s">
        <v>351</v>
      </c>
      <c r="E132" s="439" t="s">
        <v>53</v>
      </c>
      <c r="F132" s="907" t="s">
        <v>204</v>
      </c>
    </row>
    <row r="133" spans="2:6" ht="57" x14ac:dyDescent="0.85">
      <c r="B133" s="937" t="s">
        <v>21</v>
      </c>
      <c r="C133" s="498" t="s">
        <v>1071</v>
      </c>
      <c r="D133" s="817" t="s">
        <v>352</v>
      </c>
      <c r="E133" s="439" t="s">
        <v>54</v>
      </c>
      <c r="F133" s="907" t="s">
        <v>201</v>
      </c>
    </row>
    <row r="134" spans="2:6" ht="57" x14ac:dyDescent="0.85">
      <c r="B134" s="937"/>
      <c r="C134" s="498" t="s">
        <v>1072</v>
      </c>
      <c r="D134" s="817" t="s">
        <v>353</v>
      </c>
      <c r="E134" s="439" t="s">
        <v>86</v>
      </c>
      <c r="F134" s="907" t="s">
        <v>202</v>
      </c>
    </row>
    <row r="135" spans="2:6" ht="57" x14ac:dyDescent="0.85">
      <c r="B135" s="937"/>
      <c r="C135" s="498" t="s">
        <v>191</v>
      </c>
      <c r="D135" s="817" t="s">
        <v>192</v>
      </c>
      <c r="E135" s="439" t="s">
        <v>87</v>
      </c>
      <c r="F135" s="907" t="s">
        <v>203</v>
      </c>
    </row>
    <row r="136" spans="2:6" ht="57" x14ac:dyDescent="0.85">
      <c r="B136" s="937"/>
      <c r="C136" s="498" t="s">
        <v>1073</v>
      </c>
      <c r="D136" s="817" t="s">
        <v>193</v>
      </c>
      <c r="E136" s="439" t="s">
        <v>88</v>
      </c>
      <c r="F136" s="907" t="s">
        <v>203</v>
      </c>
    </row>
    <row r="137" spans="2:6" ht="57" x14ac:dyDescent="0.85">
      <c r="B137" s="937"/>
      <c r="C137" s="498" t="s">
        <v>1074</v>
      </c>
      <c r="D137" s="817" t="s">
        <v>194</v>
      </c>
      <c r="E137" s="439" t="s">
        <v>89</v>
      </c>
      <c r="F137" s="907" t="s">
        <v>631</v>
      </c>
    </row>
    <row r="138" spans="2:6" ht="57" x14ac:dyDescent="0.85">
      <c r="B138" s="937"/>
      <c r="C138" s="498" t="s">
        <v>330</v>
      </c>
      <c r="D138" s="817" t="s">
        <v>195</v>
      </c>
      <c r="E138" s="439" t="s">
        <v>90</v>
      </c>
      <c r="F138" s="907" t="s">
        <v>205</v>
      </c>
    </row>
    <row r="139" spans="2:6" x14ac:dyDescent="0.85">
      <c r="B139" s="937"/>
      <c r="C139" s="498" t="s">
        <v>1075</v>
      </c>
      <c r="D139" s="817" t="s">
        <v>196</v>
      </c>
      <c r="E139" s="439" t="s">
        <v>91</v>
      </c>
      <c r="F139" s="907" t="s">
        <v>632</v>
      </c>
    </row>
    <row r="140" spans="2:6" ht="51.4" thickBot="1" x14ac:dyDescent="0.9">
      <c r="B140" s="879" t="s">
        <v>1018</v>
      </c>
      <c r="C140" s="513" t="s">
        <v>1224</v>
      </c>
      <c r="D140" s="582" t="s">
        <v>1019</v>
      </c>
      <c r="E140" s="439"/>
      <c r="F140" s="907"/>
    </row>
    <row r="141" spans="2:6" x14ac:dyDescent="0.85">
      <c r="B141" s="944" t="s">
        <v>1194</v>
      </c>
      <c r="C141" s="91" t="s">
        <v>1195</v>
      </c>
      <c r="D141" s="877" t="s">
        <v>189</v>
      </c>
      <c r="E141" s="439"/>
      <c r="F141" s="907"/>
    </row>
    <row r="142" spans="2:6" ht="28.9" thickBot="1" x14ac:dyDescent="0.9">
      <c r="B142" s="945"/>
      <c r="C142" s="118" t="s">
        <v>1196</v>
      </c>
      <c r="D142" s="878" t="s">
        <v>190</v>
      </c>
      <c r="E142" s="439"/>
      <c r="F142" s="907"/>
    </row>
    <row r="143" spans="2:6" x14ac:dyDescent="0.85">
      <c r="B143" s="946" t="s">
        <v>1221</v>
      </c>
      <c r="C143" s="518" t="s">
        <v>1219</v>
      </c>
      <c r="D143" s="878" t="s">
        <v>1222</v>
      </c>
      <c r="E143" s="516"/>
      <c r="F143" s="907"/>
    </row>
    <row r="144" spans="2:6" ht="28.9" thickBot="1" x14ac:dyDescent="0.9">
      <c r="B144" s="947"/>
      <c r="C144" s="519" t="s">
        <v>1220</v>
      </c>
      <c r="D144" s="823" t="s">
        <v>1223</v>
      </c>
      <c r="E144" s="516"/>
      <c r="F144" s="907"/>
    </row>
    <row r="145" spans="1:139" ht="142.9" hidden="1" thickBot="1" x14ac:dyDescent="0.9">
      <c r="B145" s="988" t="s">
        <v>114</v>
      </c>
      <c r="C145" s="517" t="s">
        <v>1076</v>
      </c>
      <c r="D145" s="816" t="s">
        <v>354</v>
      </c>
      <c r="E145" s="439" t="s">
        <v>135</v>
      </c>
      <c r="F145" s="907" t="s">
        <v>206</v>
      </c>
    </row>
    <row r="146" spans="1:139" ht="114.4" hidden="1" thickBot="1" x14ac:dyDescent="0.9">
      <c r="B146" s="937"/>
      <c r="C146" s="499" t="s">
        <v>331</v>
      </c>
      <c r="D146" s="817" t="s">
        <v>355</v>
      </c>
      <c r="E146" s="439" t="s">
        <v>134</v>
      </c>
      <c r="F146" s="907" t="s">
        <v>207</v>
      </c>
    </row>
    <row r="147" spans="1:139" x14ac:dyDescent="0.85">
      <c r="B147" s="955" t="s">
        <v>1266</v>
      </c>
      <c r="C147" s="837" t="s">
        <v>391</v>
      </c>
      <c r="D147" s="839" t="s">
        <v>1267</v>
      </c>
      <c r="E147" s="439"/>
      <c r="F147" s="907"/>
    </row>
    <row r="148" spans="1:139" ht="28.9" thickBot="1" x14ac:dyDescent="0.9">
      <c r="B148" s="951"/>
      <c r="C148" s="838" t="s">
        <v>389</v>
      </c>
      <c r="D148" s="840" t="s">
        <v>1268</v>
      </c>
      <c r="E148" s="439"/>
      <c r="F148" s="907"/>
    </row>
    <row r="149" spans="1:139" x14ac:dyDescent="0.85">
      <c r="B149" s="980" t="s">
        <v>1269</v>
      </c>
      <c r="C149" s="981"/>
      <c r="D149" s="981"/>
      <c r="E149" s="981"/>
      <c r="F149" s="982"/>
    </row>
    <row r="150" spans="1:139" s="18" customFormat="1" ht="33.4" customHeight="1" thickBot="1" x14ac:dyDescent="0.8">
      <c r="B150" s="980" t="s">
        <v>1312</v>
      </c>
      <c r="C150" s="981"/>
      <c r="D150" s="981"/>
      <c r="E150" s="981"/>
      <c r="F150" s="982"/>
      <c r="G150" s="894"/>
      <c r="H150" s="894"/>
      <c r="I150" s="894"/>
      <c r="J150" s="894"/>
      <c r="K150" s="894"/>
      <c r="L150" s="894"/>
      <c r="M150" s="894"/>
      <c r="N150" s="894"/>
      <c r="O150" s="894"/>
      <c r="P150" s="894"/>
      <c r="Q150" s="894"/>
      <c r="R150" s="894"/>
      <c r="S150" s="894"/>
      <c r="T150" s="894"/>
      <c r="U150" s="894"/>
      <c r="V150" s="894"/>
      <c r="W150" s="894"/>
      <c r="X150" s="894"/>
      <c r="Y150" s="894"/>
      <c r="Z150" s="894"/>
      <c r="AA150" s="894"/>
      <c r="AB150" s="894"/>
      <c r="AC150" s="894"/>
      <c r="AD150" s="894"/>
      <c r="AE150" s="894"/>
      <c r="AF150" s="894"/>
      <c r="AG150" s="894"/>
      <c r="AH150" s="894"/>
      <c r="AI150" s="894"/>
      <c r="AJ150" s="894"/>
      <c r="AK150" s="894"/>
      <c r="AL150" s="894"/>
      <c r="AM150" s="894"/>
      <c r="AN150" s="894"/>
      <c r="AO150" s="485">
        <v>97</v>
      </c>
      <c r="AP150" s="74"/>
      <c r="AQ150" s="895"/>
      <c r="AR150" s="896"/>
      <c r="AS150" s="896"/>
      <c r="AT150" s="896"/>
      <c r="AU150" s="896"/>
      <c r="AV150" s="896"/>
      <c r="AW150" s="896"/>
      <c r="AX150" s="896"/>
      <c r="AY150" s="896"/>
      <c r="AZ150" s="896"/>
      <c r="BA150" s="896"/>
      <c r="BB150" s="896"/>
      <c r="BC150" s="896"/>
      <c r="BD150" s="896"/>
      <c r="BE150" s="896"/>
      <c r="BF150" s="896"/>
      <c r="BG150" s="896"/>
      <c r="BH150" s="896"/>
      <c r="BI150" s="896"/>
      <c r="BJ150" s="896"/>
      <c r="BK150" s="896"/>
      <c r="BL150" s="896"/>
      <c r="BM150" s="896"/>
      <c r="BN150" s="896"/>
      <c r="BO150" s="896"/>
      <c r="BP150" s="896"/>
      <c r="BQ150" s="896"/>
      <c r="BR150" s="896"/>
      <c r="BS150" s="896"/>
      <c r="BT150" s="896"/>
      <c r="BU150" s="896"/>
      <c r="BV150" s="896"/>
      <c r="BW150" s="896"/>
      <c r="BX150" s="896"/>
      <c r="BY150" s="896"/>
      <c r="BZ150" s="896"/>
      <c r="CA150" s="896"/>
      <c r="CB150" s="896"/>
      <c r="CC150" s="896"/>
      <c r="CD150" s="896"/>
      <c r="CE150" s="896"/>
      <c r="CF150" s="896"/>
      <c r="CG150" s="896"/>
      <c r="CH150" s="896"/>
      <c r="CI150" s="896"/>
      <c r="CJ150" s="896"/>
      <c r="CK150" s="896"/>
      <c r="CL150" s="896"/>
      <c r="CM150" s="896"/>
      <c r="CN150" s="896"/>
      <c r="CO150" s="896"/>
      <c r="CP150" s="896"/>
      <c r="CQ150" s="896"/>
      <c r="CR150" s="896"/>
      <c r="CS150" s="896"/>
      <c r="CT150" s="896"/>
      <c r="CU150" s="896"/>
      <c r="CV150" s="896"/>
      <c r="CW150" s="896"/>
      <c r="CX150" s="896"/>
      <c r="CY150" s="896"/>
      <c r="CZ150" s="896"/>
      <c r="DA150" s="896"/>
      <c r="DB150" s="896"/>
      <c r="DC150" s="896"/>
      <c r="DD150" s="896"/>
      <c r="DE150" s="896"/>
      <c r="DF150" s="896"/>
      <c r="DG150" s="896"/>
      <c r="DH150" s="896"/>
      <c r="DI150" s="896"/>
      <c r="DJ150" s="896"/>
      <c r="DK150" s="896"/>
      <c r="DL150" s="896"/>
      <c r="DM150" s="896"/>
      <c r="DN150" s="896"/>
      <c r="DO150" s="896"/>
      <c r="DP150" s="896"/>
      <c r="DQ150" s="896"/>
      <c r="DR150" s="896"/>
      <c r="DS150" s="896"/>
      <c r="DT150" s="896"/>
      <c r="DU150" s="896"/>
      <c r="DV150" s="896"/>
      <c r="DW150" s="896"/>
      <c r="DX150" s="896"/>
      <c r="DY150" s="896"/>
      <c r="DZ150" s="896"/>
      <c r="EA150" s="896"/>
      <c r="EB150" s="896"/>
      <c r="EC150" s="896"/>
      <c r="ED150" s="896"/>
      <c r="EE150" s="896"/>
      <c r="EF150" s="896"/>
      <c r="EG150" s="896"/>
      <c r="EH150" s="896"/>
      <c r="EI150" s="896"/>
    </row>
    <row r="151" spans="1:139" s="843" customFormat="1" x14ac:dyDescent="0.85">
      <c r="A151" s="883"/>
      <c r="B151" s="876" t="s">
        <v>1270</v>
      </c>
      <c r="C151" s="652" t="s">
        <v>1271</v>
      </c>
      <c r="D151" s="603" t="s">
        <v>1276</v>
      </c>
      <c r="E151" s="842"/>
      <c r="F151" s="915"/>
      <c r="G151" s="881"/>
      <c r="H151" s="881"/>
      <c r="I151" s="881"/>
      <c r="J151" s="881"/>
      <c r="K151" s="881"/>
      <c r="L151" s="881"/>
      <c r="M151" s="881"/>
      <c r="N151" s="881"/>
      <c r="O151" s="881"/>
      <c r="P151" s="881"/>
      <c r="Q151" s="881"/>
      <c r="R151" s="881"/>
      <c r="S151" s="881"/>
      <c r="T151" s="881"/>
      <c r="U151" s="881"/>
      <c r="V151" s="881"/>
      <c r="W151" s="881"/>
      <c r="X151" s="881"/>
      <c r="Y151" s="881"/>
      <c r="Z151" s="881"/>
      <c r="AA151" s="881"/>
      <c r="AB151" s="881"/>
      <c r="AC151" s="881"/>
      <c r="AD151" s="881"/>
      <c r="AE151" s="881"/>
      <c r="AF151" s="881"/>
      <c r="AG151" s="881"/>
      <c r="AH151" s="881"/>
      <c r="AI151" s="881"/>
      <c r="AJ151" s="881"/>
      <c r="AK151" s="881"/>
      <c r="AL151" s="881"/>
      <c r="AM151" s="881"/>
      <c r="AN151" s="881"/>
      <c r="AO151" s="881"/>
      <c r="AP151" s="881"/>
      <c r="AQ151" s="881"/>
      <c r="AR151" s="881"/>
      <c r="AS151" s="881"/>
      <c r="AT151" s="881"/>
      <c r="AU151" s="881"/>
      <c r="AV151" s="881"/>
      <c r="AW151" s="881"/>
      <c r="AX151" s="881"/>
      <c r="AY151" s="881"/>
      <c r="AZ151" s="881"/>
      <c r="BA151" s="881"/>
      <c r="BB151" s="881"/>
      <c r="BC151" s="881"/>
      <c r="BD151" s="881"/>
      <c r="BE151" s="881"/>
      <c r="BF151" s="881"/>
      <c r="BG151" s="881"/>
      <c r="BH151" s="881"/>
      <c r="BI151" s="881"/>
      <c r="BJ151" s="881"/>
      <c r="BK151" s="881"/>
      <c r="BL151" s="881"/>
      <c r="BM151" s="881"/>
      <c r="BN151" s="881"/>
      <c r="BO151" s="881"/>
      <c r="BP151" s="881"/>
      <c r="BQ151" s="881"/>
      <c r="BR151" s="881"/>
      <c r="BS151" s="881"/>
      <c r="BT151" s="881"/>
      <c r="BU151" s="881"/>
      <c r="BV151" s="881"/>
      <c r="BW151" s="881"/>
      <c r="BX151" s="881"/>
      <c r="BY151" s="881"/>
      <c r="BZ151" s="881"/>
      <c r="CA151" s="881"/>
      <c r="CB151" s="881"/>
      <c r="CC151" s="881"/>
      <c r="CD151" s="881"/>
      <c r="CE151" s="881"/>
      <c r="CF151" s="881"/>
      <c r="CG151" s="881"/>
      <c r="CH151" s="881"/>
      <c r="CI151" s="881"/>
      <c r="CJ151" s="881"/>
      <c r="CK151" s="881"/>
      <c r="CL151" s="881"/>
      <c r="CM151" s="881"/>
      <c r="CN151" s="881"/>
      <c r="CO151" s="881"/>
      <c r="CP151" s="881"/>
      <c r="CQ151" s="881"/>
      <c r="CR151" s="881"/>
      <c r="CS151" s="881"/>
      <c r="CT151" s="881"/>
      <c r="CU151" s="881"/>
      <c r="CV151" s="881"/>
      <c r="CW151" s="881"/>
      <c r="CX151" s="881"/>
      <c r="CY151" s="881"/>
      <c r="CZ151" s="881"/>
      <c r="DA151" s="881"/>
      <c r="DB151" s="881"/>
      <c r="DC151" s="881"/>
      <c r="DD151" s="881"/>
      <c r="DE151" s="881"/>
      <c r="DF151" s="881"/>
      <c r="DG151" s="881"/>
      <c r="DH151" s="881"/>
      <c r="DI151" s="881"/>
      <c r="DJ151" s="881"/>
      <c r="DK151" s="881"/>
      <c r="DL151" s="881"/>
      <c r="DM151" s="881"/>
      <c r="DN151" s="881"/>
      <c r="DO151" s="881"/>
      <c r="DP151" s="881"/>
      <c r="DQ151" s="881"/>
      <c r="DR151" s="881"/>
      <c r="DS151" s="881"/>
      <c r="DT151" s="881"/>
      <c r="DU151" s="881"/>
      <c r="DV151" s="881"/>
      <c r="DW151" s="881"/>
      <c r="DX151" s="881"/>
      <c r="DY151" s="881"/>
      <c r="DZ151" s="881"/>
      <c r="EA151" s="881"/>
      <c r="EB151" s="881"/>
      <c r="EC151" s="881"/>
      <c r="ED151" s="881"/>
      <c r="EE151" s="881"/>
      <c r="EF151" s="881"/>
      <c r="EG151" s="881"/>
      <c r="EH151" s="881"/>
      <c r="EI151" s="881"/>
    </row>
    <row r="152" spans="1:139" ht="85.5" x14ac:dyDescent="0.85">
      <c r="B152" s="937" t="s">
        <v>951</v>
      </c>
      <c r="C152" s="841" t="s">
        <v>1077</v>
      </c>
      <c r="D152" s="816" t="s">
        <v>210</v>
      </c>
      <c r="E152" s="842" t="s">
        <v>81</v>
      </c>
      <c r="F152" s="915" t="s">
        <v>208</v>
      </c>
    </row>
    <row r="153" spans="1:139" ht="85.5" x14ac:dyDescent="0.85">
      <c r="B153" s="937"/>
      <c r="C153" s="498" t="s">
        <v>1078</v>
      </c>
      <c r="D153" s="817" t="s">
        <v>211</v>
      </c>
      <c r="E153" s="439" t="s">
        <v>953</v>
      </c>
      <c r="F153" s="907" t="s">
        <v>208</v>
      </c>
      <c r="G153" s="999"/>
      <c r="H153" s="999"/>
      <c r="I153" s="999"/>
      <c r="J153" s="999"/>
      <c r="K153" s="999"/>
      <c r="L153" s="999"/>
      <c r="M153" s="999"/>
      <c r="N153" s="999"/>
    </row>
    <row r="154" spans="1:139" ht="57" x14ac:dyDescent="0.85">
      <c r="B154" s="937" t="s">
        <v>952</v>
      </c>
      <c r="C154" s="498" t="s">
        <v>1079</v>
      </c>
      <c r="D154" s="817" t="s">
        <v>212</v>
      </c>
      <c r="E154" s="439" t="s">
        <v>954</v>
      </c>
      <c r="F154" s="907" t="s">
        <v>208</v>
      </c>
    </row>
    <row r="155" spans="1:139" ht="85.5" x14ac:dyDescent="0.85">
      <c r="B155" s="937"/>
      <c r="C155" s="498" t="s">
        <v>1078</v>
      </c>
      <c r="D155" s="817" t="s">
        <v>213</v>
      </c>
      <c r="E155" s="439" t="s">
        <v>955</v>
      </c>
      <c r="F155" s="907" t="s">
        <v>208</v>
      </c>
    </row>
    <row r="156" spans="1:139" ht="85.5" x14ac:dyDescent="0.85">
      <c r="B156" s="937" t="s">
        <v>29</v>
      </c>
      <c r="C156" s="499" t="s">
        <v>332</v>
      </c>
      <c r="D156" s="817" t="s">
        <v>214</v>
      </c>
      <c r="E156" s="439" t="s">
        <v>82</v>
      </c>
      <c r="F156" s="907" t="s">
        <v>208</v>
      </c>
    </row>
    <row r="157" spans="1:139" ht="85.5" x14ac:dyDescent="0.85">
      <c r="B157" s="937"/>
      <c r="C157" s="499" t="s">
        <v>333</v>
      </c>
      <c r="D157" s="817" t="s">
        <v>215</v>
      </c>
      <c r="E157" s="439" t="s">
        <v>209</v>
      </c>
      <c r="F157" s="907" t="s">
        <v>208</v>
      </c>
    </row>
    <row r="158" spans="1:139" ht="85.5" x14ac:dyDescent="0.85">
      <c r="B158" s="937" t="s">
        <v>30</v>
      </c>
      <c r="C158" s="499" t="s">
        <v>332</v>
      </c>
      <c r="D158" s="817" t="s">
        <v>216</v>
      </c>
      <c r="E158" s="439" t="s">
        <v>83</v>
      </c>
      <c r="F158" s="907" t="s">
        <v>208</v>
      </c>
    </row>
    <row r="159" spans="1:139" ht="85.5" x14ac:dyDescent="0.85">
      <c r="B159" s="937"/>
      <c r="C159" s="448" t="s">
        <v>1080</v>
      </c>
      <c r="D159" s="817" t="s">
        <v>217</v>
      </c>
      <c r="E159" s="439" t="s">
        <v>209</v>
      </c>
      <c r="F159" s="907" t="s">
        <v>208</v>
      </c>
    </row>
    <row r="160" spans="1:139" ht="57" x14ac:dyDescent="0.85">
      <c r="B160" s="937" t="s">
        <v>31</v>
      </c>
      <c r="C160" s="448" t="s">
        <v>332</v>
      </c>
      <c r="D160" s="817" t="s">
        <v>218</v>
      </c>
      <c r="E160" s="439" t="s">
        <v>84</v>
      </c>
      <c r="F160" s="907" t="s">
        <v>208</v>
      </c>
    </row>
    <row r="161" spans="1:139" ht="85.5" x14ac:dyDescent="0.85">
      <c r="B161" s="937"/>
      <c r="C161" s="499" t="s">
        <v>1081</v>
      </c>
      <c r="D161" s="817" t="s">
        <v>219</v>
      </c>
      <c r="E161" s="439" t="s">
        <v>209</v>
      </c>
      <c r="F161" s="907" t="s">
        <v>208</v>
      </c>
    </row>
    <row r="162" spans="1:139" ht="85.5" x14ac:dyDescent="0.85">
      <c r="B162" s="937" t="s">
        <v>32</v>
      </c>
      <c r="C162" s="499" t="s">
        <v>332</v>
      </c>
      <c r="D162" s="817" t="s">
        <v>220</v>
      </c>
      <c r="E162" s="439" t="s">
        <v>85</v>
      </c>
      <c r="F162" s="907" t="s">
        <v>208</v>
      </c>
    </row>
    <row r="163" spans="1:139" ht="85.5" x14ac:dyDescent="0.85">
      <c r="B163" s="937"/>
      <c r="C163" s="499" t="s">
        <v>334</v>
      </c>
      <c r="D163" s="817" t="s">
        <v>221</v>
      </c>
      <c r="E163" s="439" t="s">
        <v>209</v>
      </c>
      <c r="F163" s="907" t="s">
        <v>208</v>
      </c>
    </row>
    <row r="164" spans="1:139" s="18" customFormat="1" ht="33.4" customHeight="1" x14ac:dyDescent="0.75">
      <c r="B164" s="980" t="s">
        <v>1311</v>
      </c>
      <c r="C164" s="981"/>
      <c r="D164" s="981"/>
      <c r="E164" s="981"/>
      <c r="F164" s="982"/>
      <c r="G164" s="894"/>
      <c r="H164" s="894"/>
      <c r="I164" s="894"/>
      <c r="J164" s="894"/>
      <c r="K164" s="894"/>
      <c r="L164" s="894"/>
      <c r="M164" s="894"/>
      <c r="N164" s="894"/>
      <c r="O164" s="894"/>
      <c r="P164" s="894"/>
      <c r="Q164" s="894"/>
      <c r="R164" s="894"/>
      <c r="S164" s="894"/>
      <c r="T164" s="894"/>
      <c r="U164" s="894"/>
      <c r="V164" s="894"/>
      <c r="W164" s="894"/>
      <c r="X164" s="894"/>
      <c r="Y164" s="894"/>
      <c r="Z164" s="894"/>
      <c r="AA164" s="894"/>
      <c r="AB164" s="894"/>
      <c r="AC164" s="894"/>
      <c r="AD164" s="894"/>
      <c r="AE164" s="894"/>
      <c r="AF164" s="894"/>
      <c r="AG164" s="894"/>
      <c r="AH164" s="894"/>
      <c r="AI164" s="894"/>
      <c r="AJ164" s="894"/>
      <c r="AK164" s="894"/>
      <c r="AL164" s="894"/>
      <c r="AM164" s="894"/>
      <c r="AN164" s="894"/>
      <c r="AO164" s="485">
        <v>97</v>
      </c>
      <c r="AP164" s="74"/>
      <c r="AQ164" s="895"/>
      <c r="AR164" s="896"/>
      <c r="AS164" s="896"/>
      <c r="AT164" s="896"/>
      <c r="AU164" s="896"/>
      <c r="AV164" s="896"/>
      <c r="AW164" s="896"/>
      <c r="AX164" s="896"/>
      <c r="AY164" s="896"/>
      <c r="AZ164" s="896"/>
      <c r="BA164" s="896"/>
      <c r="BB164" s="896"/>
      <c r="BC164" s="896"/>
      <c r="BD164" s="896"/>
      <c r="BE164" s="896"/>
      <c r="BF164" s="896"/>
      <c r="BG164" s="896"/>
      <c r="BH164" s="896"/>
      <c r="BI164" s="896"/>
      <c r="BJ164" s="896"/>
      <c r="BK164" s="896"/>
      <c r="BL164" s="896"/>
      <c r="BM164" s="896"/>
      <c r="BN164" s="896"/>
      <c r="BO164" s="896"/>
      <c r="BP164" s="896"/>
      <c r="BQ164" s="896"/>
      <c r="BR164" s="896"/>
      <c r="BS164" s="896"/>
      <c r="BT164" s="896"/>
      <c r="BU164" s="896"/>
      <c r="BV164" s="896"/>
      <c r="BW164" s="896"/>
      <c r="BX164" s="896"/>
      <c r="BY164" s="896"/>
      <c r="BZ164" s="896"/>
      <c r="CA164" s="896"/>
      <c r="CB164" s="896"/>
      <c r="CC164" s="896"/>
      <c r="CD164" s="896"/>
      <c r="CE164" s="896"/>
      <c r="CF164" s="896"/>
      <c r="CG164" s="896"/>
      <c r="CH164" s="896"/>
      <c r="CI164" s="896"/>
      <c r="CJ164" s="896"/>
      <c r="CK164" s="896"/>
      <c r="CL164" s="896"/>
      <c r="CM164" s="896"/>
      <c r="CN164" s="896"/>
      <c r="CO164" s="896"/>
      <c r="CP164" s="896"/>
      <c r="CQ164" s="896"/>
      <c r="CR164" s="896"/>
      <c r="CS164" s="896"/>
      <c r="CT164" s="896"/>
      <c r="CU164" s="896"/>
      <c r="CV164" s="896"/>
      <c r="CW164" s="896"/>
      <c r="CX164" s="896"/>
      <c r="CY164" s="896"/>
      <c r="CZ164" s="896"/>
      <c r="DA164" s="896"/>
      <c r="DB164" s="896"/>
      <c r="DC164" s="896"/>
      <c r="DD164" s="896"/>
      <c r="DE164" s="896"/>
      <c r="DF164" s="896"/>
      <c r="DG164" s="896"/>
      <c r="DH164" s="896"/>
      <c r="DI164" s="896"/>
      <c r="DJ164" s="896"/>
      <c r="DK164" s="896"/>
      <c r="DL164" s="896"/>
      <c r="DM164" s="896"/>
      <c r="DN164" s="896"/>
      <c r="DO164" s="896"/>
      <c r="DP164" s="896"/>
      <c r="DQ164" s="896"/>
      <c r="DR164" s="896"/>
      <c r="DS164" s="896"/>
      <c r="DT164" s="896"/>
      <c r="DU164" s="896"/>
      <c r="DV164" s="896"/>
      <c r="DW164" s="896"/>
      <c r="DX164" s="896"/>
      <c r="DY164" s="896"/>
      <c r="DZ164" s="896"/>
      <c r="EA164" s="896"/>
      <c r="EB164" s="896"/>
      <c r="EC164" s="896"/>
      <c r="ED164" s="896"/>
      <c r="EE164" s="896"/>
      <c r="EF164" s="896"/>
      <c r="EG164" s="896"/>
      <c r="EH164" s="896"/>
      <c r="EI164" s="896"/>
    </row>
    <row r="165" spans="1:139" s="843" customFormat="1" x14ac:dyDescent="0.85">
      <c r="A165" s="883"/>
      <c r="B165" s="916" t="s">
        <v>1310</v>
      </c>
      <c r="C165" s="882" t="s">
        <v>1272</v>
      </c>
      <c r="D165" s="886" t="s">
        <v>1277</v>
      </c>
      <c r="E165" s="439"/>
      <c r="F165" s="917"/>
      <c r="G165" s="881"/>
      <c r="H165" s="881"/>
      <c r="I165" s="881"/>
      <c r="J165" s="881"/>
      <c r="K165" s="881"/>
      <c r="L165" s="881"/>
      <c r="M165" s="881"/>
      <c r="N165" s="881"/>
      <c r="O165" s="881"/>
      <c r="P165" s="881"/>
      <c r="Q165" s="881"/>
      <c r="R165" s="881"/>
      <c r="S165" s="881"/>
      <c r="T165" s="881"/>
      <c r="U165" s="881"/>
      <c r="V165" s="881"/>
      <c r="W165" s="881"/>
      <c r="X165" s="881"/>
      <c r="Y165" s="881"/>
      <c r="Z165" s="881"/>
      <c r="AA165" s="881"/>
      <c r="AB165" s="881"/>
      <c r="AC165" s="881"/>
      <c r="AD165" s="881"/>
      <c r="AE165" s="881"/>
      <c r="AF165" s="881"/>
      <c r="AG165" s="881"/>
      <c r="AH165" s="881"/>
      <c r="AI165" s="881"/>
      <c r="AJ165" s="881"/>
      <c r="AK165" s="881"/>
      <c r="AL165" s="881"/>
      <c r="AM165" s="881"/>
      <c r="AN165" s="881"/>
      <c r="AO165" s="881"/>
      <c r="AP165" s="881"/>
      <c r="AQ165" s="881"/>
      <c r="AR165" s="881"/>
      <c r="AS165" s="881"/>
      <c r="AT165" s="881"/>
      <c r="AU165" s="881"/>
      <c r="AV165" s="881"/>
      <c r="AW165" s="881"/>
      <c r="AX165" s="881"/>
      <c r="AY165" s="881"/>
      <c r="AZ165" s="881"/>
      <c r="BA165" s="881"/>
      <c r="BB165" s="881"/>
      <c r="BC165" s="881"/>
      <c r="BD165" s="881"/>
      <c r="BE165" s="881"/>
      <c r="BF165" s="881"/>
      <c r="BG165" s="881"/>
      <c r="BH165" s="881"/>
      <c r="BI165" s="881"/>
      <c r="BJ165" s="881"/>
      <c r="BK165" s="881"/>
      <c r="BL165" s="881"/>
      <c r="BM165" s="881"/>
      <c r="BN165" s="881"/>
      <c r="BO165" s="881"/>
      <c r="BP165" s="881"/>
      <c r="BQ165" s="881"/>
      <c r="BR165" s="881"/>
      <c r="BS165" s="881"/>
      <c r="BT165" s="881"/>
      <c r="BU165" s="881"/>
      <c r="BV165" s="881"/>
      <c r="BW165" s="881"/>
      <c r="BX165" s="881"/>
      <c r="BY165" s="881"/>
      <c r="BZ165" s="881"/>
      <c r="CA165" s="881"/>
      <c r="CB165" s="881"/>
      <c r="CC165" s="881"/>
      <c r="CD165" s="881"/>
      <c r="CE165" s="881"/>
      <c r="CF165" s="881"/>
      <c r="CG165" s="881"/>
      <c r="CH165" s="881"/>
      <c r="CI165" s="881"/>
      <c r="CJ165" s="881"/>
      <c r="CK165" s="881"/>
      <c r="CL165" s="881"/>
      <c r="CM165" s="881"/>
      <c r="CN165" s="881"/>
      <c r="CO165" s="881"/>
      <c r="CP165" s="881"/>
      <c r="CQ165" s="881"/>
      <c r="CR165" s="881"/>
      <c r="CS165" s="881"/>
      <c r="CT165" s="881"/>
      <c r="CU165" s="881"/>
      <c r="CV165" s="881"/>
      <c r="CW165" s="881"/>
      <c r="CX165" s="881"/>
      <c r="CY165" s="881"/>
      <c r="CZ165" s="881"/>
      <c r="DA165" s="881"/>
      <c r="DB165" s="881"/>
      <c r="DC165" s="881"/>
      <c r="DD165" s="881"/>
      <c r="DE165" s="881"/>
      <c r="DF165" s="881"/>
      <c r="DG165" s="881"/>
      <c r="DH165" s="881"/>
      <c r="DI165" s="881"/>
      <c r="DJ165" s="881"/>
      <c r="DK165" s="881"/>
      <c r="DL165" s="881"/>
      <c r="DM165" s="881"/>
      <c r="DN165" s="881"/>
      <c r="DO165" s="881"/>
      <c r="DP165" s="881"/>
      <c r="DQ165" s="881"/>
      <c r="DR165" s="881"/>
      <c r="DS165" s="881"/>
      <c r="DT165" s="881"/>
      <c r="DU165" s="881"/>
      <c r="DV165" s="881"/>
      <c r="DW165" s="881"/>
      <c r="DX165" s="881"/>
      <c r="DY165" s="881"/>
      <c r="DZ165" s="881"/>
      <c r="EA165" s="881"/>
      <c r="EB165" s="881"/>
      <c r="EC165" s="881"/>
      <c r="ED165" s="881"/>
      <c r="EE165" s="881"/>
      <c r="EF165" s="881"/>
      <c r="EG165" s="881"/>
      <c r="EH165" s="881"/>
      <c r="EI165" s="881"/>
    </row>
    <row r="166" spans="1:139" s="881" customFormat="1" x14ac:dyDescent="0.85">
      <c r="B166" s="932" t="s">
        <v>1289</v>
      </c>
      <c r="C166" s="884" t="s">
        <v>1273</v>
      </c>
      <c r="D166" s="886" t="s">
        <v>1291</v>
      </c>
      <c r="E166" s="439"/>
      <c r="F166" s="917"/>
    </row>
    <row r="167" spans="1:139" s="881" customFormat="1" x14ac:dyDescent="0.85">
      <c r="B167" s="932"/>
      <c r="C167" s="884" t="s">
        <v>1274</v>
      </c>
      <c r="D167" s="886" t="s">
        <v>1292</v>
      </c>
      <c r="E167" s="439"/>
      <c r="F167" s="917"/>
    </row>
    <row r="168" spans="1:139" s="881" customFormat="1" x14ac:dyDescent="0.85">
      <c r="B168" s="932" t="s">
        <v>1290</v>
      </c>
      <c r="C168" s="884" t="s">
        <v>1275</v>
      </c>
      <c r="D168" s="886" t="s">
        <v>1293</v>
      </c>
      <c r="E168" s="439"/>
      <c r="F168" s="917"/>
    </row>
    <row r="169" spans="1:139" s="881" customFormat="1" x14ac:dyDescent="0.85">
      <c r="B169" s="932"/>
      <c r="C169" s="884" t="s">
        <v>1274</v>
      </c>
      <c r="D169" s="886" t="s">
        <v>1294</v>
      </c>
      <c r="E169" s="439"/>
      <c r="F169" s="917"/>
    </row>
    <row r="170" spans="1:139" ht="28.5" customHeight="1" x14ac:dyDescent="0.85">
      <c r="B170" s="933" t="s">
        <v>1304</v>
      </c>
      <c r="C170" s="885" t="s">
        <v>661</v>
      </c>
      <c r="D170" s="886" t="s">
        <v>1295</v>
      </c>
      <c r="E170" s="439"/>
      <c r="F170" s="917"/>
    </row>
    <row r="171" spans="1:139" x14ac:dyDescent="0.85">
      <c r="B171" s="933"/>
      <c r="C171" s="885" t="s">
        <v>662</v>
      </c>
      <c r="D171" s="886" t="s">
        <v>1296</v>
      </c>
      <c r="E171" s="439"/>
      <c r="F171" s="917"/>
    </row>
    <row r="172" spans="1:139" x14ac:dyDescent="0.85">
      <c r="B172" s="933" t="s">
        <v>1303</v>
      </c>
      <c r="C172" s="885" t="s">
        <v>661</v>
      </c>
      <c r="D172" s="886" t="s">
        <v>1297</v>
      </c>
      <c r="E172" s="439"/>
      <c r="F172" s="917"/>
    </row>
    <row r="173" spans="1:139" ht="57" customHeight="1" x14ac:dyDescent="0.85">
      <c r="B173" s="933"/>
      <c r="C173" s="885" t="s">
        <v>662</v>
      </c>
      <c r="D173" s="886" t="s">
        <v>1298</v>
      </c>
      <c r="E173" s="439"/>
      <c r="F173" s="917"/>
    </row>
    <row r="174" spans="1:139" ht="85.5" customHeight="1" x14ac:dyDescent="0.85">
      <c r="B174" s="933" t="s">
        <v>1305</v>
      </c>
      <c r="C174" s="885" t="s">
        <v>661</v>
      </c>
      <c r="D174" s="886" t="s">
        <v>1299</v>
      </c>
      <c r="E174" s="439"/>
      <c r="F174" s="917"/>
    </row>
    <row r="175" spans="1:139" x14ac:dyDescent="0.85">
      <c r="B175" s="933"/>
      <c r="C175" s="885" t="s">
        <v>662</v>
      </c>
      <c r="D175" s="886" t="s">
        <v>1300</v>
      </c>
      <c r="E175" s="439"/>
      <c r="F175" s="917"/>
    </row>
    <row r="176" spans="1:139" ht="85.5" customHeight="1" x14ac:dyDescent="0.85">
      <c r="B176" s="933" t="s">
        <v>1306</v>
      </c>
      <c r="C176" s="885" t="s">
        <v>661</v>
      </c>
      <c r="D176" s="886" t="s">
        <v>1301</v>
      </c>
      <c r="E176" s="439"/>
      <c r="F176" s="917"/>
    </row>
    <row r="177" spans="2:6" x14ac:dyDescent="0.85">
      <c r="B177" s="933"/>
      <c r="C177" s="885" t="s">
        <v>662</v>
      </c>
      <c r="D177" s="886" t="s">
        <v>1302</v>
      </c>
      <c r="E177" s="439"/>
      <c r="F177" s="917"/>
    </row>
    <row r="178" spans="2:6" x14ac:dyDescent="0.85">
      <c r="B178" s="985" t="s">
        <v>125</v>
      </c>
      <c r="C178" s="986"/>
      <c r="D178" s="986"/>
      <c r="E178" s="986"/>
      <c r="F178" s="987"/>
    </row>
    <row r="179" spans="2:6" ht="85.5" x14ac:dyDescent="0.85">
      <c r="B179" s="937" t="s">
        <v>33</v>
      </c>
      <c r="C179" s="498" t="s">
        <v>1082</v>
      </c>
      <c r="D179" s="817" t="s">
        <v>356</v>
      </c>
      <c r="E179" s="439" t="s">
        <v>55</v>
      </c>
      <c r="F179" s="907" t="s">
        <v>224</v>
      </c>
    </row>
    <row r="180" spans="2:6" ht="85.5" x14ac:dyDescent="0.85">
      <c r="B180" s="937"/>
      <c r="C180" s="498" t="s">
        <v>223</v>
      </c>
      <c r="D180" s="817" t="s">
        <v>222</v>
      </c>
      <c r="E180" s="439" t="s">
        <v>57</v>
      </c>
      <c r="F180" s="907" t="s">
        <v>225</v>
      </c>
    </row>
    <row r="181" spans="2:6" x14ac:dyDescent="0.85">
      <c r="B181" s="937"/>
      <c r="C181" s="449" t="s">
        <v>993</v>
      </c>
      <c r="D181" s="824" t="s">
        <v>990</v>
      </c>
      <c r="E181" s="439"/>
      <c r="F181" s="907"/>
    </row>
    <row r="182" spans="2:6" ht="85.5" x14ac:dyDescent="0.85">
      <c r="B182" s="937"/>
      <c r="C182" s="498" t="s">
        <v>1083</v>
      </c>
      <c r="D182" s="817" t="s">
        <v>357</v>
      </c>
      <c r="E182" s="439" t="s">
        <v>56</v>
      </c>
      <c r="F182" s="907" t="s">
        <v>226</v>
      </c>
    </row>
    <row r="183" spans="2:6" ht="57" x14ac:dyDescent="0.85">
      <c r="B183" s="937"/>
      <c r="C183" s="498" t="s">
        <v>1084</v>
      </c>
      <c r="D183" s="817" t="s">
        <v>227</v>
      </c>
      <c r="E183" s="439" t="s">
        <v>58</v>
      </c>
      <c r="F183" s="907" t="s">
        <v>230</v>
      </c>
    </row>
    <row r="184" spans="2:6" ht="85.5" x14ac:dyDescent="0.85">
      <c r="B184" s="937"/>
      <c r="C184" s="498" t="s">
        <v>1085</v>
      </c>
      <c r="D184" s="817" t="s">
        <v>228</v>
      </c>
      <c r="E184" s="439" t="s">
        <v>59</v>
      </c>
      <c r="F184" s="907" t="s">
        <v>231</v>
      </c>
    </row>
    <row r="185" spans="2:6" ht="114" x14ac:dyDescent="0.85">
      <c r="B185" s="937"/>
      <c r="C185" s="498" t="s">
        <v>1086</v>
      </c>
      <c r="D185" s="817" t="s">
        <v>229</v>
      </c>
      <c r="E185" s="439" t="s">
        <v>60</v>
      </c>
      <c r="F185" s="907" t="s">
        <v>231</v>
      </c>
    </row>
    <row r="186" spans="2:6" ht="85.5" x14ac:dyDescent="0.85">
      <c r="B186" s="937" t="s">
        <v>466</v>
      </c>
      <c r="C186" s="498" t="s">
        <v>235</v>
      </c>
      <c r="D186" s="817" t="s">
        <v>358</v>
      </c>
      <c r="E186" s="439" t="s">
        <v>55</v>
      </c>
      <c r="F186" s="907" t="s">
        <v>232</v>
      </c>
    </row>
    <row r="187" spans="2:6" ht="85.5" x14ac:dyDescent="0.85">
      <c r="B187" s="937"/>
      <c r="C187" s="498" t="s">
        <v>1087</v>
      </c>
      <c r="D187" s="817" t="s">
        <v>359</v>
      </c>
      <c r="E187" s="439" t="s">
        <v>57</v>
      </c>
      <c r="F187" s="907" t="s">
        <v>233</v>
      </c>
    </row>
    <row r="188" spans="2:6" ht="85.5" x14ac:dyDescent="0.85">
      <c r="B188" s="937"/>
      <c r="C188" s="498" t="s">
        <v>236</v>
      </c>
      <c r="D188" s="817" t="s">
        <v>237</v>
      </c>
      <c r="E188" s="439" t="s">
        <v>56</v>
      </c>
      <c r="F188" s="907" t="s">
        <v>234</v>
      </c>
    </row>
    <row r="189" spans="2:6" hidden="1" x14ac:dyDescent="0.85">
      <c r="B189" s="937"/>
      <c r="C189" s="449" t="s">
        <v>993</v>
      </c>
      <c r="D189" s="824" t="s">
        <v>990</v>
      </c>
      <c r="E189" s="439"/>
      <c r="F189" s="907"/>
    </row>
    <row r="190" spans="2:6" ht="57" hidden="1" x14ac:dyDescent="0.85">
      <c r="B190" s="937"/>
      <c r="C190" s="446" t="s">
        <v>335</v>
      </c>
      <c r="D190" s="817" t="s">
        <v>238</v>
      </c>
      <c r="E190" s="439" t="s">
        <v>58</v>
      </c>
      <c r="F190" s="907" t="s">
        <v>241</v>
      </c>
    </row>
    <row r="191" spans="2:6" ht="85.5" hidden="1" x14ac:dyDescent="0.85">
      <c r="B191" s="937"/>
      <c r="C191" s="446" t="s">
        <v>1085</v>
      </c>
      <c r="D191" s="817" t="s">
        <v>360</v>
      </c>
      <c r="E191" s="439" t="s">
        <v>59</v>
      </c>
      <c r="F191" s="907" t="s">
        <v>242</v>
      </c>
    </row>
    <row r="192" spans="2:6" ht="114" hidden="1" x14ac:dyDescent="0.85">
      <c r="B192" s="937"/>
      <c r="C192" s="498" t="s">
        <v>239</v>
      </c>
      <c r="D192" s="817" t="s">
        <v>240</v>
      </c>
      <c r="E192" s="439" t="s">
        <v>60</v>
      </c>
      <c r="F192" s="907" t="s">
        <v>242</v>
      </c>
    </row>
    <row r="193" spans="2:139" s="450" customFormat="1" ht="85.5" hidden="1" x14ac:dyDescent="0.85">
      <c r="B193" s="937" t="s">
        <v>25</v>
      </c>
      <c r="C193" s="498" t="s">
        <v>1088</v>
      </c>
      <c r="D193" s="817" t="s">
        <v>361</v>
      </c>
      <c r="E193" s="439" t="s">
        <v>55</v>
      </c>
      <c r="F193" s="907" t="s">
        <v>243</v>
      </c>
      <c r="G193" s="897"/>
      <c r="H193" s="897"/>
      <c r="I193" s="897"/>
      <c r="J193" s="897"/>
      <c r="K193" s="897"/>
      <c r="L193" s="897"/>
      <c r="M193" s="897"/>
      <c r="N193" s="897"/>
      <c r="O193" s="897"/>
      <c r="P193" s="897"/>
      <c r="Q193" s="897"/>
      <c r="R193" s="897"/>
      <c r="S193" s="897"/>
      <c r="T193" s="897"/>
      <c r="U193" s="897"/>
      <c r="V193" s="897"/>
      <c r="W193" s="897"/>
      <c r="X193" s="897"/>
      <c r="Y193" s="897"/>
      <c r="Z193" s="897"/>
      <c r="AA193" s="897"/>
      <c r="AB193" s="897"/>
      <c r="AC193" s="897"/>
      <c r="AD193" s="897"/>
      <c r="AE193" s="897"/>
      <c r="AF193" s="897"/>
      <c r="AG193" s="897"/>
      <c r="AH193" s="897"/>
      <c r="AI193" s="897"/>
      <c r="AJ193" s="897"/>
      <c r="AK193" s="897"/>
      <c r="AL193" s="897"/>
      <c r="AM193" s="897"/>
      <c r="AN193" s="897"/>
      <c r="AO193" s="897"/>
      <c r="AP193" s="897"/>
      <c r="AQ193" s="897"/>
      <c r="AR193" s="897"/>
      <c r="AS193" s="897"/>
      <c r="AT193" s="897"/>
      <c r="AU193" s="897"/>
      <c r="AV193" s="897"/>
      <c r="AW193" s="897"/>
      <c r="AX193" s="897"/>
      <c r="AY193" s="897"/>
      <c r="AZ193" s="897"/>
      <c r="BA193" s="897"/>
      <c r="BB193" s="897"/>
      <c r="BC193" s="897"/>
      <c r="BD193" s="897"/>
      <c r="BE193" s="897"/>
      <c r="BF193" s="897"/>
      <c r="BG193" s="897"/>
      <c r="BH193" s="897"/>
      <c r="BI193" s="897"/>
      <c r="BJ193" s="897"/>
      <c r="BK193" s="897"/>
      <c r="BL193" s="897"/>
      <c r="BM193" s="897"/>
      <c r="BN193" s="897"/>
      <c r="BO193" s="897"/>
      <c r="BP193" s="897"/>
      <c r="BQ193" s="897"/>
      <c r="BR193" s="897"/>
      <c r="BS193" s="897"/>
      <c r="BT193" s="897"/>
      <c r="BU193" s="897"/>
      <c r="BV193" s="897"/>
      <c r="BW193" s="897"/>
      <c r="BX193" s="897"/>
      <c r="BY193" s="897"/>
      <c r="BZ193" s="897"/>
      <c r="CA193" s="897"/>
      <c r="CB193" s="897"/>
      <c r="CC193" s="897"/>
      <c r="CD193" s="897"/>
      <c r="CE193" s="897"/>
      <c r="CF193" s="897"/>
      <c r="CG193" s="897"/>
      <c r="CH193" s="897"/>
      <c r="CI193" s="897"/>
      <c r="CJ193" s="897"/>
      <c r="CK193" s="897"/>
      <c r="CL193" s="897"/>
      <c r="CM193" s="897"/>
      <c r="CN193" s="897"/>
      <c r="CO193" s="897"/>
      <c r="CP193" s="897"/>
      <c r="CQ193" s="897"/>
      <c r="CR193" s="897"/>
      <c r="CS193" s="897"/>
      <c r="CT193" s="897"/>
      <c r="CU193" s="897"/>
      <c r="CV193" s="897"/>
      <c r="CW193" s="897"/>
      <c r="CX193" s="897"/>
      <c r="CY193" s="897"/>
      <c r="CZ193" s="897"/>
      <c r="DA193" s="897"/>
      <c r="DB193" s="897"/>
      <c r="DC193" s="897"/>
      <c r="DD193" s="897"/>
      <c r="DE193" s="897"/>
      <c r="DF193" s="897"/>
      <c r="DG193" s="897"/>
      <c r="DH193" s="897"/>
      <c r="DI193" s="897"/>
      <c r="DJ193" s="897"/>
      <c r="DK193" s="897"/>
      <c r="DL193" s="897"/>
      <c r="DM193" s="897"/>
      <c r="DN193" s="897"/>
      <c r="DO193" s="897"/>
      <c r="DP193" s="897"/>
      <c r="DQ193" s="897"/>
      <c r="DR193" s="897"/>
      <c r="DS193" s="897"/>
      <c r="DT193" s="897"/>
      <c r="DU193" s="897"/>
      <c r="DV193" s="897"/>
      <c r="DW193" s="897"/>
      <c r="DX193" s="897"/>
      <c r="DY193" s="897"/>
      <c r="DZ193" s="897"/>
      <c r="EA193" s="897"/>
      <c r="EB193" s="897"/>
      <c r="EC193" s="897"/>
      <c r="ED193" s="897"/>
      <c r="EE193" s="897"/>
      <c r="EF193" s="897"/>
      <c r="EG193" s="897"/>
      <c r="EH193" s="897"/>
      <c r="EI193" s="897"/>
    </row>
    <row r="194" spans="2:139" ht="85.5" hidden="1" x14ac:dyDescent="0.85">
      <c r="B194" s="937"/>
      <c r="C194" s="446" t="s">
        <v>223</v>
      </c>
      <c r="D194" s="817" t="s">
        <v>362</v>
      </c>
      <c r="E194" s="439" t="s">
        <v>57</v>
      </c>
      <c r="F194" s="907" t="s">
        <v>244</v>
      </c>
    </row>
    <row r="195" spans="2:139" ht="85.5" hidden="1" x14ac:dyDescent="0.85">
      <c r="B195" s="937"/>
      <c r="C195" s="498" t="s">
        <v>236</v>
      </c>
      <c r="D195" s="817" t="s">
        <v>363</v>
      </c>
      <c r="E195" s="439" t="s">
        <v>56</v>
      </c>
      <c r="F195" s="907" t="s">
        <v>245</v>
      </c>
    </row>
    <row r="196" spans="2:139" hidden="1" x14ac:dyDescent="0.85">
      <c r="B196" s="937"/>
      <c r="C196" s="449" t="s">
        <v>993</v>
      </c>
      <c r="D196" s="824" t="s">
        <v>990</v>
      </c>
      <c r="E196" s="439"/>
      <c r="F196" s="907"/>
    </row>
    <row r="197" spans="2:139" ht="57" hidden="1" x14ac:dyDescent="0.85">
      <c r="B197" s="937"/>
      <c r="C197" s="498" t="s">
        <v>1084</v>
      </c>
      <c r="D197" s="817" t="s">
        <v>248</v>
      </c>
      <c r="E197" s="439" t="s">
        <v>58</v>
      </c>
      <c r="F197" s="907" t="s">
        <v>247</v>
      </c>
    </row>
    <row r="198" spans="2:139" ht="85.5" hidden="1" x14ac:dyDescent="0.85">
      <c r="B198" s="937"/>
      <c r="C198" s="498" t="s">
        <v>1085</v>
      </c>
      <c r="D198" s="817" t="s">
        <v>364</v>
      </c>
      <c r="E198" s="439" t="s">
        <v>59</v>
      </c>
      <c r="F198" s="907" t="s">
        <v>246</v>
      </c>
    </row>
    <row r="199" spans="2:139" ht="114" hidden="1" x14ac:dyDescent="0.85">
      <c r="B199" s="937"/>
      <c r="C199" s="498" t="s">
        <v>239</v>
      </c>
      <c r="D199" s="817" t="s">
        <v>365</v>
      </c>
      <c r="E199" s="439" t="s">
        <v>60</v>
      </c>
      <c r="F199" s="907" t="s">
        <v>246</v>
      </c>
    </row>
    <row r="200" spans="2:139" hidden="1" x14ac:dyDescent="0.85">
      <c r="B200" s="938" t="s">
        <v>126</v>
      </c>
      <c r="C200" s="939"/>
      <c r="D200" s="939"/>
      <c r="E200" s="939"/>
      <c r="F200" s="940"/>
    </row>
    <row r="201" spans="2:139" hidden="1" x14ac:dyDescent="0.85">
      <c r="B201" s="937" t="s">
        <v>866</v>
      </c>
      <c r="C201" s="498" t="s">
        <v>668</v>
      </c>
      <c r="D201" s="825" t="s">
        <v>517</v>
      </c>
      <c r="E201" s="439" t="s">
        <v>705</v>
      </c>
      <c r="F201" s="918" t="s">
        <v>740</v>
      </c>
    </row>
    <row r="202" spans="2:139" ht="57" hidden="1" x14ac:dyDescent="0.85">
      <c r="B202" s="937"/>
      <c r="C202" s="498" t="s">
        <v>905</v>
      </c>
      <c r="D202" s="825" t="s">
        <v>518</v>
      </c>
      <c r="E202" s="439" t="s">
        <v>741</v>
      </c>
      <c r="F202" s="919" t="s">
        <v>742</v>
      </c>
    </row>
    <row r="203" spans="2:139" hidden="1" x14ac:dyDescent="0.85">
      <c r="B203" s="937"/>
      <c r="C203" s="445" t="s">
        <v>909</v>
      </c>
      <c r="D203" s="825" t="s">
        <v>870</v>
      </c>
      <c r="E203" s="439" t="s">
        <v>920</v>
      </c>
      <c r="F203" s="919" t="s">
        <v>921</v>
      </c>
    </row>
    <row r="204" spans="2:139" ht="57" hidden="1" x14ac:dyDescent="0.85">
      <c r="B204" s="937"/>
      <c r="C204" s="498" t="s">
        <v>861</v>
      </c>
      <c r="D204" s="825" t="s">
        <v>871</v>
      </c>
      <c r="E204" s="439" t="s">
        <v>922</v>
      </c>
      <c r="F204" s="919" t="s">
        <v>921</v>
      </c>
    </row>
    <row r="205" spans="2:139" ht="57" hidden="1" x14ac:dyDescent="0.85">
      <c r="B205" s="937"/>
      <c r="C205" s="498" t="s">
        <v>862</v>
      </c>
      <c r="D205" s="825" t="s">
        <v>872</v>
      </c>
      <c r="E205" s="439" t="s">
        <v>923</v>
      </c>
      <c r="F205" s="919" t="s">
        <v>924</v>
      </c>
    </row>
    <row r="206" spans="2:139" ht="57" hidden="1" x14ac:dyDescent="0.85">
      <c r="B206" s="937"/>
      <c r="C206" s="498" t="s">
        <v>863</v>
      </c>
      <c r="D206" s="825" t="s">
        <v>873</v>
      </c>
      <c r="E206" s="439" t="s">
        <v>925</v>
      </c>
      <c r="F206" s="919" t="s">
        <v>921</v>
      </c>
    </row>
    <row r="207" spans="2:139" ht="57" hidden="1" x14ac:dyDescent="0.85">
      <c r="B207" s="937"/>
      <c r="C207" s="498" t="s">
        <v>864</v>
      </c>
      <c r="D207" s="825" t="s">
        <v>874</v>
      </c>
      <c r="E207" s="439" t="s">
        <v>926</v>
      </c>
      <c r="F207" s="919" t="s">
        <v>924</v>
      </c>
    </row>
    <row r="208" spans="2:139" ht="57" hidden="1" x14ac:dyDescent="0.85">
      <c r="B208" s="937"/>
      <c r="C208" s="498" t="s">
        <v>865</v>
      </c>
      <c r="D208" s="825" t="s">
        <v>875</v>
      </c>
      <c r="E208" s="439" t="s">
        <v>927</v>
      </c>
      <c r="F208" s="919" t="s">
        <v>921</v>
      </c>
    </row>
    <row r="209" spans="2:6" ht="57" hidden="1" x14ac:dyDescent="0.85">
      <c r="B209" s="937"/>
      <c r="C209" s="498" t="s">
        <v>900</v>
      </c>
      <c r="D209" s="825" t="s">
        <v>876</v>
      </c>
      <c r="E209" s="439" t="s">
        <v>931</v>
      </c>
      <c r="F209" s="919" t="s">
        <v>921</v>
      </c>
    </row>
    <row r="210" spans="2:6" hidden="1" x14ac:dyDescent="0.85">
      <c r="B210" s="937" t="s">
        <v>867</v>
      </c>
      <c r="C210" s="498" t="s">
        <v>911</v>
      </c>
      <c r="D210" s="825" t="s">
        <v>877</v>
      </c>
      <c r="E210" s="439" t="s">
        <v>928</v>
      </c>
      <c r="F210" s="919" t="s">
        <v>929</v>
      </c>
    </row>
    <row r="211" spans="2:6" ht="57" hidden="1" x14ac:dyDescent="0.85">
      <c r="B211" s="937"/>
      <c r="C211" s="498" t="s">
        <v>906</v>
      </c>
      <c r="D211" s="825" t="s">
        <v>878</v>
      </c>
      <c r="E211" s="439" t="s">
        <v>930</v>
      </c>
      <c r="F211" s="919" t="s">
        <v>742</v>
      </c>
    </row>
    <row r="212" spans="2:6" hidden="1" x14ac:dyDescent="0.85">
      <c r="B212" s="937"/>
      <c r="C212" s="445" t="s">
        <v>914</v>
      </c>
      <c r="D212" s="825" t="s">
        <v>879</v>
      </c>
      <c r="E212" s="439" t="s">
        <v>920</v>
      </c>
      <c r="F212" s="919" t="s">
        <v>921</v>
      </c>
    </row>
    <row r="213" spans="2:6" ht="57" hidden="1" x14ac:dyDescent="0.85">
      <c r="B213" s="937"/>
      <c r="C213" s="498" t="s">
        <v>861</v>
      </c>
      <c r="D213" s="825" t="s">
        <v>880</v>
      </c>
      <c r="E213" s="439" t="s">
        <v>922</v>
      </c>
      <c r="F213" s="919" t="s">
        <v>921</v>
      </c>
    </row>
    <row r="214" spans="2:6" ht="57" hidden="1" x14ac:dyDescent="0.85">
      <c r="B214" s="937"/>
      <c r="C214" s="498" t="s">
        <v>862</v>
      </c>
      <c r="D214" s="825" t="s">
        <v>881</v>
      </c>
      <c r="E214" s="439" t="s">
        <v>923</v>
      </c>
      <c r="F214" s="919" t="s">
        <v>924</v>
      </c>
    </row>
    <row r="215" spans="2:6" ht="57" hidden="1" x14ac:dyDescent="0.85">
      <c r="B215" s="937"/>
      <c r="C215" s="498" t="s">
        <v>863</v>
      </c>
      <c r="D215" s="825" t="s">
        <v>882</v>
      </c>
      <c r="E215" s="439" t="s">
        <v>925</v>
      </c>
      <c r="F215" s="919" t="s">
        <v>921</v>
      </c>
    </row>
    <row r="216" spans="2:6" ht="57" hidden="1" x14ac:dyDescent="0.85">
      <c r="B216" s="937"/>
      <c r="C216" s="498" t="s">
        <v>864</v>
      </c>
      <c r="D216" s="825" t="s">
        <v>883</v>
      </c>
      <c r="E216" s="439" t="s">
        <v>926</v>
      </c>
      <c r="F216" s="919" t="s">
        <v>924</v>
      </c>
    </row>
    <row r="217" spans="2:6" ht="57" hidden="1" x14ac:dyDescent="0.85">
      <c r="B217" s="937"/>
      <c r="C217" s="498" t="s">
        <v>865</v>
      </c>
      <c r="D217" s="825" t="s">
        <v>884</v>
      </c>
      <c r="E217" s="439" t="s">
        <v>927</v>
      </c>
      <c r="F217" s="919" t="s">
        <v>921</v>
      </c>
    </row>
    <row r="218" spans="2:6" ht="57" hidden="1" x14ac:dyDescent="0.85">
      <c r="B218" s="937"/>
      <c r="C218" s="498" t="s">
        <v>900</v>
      </c>
      <c r="D218" s="825" t="s">
        <v>885</v>
      </c>
      <c r="E218" s="439" t="s">
        <v>931</v>
      </c>
      <c r="F218" s="919" t="s">
        <v>921</v>
      </c>
    </row>
    <row r="219" spans="2:6" hidden="1" x14ac:dyDescent="0.85">
      <c r="B219" s="937" t="s">
        <v>869</v>
      </c>
      <c r="C219" s="498" t="s">
        <v>912</v>
      </c>
      <c r="D219" s="825" t="s">
        <v>886</v>
      </c>
      <c r="E219" s="439" t="s">
        <v>932</v>
      </c>
      <c r="F219" s="919" t="s">
        <v>933</v>
      </c>
    </row>
    <row r="220" spans="2:6" ht="57" hidden="1" x14ac:dyDescent="0.85">
      <c r="B220" s="937"/>
      <c r="C220" s="498" t="s">
        <v>907</v>
      </c>
      <c r="D220" s="825" t="s">
        <v>887</v>
      </c>
      <c r="E220" s="439" t="s">
        <v>934</v>
      </c>
      <c r="F220" s="919" t="s">
        <v>742</v>
      </c>
    </row>
    <row r="221" spans="2:6" hidden="1" x14ac:dyDescent="0.85">
      <c r="B221" s="937"/>
      <c r="C221" s="445" t="s">
        <v>915</v>
      </c>
      <c r="D221" s="825" t="s">
        <v>888</v>
      </c>
      <c r="E221" s="439" t="s">
        <v>920</v>
      </c>
      <c r="F221" s="919" t="s">
        <v>921</v>
      </c>
    </row>
    <row r="222" spans="2:6" ht="57" hidden="1" x14ac:dyDescent="0.85">
      <c r="B222" s="937"/>
      <c r="C222" s="498" t="s">
        <v>861</v>
      </c>
      <c r="D222" s="825" t="s">
        <v>889</v>
      </c>
      <c r="E222" s="439" t="s">
        <v>935</v>
      </c>
      <c r="F222" s="919" t="s">
        <v>921</v>
      </c>
    </row>
    <row r="223" spans="2:6" ht="57" hidden="1" x14ac:dyDescent="0.85">
      <c r="B223" s="937"/>
      <c r="C223" s="498" t="s">
        <v>862</v>
      </c>
      <c r="D223" s="825" t="s">
        <v>890</v>
      </c>
      <c r="E223" s="439" t="s">
        <v>936</v>
      </c>
      <c r="F223" s="919" t="s">
        <v>924</v>
      </c>
    </row>
    <row r="224" spans="2:6" ht="57" hidden="1" x14ac:dyDescent="0.85">
      <c r="B224" s="937"/>
      <c r="C224" s="498" t="s">
        <v>863</v>
      </c>
      <c r="D224" s="825" t="s">
        <v>891</v>
      </c>
      <c r="E224" s="439" t="s">
        <v>937</v>
      </c>
      <c r="F224" s="919" t="s">
        <v>921</v>
      </c>
    </row>
    <row r="225" spans="2:6" ht="57" x14ac:dyDescent="0.85">
      <c r="B225" s="937"/>
      <c r="C225" s="498" t="s">
        <v>864</v>
      </c>
      <c r="D225" s="825" t="s">
        <v>892</v>
      </c>
      <c r="E225" s="439" t="s">
        <v>938</v>
      </c>
      <c r="F225" s="919" t="s">
        <v>924</v>
      </c>
    </row>
    <row r="226" spans="2:6" ht="57" x14ac:dyDescent="0.85">
      <c r="B226" s="937"/>
      <c r="C226" s="498" t="s">
        <v>865</v>
      </c>
      <c r="D226" s="825" t="s">
        <v>893</v>
      </c>
      <c r="E226" s="439" t="s">
        <v>927</v>
      </c>
      <c r="F226" s="919" t="s">
        <v>921</v>
      </c>
    </row>
    <row r="227" spans="2:6" ht="57" x14ac:dyDescent="0.85">
      <c r="B227" s="937"/>
      <c r="C227" s="498" t="s">
        <v>900</v>
      </c>
      <c r="D227" s="825" t="s">
        <v>894</v>
      </c>
      <c r="E227" s="439" t="s">
        <v>931</v>
      </c>
      <c r="F227" s="919" t="s">
        <v>921</v>
      </c>
    </row>
    <row r="228" spans="2:6" x14ac:dyDescent="0.85">
      <c r="B228" s="937" t="s">
        <v>868</v>
      </c>
      <c r="C228" s="498" t="s">
        <v>913</v>
      </c>
      <c r="D228" s="825" t="s">
        <v>895</v>
      </c>
      <c r="E228" s="439" t="s">
        <v>705</v>
      </c>
      <c r="F228" s="919" t="s">
        <v>939</v>
      </c>
    </row>
    <row r="229" spans="2:6" ht="57" x14ac:dyDescent="0.85">
      <c r="B229" s="937"/>
      <c r="C229" s="498" t="s">
        <v>908</v>
      </c>
      <c r="D229" s="825" t="s">
        <v>896</v>
      </c>
      <c r="E229" s="439" t="s">
        <v>741</v>
      </c>
      <c r="F229" s="919" t="s">
        <v>742</v>
      </c>
    </row>
    <row r="230" spans="2:6" x14ac:dyDescent="0.85">
      <c r="B230" s="937"/>
      <c r="C230" s="445" t="s">
        <v>916</v>
      </c>
      <c r="D230" s="825" t="s">
        <v>897</v>
      </c>
      <c r="E230" s="439" t="s">
        <v>920</v>
      </c>
      <c r="F230" s="919" t="s">
        <v>921</v>
      </c>
    </row>
    <row r="231" spans="2:6" ht="57" x14ac:dyDescent="0.85">
      <c r="B231" s="937"/>
      <c r="C231" s="498" t="s">
        <v>861</v>
      </c>
      <c r="D231" s="825" t="s">
        <v>898</v>
      </c>
      <c r="E231" s="439" t="s">
        <v>922</v>
      </c>
      <c r="F231" s="919" t="s">
        <v>921</v>
      </c>
    </row>
    <row r="232" spans="2:6" ht="57" x14ac:dyDescent="0.85">
      <c r="B232" s="937"/>
      <c r="C232" s="498" t="s">
        <v>862</v>
      </c>
      <c r="D232" s="825" t="s">
        <v>899</v>
      </c>
      <c r="E232" s="439" t="s">
        <v>923</v>
      </c>
      <c r="F232" s="919" t="s">
        <v>924</v>
      </c>
    </row>
    <row r="233" spans="2:6" ht="57" x14ac:dyDescent="0.85">
      <c r="B233" s="937"/>
      <c r="C233" s="498" t="s">
        <v>863</v>
      </c>
      <c r="D233" s="825" t="s">
        <v>901</v>
      </c>
      <c r="E233" s="439" t="s">
        <v>925</v>
      </c>
      <c r="F233" s="919" t="s">
        <v>921</v>
      </c>
    </row>
    <row r="234" spans="2:6" ht="57" x14ac:dyDescent="0.85">
      <c r="B234" s="937"/>
      <c r="C234" s="498" t="s">
        <v>864</v>
      </c>
      <c r="D234" s="825" t="s">
        <v>902</v>
      </c>
      <c r="E234" s="439" t="s">
        <v>926</v>
      </c>
      <c r="F234" s="919" t="s">
        <v>924</v>
      </c>
    </row>
    <row r="235" spans="2:6" ht="57" x14ac:dyDescent="0.85">
      <c r="B235" s="937"/>
      <c r="C235" s="498" t="s">
        <v>865</v>
      </c>
      <c r="D235" s="825" t="s">
        <v>903</v>
      </c>
      <c r="E235" s="439" t="s">
        <v>927</v>
      </c>
      <c r="F235" s="919" t="s">
        <v>921</v>
      </c>
    </row>
    <row r="236" spans="2:6" ht="57" x14ac:dyDescent="0.85">
      <c r="B236" s="937"/>
      <c r="C236" s="498" t="s">
        <v>900</v>
      </c>
      <c r="D236" s="825" t="s">
        <v>904</v>
      </c>
      <c r="E236" s="439" t="s">
        <v>931</v>
      </c>
      <c r="F236" s="919" t="s">
        <v>921</v>
      </c>
    </row>
    <row r="237" spans="2:6" ht="57" x14ac:dyDescent="0.85">
      <c r="B237" s="937" t="s">
        <v>34</v>
      </c>
      <c r="C237" s="498" t="s">
        <v>181</v>
      </c>
      <c r="D237" s="817" t="s">
        <v>183</v>
      </c>
      <c r="E237" s="439" t="s">
        <v>272</v>
      </c>
      <c r="F237" s="907" t="s">
        <v>250</v>
      </c>
    </row>
    <row r="238" spans="2:6" ht="57" x14ac:dyDescent="0.85">
      <c r="B238" s="937"/>
      <c r="C238" s="498" t="s">
        <v>1089</v>
      </c>
      <c r="D238" s="817" t="s">
        <v>182</v>
      </c>
      <c r="E238" s="439" t="s">
        <v>64</v>
      </c>
      <c r="F238" s="907" t="s">
        <v>251</v>
      </c>
    </row>
    <row r="239" spans="2:6" ht="57" x14ac:dyDescent="0.85">
      <c r="B239" s="937" t="s">
        <v>35</v>
      </c>
      <c r="C239" s="451" t="s">
        <v>1090</v>
      </c>
      <c r="D239" s="817" t="s">
        <v>249</v>
      </c>
      <c r="E239" s="452" t="s">
        <v>318</v>
      </c>
      <c r="F239" s="920" t="s">
        <v>250</v>
      </c>
    </row>
    <row r="240" spans="2:6" ht="57" x14ac:dyDescent="0.85">
      <c r="B240" s="937"/>
      <c r="C240" s="446" t="s">
        <v>252</v>
      </c>
      <c r="D240" s="817" t="s">
        <v>253</v>
      </c>
      <c r="E240" s="439" t="s">
        <v>61</v>
      </c>
      <c r="F240" s="907" t="s">
        <v>251</v>
      </c>
    </row>
    <row r="241" spans="2:6" x14ac:dyDescent="0.85">
      <c r="B241" s="949" t="s">
        <v>26</v>
      </c>
      <c r="C241" s="499" t="s">
        <v>1091</v>
      </c>
      <c r="D241" s="817" t="s">
        <v>254</v>
      </c>
      <c r="E241" s="439" t="s">
        <v>62</v>
      </c>
      <c r="F241" s="907" t="s">
        <v>263</v>
      </c>
    </row>
    <row r="242" spans="2:6" x14ac:dyDescent="0.85">
      <c r="B242" s="949"/>
      <c r="C242" s="499" t="s">
        <v>336</v>
      </c>
      <c r="D242" s="817" t="s">
        <v>255</v>
      </c>
      <c r="E242" s="439" t="s">
        <v>65</v>
      </c>
      <c r="F242" s="907" t="s">
        <v>263</v>
      </c>
    </row>
    <row r="243" spans="2:6" ht="57" x14ac:dyDescent="0.85">
      <c r="B243" s="949"/>
      <c r="C243" s="499" t="s">
        <v>1092</v>
      </c>
      <c r="D243" s="817" t="s">
        <v>256</v>
      </c>
      <c r="E243" s="439" t="s">
        <v>63</v>
      </c>
      <c r="F243" s="907" t="s">
        <v>264</v>
      </c>
    </row>
    <row r="244" spans="2:6" ht="85.5" x14ac:dyDescent="0.85">
      <c r="B244" s="949"/>
      <c r="C244" s="499" t="s">
        <v>337</v>
      </c>
      <c r="D244" s="817" t="s">
        <v>257</v>
      </c>
      <c r="E244" s="439" t="s">
        <v>267</v>
      </c>
      <c r="F244" s="907" t="s">
        <v>266</v>
      </c>
    </row>
    <row r="245" spans="2:6" ht="57" x14ac:dyDescent="0.85">
      <c r="B245" s="949"/>
      <c r="C245" s="499" t="s">
        <v>338</v>
      </c>
      <c r="D245" s="817" t="s">
        <v>258</v>
      </c>
      <c r="E245" s="439" t="s">
        <v>268</v>
      </c>
      <c r="F245" s="907" t="s">
        <v>265</v>
      </c>
    </row>
    <row r="246" spans="2:6" ht="57" x14ac:dyDescent="0.85">
      <c r="B246" s="949"/>
      <c r="C246" s="448" t="s">
        <v>1093</v>
      </c>
      <c r="D246" s="817" t="s">
        <v>259</v>
      </c>
      <c r="E246" s="439" t="s">
        <v>66</v>
      </c>
      <c r="F246" s="907" t="s">
        <v>269</v>
      </c>
    </row>
    <row r="247" spans="2:6" ht="57" x14ac:dyDescent="0.85">
      <c r="B247" s="949"/>
      <c r="C247" s="448" t="s">
        <v>1094</v>
      </c>
      <c r="D247" s="817" t="s">
        <v>260</v>
      </c>
      <c r="E247" s="439" t="s">
        <v>67</v>
      </c>
      <c r="F247" s="907" t="s">
        <v>269</v>
      </c>
    </row>
    <row r="248" spans="2:6" ht="57" x14ac:dyDescent="0.85">
      <c r="B248" s="949" t="s">
        <v>111</v>
      </c>
      <c r="C248" s="499" t="s">
        <v>270</v>
      </c>
      <c r="D248" s="817" t="s">
        <v>261</v>
      </c>
      <c r="E248" s="439" t="s">
        <v>136</v>
      </c>
      <c r="F248" s="907" t="s">
        <v>251</v>
      </c>
    </row>
    <row r="249" spans="2:6" ht="57" x14ac:dyDescent="0.85">
      <c r="B249" s="949"/>
      <c r="C249" s="448" t="s">
        <v>271</v>
      </c>
      <c r="D249" s="817" t="s">
        <v>262</v>
      </c>
      <c r="E249" s="439" t="s">
        <v>618</v>
      </c>
      <c r="F249" s="907" t="s">
        <v>251</v>
      </c>
    </row>
    <row r="250" spans="2:6" ht="57" x14ac:dyDescent="0.85">
      <c r="B250" s="949"/>
      <c r="C250" s="499" t="s">
        <v>1095</v>
      </c>
      <c r="D250" s="817" t="s">
        <v>319</v>
      </c>
      <c r="E250" s="439" t="s">
        <v>321</v>
      </c>
      <c r="F250" s="907" t="s">
        <v>322</v>
      </c>
    </row>
    <row r="251" spans="2:6" ht="85.5" x14ac:dyDescent="0.85">
      <c r="B251" s="949"/>
      <c r="C251" s="499" t="s">
        <v>1096</v>
      </c>
      <c r="D251" s="817" t="s">
        <v>320</v>
      </c>
      <c r="E251" s="439" t="s">
        <v>323</v>
      </c>
      <c r="F251" s="907" t="s">
        <v>322</v>
      </c>
    </row>
    <row r="252" spans="2:6" x14ac:dyDescent="0.85">
      <c r="B252" s="938" t="s">
        <v>128</v>
      </c>
      <c r="C252" s="939"/>
      <c r="D252" s="939"/>
      <c r="E252" s="939"/>
      <c r="F252" s="940"/>
    </row>
    <row r="253" spans="2:6" ht="57" x14ac:dyDescent="0.85">
      <c r="B253" s="943" t="s">
        <v>115</v>
      </c>
      <c r="C253" s="451" t="s">
        <v>1097</v>
      </c>
      <c r="D253" s="817" t="s">
        <v>366</v>
      </c>
      <c r="E253" s="439" t="s">
        <v>69</v>
      </c>
      <c r="F253" s="907" t="s">
        <v>275</v>
      </c>
    </row>
    <row r="254" spans="2:6" ht="85.5" x14ac:dyDescent="0.85">
      <c r="B254" s="943"/>
      <c r="C254" s="451" t="s">
        <v>473</v>
      </c>
      <c r="D254" s="817" t="s">
        <v>273</v>
      </c>
      <c r="E254" s="439" t="s">
        <v>68</v>
      </c>
      <c r="F254" s="907" t="s">
        <v>276</v>
      </c>
    </row>
    <row r="255" spans="2:6" ht="85.5" x14ac:dyDescent="0.85">
      <c r="B255" s="943"/>
      <c r="C255" s="498" t="s">
        <v>1098</v>
      </c>
      <c r="D255" s="817" t="s">
        <v>274</v>
      </c>
      <c r="E255" s="439" t="s">
        <v>117</v>
      </c>
      <c r="F255" s="907" t="s">
        <v>277</v>
      </c>
    </row>
    <row r="256" spans="2:6" ht="57" x14ac:dyDescent="0.85">
      <c r="B256" s="943"/>
      <c r="C256" s="451" t="s">
        <v>475</v>
      </c>
      <c r="D256" s="817" t="s">
        <v>367</v>
      </c>
      <c r="E256" s="439" t="s">
        <v>116</v>
      </c>
      <c r="F256" s="907" t="s">
        <v>278</v>
      </c>
    </row>
    <row r="257" spans="2:6" ht="114" x14ac:dyDescent="0.85">
      <c r="B257" s="943"/>
      <c r="C257" s="447" t="s">
        <v>474</v>
      </c>
      <c r="D257" s="817" t="s">
        <v>478</v>
      </c>
      <c r="E257" s="427" t="s">
        <v>743</v>
      </c>
      <c r="F257" s="901"/>
    </row>
    <row r="258" spans="2:6" ht="114" x14ac:dyDescent="0.85">
      <c r="B258" s="943"/>
      <c r="C258" s="447" t="s">
        <v>479</v>
      </c>
      <c r="D258" s="817" t="s">
        <v>493</v>
      </c>
      <c r="E258" s="439" t="s">
        <v>744</v>
      </c>
      <c r="F258" s="901"/>
    </row>
    <row r="259" spans="2:6" ht="114" x14ac:dyDescent="0.85">
      <c r="B259" s="937" t="s">
        <v>1099</v>
      </c>
      <c r="C259" s="453" t="s">
        <v>1100</v>
      </c>
      <c r="D259" s="817" t="s">
        <v>279</v>
      </c>
      <c r="E259" s="439" t="s">
        <v>619</v>
      </c>
      <c r="F259" s="907" t="s">
        <v>278</v>
      </c>
    </row>
    <row r="260" spans="2:6" ht="171" x14ac:dyDescent="0.85">
      <c r="B260" s="937"/>
      <c r="C260" s="498" t="s">
        <v>476</v>
      </c>
      <c r="D260" s="817" t="s">
        <v>280</v>
      </c>
      <c r="E260" s="439" t="s">
        <v>620</v>
      </c>
      <c r="F260" s="907" t="s">
        <v>278</v>
      </c>
    </row>
    <row r="261" spans="2:6" ht="57" x14ac:dyDescent="0.85">
      <c r="B261" s="937"/>
      <c r="C261" s="498" t="s">
        <v>481</v>
      </c>
      <c r="D261" s="817" t="s">
        <v>483</v>
      </c>
      <c r="E261" s="427" t="s">
        <v>745</v>
      </c>
      <c r="F261" s="901" t="s">
        <v>746</v>
      </c>
    </row>
    <row r="262" spans="2:6" ht="85.5" x14ac:dyDescent="0.85">
      <c r="B262" s="937"/>
      <c r="C262" s="498" t="s">
        <v>482</v>
      </c>
      <c r="D262" s="817" t="s">
        <v>484</v>
      </c>
      <c r="E262" s="427" t="s">
        <v>747</v>
      </c>
      <c r="F262" s="901" t="s">
        <v>746</v>
      </c>
    </row>
    <row r="263" spans="2:6" ht="114" x14ac:dyDescent="0.85">
      <c r="B263" s="941" t="s">
        <v>485</v>
      </c>
      <c r="C263" s="498" t="s">
        <v>339</v>
      </c>
      <c r="D263" s="817" t="s">
        <v>368</v>
      </c>
      <c r="E263" s="439" t="s">
        <v>118</v>
      </c>
      <c r="F263" s="907" t="s">
        <v>748</v>
      </c>
    </row>
    <row r="264" spans="2:6" ht="57" x14ac:dyDescent="0.85">
      <c r="B264" s="941"/>
      <c r="C264" s="498" t="s">
        <v>1101</v>
      </c>
      <c r="D264" s="817" t="s">
        <v>369</v>
      </c>
      <c r="E264" s="427" t="s">
        <v>749</v>
      </c>
      <c r="F264" s="901" t="s">
        <v>750</v>
      </c>
    </row>
    <row r="265" spans="2:6" hidden="1" x14ac:dyDescent="0.85">
      <c r="B265" s="941"/>
      <c r="C265" s="446" t="s">
        <v>638</v>
      </c>
      <c r="D265" s="817" t="s">
        <v>639</v>
      </c>
      <c r="E265" s="439" t="s">
        <v>751</v>
      </c>
      <c r="F265" s="907" t="s">
        <v>748</v>
      </c>
    </row>
    <row r="266" spans="2:6" ht="57" hidden="1" x14ac:dyDescent="0.85">
      <c r="B266" s="941"/>
      <c r="C266" s="446" t="s">
        <v>1102</v>
      </c>
      <c r="D266" s="817" t="s">
        <v>640</v>
      </c>
      <c r="E266" s="427" t="s">
        <v>752</v>
      </c>
      <c r="F266" s="907" t="s">
        <v>750</v>
      </c>
    </row>
    <row r="267" spans="2:6" ht="85.5" hidden="1" x14ac:dyDescent="0.85">
      <c r="B267" s="956" t="s">
        <v>488</v>
      </c>
      <c r="C267" s="498" t="s">
        <v>477</v>
      </c>
      <c r="D267" s="817" t="s">
        <v>281</v>
      </c>
      <c r="E267" s="439" t="s">
        <v>119</v>
      </c>
      <c r="F267" s="907" t="s">
        <v>282</v>
      </c>
    </row>
    <row r="268" spans="2:6" ht="142.5" hidden="1" x14ac:dyDescent="0.85">
      <c r="B268" s="957"/>
      <c r="C268" s="446" t="s">
        <v>1103</v>
      </c>
      <c r="D268" s="817" t="s">
        <v>283</v>
      </c>
      <c r="E268" s="439" t="s">
        <v>621</v>
      </c>
      <c r="F268" s="907" t="s">
        <v>282</v>
      </c>
    </row>
    <row r="269" spans="2:6" ht="85.5" hidden="1" x14ac:dyDescent="0.85">
      <c r="B269" s="957"/>
      <c r="C269" s="446" t="s">
        <v>486</v>
      </c>
      <c r="D269" s="817" t="s">
        <v>489</v>
      </c>
      <c r="E269" s="427" t="s">
        <v>753</v>
      </c>
      <c r="F269" s="907" t="s">
        <v>754</v>
      </c>
    </row>
    <row r="270" spans="2:6" ht="85.5" hidden="1" x14ac:dyDescent="0.85">
      <c r="B270" s="957"/>
      <c r="C270" s="498" t="s">
        <v>487</v>
      </c>
      <c r="D270" s="817" t="s">
        <v>490</v>
      </c>
      <c r="E270" s="427" t="s">
        <v>755</v>
      </c>
      <c r="F270" s="901" t="s">
        <v>756</v>
      </c>
    </row>
    <row r="271" spans="2:6" ht="57" hidden="1" x14ac:dyDescent="0.85">
      <c r="B271" s="957"/>
      <c r="C271" s="1" t="s">
        <v>1260</v>
      </c>
      <c r="D271" s="817" t="s">
        <v>491</v>
      </c>
      <c r="E271" s="427" t="s">
        <v>757</v>
      </c>
      <c r="F271" s="901" t="s">
        <v>758</v>
      </c>
    </row>
    <row r="272" spans="2:6" ht="57" hidden="1" x14ac:dyDescent="0.85">
      <c r="B272" s="957"/>
      <c r="C272" s="671" t="s">
        <v>1255</v>
      </c>
      <c r="D272" s="817" t="s">
        <v>492</v>
      </c>
      <c r="E272" s="427" t="s">
        <v>759</v>
      </c>
      <c r="F272" s="901" t="s">
        <v>758</v>
      </c>
    </row>
    <row r="273" spans="2:139" hidden="1" x14ac:dyDescent="0.85">
      <c r="B273" s="957"/>
      <c r="C273" s="672" t="s">
        <v>1256</v>
      </c>
      <c r="D273" s="633" t="s">
        <v>1258</v>
      </c>
      <c r="E273" s="427"/>
      <c r="F273" s="901"/>
    </row>
    <row r="274" spans="2:139" ht="51.4" thickBot="1" x14ac:dyDescent="0.9">
      <c r="B274" s="958"/>
      <c r="C274" s="673" t="s">
        <v>1257</v>
      </c>
      <c r="D274" s="634" t="s">
        <v>1259</v>
      </c>
      <c r="E274" s="427"/>
      <c r="F274" s="901"/>
    </row>
    <row r="275" spans="2:139" ht="114" x14ac:dyDescent="0.85">
      <c r="B275" s="943" t="s">
        <v>123</v>
      </c>
      <c r="C275" s="498" t="s">
        <v>1104</v>
      </c>
      <c r="D275" s="817" t="s">
        <v>284</v>
      </c>
      <c r="E275" s="439" t="s">
        <v>132</v>
      </c>
      <c r="F275" s="907" t="s">
        <v>286</v>
      </c>
    </row>
    <row r="276" spans="2:139" ht="85.5" x14ac:dyDescent="0.85">
      <c r="B276" s="943"/>
      <c r="C276" s="498" t="s">
        <v>340</v>
      </c>
      <c r="D276" s="817" t="s">
        <v>285</v>
      </c>
      <c r="E276" s="439" t="s">
        <v>622</v>
      </c>
      <c r="F276" s="907" t="s">
        <v>286</v>
      </c>
    </row>
    <row r="277" spans="2:139" ht="57" x14ac:dyDescent="0.85">
      <c r="B277" s="943" t="s">
        <v>507</v>
      </c>
      <c r="C277" s="498" t="s">
        <v>514</v>
      </c>
      <c r="D277" s="817" t="s">
        <v>524</v>
      </c>
      <c r="E277" s="427" t="s">
        <v>760</v>
      </c>
      <c r="F277" s="901" t="s">
        <v>761</v>
      </c>
    </row>
    <row r="278" spans="2:139" ht="57" x14ac:dyDescent="0.85">
      <c r="B278" s="943"/>
      <c r="C278" s="498" t="s">
        <v>509</v>
      </c>
      <c r="D278" s="817" t="s">
        <v>525</v>
      </c>
      <c r="E278" s="427" t="s">
        <v>762</v>
      </c>
      <c r="F278" s="901" t="s">
        <v>761</v>
      </c>
    </row>
    <row r="279" spans="2:139" ht="57" x14ac:dyDescent="0.85">
      <c r="B279" s="943"/>
      <c r="C279" s="447" t="s">
        <v>510</v>
      </c>
      <c r="D279" s="817" t="s">
        <v>526</v>
      </c>
      <c r="E279" s="427" t="s">
        <v>763</v>
      </c>
      <c r="F279" s="901"/>
    </row>
    <row r="280" spans="2:139" ht="57" x14ac:dyDescent="0.85">
      <c r="B280" s="943" t="s">
        <v>511</v>
      </c>
      <c r="C280" s="498" t="s">
        <v>515</v>
      </c>
      <c r="D280" s="817" t="s">
        <v>527</v>
      </c>
      <c r="E280" s="427" t="s">
        <v>764</v>
      </c>
      <c r="F280" s="901" t="s">
        <v>765</v>
      </c>
    </row>
    <row r="281" spans="2:139" ht="57" x14ac:dyDescent="0.85">
      <c r="B281" s="943"/>
      <c r="C281" s="498" t="s">
        <v>512</v>
      </c>
      <c r="D281" s="817" t="s">
        <v>528</v>
      </c>
      <c r="E281" s="427" t="s">
        <v>766</v>
      </c>
      <c r="F281" s="901" t="s">
        <v>765</v>
      </c>
    </row>
    <row r="282" spans="2:139" ht="57" x14ac:dyDescent="0.85">
      <c r="B282" s="943"/>
      <c r="C282" s="447" t="s">
        <v>513</v>
      </c>
      <c r="D282" s="817" t="s">
        <v>529</v>
      </c>
      <c r="E282" s="427" t="s">
        <v>767</v>
      </c>
      <c r="F282" s="901"/>
    </row>
    <row r="283" spans="2:139" ht="57" x14ac:dyDescent="0.85">
      <c r="B283" s="943" t="s">
        <v>508</v>
      </c>
      <c r="C283" s="498" t="s">
        <v>918</v>
      </c>
      <c r="D283" s="817" t="s">
        <v>530</v>
      </c>
      <c r="E283" s="427" t="s">
        <v>768</v>
      </c>
      <c r="F283" s="901" t="s">
        <v>769</v>
      </c>
    </row>
    <row r="284" spans="2:139" ht="57" x14ac:dyDescent="0.85">
      <c r="B284" s="943"/>
      <c r="C284" s="498" t="s">
        <v>919</v>
      </c>
      <c r="D284" s="817" t="s">
        <v>531</v>
      </c>
      <c r="E284" s="427" t="s">
        <v>770</v>
      </c>
      <c r="F284" s="901" t="s">
        <v>769</v>
      </c>
    </row>
    <row r="285" spans="2:139" ht="57" x14ac:dyDescent="0.85">
      <c r="B285" s="943"/>
      <c r="C285" s="454" t="s">
        <v>940</v>
      </c>
      <c r="D285" s="817" t="s">
        <v>532</v>
      </c>
      <c r="E285" s="427" t="s">
        <v>771</v>
      </c>
      <c r="F285" s="901"/>
    </row>
    <row r="286" spans="2:139" x14ac:dyDescent="0.85">
      <c r="B286" s="938" t="s">
        <v>127</v>
      </c>
      <c r="C286" s="939"/>
      <c r="D286" s="939"/>
      <c r="E286" s="939"/>
      <c r="F286" s="940"/>
    </row>
    <row r="287" spans="2:139" ht="114" x14ac:dyDescent="0.85">
      <c r="B287" s="941" t="s">
        <v>480</v>
      </c>
      <c r="C287" s="498" t="s">
        <v>494</v>
      </c>
      <c r="D287" s="817" t="s">
        <v>370</v>
      </c>
      <c r="E287" s="439" t="s">
        <v>70</v>
      </c>
      <c r="F287" s="907" t="s">
        <v>772</v>
      </c>
    </row>
    <row r="288" spans="2:139" s="457" customFormat="1" ht="57" x14ac:dyDescent="0.85">
      <c r="B288" s="941"/>
      <c r="C288" s="498" t="s">
        <v>495</v>
      </c>
      <c r="D288" s="817" t="s">
        <v>371</v>
      </c>
      <c r="E288" s="439" t="s">
        <v>71</v>
      </c>
      <c r="F288" s="907" t="s">
        <v>772</v>
      </c>
      <c r="G288" s="898"/>
      <c r="H288" s="898"/>
      <c r="I288" s="898"/>
      <c r="J288" s="898"/>
      <c r="K288" s="898"/>
      <c r="L288" s="898"/>
      <c r="M288" s="898"/>
      <c r="N288" s="898"/>
      <c r="O288" s="898"/>
      <c r="P288" s="898"/>
      <c r="Q288" s="898"/>
      <c r="R288" s="898"/>
      <c r="S288" s="898"/>
      <c r="T288" s="898"/>
      <c r="U288" s="898"/>
      <c r="V288" s="898"/>
      <c r="W288" s="898"/>
      <c r="X288" s="898"/>
      <c r="Y288" s="898"/>
      <c r="Z288" s="898"/>
      <c r="AA288" s="898"/>
      <c r="AB288" s="898"/>
      <c r="AC288" s="898"/>
      <c r="AD288" s="898"/>
      <c r="AE288" s="898"/>
      <c r="AF288" s="898"/>
      <c r="AG288" s="898"/>
      <c r="AH288" s="898"/>
      <c r="AI288" s="898"/>
      <c r="AJ288" s="898"/>
      <c r="AK288" s="898"/>
      <c r="AL288" s="898"/>
      <c r="AM288" s="898"/>
      <c r="AN288" s="898"/>
      <c r="AO288" s="898"/>
      <c r="AP288" s="898"/>
      <c r="AQ288" s="898"/>
      <c r="AR288" s="898"/>
      <c r="AS288" s="898"/>
      <c r="AT288" s="898"/>
      <c r="AU288" s="898"/>
      <c r="AV288" s="898"/>
      <c r="AW288" s="898"/>
      <c r="AX288" s="898"/>
      <c r="AY288" s="898"/>
      <c r="AZ288" s="898"/>
      <c r="BA288" s="898"/>
      <c r="BB288" s="898"/>
      <c r="BC288" s="898"/>
      <c r="BD288" s="898"/>
      <c r="BE288" s="898"/>
      <c r="BF288" s="898"/>
      <c r="BG288" s="898"/>
      <c r="BH288" s="898"/>
      <c r="BI288" s="898"/>
      <c r="BJ288" s="898"/>
      <c r="BK288" s="898"/>
      <c r="BL288" s="898"/>
      <c r="BM288" s="898"/>
      <c r="BN288" s="898"/>
      <c r="BO288" s="898"/>
      <c r="BP288" s="898"/>
      <c r="BQ288" s="898"/>
      <c r="BR288" s="898"/>
      <c r="BS288" s="898"/>
      <c r="BT288" s="898"/>
      <c r="BU288" s="898"/>
      <c r="BV288" s="898"/>
      <c r="BW288" s="898"/>
      <c r="BX288" s="898"/>
      <c r="BY288" s="898"/>
      <c r="BZ288" s="898"/>
      <c r="CA288" s="898"/>
      <c r="CB288" s="898"/>
      <c r="CC288" s="898"/>
      <c r="CD288" s="898"/>
      <c r="CE288" s="898"/>
      <c r="CF288" s="898"/>
      <c r="CG288" s="898"/>
      <c r="CH288" s="898"/>
      <c r="CI288" s="898"/>
      <c r="CJ288" s="898"/>
      <c r="CK288" s="898"/>
      <c r="CL288" s="898"/>
      <c r="CM288" s="898"/>
      <c r="CN288" s="898"/>
      <c r="CO288" s="898"/>
      <c r="CP288" s="898"/>
      <c r="CQ288" s="898"/>
      <c r="CR288" s="898"/>
      <c r="CS288" s="898"/>
      <c r="CT288" s="898"/>
      <c r="CU288" s="898"/>
      <c r="CV288" s="898"/>
      <c r="CW288" s="898"/>
      <c r="CX288" s="898"/>
      <c r="CY288" s="898"/>
      <c r="CZ288" s="898"/>
      <c r="DA288" s="898"/>
      <c r="DB288" s="898"/>
      <c r="DC288" s="898"/>
      <c r="DD288" s="898"/>
      <c r="DE288" s="898"/>
      <c r="DF288" s="898"/>
      <c r="DG288" s="898"/>
      <c r="DH288" s="898"/>
      <c r="DI288" s="898"/>
      <c r="DJ288" s="898"/>
      <c r="DK288" s="898"/>
      <c r="DL288" s="898"/>
      <c r="DM288" s="898"/>
      <c r="DN288" s="898"/>
      <c r="DO288" s="898"/>
      <c r="DP288" s="898"/>
      <c r="DQ288" s="898"/>
      <c r="DR288" s="898"/>
      <c r="DS288" s="898"/>
      <c r="DT288" s="898"/>
      <c r="DU288" s="898"/>
      <c r="DV288" s="898"/>
      <c r="DW288" s="898"/>
      <c r="DX288" s="898"/>
      <c r="DY288" s="898"/>
      <c r="DZ288" s="898"/>
      <c r="EA288" s="898"/>
      <c r="EB288" s="898"/>
      <c r="EC288" s="898"/>
      <c r="ED288" s="898"/>
      <c r="EE288" s="898"/>
      <c r="EF288" s="898"/>
      <c r="EG288" s="898"/>
      <c r="EH288" s="898"/>
      <c r="EI288" s="898"/>
    </row>
    <row r="289" spans="2:6" x14ac:dyDescent="0.85">
      <c r="B289" s="941"/>
      <c r="C289" s="447" t="s">
        <v>496</v>
      </c>
      <c r="D289" s="817" t="s">
        <v>502</v>
      </c>
      <c r="E289" s="427"/>
      <c r="F289" s="901"/>
    </row>
    <row r="290" spans="2:6" ht="85.5" x14ac:dyDescent="0.85">
      <c r="B290" s="937" t="s">
        <v>1105</v>
      </c>
      <c r="C290" s="498" t="s">
        <v>497</v>
      </c>
      <c r="D290" s="817" t="s">
        <v>503</v>
      </c>
      <c r="E290" s="427" t="s">
        <v>773</v>
      </c>
      <c r="F290" s="907" t="s">
        <v>772</v>
      </c>
    </row>
    <row r="291" spans="2:6" ht="57" x14ac:dyDescent="0.85">
      <c r="B291" s="937"/>
      <c r="C291" s="498" t="s">
        <v>498</v>
      </c>
      <c r="D291" s="817" t="s">
        <v>504</v>
      </c>
      <c r="E291" s="427" t="s">
        <v>774</v>
      </c>
      <c r="F291" s="907" t="s">
        <v>772</v>
      </c>
    </row>
    <row r="292" spans="2:6" ht="57" x14ac:dyDescent="0.85">
      <c r="B292" s="942" t="s">
        <v>485</v>
      </c>
      <c r="C292" s="455" t="s">
        <v>499</v>
      </c>
      <c r="D292" s="826" t="s">
        <v>372</v>
      </c>
      <c r="E292" s="456" t="s">
        <v>137</v>
      </c>
      <c r="F292" s="921" t="s">
        <v>293</v>
      </c>
    </row>
    <row r="293" spans="2:6" ht="57" x14ac:dyDescent="0.85">
      <c r="B293" s="942"/>
      <c r="C293" s="455" t="s">
        <v>636</v>
      </c>
      <c r="D293" s="826" t="s">
        <v>637</v>
      </c>
      <c r="E293" s="456" t="s">
        <v>775</v>
      </c>
      <c r="F293" s="921" t="s">
        <v>293</v>
      </c>
    </row>
    <row r="294" spans="2:6" ht="57" x14ac:dyDescent="0.85">
      <c r="B294" s="959" t="s">
        <v>488</v>
      </c>
      <c r="C294" s="498" t="s">
        <v>500</v>
      </c>
      <c r="D294" s="817" t="s">
        <v>373</v>
      </c>
      <c r="E294" s="439" t="s">
        <v>776</v>
      </c>
      <c r="F294" s="907" t="s">
        <v>777</v>
      </c>
    </row>
    <row r="295" spans="2:6" ht="57.4" thickBot="1" x14ac:dyDescent="0.9">
      <c r="B295" s="960"/>
      <c r="C295" s="498" t="s">
        <v>501</v>
      </c>
      <c r="D295" s="817" t="s">
        <v>505</v>
      </c>
      <c r="E295" s="427" t="s">
        <v>778</v>
      </c>
      <c r="F295" s="907" t="s">
        <v>777</v>
      </c>
    </row>
    <row r="296" spans="2:6" ht="57" x14ac:dyDescent="0.85">
      <c r="B296" s="960"/>
      <c r="C296" s="729" t="s">
        <v>1280</v>
      </c>
      <c r="D296" s="880" t="s">
        <v>506</v>
      </c>
      <c r="E296" s="427" t="s">
        <v>779</v>
      </c>
      <c r="F296" s="907" t="s">
        <v>780</v>
      </c>
    </row>
    <row r="297" spans="2:6" ht="28.9" thickBot="1" x14ac:dyDescent="0.9">
      <c r="B297" s="961"/>
      <c r="C297" s="719" t="s">
        <v>1279</v>
      </c>
      <c r="D297" s="721" t="s">
        <v>1278</v>
      </c>
      <c r="E297" s="427"/>
      <c r="F297" s="907"/>
    </row>
    <row r="298" spans="2:6" ht="57" x14ac:dyDescent="0.85">
      <c r="B298" s="922" t="s">
        <v>287</v>
      </c>
      <c r="C298" s="498" t="s">
        <v>1106</v>
      </c>
      <c r="D298" s="817" t="s">
        <v>374</v>
      </c>
      <c r="E298" s="439" t="s">
        <v>288</v>
      </c>
      <c r="F298" s="907" t="s">
        <v>289</v>
      </c>
    </row>
    <row r="299" spans="2:6" ht="85.5" x14ac:dyDescent="0.85">
      <c r="B299" s="941" t="s">
        <v>1107</v>
      </c>
      <c r="C299" s="498" t="s">
        <v>290</v>
      </c>
      <c r="D299" s="817" t="s">
        <v>375</v>
      </c>
      <c r="E299" s="439" t="s">
        <v>291</v>
      </c>
      <c r="F299" s="907" t="s">
        <v>292</v>
      </c>
    </row>
    <row r="300" spans="2:6" ht="171" x14ac:dyDescent="0.85">
      <c r="B300" s="941"/>
      <c r="C300" s="498" t="s">
        <v>341</v>
      </c>
      <c r="D300" s="817" t="s">
        <v>376</v>
      </c>
      <c r="E300" s="439" t="s">
        <v>138</v>
      </c>
      <c r="F300" s="907" t="s">
        <v>293</v>
      </c>
    </row>
    <row r="301" spans="2:6" ht="142.5" x14ac:dyDescent="0.85">
      <c r="B301" s="941"/>
      <c r="C301" s="498" t="s">
        <v>1108</v>
      </c>
      <c r="D301" s="817" t="s">
        <v>377</v>
      </c>
      <c r="E301" s="439" t="s">
        <v>139</v>
      </c>
      <c r="F301" s="907" t="s">
        <v>294</v>
      </c>
    </row>
    <row r="302" spans="2:6" x14ac:dyDescent="0.85">
      <c r="B302" s="938" t="s">
        <v>129</v>
      </c>
      <c r="C302" s="939"/>
      <c r="D302" s="939"/>
      <c r="E302" s="939"/>
      <c r="F302" s="940"/>
    </row>
    <row r="303" spans="2:6" ht="57" x14ac:dyDescent="0.85">
      <c r="B303" s="922" t="s">
        <v>295</v>
      </c>
      <c r="C303" s="458" t="s">
        <v>1109</v>
      </c>
      <c r="D303" s="817" t="s">
        <v>296</v>
      </c>
      <c r="E303" s="439" t="s">
        <v>781</v>
      </c>
      <c r="F303" s="907" t="s">
        <v>782</v>
      </c>
    </row>
    <row r="304" spans="2:6" ht="85.5" x14ac:dyDescent="0.85">
      <c r="B304" s="937" t="s">
        <v>570</v>
      </c>
      <c r="C304" s="446" t="s">
        <v>393</v>
      </c>
      <c r="D304" s="817" t="s">
        <v>564</v>
      </c>
      <c r="E304" s="427" t="s">
        <v>783</v>
      </c>
      <c r="F304" s="907" t="s">
        <v>782</v>
      </c>
    </row>
    <row r="305" spans="2:6" ht="85.5" x14ac:dyDescent="0.85">
      <c r="B305" s="937"/>
      <c r="C305" s="446" t="s">
        <v>388</v>
      </c>
      <c r="D305" s="817" t="s">
        <v>565</v>
      </c>
      <c r="E305" s="427" t="s">
        <v>784</v>
      </c>
      <c r="F305" s="907" t="s">
        <v>782</v>
      </c>
    </row>
    <row r="306" spans="2:6" ht="85.5" x14ac:dyDescent="0.85">
      <c r="B306" s="937"/>
      <c r="C306" s="498" t="s">
        <v>389</v>
      </c>
      <c r="D306" s="817" t="s">
        <v>566</v>
      </c>
      <c r="E306" s="427" t="s">
        <v>785</v>
      </c>
      <c r="F306" s="907" t="s">
        <v>782</v>
      </c>
    </row>
    <row r="307" spans="2:6" ht="85.5" x14ac:dyDescent="0.85">
      <c r="B307" s="937"/>
      <c r="C307" s="498" t="s">
        <v>390</v>
      </c>
      <c r="D307" s="817" t="s">
        <v>567</v>
      </c>
      <c r="E307" s="427" t="s">
        <v>786</v>
      </c>
      <c r="F307" s="907" t="s">
        <v>782</v>
      </c>
    </row>
    <row r="308" spans="2:6" ht="85.5" x14ac:dyDescent="0.85">
      <c r="B308" s="937"/>
      <c r="C308" s="498" t="s">
        <v>391</v>
      </c>
      <c r="D308" s="817" t="s">
        <v>568</v>
      </c>
      <c r="E308" s="427" t="s">
        <v>787</v>
      </c>
      <c r="F308" s="907" t="s">
        <v>782</v>
      </c>
    </row>
    <row r="309" spans="2:6" ht="85.5" x14ac:dyDescent="0.85">
      <c r="B309" s="937"/>
      <c r="C309" s="498" t="s">
        <v>392</v>
      </c>
      <c r="D309" s="817" t="s">
        <v>569</v>
      </c>
      <c r="E309" s="427" t="s">
        <v>788</v>
      </c>
      <c r="F309" s="907" t="s">
        <v>782</v>
      </c>
    </row>
    <row r="310" spans="2:6" ht="57.4" thickBot="1" x14ac:dyDescent="0.9">
      <c r="B310" s="922" t="s">
        <v>571</v>
      </c>
      <c r="C310" s="459" t="s">
        <v>941</v>
      </c>
      <c r="D310" s="817" t="s">
        <v>297</v>
      </c>
      <c r="E310" s="439" t="s">
        <v>72</v>
      </c>
      <c r="F310" s="907" t="s">
        <v>782</v>
      </c>
    </row>
    <row r="311" spans="2:6" ht="85.5" x14ac:dyDescent="0.85">
      <c r="B311" s="923" t="s">
        <v>971</v>
      </c>
      <c r="C311" s="520" t="s">
        <v>972</v>
      </c>
      <c r="D311" s="827" t="s">
        <v>973</v>
      </c>
      <c r="E311" s="439" t="s">
        <v>980</v>
      </c>
      <c r="F311" s="907" t="s">
        <v>981</v>
      </c>
    </row>
    <row r="312" spans="2:6" ht="57" x14ac:dyDescent="0.85">
      <c r="B312" s="937" t="s">
        <v>572</v>
      </c>
      <c r="C312" s="498" t="s">
        <v>974</v>
      </c>
      <c r="D312" s="817" t="s">
        <v>555</v>
      </c>
      <c r="E312" s="427" t="s">
        <v>975</v>
      </c>
      <c r="F312" s="901" t="s">
        <v>789</v>
      </c>
    </row>
    <row r="313" spans="2:6" ht="57" x14ac:dyDescent="0.85">
      <c r="B313" s="937"/>
      <c r="C313" s="458" t="s">
        <v>1110</v>
      </c>
      <c r="D313" s="817" t="s">
        <v>299</v>
      </c>
      <c r="E313" s="439" t="s">
        <v>298</v>
      </c>
      <c r="F313" s="907" t="s">
        <v>300</v>
      </c>
    </row>
    <row r="314" spans="2:6" ht="57" x14ac:dyDescent="0.85">
      <c r="B314" s="937" t="s">
        <v>438</v>
      </c>
      <c r="C314" s="498" t="s">
        <v>393</v>
      </c>
      <c r="D314" s="817" t="s">
        <v>407</v>
      </c>
      <c r="E314" s="439" t="s">
        <v>424</v>
      </c>
      <c r="F314" s="907" t="s">
        <v>300</v>
      </c>
    </row>
    <row r="315" spans="2:6" ht="57" x14ac:dyDescent="0.85">
      <c r="B315" s="937"/>
      <c r="C315" s="498" t="s">
        <v>388</v>
      </c>
      <c r="D315" s="817" t="s">
        <v>408</v>
      </c>
      <c r="E315" s="439" t="s">
        <v>425</v>
      </c>
      <c r="F315" s="907" t="s">
        <v>300</v>
      </c>
    </row>
    <row r="316" spans="2:6" ht="57" x14ac:dyDescent="0.85">
      <c r="B316" s="937"/>
      <c r="C316" s="498" t="s">
        <v>389</v>
      </c>
      <c r="D316" s="817" t="s">
        <v>409</v>
      </c>
      <c r="E316" s="439" t="s">
        <v>426</v>
      </c>
      <c r="F316" s="907" t="s">
        <v>300</v>
      </c>
    </row>
    <row r="317" spans="2:6" ht="57" x14ac:dyDescent="0.85">
      <c r="B317" s="937"/>
      <c r="C317" s="498" t="s">
        <v>390</v>
      </c>
      <c r="D317" s="817" t="s">
        <v>410</v>
      </c>
      <c r="E317" s="439" t="s">
        <v>427</v>
      </c>
      <c r="F317" s="907" t="s">
        <v>300</v>
      </c>
    </row>
    <row r="318" spans="2:6" ht="57" x14ac:dyDescent="0.85">
      <c r="B318" s="937"/>
      <c r="C318" s="498" t="s">
        <v>391</v>
      </c>
      <c r="D318" s="817" t="s">
        <v>411</v>
      </c>
      <c r="E318" s="439" t="s">
        <v>428</v>
      </c>
      <c r="F318" s="907" t="s">
        <v>300</v>
      </c>
    </row>
    <row r="319" spans="2:6" ht="57" x14ac:dyDescent="0.85">
      <c r="B319" s="937"/>
      <c r="C319" s="498" t="s">
        <v>392</v>
      </c>
      <c r="D319" s="817" t="s">
        <v>412</v>
      </c>
      <c r="E319" s="439" t="s">
        <v>429</v>
      </c>
      <c r="F319" s="907" t="s">
        <v>300</v>
      </c>
    </row>
    <row r="320" spans="2:6" x14ac:dyDescent="0.85">
      <c r="B320" s="937" t="s">
        <v>439</v>
      </c>
      <c r="C320" s="498" t="s">
        <v>442</v>
      </c>
      <c r="D320" s="817" t="s">
        <v>418</v>
      </c>
      <c r="E320" s="439" t="s">
        <v>430</v>
      </c>
      <c r="F320" s="907" t="s">
        <v>436</v>
      </c>
    </row>
    <row r="321" spans="2:6" x14ac:dyDescent="0.85">
      <c r="B321" s="937"/>
      <c r="C321" s="446" t="s">
        <v>413</v>
      </c>
      <c r="D321" s="817" t="s">
        <v>419</v>
      </c>
      <c r="E321" s="439" t="s">
        <v>431</v>
      </c>
      <c r="F321" s="907" t="s">
        <v>436</v>
      </c>
    </row>
    <row r="322" spans="2:6" x14ac:dyDescent="0.85">
      <c r="B322" s="937"/>
      <c r="C322" s="446" t="s">
        <v>414</v>
      </c>
      <c r="D322" s="817" t="s">
        <v>420</v>
      </c>
      <c r="E322" s="439" t="s">
        <v>432</v>
      </c>
      <c r="F322" s="907" t="s">
        <v>436</v>
      </c>
    </row>
    <row r="323" spans="2:6" x14ac:dyDescent="0.85">
      <c r="B323" s="937"/>
      <c r="C323" s="498" t="s">
        <v>415</v>
      </c>
      <c r="D323" s="817" t="s">
        <v>421</v>
      </c>
      <c r="E323" s="439" t="s">
        <v>433</v>
      </c>
      <c r="F323" s="907" t="s">
        <v>436</v>
      </c>
    </row>
    <row r="324" spans="2:6" x14ac:dyDescent="0.85">
      <c r="B324" s="937"/>
      <c r="C324" s="498" t="s">
        <v>416</v>
      </c>
      <c r="D324" s="817" t="s">
        <v>422</v>
      </c>
      <c r="E324" s="439" t="s">
        <v>434</v>
      </c>
      <c r="F324" s="907" t="s">
        <v>436</v>
      </c>
    </row>
    <row r="325" spans="2:6" x14ac:dyDescent="0.85">
      <c r="B325" s="937"/>
      <c r="C325" s="498" t="s">
        <v>417</v>
      </c>
      <c r="D325" s="817" t="s">
        <v>423</v>
      </c>
      <c r="E325" s="439" t="s">
        <v>435</v>
      </c>
      <c r="F325" s="907" t="s">
        <v>436</v>
      </c>
    </row>
    <row r="326" spans="2:6" x14ac:dyDescent="0.85">
      <c r="B326" s="937"/>
      <c r="C326" s="445" t="s">
        <v>437</v>
      </c>
      <c r="D326" s="817" t="s">
        <v>441</v>
      </c>
      <c r="E326" s="427"/>
      <c r="F326" s="901"/>
    </row>
    <row r="327" spans="2:6" ht="57" x14ac:dyDescent="0.85">
      <c r="B327" s="937"/>
      <c r="C327" s="498" t="s">
        <v>459</v>
      </c>
      <c r="D327" s="817" t="s">
        <v>443</v>
      </c>
      <c r="E327" s="439" t="s">
        <v>457</v>
      </c>
      <c r="F327" s="907" t="s">
        <v>436</v>
      </c>
    </row>
    <row r="328" spans="2:6" ht="85.5" x14ac:dyDescent="0.85">
      <c r="B328" s="941" t="s">
        <v>604</v>
      </c>
      <c r="C328" s="498" t="s">
        <v>596</v>
      </c>
      <c r="D328" s="817" t="s">
        <v>552</v>
      </c>
      <c r="E328" s="427" t="s">
        <v>791</v>
      </c>
      <c r="F328" s="901" t="s">
        <v>792</v>
      </c>
    </row>
    <row r="329" spans="2:6" ht="85.5" x14ac:dyDescent="0.85">
      <c r="B329" s="941"/>
      <c r="C329" s="498" t="s">
        <v>597</v>
      </c>
      <c r="D329" s="817" t="s">
        <v>553</v>
      </c>
      <c r="E329" s="427" t="s">
        <v>793</v>
      </c>
      <c r="F329" s="901" t="s">
        <v>792</v>
      </c>
    </row>
    <row r="330" spans="2:6" ht="57" x14ac:dyDescent="0.85">
      <c r="B330" s="941"/>
      <c r="C330" s="445" t="s">
        <v>832</v>
      </c>
      <c r="D330" s="817" t="s">
        <v>551</v>
      </c>
      <c r="E330" s="427"/>
      <c r="F330" s="924"/>
    </row>
    <row r="331" spans="2:6" ht="85.5" x14ac:dyDescent="0.85">
      <c r="B331" s="941"/>
      <c r="C331" s="498" t="s">
        <v>598</v>
      </c>
      <c r="D331" s="817" t="s">
        <v>554</v>
      </c>
      <c r="E331" s="427" t="s">
        <v>794</v>
      </c>
      <c r="F331" s="901" t="s">
        <v>792</v>
      </c>
    </row>
    <row r="332" spans="2:6" ht="85.5" x14ac:dyDescent="0.85">
      <c r="B332" s="941"/>
      <c r="C332" s="498" t="s">
        <v>599</v>
      </c>
      <c r="D332" s="817" t="s">
        <v>592</v>
      </c>
      <c r="E332" s="427" t="s">
        <v>795</v>
      </c>
      <c r="F332" s="901" t="s">
        <v>792</v>
      </c>
    </row>
    <row r="333" spans="2:6" ht="114" x14ac:dyDescent="0.85">
      <c r="B333" s="941"/>
      <c r="C333" s="445" t="s">
        <v>833</v>
      </c>
      <c r="D333" s="817" t="s">
        <v>301</v>
      </c>
      <c r="E333" s="439" t="s">
        <v>790</v>
      </c>
      <c r="F333" s="907" t="s">
        <v>300</v>
      </c>
    </row>
    <row r="334" spans="2:6" ht="57" x14ac:dyDescent="0.85">
      <c r="B334" s="941"/>
      <c r="C334" s="498" t="s">
        <v>1111</v>
      </c>
      <c r="D334" s="817" t="s">
        <v>593</v>
      </c>
      <c r="E334" s="427" t="s">
        <v>796</v>
      </c>
      <c r="F334" s="901" t="s">
        <v>797</v>
      </c>
    </row>
    <row r="335" spans="2:6" ht="57" x14ac:dyDescent="0.85">
      <c r="B335" s="941"/>
      <c r="C335" s="498" t="s">
        <v>1112</v>
      </c>
      <c r="D335" s="817" t="s">
        <v>594</v>
      </c>
      <c r="E335" s="427" t="s">
        <v>798</v>
      </c>
      <c r="F335" s="901" t="s">
        <v>799</v>
      </c>
    </row>
    <row r="336" spans="2:6" ht="57" x14ac:dyDescent="0.85">
      <c r="B336" s="941"/>
      <c r="C336" s="498" t="s">
        <v>1113</v>
      </c>
      <c r="D336" s="817" t="s">
        <v>595</v>
      </c>
      <c r="E336" s="427" t="s">
        <v>800</v>
      </c>
      <c r="F336" s="901" t="s">
        <v>801</v>
      </c>
    </row>
    <row r="337" spans="2:6" ht="57" x14ac:dyDescent="0.85">
      <c r="B337" s="941"/>
      <c r="C337" s="445" t="s">
        <v>834</v>
      </c>
      <c r="D337" s="817" t="s">
        <v>602</v>
      </c>
      <c r="E337" s="460" t="s">
        <v>840</v>
      </c>
      <c r="F337" s="925">
        <f t="shared" ref="F337" si="0">SUM(F334:F336)</f>
        <v>0</v>
      </c>
    </row>
    <row r="338" spans="2:6" ht="28.5" hidden="1" customHeight="1" x14ac:dyDescent="0.85">
      <c r="B338" s="941"/>
      <c r="C338" s="498" t="s">
        <v>600</v>
      </c>
      <c r="D338" s="817" t="s">
        <v>603</v>
      </c>
      <c r="E338" s="427" t="s">
        <v>802</v>
      </c>
      <c r="F338" s="901" t="s">
        <v>803</v>
      </c>
    </row>
    <row r="339" spans="2:6" ht="57" hidden="1" x14ac:dyDescent="0.85">
      <c r="B339" s="941"/>
      <c r="C339" s="445" t="s">
        <v>835</v>
      </c>
      <c r="D339" s="817" t="s">
        <v>606</v>
      </c>
      <c r="E339" s="427" t="s">
        <v>804</v>
      </c>
      <c r="F339" s="901" t="s">
        <v>805</v>
      </c>
    </row>
    <row r="340" spans="2:6" ht="57" hidden="1" x14ac:dyDescent="0.85">
      <c r="B340" s="941"/>
      <c r="C340" s="498" t="s">
        <v>806</v>
      </c>
      <c r="D340" s="817" t="s">
        <v>607</v>
      </c>
      <c r="E340" s="427" t="s">
        <v>807</v>
      </c>
      <c r="F340" s="901" t="s">
        <v>808</v>
      </c>
    </row>
    <row r="341" spans="2:6" ht="57" hidden="1" x14ac:dyDescent="0.85">
      <c r="B341" s="941"/>
      <c r="C341" s="498" t="s">
        <v>809</v>
      </c>
      <c r="D341" s="817" t="s">
        <v>608</v>
      </c>
      <c r="E341" s="427" t="s">
        <v>810</v>
      </c>
      <c r="F341" s="901" t="s">
        <v>808</v>
      </c>
    </row>
    <row r="342" spans="2:6" hidden="1" x14ac:dyDescent="0.85">
      <c r="B342" s="941" t="s">
        <v>605</v>
      </c>
      <c r="C342" s="445" t="s">
        <v>516</v>
      </c>
      <c r="D342" s="817" t="s">
        <v>609</v>
      </c>
      <c r="E342" s="427" t="s">
        <v>705</v>
      </c>
      <c r="F342" s="901" t="s">
        <v>811</v>
      </c>
    </row>
    <row r="343" spans="2:6" hidden="1" x14ac:dyDescent="0.85">
      <c r="B343" s="941"/>
      <c r="C343" s="461" t="s">
        <v>956</v>
      </c>
      <c r="D343" s="817" t="s">
        <v>609</v>
      </c>
      <c r="E343" s="427"/>
      <c r="F343" s="901"/>
    </row>
    <row r="344" spans="2:6" ht="57" hidden="1" x14ac:dyDescent="0.85">
      <c r="B344" s="941"/>
      <c r="C344" s="498" t="s">
        <v>591</v>
      </c>
      <c r="D344" s="817" t="s">
        <v>610</v>
      </c>
      <c r="E344" s="498" t="s">
        <v>812</v>
      </c>
      <c r="F344" s="901" t="s">
        <v>813</v>
      </c>
    </row>
    <row r="345" spans="2:6" ht="57" hidden="1" x14ac:dyDescent="0.85">
      <c r="B345" s="941"/>
      <c r="C345" s="498" t="s">
        <v>1111</v>
      </c>
      <c r="D345" s="817" t="s">
        <v>611</v>
      </c>
      <c r="E345" s="427" t="s">
        <v>814</v>
      </c>
      <c r="F345" s="901" t="s">
        <v>797</v>
      </c>
    </row>
    <row r="346" spans="2:6" ht="57" hidden="1" x14ac:dyDescent="0.85">
      <c r="B346" s="941"/>
      <c r="C346" s="498" t="s">
        <v>1112</v>
      </c>
      <c r="D346" s="817" t="s">
        <v>612</v>
      </c>
      <c r="E346" s="427" t="s">
        <v>815</v>
      </c>
      <c r="F346" s="901" t="s">
        <v>799</v>
      </c>
    </row>
    <row r="347" spans="2:6" ht="57" hidden="1" x14ac:dyDescent="0.85">
      <c r="B347" s="941"/>
      <c r="C347" s="498" t="s">
        <v>1113</v>
      </c>
      <c r="D347" s="817" t="s">
        <v>613</v>
      </c>
      <c r="E347" s="427" t="s">
        <v>816</v>
      </c>
      <c r="F347" s="901" t="s">
        <v>801</v>
      </c>
    </row>
    <row r="348" spans="2:6" ht="85.5" hidden="1" x14ac:dyDescent="0.85">
      <c r="B348" s="941"/>
      <c r="C348" s="498" t="s">
        <v>600</v>
      </c>
      <c r="D348" s="817" t="s">
        <v>614</v>
      </c>
      <c r="E348" s="427" t="s">
        <v>817</v>
      </c>
      <c r="F348" s="901" t="s">
        <v>803</v>
      </c>
    </row>
    <row r="349" spans="2:6" ht="57" hidden="1" x14ac:dyDescent="0.85">
      <c r="B349" s="941"/>
      <c r="C349" s="445" t="s">
        <v>962</v>
      </c>
      <c r="D349" s="817" t="s">
        <v>615</v>
      </c>
      <c r="E349" s="427" t="s">
        <v>818</v>
      </c>
      <c r="F349" s="901" t="s">
        <v>805</v>
      </c>
    </row>
    <row r="350" spans="2:6" hidden="1" x14ac:dyDescent="0.85">
      <c r="B350" s="938" t="s">
        <v>130</v>
      </c>
      <c r="C350" s="939"/>
      <c r="D350" s="939"/>
      <c r="E350" s="939"/>
      <c r="F350" s="940"/>
    </row>
    <row r="351" spans="2:6" ht="85.5" hidden="1" x14ac:dyDescent="0.85">
      <c r="B351" s="949" t="s">
        <v>387</v>
      </c>
      <c r="C351" s="498" t="s">
        <v>393</v>
      </c>
      <c r="D351" s="821" t="s">
        <v>394</v>
      </c>
      <c r="E351" s="439" t="s">
        <v>400</v>
      </c>
      <c r="F351" s="907" t="s">
        <v>406</v>
      </c>
    </row>
    <row r="352" spans="2:6" ht="114" hidden="1" x14ac:dyDescent="0.85">
      <c r="B352" s="949"/>
      <c r="C352" s="498" t="s">
        <v>388</v>
      </c>
      <c r="D352" s="821" t="s">
        <v>395</v>
      </c>
      <c r="E352" s="439" t="s">
        <v>401</v>
      </c>
      <c r="F352" s="907" t="s">
        <v>406</v>
      </c>
    </row>
    <row r="353" spans="2:6" ht="114" hidden="1" x14ac:dyDescent="0.85">
      <c r="B353" s="949"/>
      <c r="C353" s="498" t="s">
        <v>389</v>
      </c>
      <c r="D353" s="821" t="s">
        <v>396</v>
      </c>
      <c r="E353" s="439" t="s">
        <v>402</v>
      </c>
      <c r="F353" s="907" t="s">
        <v>406</v>
      </c>
    </row>
    <row r="354" spans="2:6" ht="114" hidden="1" x14ac:dyDescent="0.85">
      <c r="B354" s="949"/>
      <c r="C354" s="498" t="s">
        <v>390</v>
      </c>
      <c r="D354" s="821" t="s">
        <v>397</v>
      </c>
      <c r="E354" s="439" t="s">
        <v>403</v>
      </c>
      <c r="F354" s="907" t="s">
        <v>406</v>
      </c>
    </row>
    <row r="355" spans="2:6" ht="114" hidden="1" x14ac:dyDescent="0.85">
      <c r="B355" s="949"/>
      <c r="C355" s="498" t="s">
        <v>391</v>
      </c>
      <c r="D355" s="821" t="s">
        <v>398</v>
      </c>
      <c r="E355" s="439" t="s">
        <v>404</v>
      </c>
      <c r="F355" s="907" t="s">
        <v>406</v>
      </c>
    </row>
    <row r="356" spans="2:6" ht="114" hidden="1" x14ac:dyDescent="0.85">
      <c r="B356" s="949"/>
      <c r="C356" s="498" t="s">
        <v>392</v>
      </c>
      <c r="D356" s="821" t="s">
        <v>399</v>
      </c>
      <c r="E356" s="439" t="s">
        <v>405</v>
      </c>
      <c r="F356" s="907" t="s">
        <v>406</v>
      </c>
    </row>
    <row r="357" spans="2:6" ht="85.5" hidden="1" x14ac:dyDescent="0.85">
      <c r="B357" s="937" t="s">
        <v>27</v>
      </c>
      <c r="C357" s="498" t="s">
        <v>342</v>
      </c>
      <c r="D357" s="817" t="s">
        <v>302</v>
      </c>
      <c r="E357" s="439" t="s">
        <v>73</v>
      </c>
      <c r="F357" s="907" t="s">
        <v>303</v>
      </c>
    </row>
    <row r="358" spans="2:6" ht="57" x14ac:dyDescent="0.85">
      <c r="B358" s="937"/>
      <c r="C358" s="498" t="s">
        <v>590</v>
      </c>
      <c r="D358" s="817" t="s">
        <v>447</v>
      </c>
      <c r="E358" s="439" t="s">
        <v>453</v>
      </c>
      <c r="F358" s="907" t="s">
        <v>455</v>
      </c>
    </row>
    <row r="359" spans="2:6" ht="85.5" x14ac:dyDescent="0.85">
      <c r="B359" s="937"/>
      <c r="C359" s="498" t="s">
        <v>451</v>
      </c>
      <c r="D359" s="817" t="s">
        <v>448</v>
      </c>
      <c r="E359" s="439" t="s">
        <v>454</v>
      </c>
      <c r="F359" s="907" t="s">
        <v>455</v>
      </c>
    </row>
    <row r="360" spans="2:6" ht="370.5" x14ac:dyDescent="0.85">
      <c r="B360" s="937"/>
      <c r="C360" s="498" t="s">
        <v>444</v>
      </c>
      <c r="D360" s="817" t="s">
        <v>449</v>
      </c>
      <c r="E360" s="439" t="s">
        <v>445</v>
      </c>
      <c r="F360" s="907" t="s">
        <v>312</v>
      </c>
    </row>
    <row r="361" spans="2:6" ht="114" x14ac:dyDescent="0.85">
      <c r="B361" s="937"/>
      <c r="C361" s="498" t="s">
        <v>446</v>
      </c>
      <c r="D361" s="817" t="s">
        <v>450</v>
      </c>
      <c r="E361" s="439" t="s">
        <v>452</v>
      </c>
      <c r="F361" s="907" t="s">
        <v>456</v>
      </c>
    </row>
    <row r="362" spans="2:6" x14ac:dyDescent="0.85">
      <c r="B362" s="937"/>
      <c r="C362" s="462" t="s">
        <v>458</v>
      </c>
      <c r="D362" s="828" t="s">
        <v>304</v>
      </c>
      <c r="E362" s="427"/>
      <c r="F362" s="901"/>
    </row>
    <row r="363" spans="2:6" ht="85.5" x14ac:dyDescent="0.85">
      <c r="B363" s="937" t="s">
        <v>1114</v>
      </c>
      <c r="C363" s="498" t="s">
        <v>314</v>
      </c>
      <c r="D363" s="817" t="s">
        <v>305</v>
      </c>
      <c r="E363" s="439" t="s">
        <v>80</v>
      </c>
      <c r="F363" s="907" t="s">
        <v>313</v>
      </c>
    </row>
    <row r="364" spans="2:6" ht="57" x14ac:dyDescent="0.85">
      <c r="B364" s="937"/>
      <c r="C364" s="498" t="s">
        <v>547</v>
      </c>
      <c r="D364" s="817" t="s">
        <v>306</v>
      </c>
      <c r="E364" s="439" t="s">
        <v>79</v>
      </c>
      <c r="F364" s="907" t="s">
        <v>313</v>
      </c>
    </row>
    <row r="365" spans="2:6" ht="57" x14ac:dyDescent="0.85">
      <c r="B365" s="937"/>
      <c r="C365" s="498" t="s">
        <v>343</v>
      </c>
      <c r="D365" s="817" t="s">
        <v>307</v>
      </c>
      <c r="E365" s="439" t="s">
        <v>78</v>
      </c>
      <c r="F365" s="907" t="s">
        <v>313</v>
      </c>
    </row>
    <row r="366" spans="2:6" ht="114" x14ac:dyDescent="0.85">
      <c r="B366" s="937"/>
      <c r="C366" s="498" t="s">
        <v>315</v>
      </c>
      <c r="D366" s="817" t="s">
        <v>308</v>
      </c>
      <c r="E366" s="439" t="s">
        <v>74</v>
      </c>
      <c r="F366" s="907"/>
    </row>
    <row r="367" spans="2:6" ht="57" x14ac:dyDescent="0.85">
      <c r="B367" s="937"/>
      <c r="C367" s="498" t="s">
        <v>548</v>
      </c>
      <c r="D367" s="817" t="s">
        <v>309</v>
      </c>
      <c r="E367" s="439" t="s">
        <v>75</v>
      </c>
      <c r="F367" s="907" t="s">
        <v>313</v>
      </c>
    </row>
    <row r="368" spans="2:6" ht="57" x14ac:dyDescent="0.85">
      <c r="B368" s="937"/>
      <c r="C368" s="498" t="s">
        <v>316</v>
      </c>
      <c r="D368" s="817" t="s">
        <v>310</v>
      </c>
      <c r="E368" s="439" t="s">
        <v>76</v>
      </c>
      <c r="F368" s="907" t="s">
        <v>313</v>
      </c>
    </row>
    <row r="369" spans="2:39" x14ac:dyDescent="0.85">
      <c r="B369" s="937"/>
      <c r="C369" s="498" t="s">
        <v>317</v>
      </c>
      <c r="D369" s="817" t="s">
        <v>311</v>
      </c>
      <c r="E369" s="439" t="s">
        <v>77</v>
      </c>
      <c r="F369" s="907" t="s">
        <v>313</v>
      </c>
    </row>
    <row r="370" spans="2:39" hidden="1" x14ac:dyDescent="0.85">
      <c r="B370" s="938" t="s">
        <v>573</v>
      </c>
      <c r="C370" s="939"/>
      <c r="D370" s="939"/>
      <c r="E370" s="939"/>
      <c r="F370" s="940"/>
      <c r="G370" s="465"/>
      <c r="H370" s="465"/>
      <c r="I370" s="465"/>
      <c r="J370" s="465"/>
      <c r="K370" s="465"/>
      <c r="L370" s="465"/>
      <c r="M370" s="465"/>
      <c r="N370" s="465"/>
      <c r="O370" s="465"/>
      <c r="P370" s="465"/>
      <c r="Q370" s="465"/>
      <c r="R370" s="465"/>
      <c r="S370" s="465"/>
      <c r="T370" s="465"/>
      <c r="U370" s="465"/>
      <c r="V370" s="465"/>
      <c r="W370" s="465"/>
      <c r="X370" s="465"/>
      <c r="Y370" s="465"/>
      <c r="Z370" s="465"/>
      <c r="AA370" s="465"/>
      <c r="AB370" s="465"/>
      <c r="AC370" s="465"/>
      <c r="AD370" s="465"/>
      <c r="AE370" s="465"/>
      <c r="AF370" s="465"/>
      <c r="AG370" s="465"/>
      <c r="AH370" s="893"/>
      <c r="AI370" s="893"/>
      <c r="AJ370" s="893"/>
      <c r="AK370" s="893"/>
      <c r="AL370" s="893"/>
      <c r="AM370" s="893"/>
    </row>
    <row r="371" spans="2:39" ht="57" hidden="1" x14ac:dyDescent="0.85">
      <c r="B371" s="948" t="s">
        <v>519</v>
      </c>
      <c r="C371" s="498" t="s">
        <v>520</v>
      </c>
      <c r="D371" s="817" t="s">
        <v>523</v>
      </c>
      <c r="E371" s="427" t="s">
        <v>819</v>
      </c>
      <c r="F371" s="901" t="s">
        <v>820</v>
      </c>
      <c r="G371" s="467"/>
      <c r="H371" s="467"/>
      <c r="I371" s="467"/>
      <c r="J371" s="467"/>
      <c r="K371" s="468"/>
      <c r="L371" s="468"/>
      <c r="M371" s="468"/>
      <c r="N371" s="468"/>
      <c r="O371" s="468"/>
      <c r="P371" s="468"/>
      <c r="Q371" s="468"/>
      <c r="R371" s="468"/>
      <c r="S371" s="468"/>
      <c r="T371" s="468"/>
      <c r="U371" s="468"/>
      <c r="V371" s="468"/>
      <c r="W371" s="468"/>
      <c r="X371" s="468"/>
      <c r="Y371" s="468"/>
      <c r="Z371" s="468"/>
      <c r="AA371" s="468"/>
      <c r="AB371" s="468"/>
      <c r="AC371" s="468"/>
      <c r="AD371" s="468"/>
      <c r="AE371" s="468"/>
      <c r="AF371" s="469"/>
      <c r="AG371" s="470"/>
      <c r="AH371" s="893"/>
      <c r="AI371" s="893"/>
      <c r="AJ371" s="893"/>
      <c r="AK371" s="893"/>
      <c r="AL371" s="893"/>
      <c r="AM371" s="893"/>
    </row>
    <row r="372" spans="2:39" ht="57" x14ac:dyDescent="0.85">
      <c r="B372" s="948"/>
      <c r="C372" s="499" t="s">
        <v>546</v>
      </c>
      <c r="D372" s="817" t="s">
        <v>533</v>
      </c>
      <c r="E372" s="427" t="s">
        <v>821</v>
      </c>
      <c r="F372" s="901" t="s">
        <v>822</v>
      </c>
    </row>
    <row r="373" spans="2:39" ht="57" x14ac:dyDescent="0.85">
      <c r="B373" s="948"/>
      <c r="C373" s="499" t="s">
        <v>995</v>
      </c>
      <c r="D373" s="817" t="s">
        <v>994</v>
      </c>
      <c r="E373" s="427" t="s">
        <v>996</v>
      </c>
      <c r="F373" s="901"/>
    </row>
    <row r="374" spans="2:39" x14ac:dyDescent="0.85">
      <c r="B374" s="948"/>
      <c r="C374" s="454" t="s">
        <v>521</v>
      </c>
      <c r="D374" s="817" t="s">
        <v>534</v>
      </c>
      <c r="E374" s="427" t="s">
        <v>823</v>
      </c>
      <c r="F374" s="901"/>
    </row>
    <row r="375" spans="2:39" x14ac:dyDescent="0.85">
      <c r="B375" s="948"/>
      <c r="C375" s="499" t="s">
        <v>543</v>
      </c>
      <c r="D375" s="817" t="s">
        <v>535</v>
      </c>
      <c r="E375" s="499" t="s">
        <v>824</v>
      </c>
      <c r="F375" s="901" t="s">
        <v>822</v>
      </c>
    </row>
    <row r="376" spans="2:39" ht="57" x14ac:dyDescent="0.85">
      <c r="B376" s="948"/>
      <c r="C376" s="454" t="s">
        <v>522</v>
      </c>
      <c r="D376" s="817" t="s">
        <v>536</v>
      </c>
      <c r="E376" s="427" t="s">
        <v>825</v>
      </c>
      <c r="F376" s="901"/>
    </row>
    <row r="377" spans="2:39" ht="57" x14ac:dyDescent="0.85">
      <c r="B377" s="948"/>
      <c r="C377" s="499" t="s">
        <v>545</v>
      </c>
      <c r="D377" s="817" t="s">
        <v>537</v>
      </c>
      <c r="E377" s="427" t="s">
        <v>826</v>
      </c>
      <c r="F377" s="901" t="s">
        <v>822</v>
      </c>
    </row>
    <row r="378" spans="2:39" ht="57" x14ac:dyDescent="0.85">
      <c r="B378" s="948"/>
      <c r="C378" s="454" t="s">
        <v>538</v>
      </c>
      <c r="D378" s="817" t="s">
        <v>539</v>
      </c>
      <c r="E378" s="427" t="s">
        <v>827</v>
      </c>
      <c r="F378" s="901"/>
    </row>
    <row r="379" spans="2:39" ht="57" x14ac:dyDescent="0.85">
      <c r="B379" s="948"/>
      <c r="C379" s="499" t="s">
        <v>542</v>
      </c>
      <c r="D379" s="817" t="s">
        <v>540</v>
      </c>
      <c r="E379" s="427" t="s">
        <v>828</v>
      </c>
      <c r="F379" s="901" t="s">
        <v>829</v>
      </c>
    </row>
    <row r="380" spans="2:39" ht="57" x14ac:dyDescent="0.85">
      <c r="B380" s="948"/>
      <c r="C380" s="499" t="s">
        <v>544</v>
      </c>
      <c r="D380" s="817" t="s">
        <v>541</v>
      </c>
      <c r="E380" s="427" t="s">
        <v>830</v>
      </c>
      <c r="F380" s="901" t="s">
        <v>829</v>
      </c>
    </row>
    <row r="381" spans="2:39" ht="57" x14ac:dyDescent="0.85">
      <c r="B381" s="948"/>
      <c r="C381" s="454" t="s">
        <v>550</v>
      </c>
      <c r="D381" s="817" t="s">
        <v>549</v>
      </c>
      <c r="E381" s="427" t="s">
        <v>831</v>
      </c>
      <c r="F381" s="901"/>
    </row>
    <row r="382" spans="2:39" ht="28.9" thickBot="1" x14ac:dyDescent="0.9">
      <c r="B382" s="926" t="s">
        <v>968</v>
      </c>
      <c r="C382" s="464"/>
      <c r="D382" s="464"/>
      <c r="E382" s="463"/>
      <c r="F382" s="927"/>
    </row>
    <row r="383" spans="2:39" ht="57.4" thickBot="1" x14ac:dyDescent="0.9">
      <c r="B383" s="928" t="s">
        <v>970</v>
      </c>
      <c r="C383" s="499" t="s">
        <v>969</v>
      </c>
      <c r="D383" s="817" t="s">
        <v>967</v>
      </c>
      <c r="E383" s="514" t="s">
        <v>978</v>
      </c>
      <c r="F383" s="912" t="s">
        <v>979</v>
      </c>
    </row>
    <row r="384" spans="2:39" x14ac:dyDescent="0.85">
      <c r="B384" s="934" t="s">
        <v>121</v>
      </c>
      <c r="C384" s="491" t="s">
        <v>150</v>
      </c>
      <c r="D384" s="763" t="s">
        <v>1118</v>
      </c>
      <c r="E384" s="515"/>
      <c r="F384" s="929"/>
    </row>
    <row r="385" spans="2:6" x14ac:dyDescent="0.85">
      <c r="B385" s="935"/>
      <c r="C385" s="488" t="s">
        <v>1140</v>
      </c>
      <c r="D385" s="764" t="s">
        <v>1119</v>
      </c>
      <c r="E385" s="515"/>
      <c r="F385" s="929"/>
    </row>
    <row r="386" spans="2:6" x14ac:dyDescent="0.85">
      <c r="B386" s="935"/>
      <c r="C386" s="488" t="s">
        <v>1121</v>
      </c>
      <c r="D386" s="764" t="s">
        <v>1120</v>
      </c>
      <c r="E386" s="515"/>
      <c r="F386" s="929"/>
    </row>
    <row r="387" spans="2:6" x14ac:dyDescent="0.85">
      <c r="B387" s="935"/>
      <c r="C387" s="488" t="s">
        <v>1123</v>
      </c>
      <c r="D387" s="764" t="s">
        <v>1122</v>
      </c>
      <c r="E387" s="515"/>
      <c r="F387" s="929"/>
    </row>
    <row r="388" spans="2:6" ht="28.9" thickBot="1" x14ac:dyDescent="0.9">
      <c r="B388" s="936"/>
      <c r="C388" s="492" t="s">
        <v>1125</v>
      </c>
      <c r="D388" s="765" t="s">
        <v>1124</v>
      </c>
      <c r="E388" s="515"/>
      <c r="F388" s="929"/>
    </row>
    <row r="389" spans="2:6" x14ac:dyDescent="0.85">
      <c r="B389" s="934" t="s">
        <v>13</v>
      </c>
      <c r="C389" s="491" t="s">
        <v>150</v>
      </c>
      <c r="D389" s="763" t="s">
        <v>1126</v>
      </c>
      <c r="E389" s="515"/>
      <c r="F389" s="929"/>
    </row>
    <row r="390" spans="2:6" x14ac:dyDescent="0.85">
      <c r="B390" s="935"/>
      <c r="C390" s="488" t="s">
        <v>1140</v>
      </c>
      <c r="D390" s="764" t="s">
        <v>1127</v>
      </c>
      <c r="E390" s="515"/>
      <c r="F390" s="929"/>
    </row>
    <row r="391" spans="2:6" x14ac:dyDescent="0.85">
      <c r="B391" s="935"/>
      <c r="C391" s="488" t="s">
        <v>1121</v>
      </c>
      <c r="D391" s="764" t="s">
        <v>1128</v>
      </c>
      <c r="E391" s="515"/>
      <c r="F391" s="929"/>
    </row>
    <row r="392" spans="2:6" x14ac:dyDescent="0.85">
      <c r="B392" s="935"/>
      <c r="C392" s="488" t="s">
        <v>1123</v>
      </c>
      <c r="D392" s="764" t="s">
        <v>1129</v>
      </c>
      <c r="E392" s="515"/>
      <c r="F392" s="929"/>
    </row>
    <row r="393" spans="2:6" ht="28.9" thickBot="1" x14ac:dyDescent="0.9">
      <c r="B393" s="936"/>
      <c r="C393" s="492" t="s">
        <v>1125</v>
      </c>
      <c r="D393" s="765" t="s">
        <v>1130</v>
      </c>
      <c r="E393" s="515"/>
      <c r="F393" s="929"/>
    </row>
    <row r="394" spans="2:6" x14ac:dyDescent="0.85">
      <c r="B394" s="934" t="s">
        <v>14</v>
      </c>
      <c r="C394" s="491" t="s">
        <v>150</v>
      </c>
      <c r="D394" s="763" t="s">
        <v>1131</v>
      </c>
      <c r="E394" s="515"/>
      <c r="F394" s="929"/>
    </row>
    <row r="395" spans="2:6" x14ac:dyDescent="0.85">
      <c r="B395" s="935"/>
      <c r="C395" s="488" t="s">
        <v>1140</v>
      </c>
      <c r="D395" s="764" t="s">
        <v>1132</v>
      </c>
      <c r="E395" s="515"/>
      <c r="F395" s="929"/>
    </row>
    <row r="396" spans="2:6" x14ac:dyDescent="0.85">
      <c r="B396" s="935"/>
      <c r="C396" s="488" t="s">
        <v>1121</v>
      </c>
      <c r="D396" s="764" t="s">
        <v>1133</v>
      </c>
      <c r="E396" s="515"/>
      <c r="F396" s="929"/>
    </row>
    <row r="397" spans="2:6" x14ac:dyDescent="0.85">
      <c r="B397" s="935"/>
      <c r="C397" s="488" t="s">
        <v>1123</v>
      </c>
      <c r="D397" s="764" t="s">
        <v>1134</v>
      </c>
      <c r="E397" s="515"/>
      <c r="F397" s="929"/>
    </row>
    <row r="398" spans="2:6" ht="28.9" thickBot="1" x14ac:dyDescent="0.9">
      <c r="B398" s="936"/>
      <c r="C398" s="492" t="s">
        <v>1125</v>
      </c>
      <c r="D398" s="765" t="s">
        <v>1135</v>
      </c>
      <c r="E398" s="515"/>
      <c r="F398" s="929"/>
    </row>
    <row r="399" spans="2:6" x14ac:dyDescent="0.85">
      <c r="B399" s="934" t="s">
        <v>15</v>
      </c>
      <c r="C399" s="491" t="s">
        <v>150</v>
      </c>
      <c r="D399" s="763" t="s">
        <v>1136</v>
      </c>
      <c r="E399" s="515"/>
      <c r="F399" s="929"/>
    </row>
    <row r="400" spans="2:6" x14ac:dyDescent="0.85">
      <c r="B400" s="935"/>
      <c r="C400" s="488" t="s">
        <v>1140</v>
      </c>
      <c r="D400" s="764" t="s">
        <v>1137</v>
      </c>
      <c r="E400" s="515"/>
      <c r="F400" s="929"/>
    </row>
    <row r="401" spans="2:6" x14ac:dyDescent="0.85">
      <c r="B401" s="935"/>
      <c r="C401" s="488" t="s">
        <v>1121</v>
      </c>
      <c r="D401" s="764" t="s">
        <v>1138</v>
      </c>
      <c r="E401" s="515"/>
      <c r="F401" s="929"/>
    </row>
    <row r="402" spans="2:6" x14ac:dyDescent="0.85">
      <c r="B402" s="935"/>
      <c r="C402" s="488" t="s">
        <v>1123</v>
      </c>
      <c r="D402" s="764" t="s">
        <v>1139</v>
      </c>
      <c r="E402" s="515"/>
      <c r="F402" s="929"/>
    </row>
    <row r="403" spans="2:6" ht="28.9" thickBot="1" x14ac:dyDescent="0.9">
      <c r="B403" s="936"/>
      <c r="C403" s="492" t="s">
        <v>1125</v>
      </c>
      <c r="D403" s="765" t="s">
        <v>1145</v>
      </c>
      <c r="E403" s="515"/>
      <c r="F403" s="929"/>
    </row>
    <row r="404" spans="2:6" x14ac:dyDescent="0.85">
      <c r="B404" s="934" t="s">
        <v>1141</v>
      </c>
      <c r="C404" s="491" t="s">
        <v>150</v>
      </c>
      <c r="D404" s="763" t="s">
        <v>1146</v>
      </c>
      <c r="E404" s="515"/>
      <c r="F404" s="929"/>
    </row>
    <row r="405" spans="2:6" x14ac:dyDescent="0.85">
      <c r="B405" s="935"/>
      <c r="C405" s="488" t="s">
        <v>1140</v>
      </c>
      <c r="D405" s="764" t="s">
        <v>1147</v>
      </c>
      <c r="E405" s="515"/>
      <c r="F405" s="929"/>
    </row>
    <row r="406" spans="2:6" x14ac:dyDescent="0.85">
      <c r="B406" s="935"/>
      <c r="C406" s="488" t="s">
        <v>1121</v>
      </c>
      <c r="D406" s="764" t="s">
        <v>1148</v>
      </c>
      <c r="E406" s="515"/>
      <c r="F406" s="929"/>
    </row>
    <row r="407" spans="2:6" x14ac:dyDescent="0.85">
      <c r="B407" s="935"/>
      <c r="C407" s="488" t="s">
        <v>1123</v>
      </c>
      <c r="D407" s="764" t="s">
        <v>1149</v>
      </c>
      <c r="E407" s="515"/>
      <c r="F407" s="929"/>
    </row>
    <row r="408" spans="2:6" ht="28.9" thickBot="1" x14ac:dyDescent="0.9">
      <c r="B408" s="936"/>
      <c r="C408" s="492" t="s">
        <v>1125</v>
      </c>
      <c r="D408" s="765" t="s">
        <v>1150</v>
      </c>
      <c r="E408" s="515"/>
      <c r="F408" s="929"/>
    </row>
    <row r="409" spans="2:6" x14ac:dyDescent="0.85">
      <c r="B409" s="934" t="s">
        <v>16</v>
      </c>
      <c r="C409" s="491" t="s">
        <v>150</v>
      </c>
      <c r="D409" s="763" t="s">
        <v>1151</v>
      </c>
      <c r="E409" s="515"/>
      <c r="F409" s="929"/>
    </row>
    <row r="410" spans="2:6" x14ac:dyDescent="0.85">
      <c r="B410" s="935"/>
      <c r="C410" s="488" t="s">
        <v>1140</v>
      </c>
      <c r="D410" s="764" t="s">
        <v>1152</v>
      </c>
      <c r="E410" s="515"/>
      <c r="F410" s="929"/>
    </row>
    <row r="411" spans="2:6" x14ac:dyDescent="0.85">
      <c r="B411" s="935"/>
      <c r="C411" s="488" t="s">
        <v>1121</v>
      </c>
      <c r="D411" s="764" t="s">
        <v>1153</v>
      </c>
      <c r="E411" s="515"/>
      <c r="F411" s="929"/>
    </row>
    <row r="412" spans="2:6" x14ac:dyDescent="0.85">
      <c r="B412" s="935"/>
      <c r="C412" s="488" t="s">
        <v>1123</v>
      </c>
      <c r="D412" s="764" t="s">
        <v>1154</v>
      </c>
      <c r="E412" s="515"/>
      <c r="F412" s="929"/>
    </row>
    <row r="413" spans="2:6" ht="28.9" thickBot="1" x14ac:dyDescent="0.9">
      <c r="B413" s="936"/>
      <c r="C413" s="492" t="s">
        <v>1125</v>
      </c>
      <c r="D413" s="765" t="s">
        <v>1155</v>
      </c>
      <c r="E413" s="515"/>
      <c r="F413" s="929"/>
    </row>
    <row r="414" spans="2:6" x14ac:dyDescent="0.85">
      <c r="B414" s="934" t="s">
        <v>1142</v>
      </c>
      <c r="C414" s="491" t="s">
        <v>150</v>
      </c>
      <c r="D414" s="763" t="s">
        <v>1156</v>
      </c>
      <c r="E414" s="515"/>
      <c r="F414" s="929"/>
    </row>
    <row r="415" spans="2:6" x14ac:dyDescent="0.85">
      <c r="B415" s="935"/>
      <c r="C415" s="488" t="s">
        <v>1140</v>
      </c>
      <c r="D415" s="764" t="s">
        <v>1157</v>
      </c>
      <c r="E415" s="515"/>
      <c r="F415" s="929"/>
    </row>
    <row r="416" spans="2:6" x14ac:dyDescent="0.85">
      <c r="B416" s="935"/>
      <c r="C416" s="488" t="s">
        <v>1121</v>
      </c>
      <c r="D416" s="764" t="s">
        <v>1158</v>
      </c>
      <c r="E416" s="515"/>
      <c r="F416" s="929"/>
    </row>
    <row r="417" spans="2:6" x14ac:dyDescent="0.85">
      <c r="B417" s="935"/>
      <c r="C417" s="488" t="s">
        <v>1123</v>
      </c>
      <c r="D417" s="764" t="s">
        <v>1159</v>
      </c>
      <c r="E417" s="515"/>
      <c r="F417" s="929"/>
    </row>
    <row r="418" spans="2:6" ht="28.9" thickBot="1" x14ac:dyDescent="0.9">
      <c r="B418" s="936"/>
      <c r="C418" s="492" t="s">
        <v>1125</v>
      </c>
      <c r="D418" s="765" t="s">
        <v>1160</v>
      </c>
      <c r="E418" s="515"/>
      <c r="F418" s="929"/>
    </row>
    <row r="419" spans="2:6" x14ac:dyDescent="0.85">
      <c r="B419" s="934" t="s">
        <v>22</v>
      </c>
      <c r="C419" s="491" t="s">
        <v>150</v>
      </c>
      <c r="D419" s="763" t="s">
        <v>1161</v>
      </c>
      <c r="E419" s="515"/>
      <c r="F419" s="929"/>
    </row>
    <row r="420" spans="2:6" x14ac:dyDescent="0.85">
      <c r="B420" s="935"/>
      <c r="C420" s="488" t="s">
        <v>1140</v>
      </c>
      <c r="D420" s="764" t="s">
        <v>1162</v>
      </c>
      <c r="E420" s="515"/>
      <c r="F420" s="929"/>
    </row>
    <row r="421" spans="2:6" x14ac:dyDescent="0.85">
      <c r="B421" s="935"/>
      <c r="C421" s="488" t="s">
        <v>1121</v>
      </c>
      <c r="D421" s="764" t="s">
        <v>1163</v>
      </c>
      <c r="E421" s="515"/>
      <c r="F421" s="929"/>
    </row>
    <row r="422" spans="2:6" x14ac:dyDescent="0.85">
      <c r="B422" s="935"/>
      <c r="C422" s="488" t="s">
        <v>1123</v>
      </c>
      <c r="D422" s="764" t="s">
        <v>1164</v>
      </c>
      <c r="E422" s="515"/>
      <c r="F422" s="929"/>
    </row>
    <row r="423" spans="2:6" ht="28.9" thickBot="1" x14ac:dyDescent="0.9">
      <c r="B423" s="936"/>
      <c r="C423" s="492" t="s">
        <v>1125</v>
      </c>
      <c r="D423" s="765" t="s">
        <v>1165</v>
      </c>
      <c r="E423" s="515"/>
      <c r="F423" s="929"/>
    </row>
    <row r="424" spans="2:6" x14ac:dyDescent="0.85">
      <c r="B424" s="934" t="s">
        <v>18</v>
      </c>
      <c r="C424" s="491" t="s">
        <v>150</v>
      </c>
      <c r="D424" s="763" t="s">
        <v>1166</v>
      </c>
      <c r="E424" s="515"/>
      <c r="F424" s="929"/>
    </row>
    <row r="425" spans="2:6" x14ac:dyDescent="0.85">
      <c r="B425" s="935"/>
      <c r="C425" s="488" t="s">
        <v>1140</v>
      </c>
      <c r="D425" s="764" t="s">
        <v>1167</v>
      </c>
      <c r="E425" s="515"/>
      <c r="F425" s="929"/>
    </row>
    <row r="426" spans="2:6" x14ac:dyDescent="0.85">
      <c r="B426" s="935"/>
      <c r="C426" s="488" t="s">
        <v>1121</v>
      </c>
      <c r="D426" s="764" t="s">
        <v>1168</v>
      </c>
      <c r="E426" s="515"/>
      <c r="F426" s="929"/>
    </row>
    <row r="427" spans="2:6" x14ac:dyDescent="0.85">
      <c r="B427" s="935"/>
      <c r="C427" s="488" t="s">
        <v>1123</v>
      </c>
      <c r="D427" s="764" t="s">
        <v>1169</v>
      </c>
      <c r="E427" s="515"/>
      <c r="F427" s="929"/>
    </row>
    <row r="428" spans="2:6" ht="28.9" thickBot="1" x14ac:dyDescent="0.9">
      <c r="B428" s="936"/>
      <c r="C428" s="492" t="s">
        <v>1125</v>
      </c>
      <c r="D428" s="765" t="s">
        <v>1170</v>
      </c>
      <c r="E428" s="515"/>
      <c r="F428" s="929"/>
    </row>
    <row r="429" spans="2:6" x14ac:dyDescent="0.85">
      <c r="B429" s="934" t="s">
        <v>1056</v>
      </c>
      <c r="C429" s="491" t="s">
        <v>150</v>
      </c>
      <c r="D429" s="763" t="s">
        <v>1171</v>
      </c>
      <c r="E429" s="515"/>
      <c r="F429" s="929"/>
    </row>
    <row r="430" spans="2:6" x14ac:dyDescent="0.85">
      <c r="B430" s="935"/>
      <c r="C430" s="488" t="s">
        <v>1140</v>
      </c>
      <c r="D430" s="764" t="s">
        <v>1172</v>
      </c>
      <c r="E430" s="515"/>
      <c r="F430" s="929"/>
    </row>
    <row r="431" spans="2:6" x14ac:dyDescent="0.85">
      <c r="B431" s="935"/>
      <c r="C431" s="488" t="s">
        <v>1121</v>
      </c>
      <c r="D431" s="764" t="s">
        <v>1173</v>
      </c>
      <c r="E431" s="515"/>
      <c r="F431" s="929"/>
    </row>
    <row r="432" spans="2:6" x14ac:dyDescent="0.85">
      <c r="B432" s="935"/>
      <c r="C432" s="488" t="s">
        <v>1123</v>
      </c>
      <c r="D432" s="764" t="s">
        <v>1174</v>
      </c>
      <c r="E432" s="515"/>
      <c r="F432" s="929"/>
    </row>
    <row r="433" spans="2:6" ht="28.9" thickBot="1" x14ac:dyDescent="0.9">
      <c r="B433" s="936"/>
      <c r="C433" s="492" t="s">
        <v>1125</v>
      </c>
      <c r="D433" s="765" t="s">
        <v>1175</v>
      </c>
      <c r="E433" s="515"/>
      <c r="F433" s="929"/>
    </row>
    <row r="434" spans="2:6" x14ac:dyDescent="0.85">
      <c r="B434" s="934" t="s">
        <v>1143</v>
      </c>
      <c r="C434" s="491" t="s">
        <v>150</v>
      </c>
      <c r="D434" s="763" t="s">
        <v>1176</v>
      </c>
      <c r="E434" s="515"/>
      <c r="F434" s="929"/>
    </row>
    <row r="435" spans="2:6" x14ac:dyDescent="0.85">
      <c r="B435" s="935"/>
      <c r="C435" s="488" t="s">
        <v>1140</v>
      </c>
      <c r="D435" s="764" t="s">
        <v>1177</v>
      </c>
      <c r="E435" s="515"/>
      <c r="F435" s="929"/>
    </row>
    <row r="436" spans="2:6" x14ac:dyDescent="0.85">
      <c r="B436" s="935"/>
      <c r="C436" s="488" t="s">
        <v>1121</v>
      </c>
      <c r="D436" s="764" t="s">
        <v>1178</v>
      </c>
      <c r="E436" s="515"/>
      <c r="F436" s="929"/>
    </row>
    <row r="437" spans="2:6" x14ac:dyDescent="0.85">
      <c r="B437" s="935"/>
      <c r="C437" s="488" t="s">
        <v>1123</v>
      </c>
      <c r="D437" s="764" t="s">
        <v>1179</v>
      </c>
      <c r="E437" s="515"/>
      <c r="F437" s="929"/>
    </row>
    <row r="438" spans="2:6" ht="28.9" thickBot="1" x14ac:dyDescent="0.9">
      <c r="B438" s="936"/>
      <c r="C438" s="492" t="s">
        <v>1125</v>
      </c>
      <c r="D438" s="765" t="s">
        <v>1180</v>
      </c>
      <c r="E438" s="515"/>
      <c r="F438" s="929"/>
    </row>
    <row r="439" spans="2:6" x14ac:dyDescent="0.85">
      <c r="B439" s="934" t="s">
        <v>1144</v>
      </c>
      <c r="C439" s="491" t="s">
        <v>150</v>
      </c>
      <c r="D439" s="763" t="s">
        <v>1181</v>
      </c>
      <c r="E439" s="515"/>
      <c r="F439" s="929"/>
    </row>
    <row r="440" spans="2:6" x14ac:dyDescent="0.85">
      <c r="B440" s="935"/>
      <c r="C440" s="488" t="s">
        <v>1140</v>
      </c>
      <c r="D440" s="764" t="s">
        <v>1182</v>
      </c>
      <c r="E440" s="515"/>
      <c r="F440" s="929"/>
    </row>
    <row r="441" spans="2:6" x14ac:dyDescent="0.85">
      <c r="B441" s="935"/>
      <c r="C441" s="488" t="s">
        <v>1121</v>
      </c>
      <c r="D441" s="764" t="s">
        <v>1183</v>
      </c>
      <c r="E441" s="515"/>
      <c r="F441" s="929"/>
    </row>
    <row r="442" spans="2:6" x14ac:dyDescent="0.85">
      <c r="B442" s="935"/>
      <c r="C442" s="488" t="s">
        <v>1123</v>
      </c>
      <c r="D442" s="764" t="s">
        <v>1184</v>
      </c>
      <c r="E442" s="515"/>
      <c r="F442" s="929"/>
    </row>
    <row r="443" spans="2:6" ht="28.9" thickBot="1" x14ac:dyDescent="0.9">
      <c r="B443" s="936"/>
      <c r="C443" s="492" t="s">
        <v>1125</v>
      </c>
      <c r="D443" s="765" t="s">
        <v>1185</v>
      </c>
      <c r="E443" s="515"/>
      <c r="F443" s="929"/>
    </row>
    <row r="444" spans="2:6" x14ac:dyDescent="0.85">
      <c r="B444" s="934" t="s">
        <v>1191</v>
      </c>
      <c r="C444" s="491" t="s">
        <v>150</v>
      </c>
      <c r="D444" s="763" t="s">
        <v>1186</v>
      </c>
      <c r="E444" s="515"/>
      <c r="F444" s="929"/>
    </row>
    <row r="445" spans="2:6" x14ac:dyDescent="0.85">
      <c r="B445" s="935"/>
      <c r="C445" s="488" t="s">
        <v>1140</v>
      </c>
      <c r="D445" s="764" t="s">
        <v>1187</v>
      </c>
      <c r="E445" s="515"/>
      <c r="F445" s="929"/>
    </row>
    <row r="446" spans="2:6" x14ac:dyDescent="0.85">
      <c r="B446" s="935"/>
      <c r="C446" s="488" t="s">
        <v>1121</v>
      </c>
      <c r="D446" s="764" t="s">
        <v>1188</v>
      </c>
      <c r="E446" s="515"/>
      <c r="F446" s="929"/>
    </row>
    <row r="447" spans="2:6" x14ac:dyDescent="0.85">
      <c r="B447" s="935"/>
      <c r="C447" s="488" t="s">
        <v>1123</v>
      </c>
      <c r="D447" s="764" t="s">
        <v>1189</v>
      </c>
      <c r="E447" s="515"/>
      <c r="F447" s="929"/>
    </row>
    <row r="448" spans="2:6" ht="28.9" thickBot="1" x14ac:dyDescent="0.9">
      <c r="B448" s="936"/>
      <c r="C448" s="492" t="s">
        <v>1125</v>
      </c>
      <c r="D448" s="765" t="s">
        <v>1190</v>
      </c>
      <c r="E448" s="930"/>
      <c r="F448" s="931"/>
    </row>
  </sheetData>
  <autoFilter ref="B2:F381"/>
  <mergeCells count="118">
    <mergeCell ref="G153:N153"/>
    <mergeCell ref="B38:B39"/>
    <mergeCell ref="B85:B88"/>
    <mergeCell ref="B89:B92"/>
    <mergeCell ref="B93:B96"/>
    <mergeCell ref="B113:B118"/>
    <mergeCell ref="B119:B123"/>
    <mergeCell ref="B124:B129"/>
    <mergeCell ref="B130:B132"/>
    <mergeCell ref="B133:B139"/>
    <mergeCell ref="B103:B104"/>
    <mergeCell ref="B97:F97"/>
    <mergeCell ref="B98:B102"/>
    <mergeCell ref="B107:F107"/>
    <mergeCell ref="B108:B111"/>
    <mergeCell ref="B47:B48"/>
    <mergeCell ref="B49:B50"/>
    <mergeCell ref="B77:B80"/>
    <mergeCell ref="B65:B68"/>
    <mergeCell ref="B69:B72"/>
    <mergeCell ref="B73:B76"/>
    <mergeCell ref="B51:F51"/>
    <mergeCell ref="B52:B53"/>
    <mergeCell ref="B54:B55"/>
    <mergeCell ref="B1:E1"/>
    <mergeCell ref="B210:B218"/>
    <mergeCell ref="B219:B227"/>
    <mergeCell ref="B228:B236"/>
    <mergeCell ref="B201:B209"/>
    <mergeCell ref="B200:F200"/>
    <mergeCell ref="B149:F149"/>
    <mergeCell ref="B152:B153"/>
    <mergeCell ref="B154:B155"/>
    <mergeCell ref="B156:B157"/>
    <mergeCell ref="B158:B159"/>
    <mergeCell ref="B160:B161"/>
    <mergeCell ref="B162:B163"/>
    <mergeCell ref="B178:F178"/>
    <mergeCell ref="B179:B185"/>
    <mergeCell ref="B186:B192"/>
    <mergeCell ref="B193:B199"/>
    <mergeCell ref="B145:B146"/>
    <mergeCell ref="B40:B41"/>
    <mergeCell ref="B42:B43"/>
    <mergeCell ref="B4:F4"/>
    <mergeCell ref="B8:B10"/>
    <mergeCell ref="B11:B13"/>
    <mergeCell ref="B56:F56"/>
    <mergeCell ref="B105:B106"/>
    <mergeCell ref="B44:B46"/>
    <mergeCell ref="B147:B148"/>
    <mergeCell ref="B267:B274"/>
    <mergeCell ref="B294:B297"/>
    <mergeCell ref="B5:B7"/>
    <mergeCell ref="B14:F14"/>
    <mergeCell ref="B15:B25"/>
    <mergeCell ref="B81:B84"/>
    <mergeCell ref="B57:B60"/>
    <mergeCell ref="B61:B64"/>
    <mergeCell ref="B26:B27"/>
    <mergeCell ref="B28:B29"/>
    <mergeCell ref="B30:B31"/>
    <mergeCell ref="B32:B33"/>
    <mergeCell ref="B34:B35"/>
    <mergeCell ref="B36:B37"/>
    <mergeCell ref="B150:F150"/>
    <mergeCell ref="B164:F164"/>
    <mergeCell ref="B280:B282"/>
    <mergeCell ref="B239:B240"/>
    <mergeCell ref="B241:B247"/>
    <mergeCell ref="B248:B251"/>
    <mergeCell ref="B283:B285"/>
    <mergeCell ref="B141:B142"/>
    <mergeCell ref="B143:B144"/>
    <mergeCell ref="B409:B413"/>
    <mergeCell ref="B414:B418"/>
    <mergeCell ref="B419:B423"/>
    <mergeCell ref="B424:B428"/>
    <mergeCell ref="B429:B433"/>
    <mergeCell ref="B384:B388"/>
    <mergeCell ref="B389:B393"/>
    <mergeCell ref="B394:B398"/>
    <mergeCell ref="B399:B403"/>
    <mergeCell ref="B404:B408"/>
    <mergeCell ref="B237:B238"/>
    <mergeCell ref="B370:F370"/>
    <mergeCell ref="B371:B381"/>
    <mergeCell ref="B252:F252"/>
    <mergeCell ref="B253:B258"/>
    <mergeCell ref="B259:B262"/>
    <mergeCell ref="B328:B341"/>
    <mergeCell ref="B342:B349"/>
    <mergeCell ref="B350:F350"/>
    <mergeCell ref="B351:B356"/>
    <mergeCell ref="B357:B362"/>
    <mergeCell ref="B363:B369"/>
    <mergeCell ref="B166:B167"/>
    <mergeCell ref="B168:B169"/>
    <mergeCell ref="B170:B171"/>
    <mergeCell ref="B172:B173"/>
    <mergeCell ref="B174:B175"/>
    <mergeCell ref="B176:B177"/>
    <mergeCell ref="B434:B438"/>
    <mergeCell ref="B439:B443"/>
    <mergeCell ref="B444:B448"/>
    <mergeCell ref="B320:B327"/>
    <mergeCell ref="B286:F286"/>
    <mergeCell ref="B287:B289"/>
    <mergeCell ref="B290:B291"/>
    <mergeCell ref="B292:B293"/>
    <mergeCell ref="B299:B301"/>
    <mergeCell ref="B302:F302"/>
    <mergeCell ref="B304:B309"/>
    <mergeCell ref="B312:B313"/>
    <mergeCell ref="B314:B319"/>
    <mergeCell ref="B263:B266"/>
    <mergeCell ref="B275:B276"/>
    <mergeCell ref="B277:B279"/>
  </mergeCells>
  <phoneticPr fontId="3" type="noConversion"/>
  <conditionalFormatting sqref="C285">
    <cfRule type="cellIs" dxfId="1890" priority="133" operator="equal">
      <formula>0</formula>
    </cfRule>
  </conditionalFormatting>
  <conditionalFormatting sqref="F201">
    <cfRule type="cellIs" dxfId="1889" priority="140" operator="equal">
      <formula>0</formula>
    </cfRule>
  </conditionalFormatting>
  <conditionalFormatting sqref="D201:D236">
    <cfRule type="duplicateValues" dxfId="1888" priority="135"/>
  </conditionalFormatting>
  <conditionalFormatting sqref="D201:D236">
    <cfRule type="duplicateValues" dxfId="1887" priority="136"/>
  </conditionalFormatting>
  <conditionalFormatting sqref="D201:D236">
    <cfRule type="duplicateValues" dxfId="1886" priority="134"/>
  </conditionalFormatting>
  <conditionalFormatting sqref="K371:AA371">
    <cfRule type="expression" dxfId="1885" priority="130">
      <formula>K371&gt;K369</formula>
    </cfRule>
  </conditionalFormatting>
  <conditionalFormatting sqref="AF371">
    <cfRule type="notContainsBlanks" dxfId="1884" priority="132">
      <formula>LEN(TRIM(AF371))&gt;0</formula>
    </cfRule>
  </conditionalFormatting>
  <conditionalFormatting sqref="K371:AA371">
    <cfRule type="expression" dxfId="1883" priority="128">
      <formula>K369&gt;K371</formula>
    </cfRule>
  </conditionalFormatting>
  <conditionalFormatting sqref="AB371:AE371">
    <cfRule type="expression" dxfId="1882" priority="127">
      <formula>AB371&gt;AB369</formula>
    </cfRule>
  </conditionalFormatting>
  <conditionalFormatting sqref="AB371:AE371">
    <cfRule type="expression" dxfId="1881" priority="126">
      <formula>AB369&gt;AB371</formula>
    </cfRule>
  </conditionalFormatting>
  <conditionalFormatting sqref="D45:D46">
    <cfRule type="duplicateValues" dxfId="1880" priority="125"/>
  </conditionalFormatting>
  <conditionalFormatting sqref="D45:D46">
    <cfRule type="duplicateValues" dxfId="1879" priority="124"/>
  </conditionalFormatting>
  <conditionalFormatting sqref="D45:D46">
    <cfRule type="duplicateValues" dxfId="1878" priority="123"/>
  </conditionalFormatting>
  <conditionalFormatting sqref="D45:D46">
    <cfRule type="duplicateValues" dxfId="1877" priority="122"/>
  </conditionalFormatting>
  <conditionalFormatting sqref="D140">
    <cfRule type="duplicateValues" dxfId="1876" priority="100"/>
  </conditionalFormatting>
  <conditionalFormatting sqref="D24">
    <cfRule type="duplicateValues" dxfId="1875" priority="96"/>
  </conditionalFormatting>
  <conditionalFormatting sqref="D24">
    <cfRule type="duplicateValues" dxfId="1874" priority="95"/>
  </conditionalFormatting>
  <conditionalFormatting sqref="D24">
    <cfRule type="duplicateValues" dxfId="1873" priority="94"/>
  </conditionalFormatting>
  <conditionalFormatting sqref="D24">
    <cfRule type="duplicateValues" dxfId="1872" priority="93"/>
  </conditionalFormatting>
  <conditionalFormatting sqref="D24">
    <cfRule type="duplicateValues" dxfId="1871" priority="92"/>
  </conditionalFormatting>
  <conditionalFormatting sqref="D24">
    <cfRule type="duplicateValues" dxfId="1870" priority="89"/>
    <cfRule type="duplicateValues" dxfId="1869" priority="91"/>
  </conditionalFormatting>
  <conditionalFormatting sqref="D24">
    <cfRule type="duplicateValues" dxfId="1868" priority="90"/>
  </conditionalFormatting>
  <conditionalFormatting sqref="D47:D48">
    <cfRule type="duplicateValues" dxfId="1867" priority="88"/>
  </conditionalFormatting>
  <conditionalFormatting sqref="D47:D48">
    <cfRule type="duplicateValues" dxfId="1866" priority="87"/>
  </conditionalFormatting>
  <conditionalFormatting sqref="D49:D50">
    <cfRule type="duplicateValues" dxfId="1865" priority="85"/>
  </conditionalFormatting>
  <conditionalFormatting sqref="D47:D50">
    <cfRule type="duplicateValues" dxfId="1864" priority="83"/>
  </conditionalFormatting>
  <conditionalFormatting sqref="D47:D50">
    <cfRule type="duplicateValues" dxfId="1863" priority="82"/>
  </conditionalFormatting>
  <conditionalFormatting sqref="D47:D50">
    <cfRule type="duplicateValues" dxfId="1862" priority="80"/>
  </conditionalFormatting>
  <conditionalFormatting sqref="D52:D53">
    <cfRule type="duplicateValues" dxfId="1861" priority="78"/>
  </conditionalFormatting>
  <conditionalFormatting sqref="D52:D53">
    <cfRule type="duplicateValues" dxfId="1860" priority="77"/>
  </conditionalFormatting>
  <conditionalFormatting sqref="D52:D53">
    <cfRule type="duplicateValues" dxfId="1859" priority="76"/>
  </conditionalFormatting>
  <conditionalFormatting sqref="D52:D53">
    <cfRule type="duplicateValues" dxfId="1858" priority="75"/>
  </conditionalFormatting>
  <conditionalFormatting sqref="D52:D53">
    <cfRule type="duplicateValues" dxfId="1857" priority="74"/>
  </conditionalFormatting>
  <conditionalFormatting sqref="D52:D53">
    <cfRule type="duplicateValues" dxfId="1856" priority="71"/>
    <cfRule type="duplicateValues" dxfId="1855" priority="73"/>
  </conditionalFormatting>
  <conditionalFormatting sqref="D52:D53">
    <cfRule type="duplicateValues" dxfId="1854" priority="72"/>
  </conditionalFormatting>
  <conditionalFormatting sqref="D54:D55">
    <cfRule type="duplicateValues" dxfId="1853" priority="70"/>
  </conditionalFormatting>
  <conditionalFormatting sqref="D54:D55">
    <cfRule type="duplicateValues" dxfId="1852" priority="69"/>
  </conditionalFormatting>
  <conditionalFormatting sqref="D54:D55">
    <cfRule type="duplicateValues" dxfId="1851" priority="68"/>
  </conditionalFormatting>
  <conditionalFormatting sqref="D54:D55">
    <cfRule type="duplicateValues" dxfId="1850" priority="67"/>
  </conditionalFormatting>
  <conditionalFormatting sqref="D54:D55">
    <cfRule type="duplicateValues" dxfId="1849" priority="66"/>
  </conditionalFormatting>
  <conditionalFormatting sqref="D54:D55">
    <cfRule type="duplicateValues" dxfId="1848" priority="63"/>
    <cfRule type="duplicateValues" dxfId="1847" priority="65"/>
  </conditionalFormatting>
  <conditionalFormatting sqref="D54:D55">
    <cfRule type="duplicateValues" dxfId="1846" priority="64"/>
  </conditionalFormatting>
  <conditionalFormatting sqref="D105:D106">
    <cfRule type="duplicateValues" dxfId="1845" priority="62"/>
  </conditionalFormatting>
  <conditionalFormatting sqref="D105:D106">
    <cfRule type="duplicateValues" dxfId="1844" priority="61"/>
  </conditionalFormatting>
  <conditionalFormatting sqref="D105:D106">
    <cfRule type="duplicateValues" dxfId="1843" priority="60"/>
  </conditionalFormatting>
  <conditionalFormatting sqref="D105:D106">
    <cfRule type="duplicateValues" dxfId="1842" priority="59"/>
  </conditionalFormatting>
  <conditionalFormatting sqref="D105:D106">
    <cfRule type="duplicateValues" dxfId="1841" priority="58"/>
  </conditionalFormatting>
  <conditionalFormatting sqref="D105:D106">
    <cfRule type="duplicateValues" dxfId="1840" priority="55"/>
    <cfRule type="duplicateValues" dxfId="1839" priority="57"/>
  </conditionalFormatting>
  <conditionalFormatting sqref="D105:D106">
    <cfRule type="duplicateValues" dxfId="1838" priority="56"/>
  </conditionalFormatting>
  <conditionalFormatting sqref="D44">
    <cfRule type="duplicateValues" dxfId="1837" priority="54"/>
  </conditionalFormatting>
  <conditionalFormatting sqref="D44">
    <cfRule type="duplicateValues" dxfId="1836" priority="53"/>
  </conditionalFormatting>
  <conditionalFormatting sqref="D44">
    <cfRule type="duplicateValues" dxfId="1835" priority="52"/>
  </conditionalFormatting>
  <conditionalFormatting sqref="D44">
    <cfRule type="duplicateValues" dxfId="1834" priority="51"/>
  </conditionalFormatting>
  <conditionalFormatting sqref="D44">
    <cfRule type="duplicateValues" dxfId="1833" priority="50"/>
  </conditionalFormatting>
  <conditionalFormatting sqref="D44">
    <cfRule type="duplicateValues" dxfId="1832" priority="47"/>
    <cfRule type="duplicateValues" dxfId="1831" priority="49"/>
  </conditionalFormatting>
  <conditionalFormatting sqref="D44">
    <cfRule type="duplicateValues" dxfId="1830" priority="48"/>
  </conditionalFormatting>
  <conditionalFormatting sqref="D49:D50">
    <cfRule type="duplicateValues" dxfId="1829" priority="3256"/>
  </conditionalFormatting>
  <conditionalFormatting sqref="D47:D50">
    <cfRule type="duplicateValues" dxfId="1828" priority="3257"/>
  </conditionalFormatting>
  <conditionalFormatting sqref="D47:D50">
    <cfRule type="duplicateValues" dxfId="1827" priority="3258"/>
    <cfRule type="duplicateValues" dxfId="1826" priority="3259"/>
  </conditionalFormatting>
  <conditionalFormatting sqref="D147:D148">
    <cfRule type="duplicateValues" dxfId="1825" priority="46"/>
  </conditionalFormatting>
  <conditionalFormatting sqref="D147:D148">
    <cfRule type="duplicateValues" dxfId="1824" priority="45"/>
  </conditionalFormatting>
  <conditionalFormatting sqref="D147:D148">
    <cfRule type="duplicateValues" dxfId="1823" priority="44"/>
  </conditionalFormatting>
  <conditionalFormatting sqref="D147:D148">
    <cfRule type="duplicateValues" dxfId="1822" priority="43"/>
  </conditionalFormatting>
  <conditionalFormatting sqref="D147:D148">
    <cfRule type="duplicateValues" dxfId="1821" priority="42"/>
  </conditionalFormatting>
  <conditionalFormatting sqref="D147:D148">
    <cfRule type="duplicateValues" dxfId="1820" priority="39"/>
    <cfRule type="duplicateValues" dxfId="1819" priority="41"/>
  </conditionalFormatting>
  <conditionalFormatting sqref="D147:D148">
    <cfRule type="duplicateValues" dxfId="1818" priority="40"/>
  </conditionalFormatting>
  <conditionalFormatting sqref="D273:D274">
    <cfRule type="duplicateValues" dxfId="1817" priority="30"/>
  </conditionalFormatting>
  <conditionalFormatting sqref="D273:D274">
    <cfRule type="duplicateValues" dxfId="1816" priority="29"/>
  </conditionalFormatting>
  <conditionalFormatting sqref="D273:D274">
    <cfRule type="duplicateValues" dxfId="1815" priority="28"/>
  </conditionalFormatting>
  <conditionalFormatting sqref="D273:D274">
    <cfRule type="duplicateValues" dxfId="1814" priority="27"/>
  </conditionalFormatting>
  <conditionalFormatting sqref="D273:D274">
    <cfRule type="duplicateValues" dxfId="1813" priority="26"/>
  </conditionalFormatting>
  <conditionalFormatting sqref="D273:D274">
    <cfRule type="duplicateValues" dxfId="1812" priority="23"/>
    <cfRule type="duplicateValues" dxfId="1811" priority="25"/>
  </conditionalFormatting>
  <conditionalFormatting sqref="D273:D274">
    <cfRule type="duplicateValues" dxfId="1810" priority="24"/>
  </conditionalFormatting>
  <conditionalFormatting sqref="D296:D297">
    <cfRule type="duplicateValues" dxfId="1809" priority="22"/>
  </conditionalFormatting>
  <conditionalFormatting sqref="D296:D297">
    <cfRule type="duplicateValues" dxfId="1808" priority="21"/>
  </conditionalFormatting>
  <conditionalFormatting sqref="D296:D297">
    <cfRule type="duplicateValues" dxfId="1807" priority="20"/>
  </conditionalFormatting>
  <conditionalFormatting sqref="D296:D297">
    <cfRule type="duplicateValues" dxfId="1806" priority="19"/>
  </conditionalFormatting>
  <conditionalFormatting sqref="D296:D297">
    <cfRule type="duplicateValues" dxfId="1805" priority="18"/>
  </conditionalFormatting>
  <conditionalFormatting sqref="D296:D297">
    <cfRule type="duplicateValues" dxfId="1804" priority="9"/>
    <cfRule type="duplicateValues" dxfId="1803" priority="17"/>
  </conditionalFormatting>
  <conditionalFormatting sqref="D297">
    <cfRule type="duplicateValues" dxfId="1802" priority="16"/>
  </conditionalFormatting>
  <conditionalFormatting sqref="D297">
    <cfRule type="duplicateValues" dxfId="1801" priority="15"/>
  </conditionalFormatting>
  <conditionalFormatting sqref="D297">
    <cfRule type="duplicateValues" dxfId="1800" priority="14"/>
  </conditionalFormatting>
  <conditionalFormatting sqref="D297">
    <cfRule type="duplicateValues" dxfId="1799" priority="13"/>
  </conditionalFormatting>
  <conditionalFormatting sqref="D297">
    <cfRule type="duplicateValues" dxfId="1798" priority="12"/>
  </conditionalFormatting>
  <conditionalFormatting sqref="D297">
    <cfRule type="duplicateValues" dxfId="1797" priority="11"/>
  </conditionalFormatting>
  <conditionalFormatting sqref="D296:D297">
    <cfRule type="duplicateValues" dxfId="1796" priority="10"/>
  </conditionalFormatting>
  <conditionalFormatting sqref="D151">
    <cfRule type="duplicateValues" dxfId="1795" priority="3288"/>
  </conditionalFormatting>
  <conditionalFormatting sqref="D151">
    <cfRule type="duplicateValues" dxfId="1794" priority="3293"/>
    <cfRule type="duplicateValues" dxfId="1793" priority="3294"/>
  </conditionalFormatting>
  <conditionalFormatting sqref="D165">
    <cfRule type="duplicateValues" dxfId="1792" priority="3311"/>
  </conditionalFormatting>
  <conditionalFormatting sqref="D165">
    <cfRule type="duplicateValues" dxfId="1791" priority="3312"/>
    <cfRule type="duplicateValues" dxfId="1790" priority="3313"/>
  </conditionalFormatting>
  <dataValidations disablePrompts="1" count="2">
    <dataValidation type="whole" allowBlank="1" showInputMessage="1" showErrorMessage="1" errorTitle="Non-Numeric or abnormal value" error="Enter Numbers only between 0 and 99999" sqref="E201:F202 E337:F337 E9:F13 G371:AB371">
      <formula1>0</formula1>
      <formula2>99999</formula2>
    </dataValidation>
    <dataValidation allowBlank="1" showInputMessage="1" showErrorMessage="1" errorTitle="Non-Numeric or abnormal value" error="Enter Numbers only between 0 and 99999" sqref="E203:F236 E8:F8"/>
  </dataValidations>
  <pageMargins left="0.7" right="0.7" top="0.75" bottom="0.75" header="0.3" footer="0.3"/>
  <pageSetup scale="13" fitToHeight="0" orientation="portrait" r:id="rId1"/>
  <headerFooter>
    <oddHeader>&amp;C&amp;G</oddHead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R537"/>
  <sheetViews>
    <sheetView showGridLines="0" tabSelected="1" showRuler="0" zoomScale="50" zoomScaleNormal="50" zoomScaleSheetLayoutView="68" zoomScalePageLayoutView="21" workbookViewId="0">
      <pane xSplit="3" ySplit="21" topLeftCell="D22" activePane="bottomRight" state="frozen"/>
      <selection pane="topRight" activeCell="D1" sqref="D1"/>
      <selection pane="bottomLeft" activeCell="A22" sqref="A22"/>
      <selection pane="bottomRight" activeCell="M196" sqref="M196"/>
    </sheetView>
  </sheetViews>
  <sheetFormatPr defaultColWidth="9.1328125" defaultRowHeight="28.5" x14ac:dyDescent="0.7"/>
  <cols>
    <col min="1" max="1" width="45.33203125" style="665" customWidth="1" collapsed="1"/>
    <col min="2" max="2" width="123.59765625" style="294" customWidth="1" collapsed="1"/>
    <col min="3" max="3" width="18.3984375" style="61" bestFit="1" customWidth="1" collapsed="1"/>
    <col min="4" max="23" width="7.59765625" style="18" customWidth="1" collapsed="1"/>
    <col min="24" max="24" width="9.1328125" style="18" customWidth="1" collapsed="1"/>
    <col min="25" max="26" width="8.86328125" style="18" customWidth="1" collapsed="1"/>
    <col min="27" max="27" width="9.1328125" style="18" customWidth="1" collapsed="1"/>
    <col min="28" max="35" width="9.1328125" style="18" customWidth="1"/>
    <col min="36" max="36" width="15.1328125" style="18" customWidth="1" collapsed="1"/>
    <col min="37" max="37" width="9.73046875" style="61" customWidth="1" collapsed="1"/>
    <col min="38" max="38" width="39.86328125" style="236" customWidth="1" collapsed="1"/>
    <col min="39" max="39" width="31.59765625" style="18" hidden="1" customWidth="1" collapsed="1"/>
    <col min="40" max="40" width="36.73046875" style="18" customWidth="1" collapsed="1"/>
    <col min="41" max="41" width="9.1328125" style="283" collapsed="1"/>
    <col min="42" max="42" width="37.265625" style="284" bestFit="1" customWidth="1" collapsed="1"/>
    <col min="43" max="43" width="35.86328125" style="285" bestFit="1" customWidth="1" collapsed="1"/>
    <col min="44" max="44" width="9.1328125" style="18"/>
    <col min="45" max="16384" width="9.1328125" style="18" collapsed="1"/>
  </cols>
  <sheetData>
    <row r="1" spans="1:43" s="6" customFormat="1" ht="39" hidden="1" customHeight="1" thickBot="1" x14ac:dyDescent="0.5">
      <c r="A1" s="655" t="s">
        <v>380</v>
      </c>
      <c r="B1" s="1245" t="s">
        <v>461</v>
      </c>
      <c r="C1" s="1246"/>
      <c r="D1" s="1122" t="s">
        <v>140</v>
      </c>
      <c r="E1" s="1123"/>
      <c r="F1" s="1185" t="s">
        <v>462</v>
      </c>
      <c r="G1" s="1187"/>
      <c r="H1" s="1122" t="s">
        <v>379</v>
      </c>
      <c r="I1" s="1177"/>
      <c r="J1" s="1123"/>
      <c r="K1" s="1185" t="s">
        <v>463</v>
      </c>
      <c r="L1" s="1186"/>
      <c r="M1" s="1186"/>
      <c r="N1" s="1186"/>
      <c r="O1" s="1186"/>
      <c r="P1" s="1186"/>
      <c r="Q1" s="1187"/>
      <c r="R1" s="1122" t="s">
        <v>386</v>
      </c>
      <c r="S1" s="1123"/>
      <c r="T1" s="1185" t="s">
        <v>464</v>
      </c>
      <c r="U1" s="1186"/>
      <c r="V1" s="1187"/>
      <c r="W1" s="1122" t="s">
        <v>381</v>
      </c>
      <c r="X1" s="1123"/>
      <c r="Y1" s="4" t="s">
        <v>465</v>
      </c>
      <c r="Z1" s="5" t="s">
        <v>382</v>
      </c>
      <c r="AA1" s="1185">
        <v>2020</v>
      </c>
      <c r="AB1" s="1186"/>
      <c r="AC1" s="1186"/>
      <c r="AD1" s="1186"/>
      <c r="AE1" s="1186"/>
      <c r="AF1" s="1186"/>
      <c r="AG1" s="1186"/>
      <c r="AH1" s="1186"/>
      <c r="AI1" s="1186"/>
      <c r="AJ1" s="1187"/>
      <c r="AK1" s="1239" t="s">
        <v>383</v>
      </c>
      <c r="AL1" s="1240"/>
      <c r="AM1" s="1240"/>
      <c r="AN1" s="1240"/>
      <c r="AO1" s="1235"/>
    </row>
    <row r="2" spans="1:43" s="8" customFormat="1" ht="94.5" customHeight="1" thickBot="1" x14ac:dyDescent="0.8">
      <c r="A2" s="1250"/>
      <c r="B2" s="1251"/>
      <c r="C2" s="1251"/>
      <c r="D2" s="1251"/>
      <c r="E2" s="1251"/>
      <c r="F2" s="1251"/>
      <c r="G2" s="1251"/>
      <c r="H2" s="1251"/>
      <c r="I2" s="1251"/>
      <c r="J2" s="1251"/>
      <c r="K2" s="1251"/>
      <c r="L2" s="1251"/>
      <c r="M2" s="1251"/>
      <c r="N2" s="1251"/>
      <c r="O2" s="1251"/>
      <c r="P2" s="1251"/>
      <c r="Q2" s="1251"/>
      <c r="R2" s="1251"/>
      <c r="S2" s="1251"/>
      <c r="T2" s="1251"/>
      <c r="U2" s="1251"/>
      <c r="V2" s="1251"/>
      <c r="W2" s="1251"/>
      <c r="X2" s="1251"/>
      <c r="Y2" s="1251"/>
      <c r="Z2" s="1251"/>
      <c r="AA2" s="1251"/>
      <c r="AB2" s="1251"/>
      <c r="AC2" s="1251"/>
      <c r="AD2" s="1251"/>
      <c r="AE2" s="1251"/>
      <c r="AF2" s="1251"/>
      <c r="AG2" s="1251"/>
      <c r="AH2" s="1251"/>
      <c r="AI2" s="1251"/>
      <c r="AJ2" s="1251"/>
      <c r="AK2" s="1251"/>
      <c r="AL2" s="1251"/>
      <c r="AM2" s="1251"/>
      <c r="AN2" s="1252"/>
      <c r="AO2" s="1235"/>
      <c r="AP2" s="1233" t="s">
        <v>1015</v>
      </c>
      <c r="AQ2" s="1234"/>
    </row>
    <row r="3" spans="1:43" s="301" customFormat="1" ht="57.4" customHeight="1" thickBot="1" x14ac:dyDescent="0.5">
      <c r="A3" s="1253" t="str">
        <f>CONCATENATE(R1,":  ",T1,"                            ",H1,":   ",K1,"                            ",A1,":   ",B1,"                            ",D1,":   ",F1,"                            Reporting Year:   ",AA1,"              Reporting Month:   ",Y1)</f>
        <v>County:  Laikipia                            Sub County:   Laikipia East                            Health Facility:   Likii Dispensary                            MFL Code:   15035                            Reporting Year:   2020              Reporting Month:   02</v>
      </c>
      <c r="B3" s="1254"/>
      <c r="C3" s="1254"/>
      <c r="D3" s="1254"/>
      <c r="E3" s="1254"/>
      <c r="F3" s="1254"/>
      <c r="G3" s="1254"/>
      <c r="H3" s="1254"/>
      <c r="I3" s="1254"/>
      <c r="J3" s="1254"/>
      <c r="K3" s="1254"/>
      <c r="L3" s="1254"/>
      <c r="M3" s="1254"/>
      <c r="N3" s="1254"/>
      <c r="O3" s="1254"/>
      <c r="P3" s="1254"/>
      <c r="Q3" s="1254"/>
      <c r="R3" s="1254"/>
      <c r="S3" s="1254"/>
      <c r="T3" s="1254"/>
      <c r="U3" s="1254"/>
      <c r="V3" s="1254"/>
      <c r="W3" s="1254"/>
      <c r="X3" s="1254"/>
      <c r="Y3" s="1254"/>
      <c r="Z3" s="1254"/>
      <c r="AA3" s="1254"/>
      <c r="AB3" s="1254"/>
      <c r="AC3" s="1254"/>
      <c r="AD3" s="1254"/>
      <c r="AE3" s="1254"/>
      <c r="AF3" s="1254"/>
      <c r="AG3" s="1254"/>
      <c r="AH3" s="1254"/>
      <c r="AI3" s="1254"/>
      <c r="AJ3" s="1254"/>
      <c r="AK3" s="1254"/>
      <c r="AL3" s="1254"/>
      <c r="AM3" s="1254"/>
      <c r="AN3" s="1255"/>
      <c r="AO3" s="1235"/>
      <c r="AP3" s="302" t="str">
        <f>HYPERLINK("#HIV_TEST","1.1 Hiv Testing")</f>
        <v>1.1 Hiv Testing</v>
      </c>
      <c r="AQ3" s="302" t="str">
        <f>HYPERLINK("#GEND_GBV","5.0 GEND_GBV")</f>
        <v>5.0 GEND_GBV</v>
      </c>
    </row>
    <row r="4" spans="1:43" s="10" customFormat="1" ht="39.75" customHeight="1" thickBot="1" x14ac:dyDescent="0.5">
      <c r="A4" s="1124" t="s">
        <v>1314</v>
      </c>
      <c r="B4" s="1125"/>
      <c r="C4" s="1125"/>
      <c r="D4" s="1184" t="s">
        <v>997</v>
      </c>
      <c r="E4" s="1184"/>
      <c r="F4" s="1184"/>
      <c r="G4" s="1184"/>
      <c r="H4" s="1184"/>
      <c r="I4" s="1184"/>
      <c r="J4" s="1184"/>
      <c r="K4" s="1184"/>
      <c r="L4" s="1184"/>
      <c r="M4" s="1184"/>
      <c r="N4" s="1184"/>
      <c r="O4" s="1184"/>
      <c r="P4" s="1184"/>
      <c r="Q4" s="1184"/>
      <c r="R4" s="1184"/>
      <c r="S4" s="1184"/>
      <c r="T4" s="1184"/>
      <c r="U4" s="1184"/>
      <c r="V4" s="1184"/>
      <c r="W4" s="1200" t="s">
        <v>999</v>
      </c>
      <c r="X4" s="1201"/>
      <c r="Y4" s="1201"/>
      <c r="Z4" s="1201"/>
      <c r="AA4" s="1201"/>
      <c r="AB4" s="1201"/>
      <c r="AC4" s="1201"/>
      <c r="AD4" s="1201"/>
      <c r="AE4" s="1201"/>
      <c r="AF4" s="1201"/>
      <c r="AG4" s="1201"/>
      <c r="AH4" s="1201"/>
      <c r="AI4" s="1201"/>
      <c r="AJ4" s="1201"/>
      <c r="AK4" s="1201"/>
      <c r="AL4" s="1201"/>
      <c r="AM4" s="1201"/>
      <c r="AN4" s="1202"/>
      <c r="AO4" s="1235"/>
      <c r="AP4" s="302" t="str">
        <f>HYPERLINK("#HTS_SELF","1.2 HTS SELF")</f>
        <v>1.2 HTS SELF</v>
      </c>
      <c r="AQ4" s="302" t="str">
        <f>HYPERLINK("#PMTCT_TST","6.1 PMTCT TEST")</f>
        <v>6.1 PMTCT TEST</v>
      </c>
    </row>
    <row r="5" spans="1:43" s="14" customFormat="1" ht="26.25" hidden="1" customHeight="1" thickBot="1" x14ac:dyDescent="0.8">
      <c r="A5" s="1180" t="s">
        <v>37</v>
      </c>
      <c r="B5" s="1181" t="s">
        <v>344</v>
      </c>
      <c r="C5" s="1182" t="s">
        <v>325</v>
      </c>
      <c r="D5" s="1022" t="s">
        <v>0</v>
      </c>
      <c r="E5" s="1022"/>
      <c r="F5" s="1022" t="s">
        <v>1</v>
      </c>
      <c r="G5" s="1022"/>
      <c r="H5" s="1022" t="s">
        <v>2</v>
      </c>
      <c r="I5" s="1022"/>
      <c r="J5" s="1022" t="s">
        <v>3</v>
      </c>
      <c r="K5" s="1022"/>
      <c r="L5" s="1022" t="s">
        <v>4</v>
      </c>
      <c r="M5" s="1022"/>
      <c r="N5" s="1022" t="s">
        <v>5</v>
      </c>
      <c r="O5" s="1022"/>
      <c r="P5" s="1022" t="s">
        <v>6</v>
      </c>
      <c r="Q5" s="1022"/>
      <c r="R5" s="1022" t="s">
        <v>7</v>
      </c>
      <c r="S5" s="1022"/>
      <c r="T5" s="1022" t="s">
        <v>8</v>
      </c>
      <c r="U5" s="1022"/>
      <c r="V5" s="1022" t="s">
        <v>23</v>
      </c>
      <c r="W5" s="1022"/>
      <c r="X5" s="1022" t="s">
        <v>24</v>
      </c>
      <c r="Y5" s="1022"/>
      <c r="Z5" s="1022" t="s">
        <v>9</v>
      </c>
      <c r="AA5" s="1022"/>
      <c r="AB5" s="308"/>
      <c r="AC5" s="308"/>
      <c r="AD5" s="308"/>
      <c r="AE5" s="308"/>
      <c r="AF5" s="308"/>
      <c r="AG5" s="308"/>
      <c r="AH5" s="500"/>
      <c r="AI5" s="500"/>
      <c r="AJ5" s="1188" t="s">
        <v>19</v>
      </c>
      <c r="AK5" s="1035" t="s">
        <v>378</v>
      </c>
      <c r="AL5" s="11" t="s">
        <v>378</v>
      </c>
      <c r="AM5" s="1218" t="s">
        <v>385</v>
      </c>
      <c r="AN5" s="12" t="s">
        <v>948</v>
      </c>
      <c r="AO5" s="1235"/>
      <c r="AP5" s="303"/>
      <c r="AQ5"/>
    </row>
    <row r="6" spans="1:43" s="14" customFormat="1" ht="27" hidden="1" customHeight="1" thickBot="1" x14ac:dyDescent="0.8">
      <c r="A6" s="1040"/>
      <c r="B6" s="1042"/>
      <c r="C6" s="1059"/>
      <c r="D6" s="15" t="s">
        <v>10</v>
      </c>
      <c r="E6" s="15" t="s">
        <v>11</v>
      </c>
      <c r="F6" s="15" t="s">
        <v>10</v>
      </c>
      <c r="G6" s="15" t="s">
        <v>11</v>
      </c>
      <c r="H6" s="15" t="s">
        <v>10</v>
      </c>
      <c r="I6" s="15" t="s">
        <v>11</v>
      </c>
      <c r="J6" s="15" t="s">
        <v>10</v>
      </c>
      <c r="K6" s="15" t="s">
        <v>11</v>
      </c>
      <c r="L6" s="15" t="s">
        <v>10</v>
      </c>
      <c r="M6" s="15" t="s">
        <v>11</v>
      </c>
      <c r="N6" s="15" t="s">
        <v>10</v>
      </c>
      <c r="O6" s="15" t="s">
        <v>11</v>
      </c>
      <c r="P6" s="15" t="s">
        <v>10</v>
      </c>
      <c r="Q6" s="15" t="s">
        <v>11</v>
      </c>
      <c r="R6" s="15" t="s">
        <v>10</v>
      </c>
      <c r="S6" s="15" t="s">
        <v>11</v>
      </c>
      <c r="T6" s="15" t="s">
        <v>10</v>
      </c>
      <c r="U6" s="15" t="s">
        <v>11</v>
      </c>
      <c r="V6" s="15" t="s">
        <v>10</v>
      </c>
      <c r="W6" s="15" t="s">
        <v>11</v>
      </c>
      <c r="X6" s="15" t="s">
        <v>10</v>
      </c>
      <c r="Y6" s="15" t="s">
        <v>11</v>
      </c>
      <c r="Z6" s="15" t="s">
        <v>10</v>
      </c>
      <c r="AA6" s="15" t="s">
        <v>11</v>
      </c>
      <c r="AB6" s="15"/>
      <c r="AC6" s="15"/>
      <c r="AD6" s="15"/>
      <c r="AE6" s="15"/>
      <c r="AF6" s="15"/>
      <c r="AG6" s="15"/>
      <c r="AH6" s="15"/>
      <c r="AI6" s="15"/>
      <c r="AJ6" s="1189"/>
      <c r="AK6" s="1036"/>
      <c r="AL6" s="16" t="str">
        <f>IF(LEN(A486)-LEN(SUBSTITUTE(A486,"*",""))&gt;0," Total Errors are "&amp;(LEN(A486)-LEN(SUBSTITUTE(A486,"*",""))),"")</f>
        <v/>
      </c>
      <c r="AM6" s="1219"/>
      <c r="AN6" s="17" t="str">
        <f>IF(LEN(A508)-LEN(SUBSTITUTE(A508,"*",""))&gt;0," Total Warnings are "&amp;(LEN(A508)-LEN(SUBSTITUTE(A508,"*",""))),"")</f>
        <v/>
      </c>
      <c r="AO6" s="1235"/>
      <c r="AP6" s="303"/>
      <c r="AQ6"/>
    </row>
    <row r="7" spans="1:43" ht="25.9" hidden="1" customHeight="1" thickBot="1" x14ac:dyDescent="0.8">
      <c r="A7" s="1178" t="s">
        <v>468</v>
      </c>
      <c r="B7" s="1179"/>
      <c r="C7" s="1179"/>
      <c r="D7" s="1179"/>
      <c r="E7" s="1179"/>
      <c r="F7" s="1179"/>
      <c r="G7" s="1179"/>
      <c r="H7" s="1179"/>
      <c r="I7" s="1179"/>
      <c r="J7" s="1179"/>
      <c r="K7" s="1179"/>
      <c r="L7" s="1179"/>
      <c r="M7" s="1179"/>
      <c r="N7" s="1179"/>
      <c r="O7" s="1179"/>
      <c r="P7" s="1179"/>
      <c r="Q7" s="1179"/>
      <c r="R7" s="1179"/>
      <c r="S7" s="1179"/>
      <c r="T7" s="1179"/>
      <c r="U7" s="1179"/>
      <c r="V7" s="1179"/>
      <c r="W7" s="1179"/>
      <c r="X7" s="1179"/>
      <c r="Y7" s="1179"/>
      <c r="Z7" s="1179"/>
      <c r="AA7" s="1179"/>
      <c r="AB7" s="1179"/>
      <c r="AC7" s="1179"/>
      <c r="AD7" s="1179"/>
      <c r="AE7" s="1179"/>
      <c r="AF7" s="1179"/>
      <c r="AG7" s="1179"/>
      <c r="AH7" s="1179"/>
      <c r="AI7" s="1179"/>
      <c r="AJ7" s="1179"/>
      <c r="AK7" s="1179"/>
      <c r="AL7" s="1044"/>
      <c r="AM7" s="1179"/>
      <c r="AN7" s="1046"/>
      <c r="AO7" s="1235"/>
      <c r="AP7" s="303"/>
      <c r="AQ7"/>
    </row>
    <row r="8" spans="1:43" ht="31.15" hidden="1" customHeight="1" thickBot="1" x14ac:dyDescent="0.8">
      <c r="A8" s="1206" t="s">
        <v>844</v>
      </c>
      <c r="B8" s="1" t="s">
        <v>641</v>
      </c>
      <c r="C8" s="575" t="s">
        <v>985</v>
      </c>
      <c r="D8" s="19"/>
      <c r="E8" s="19"/>
      <c r="F8" s="19"/>
      <c r="G8" s="20"/>
      <c r="H8" s="21"/>
      <c r="I8" s="22"/>
      <c r="J8" s="22"/>
      <c r="K8" s="22"/>
      <c r="L8" s="22"/>
      <c r="M8" s="22"/>
      <c r="N8" s="22"/>
      <c r="O8" s="22"/>
      <c r="P8" s="22"/>
      <c r="Q8" s="22"/>
      <c r="R8" s="22"/>
      <c r="S8" s="23"/>
      <c r="T8" s="24"/>
      <c r="U8" s="25"/>
      <c r="V8" s="25"/>
      <c r="W8" s="25"/>
      <c r="X8" s="25"/>
      <c r="Y8" s="26"/>
      <c r="Z8" s="27"/>
      <c r="AA8" s="28"/>
      <c r="AB8" s="313"/>
      <c r="AC8" s="313"/>
      <c r="AD8" s="313"/>
      <c r="AE8" s="313"/>
      <c r="AF8" s="313"/>
      <c r="AG8" s="313"/>
      <c r="AH8" s="313"/>
      <c r="AI8" s="313"/>
      <c r="AJ8" s="29">
        <f t="shared" ref="AJ8:AJ10" si="0">SUM(D8:AA8)</f>
        <v>0</v>
      </c>
      <c r="AK8" s="30" t="str">
        <f>CONCATENATE(IF(AJ9&gt;AJ8," * No Screened in OPD "&amp;$AJ$20&amp;" is more than Number Seen at OPD "&amp;CHAR(10),""))</f>
        <v/>
      </c>
      <c r="AL8" s="1241" t="str">
        <f>CONCATENATE(AK8,AK9,AK10,AK11,AK12,AK13,AK15,AK16,AK17,AK18,AK14)</f>
        <v/>
      </c>
      <c r="AM8" s="31"/>
      <c r="AN8" s="1256" t="str">
        <f>CONCATENATE(AM8,AM9,AM10,AM11,AM12,AM13,AM14,AM15,AM16,AM17,AM18)</f>
        <v/>
      </c>
      <c r="AO8" s="1235"/>
      <c r="AP8" s="303"/>
      <c r="AQ8"/>
    </row>
    <row r="9" spans="1:43" ht="25.9" hidden="1" customHeight="1" thickBot="1" x14ac:dyDescent="0.8">
      <c r="A9" s="1204"/>
      <c r="B9" s="32" t="s">
        <v>642</v>
      </c>
      <c r="C9" s="575" t="s">
        <v>986</v>
      </c>
      <c r="D9" s="19"/>
      <c r="E9" s="19"/>
      <c r="F9" s="19"/>
      <c r="G9" s="20"/>
      <c r="H9" s="33"/>
      <c r="I9" s="28"/>
      <c r="J9" s="28"/>
      <c r="K9" s="28"/>
      <c r="L9" s="28"/>
      <c r="M9" s="28"/>
      <c r="N9" s="28"/>
      <c r="O9" s="28"/>
      <c r="P9" s="28"/>
      <c r="Q9" s="28"/>
      <c r="R9" s="28"/>
      <c r="S9" s="34"/>
      <c r="T9" s="35"/>
      <c r="U9" s="19"/>
      <c r="V9" s="19"/>
      <c r="W9" s="19"/>
      <c r="X9" s="19"/>
      <c r="Y9" s="36"/>
      <c r="Z9" s="27"/>
      <c r="AA9" s="28"/>
      <c r="AB9" s="313"/>
      <c r="AC9" s="313"/>
      <c r="AD9" s="313"/>
      <c r="AE9" s="313"/>
      <c r="AF9" s="313"/>
      <c r="AG9" s="313"/>
      <c r="AH9" s="313"/>
      <c r="AI9" s="313"/>
      <c r="AJ9" s="29">
        <f t="shared" si="0"/>
        <v>0</v>
      </c>
      <c r="AK9" s="30" t="str">
        <f>CONCATENATE(IF(AJ10&gt;AJ9," * No Eligible for HTS Testing "&amp;$AJ$20&amp;" is more than No Screened for HTS Eligibility "&amp;CHAR(10),""))</f>
        <v/>
      </c>
      <c r="AL9" s="1242"/>
      <c r="AM9" s="31"/>
      <c r="AN9" s="1257"/>
      <c r="AO9" s="1235"/>
      <c r="AP9" s="303"/>
      <c r="AQ9"/>
    </row>
    <row r="10" spans="1:43" ht="25.9" hidden="1" customHeight="1" thickBot="1" x14ac:dyDescent="0.8">
      <c r="A10" s="1205"/>
      <c r="B10" s="3" t="s">
        <v>469</v>
      </c>
      <c r="C10" s="575" t="s">
        <v>987</v>
      </c>
      <c r="D10" s="19"/>
      <c r="E10" s="19"/>
      <c r="F10" s="19"/>
      <c r="G10" s="20"/>
      <c r="H10" s="37"/>
      <c r="I10" s="38"/>
      <c r="J10" s="38"/>
      <c r="K10" s="38"/>
      <c r="L10" s="38"/>
      <c r="M10" s="38"/>
      <c r="N10" s="38"/>
      <c r="O10" s="38"/>
      <c r="P10" s="38"/>
      <c r="Q10" s="38"/>
      <c r="R10" s="38"/>
      <c r="S10" s="39"/>
      <c r="T10" s="40"/>
      <c r="U10" s="41"/>
      <c r="V10" s="41"/>
      <c r="W10" s="41"/>
      <c r="X10" s="41"/>
      <c r="Y10" s="42"/>
      <c r="Z10" s="43"/>
      <c r="AA10" s="44"/>
      <c r="AB10" s="313"/>
      <c r="AC10" s="313"/>
      <c r="AD10" s="313"/>
      <c r="AE10" s="313"/>
      <c r="AF10" s="313"/>
      <c r="AG10" s="313"/>
      <c r="AH10" s="313"/>
      <c r="AI10" s="313"/>
      <c r="AJ10" s="29">
        <f t="shared" si="0"/>
        <v>0</v>
      </c>
      <c r="AK10" s="45"/>
      <c r="AL10" s="1242"/>
      <c r="AM10" s="31"/>
      <c r="AN10" s="1257"/>
      <c r="AO10" s="1235"/>
      <c r="AP10" s="303"/>
      <c r="AQ10"/>
    </row>
    <row r="11" spans="1:43" ht="25.9" hidden="1" customHeight="1" thickBot="1" x14ac:dyDescent="0.8">
      <c r="A11" s="1203" t="s">
        <v>845</v>
      </c>
      <c r="B11" s="1" t="s">
        <v>854</v>
      </c>
      <c r="C11" s="575" t="s">
        <v>988</v>
      </c>
      <c r="D11" s="46"/>
      <c r="E11" s="19"/>
      <c r="F11" s="19"/>
      <c r="G11" s="19"/>
      <c r="H11" s="19"/>
      <c r="I11" s="19"/>
      <c r="J11" s="19"/>
      <c r="K11" s="19"/>
      <c r="L11" s="19"/>
      <c r="M11" s="19"/>
      <c r="N11" s="19"/>
      <c r="O11" s="19"/>
      <c r="P11" s="19"/>
      <c r="Q11" s="19"/>
      <c r="R11" s="19"/>
      <c r="S11" s="19"/>
      <c r="T11" s="19"/>
      <c r="U11" s="19"/>
      <c r="V11" s="19"/>
      <c r="W11" s="19"/>
      <c r="X11" s="19"/>
      <c r="Y11" s="19"/>
      <c r="Z11" s="19"/>
      <c r="AA11" s="47"/>
      <c r="AB11" s="314"/>
      <c r="AC11" s="314"/>
      <c r="AD11" s="314"/>
      <c r="AE11" s="314"/>
      <c r="AF11" s="314"/>
      <c r="AG11" s="314"/>
      <c r="AH11" s="314"/>
      <c r="AI11" s="314"/>
      <c r="AJ11" s="48"/>
      <c r="AK11" s="30" t="str">
        <f>CONCATENATE(IF(D12&gt;D11," * F00-05 "&amp;$D$20&amp;" "&amp;$D$21&amp;" is more than F00-04"&amp;CHAR(10),""),IF(E12&gt;E11," * F00-05 "&amp;$D$20&amp;" "&amp;$E$21&amp;" is more than F00-04"&amp;CHAR(10),""),IF(F12&gt;F11," * F00-05 "&amp;$F$20&amp;" "&amp;$F$21&amp;" is more than F00-04"&amp;CHAR(10),""),IF(G12&gt;G11," * F00-05 "&amp;$F$20&amp;" "&amp;$G$21&amp;" is more than F00-04"&amp;CHAR(10),""),IF(H12&gt;H11," * F00-05 "&amp;$H$20&amp;" "&amp;$H$21&amp;" is more than F00-04"&amp;CHAR(10),""),IF(I12&gt;I11," * F00-05 "&amp;$H$20&amp;" "&amp;$I$21&amp;" is more than F00-04"&amp;CHAR(10),""),IF(J12&gt;J11," * F00-05 "&amp;$J$20&amp;" "&amp;$J$21&amp;" is more than F00-04"&amp;CHAR(10),""),IF(K12&gt;K11," * F00-05 "&amp;$J$20&amp;" "&amp;$K$21&amp;" is more than F00-04"&amp;CHAR(10),""),IF(L12&gt;L11," * F00-05 "&amp;$L$20&amp;" "&amp;$L$21&amp;" is more than F00-04"&amp;CHAR(10),""),IF(M12&gt;M11," * F00-05 "&amp;$L$20&amp;" "&amp;$M$21&amp;" is more than F00-04"&amp;CHAR(10),""),IF(N12&gt;N11," * F00-05 "&amp;$N$20&amp;" "&amp;$N$21&amp;" is more than F00-04"&amp;CHAR(10),""),IF(O12&gt;O11," * F00-05 "&amp;$N$20&amp;" "&amp;$O$21&amp;" is more than F00-04"&amp;CHAR(10),""),IF(P12&gt;P11," * F00-05 "&amp;$P$20&amp;" "&amp;$P$21&amp;" is more than F00-04"&amp;CHAR(10),""),IF(Q12&gt;Q11," * F00-05 "&amp;$P$20&amp;" "&amp;$Q$21&amp;" is more than F00-04"&amp;CHAR(10),""),IF(R12&gt;R11," * F00-05 "&amp;$R$20&amp;" "&amp;$R$21&amp;" is more than F00-04"&amp;CHAR(10),""),IF(S12&gt;S11," * F00-05 "&amp;$R$20&amp;" "&amp;$S$21&amp;" is more than F00-04"&amp;CHAR(10),""),IF(T12&gt;T11," * F00-05 "&amp;$T$20&amp;" "&amp;$T$21&amp;" is more than F00-04"&amp;CHAR(10),""),IF(U12&gt;U11," * F00-05 "&amp;$T$20&amp;" "&amp;$U$21&amp;" is more than F00-04"&amp;CHAR(10),""),IF(V12&gt;V11," * F00-05 "&amp;$V$20&amp;" "&amp;$V$21&amp;" is more than F00-04"&amp;CHAR(10),""),IF(W12&gt;W11," * F00-05 "&amp;$V$20&amp;" "&amp;$W$21&amp;" is more than F00-04"&amp;CHAR(10),""),IF(X12&gt;X11," * F00-05 "&amp;$X$20&amp;" "&amp;$X$21&amp;" is more than F00-04"&amp;CHAR(10),""),IF(Y12&gt;Y11," * F00-05 "&amp;$X$20&amp;" "&amp;$Y$21&amp;" is more than F00-04"&amp;CHAR(10),""),IF(Z12&gt;Z11," * F00-05 "&amp;$Z$20&amp;" "&amp;$Z$21&amp;" is more than F00-04"&amp;CHAR(10),""),IF(AA12&gt;AA11," * F00-05 "&amp;$Z$20&amp;" "&amp;$AA$21&amp;" is more than F00-04"&amp;CHAR(10),""))</f>
        <v/>
      </c>
      <c r="AL11" s="1242"/>
      <c r="AM11" s="31"/>
      <c r="AN11" s="1257"/>
      <c r="AO11" s="1235"/>
      <c r="AP11" s="303"/>
      <c r="AQ11"/>
    </row>
    <row r="12" spans="1:43" ht="25.9" hidden="1" customHeight="1" thickBot="1" x14ac:dyDescent="0.8">
      <c r="A12" s="1204"/>
      <c r="B12" s="32" t="s">
        <v>642</v>
      </c>
      <c r="C12" s="576" t="s">
        <v>848</v>
      </c>
      <c r="D12" s="49"/>
      <c r="E12" s="50"/>
      <c r="F12" s="50"/>
      <c r="G12" s="50"/>
      <c r="H12" s="50"/>
      <c r="I12" s="50"/>
      <c r="J12" s="50"/>
      <c r="K12" s="50"/>
      <c r="L12" s="50"/>
      <c r="M12" s="50"/>
      <c r="N12" s="50"/>
      <c r="O12" s="50"/>
      <c r="P12" s="50"/>
      <c r="Q12" s="50"/>
      <c r="R12" s="50"/>
      <c r="S12" s="50"/>
      <c r="T12" s="50"/>
      <c r="U12" s="50"/>
      <c r="V12" s="50"/>
      <c r="W12" s="50"/>
      <c r="X12" s="50"/>
      <c r="Y12" s="50"/>
      <c r="Z12" s="50"/>
      <c r="AA12" s="51"/>
      <c r="AB12" s="314"/>
      <c r="AC12" s="314"/>
      <c r="AD12" s="314"/>
      <c r="AE12" s="314"/>
      <c r="AF12" s="314"/>
      <c r="AG12" s="314"/>
      <c r="AH12" s="314"/>
      <c r="AI12" s="314"/>
      <c r="AJ12" s="52">
        <f t="shared" ref="AJ12:AJ17" si="1">SUM(D12:AA12)</f>
        <v>0</v>
      </c>
      <c r="AK12" s="30" t="str">
        <f>CONCATENATE(IF(D13&gt;D12," * F00-06 "&amp;$D$20&amp;" "&amp;$D$21&amp;" is more than F00-05"&amp;CHAR(10),""),IF(E13&gt;E12," * F00-06 "&amp;$D$20&amp;" "&amp;$E$21&amp;" is more than F00-05"&amp;CHAR(10),""),IF(F13&gt;F12," * F00-06 "&amp;$F$20&amp;" "&amp;$F$21&amp;" is more than F00-05"&amp;CHAR(10),""),IF(G13&gt;G12," * F00-06 "&amp;$F$20&amp;" "&amp;$G$21&amp;" is more than F00-05"&amp;CHAR(10),""),IF(H13&gt;H12," * F00-06 "&amp;$H$20&amp;" "&amp;$H$21&amp;" is more than F00-05"&amp;CHAR(10),""),IF(I13&gt;I12," * F00-06 "&amp;$H$20&amp;" "&amp;$I$21&amp;" is more than F00-05"&amp;CHAR(10),""),IF(J13&gt;J12," * F00-06 "&amp;$J$20&amp;" "&amp;$J$21&amp;" is more than F00-05"&amp;CHAR(10),""),IF(K13&gt;K12," * F00-06 "&amp;$J$20&amp;" "&amp;$K$21&amp;" is more than F00-05"&amp;CHAR(10),""),IF(L13&gt;L12," * F00-06 "&amp;$L$20&amp;" "&amp;$L$21&amp;" is more than F00-05"&amp;CHAR(10),""),IF(M13&gt;M12," * F00-06 "&amp;$L$20&amp;" "&amp;$M$21&amp;" is more than F00-05"&amp;CHAR(10),""),IF(N13&gt;N12," * F00-06 "&amp;$N$20&amp;" "&amp;$N$21&amp;" is more than F00-05"&amp;CHAR(10),""),IF(O13&gt;O12," * F00-06 "&amp;$N$20&amp;" "&amp;$O$21&amp;" is more than F00-05"&amp;CHAR(10),""),IF(P13&gt;P12," * F00-06 "&amp;$P$20&amp;" "&amp;$P$21&amp;" is more than F00-05"&amp;CHAR(10),""),IF(Q13&gt;Q12," * F00-06 "&amp;$P$20&amp;" "&amp;$Q$21&amp;" is more than F00-05"&amp;CHAR(10),""),IF(R13&gt;R12," * F00-06 "&amp;$R$20&amp;" "&amp;$R$21&amp;" is more than F00-05"&amp;CHAR(10),""),IF(S13&gt;S12," * F00-06 "&amp;$R$20&amp;" "&amp;$S$21&amp;" is more than F00-05"&amp;CHAR(10),""),IF(T13&gt;T12," * F00-06 "&amp;$T$20&amp;" "&amp;$T$21&amp;" is more than F00-05"&amp;CHAR(10),""),IF(U13&gt;U12," * F00-06 "&amp;$T$20&amp;" "&amp;$U$21&amp;" is more than F00-05"&amp;CHAR(10),""),IF(V13&gt;V12," * F00-06 "&amp;$V$20&amp;" "&amp;$V$21&amp;" is more than F00-05"&amp;CHAR(10),""),IF(W13&gt;W12," * F00-06 "&amp;$V$20&amp;" "&amp;$W$21&amp;" is more than F00-05"&amp;CHAR(10),""),IF(X13&gt;X12," * F00-06 "&amp;$X$20&amp;" "&amp;$X$21&amp;" is more than F00-05"&amp;CHAR(10),""),IF(Y13&gt;Y12," * F00-06 "&amp;$X$20&amp;" "&amp;$Y$21&amp;" is more than F00-05"&amp;CHAR(10),""),IF(Z13&gt;Z12," * F00-06 "&amp;$Z$20&amp;" "&amp;$Z$21&amp;" is more than F00-05"&amp;CHAR(10),""),IF(AA13&gt;AA12," * F00-06 "&amp;$Z$20&amp;" "&amp;$AA$21&amp;" is more than F00-05"&amp;CHAR(10),""))</f>
        <v/>
      </c>
      <c r="AL12" s="1242"/>
      <c r="AM12" s="31"/>
      <c r="AN12" s="1257"/>
      <c r="AO12" s="1235"/>
      <c r="AP12" s="303"/>
      <c r="AQ12"/>
    </row>
    <row r="13" spans="1:43" ht="25.9" hidden="1" customHeight="1" thickBot="1" x14ac:dyDescent="0.8">
      <c r="A13" s="1205"/>
      <c r="B13" s="3" t="s">
        <v>469</v>
      </c>
      <c r="C13" s="577" t="s">
        <v>849</v>
      </c>
      <c r="D13" s="53"/>
      <c r="E13" s="54"/>
      <c r="F13" s="54"/>
      <c r="G13" s="54"/>
      <c r="H13" s="54"/>
      <c r="I13" s="54"/>
      <c r="J13" s="54"/>
      <c r="K13" s="54"/>
      <c r="L13" s="54"/>
      <c r="M13" s="54"/>
      <c r="N13" s="54"/>
      <c r="O13" s="54"/>
      <c r="P13" s="54"/>
      <c r="Q13" s="54"/>
      <c r="R13" s="54"/>
      <c r="S13" s="54"/>
      <c r="T13" s="54"/>
      <c r="U13" s="54"/>
      <c r="V13" s="54"/>
      <c r="W13" s="54"/>
      <c r="X13" s="54"/>
      <c r="Y13" s="54"/>
      <c r="Z13" s="54"/>
      <c r="AA13" s="55"/>
      <c r="AB13" s="315"/>
      <c r="AC13" s="315"/>
      <c r="AD13" s="315"/>
      <c r="AE13" s="315"/>
      <c r="AF13" s="315"/>
      <c r="AG13" s="315"/>
      <c r="AH13" s="315"/>
      <c r="AI13" s="315"/>
      <c r="AJ13" s="56">
        <f t="shared" si="1"/>
        <v>0</v>
      </c>
      <c r="AK13" s="45"/>
      <c r="AL13" s="1242"/>
      <c r="AM13" s="31"/>
      <c r="AN13" s="1257"/>
      <c r="AO13" s="1235"/>
      <c r="AP13" s="303"/>
      <c r="AQ13"/>
    </row>
    <row r="14" spans="1:43" s="61" customFormat="1" ht="51.4" hidden="1" customHeight="1" thickBot="1" x14ac:dyDescent="0.8">
      <c r="A14" s="656" t="s">
        <v>910</v>
      </c>
      <c r="B14" s="57" t="s">
        <v>856</v>
      </c>
      <c r="C14" s="578" t="s">
        <v>850</v>
      </c>
      <c r="D14" s="58">
        <f t="shared" ref="D14:E14" si="2">D13+D10</f>
        <v>0</v>
      </c>
      <c r="E14" s="58">
        <f t="shared" si="2"/>
        <v>0</v>
      </c>
      <c r="F14" s="58">
        <f>F13+F10</f>
        <v>0</v>
      </c>
      <c r="G14" s="58">
        <f t="shared" ref="G14:AA14" si="3">G13+G10</f>
        <v>0</v>
      </c>
      <c r="H14" s="58">
        <f t="shared" si="3"/>
        <v>0</v>
      </c>
      <c r="I14" s="58">
        <f t="shared" si="3"/>
        <v>0</v>
      </c>
      <c r="J14" s="58">
        <f t="shared" si="3"/>
        <v>0</v>
      </c>
      <c r="K14" s="58">
        <f t="shared" si="3"/>
        <v>0</v>
      </c>
      <c r="L14" s="58">
        <f t="shared" si="3"/>
        <v>0</v>
      </c>
      <c r="M14" s="58">
        <f t="shared" si="3"/>
        <v>0</v>
      </c>
      <c r="N14" s="58">
        <f t="shared" si="3"/>
        <v>0</v>
      </c>
      <c r="O14" s="58">
        <f t="shared" si="3"/>
        <v>0</v>
      </c>
      <c r="P14" s="58">
        <f t="shared" si="3"/>
        <v>0</v>
      </c>
      <c r="Q14" s="58">
        <f t="shared" si="3"/>
        <v>0</v>
      </c>
      <c r="R14" s="58">
        <f t="shared" si="3"/>
        <v>0</v>
      </c>
      <c r="S14" s="58">
        <f t="shared" si="3"/>
        <v>0</v>
      </c>
      <c r="T14" s="58">
        <f t="shared" si="3"/>
        <v>0</v>
      </c>
      <c r="U14" s="58">
        <f t="shared" si="3"/>
        <v>0</v>
      </c>
      <c r="V14" s="58">
        <f t="shared" si="3"/>
        <v>0</v>
      </c>
      <c r="W14" s="58">
        <f t="shared" si="3"/>
        <v>0</v>
      </c>
      <c r="X14" s="58">
        <f t="shared" si="3"/>
        <v>0</v>
      </c>
      <c r="Y14" s="58">
        <f t="shared" si="3"/>
        <v>0</v>
      </c>
      <c r="Z14" s="58">
        <f t="shared" si="3"/>
        <v>0</v>
      </c>
      <c r="AA14" s="58">
        <f t="shared" si="3"/>
        <v>0</v>
      </c>
      <c r="AB14" s="316"/>
      <c r="AC14" s="316"/>
      <c r="AD14" s="316"/>
      <c r="AE14" s="316"/>
      <c r="AF14" s="316"/>
      <c r="AG14" s="316"/>
      <c r="AH14" s="316"/>
      <c r="AI14" s="316"/>
      <c r="AJ14" s="59">
        <f t="shared" si="1"/>
        <v>0</v>
      </c>
      <c r="AK14" s="30"/>
      <c r="AL14" s="1242"/>
      <c r="AM14" s="60"/>
      <c r="AN14" s="1257"/>
      <c r="AO14" s="1235"/>
      <c r="AP14" s="303"/>
      <c r="AQ14"/>
    </row>
    <row r="15" spans="1:43" ht="25.9" hidden="1" customHeight="1" thickBot="1" x14ac:dyDescent="0.8">
      <c r="A15" s="1206" t="s">
        <v>846</v>
      </c>
      <c r="B15" s="1" t="s">
        <v>855</v>
      </c>
      <c r="C15" s="578" t="s">
        <v>851</v>
      </c>
      <c r="D15" s="62"/>
      <c r="E15" s="63"/>
      <c r="F15" s="63"/>
      <c r="G15" s="63"/>
      <c r="H15" s="63"/>
      <c r="I15" s="63"/>
      <c r="J15" s="63"/>
      <c r="K15" s="63"/>
      <c r="L15" s="63"/>
      <c r="M15" s="63"/>
      <c r="N15" s="63"/>
      <c r="O15" s="63"/>
      <c r="P15" s="63"/>
      <c r="Q15" s="63"/>
      <c r="R15" s="63"/>
      <c r="S15" s="63"/>
      <c r="T15" s="63"/>
      <c r="U15" s="63"/>
      <c r="V15" s="63"/>
      <c r="W15" s="63"/>
      <c r="X15" s="63"/>
      <c r="Y15" s="63"/>
      <c r="Z15" s="63"/>
      <c r="AA15" s="64"/>
      <c r="AB15" s="317"/>
      <c r="AC15" s="317"/>
      <c r="AD15" s="317"/>
      <c r="AE15" s="317"/>
      <c r="AF15" s="317"/>
      <c r="AG15" s="317"/>
      <c r="AH15" s="317"/>
      <c r="AI15" s="317"/>
      <c r="AJ15" s="65">
        <f t="shared" si="1"/>
        <v>0</v>
      </c>
      <c r="AK15" s="30" t="str">
        <f>CONCATENATE(IF(D16&gt;D15," * F00-08 "&amp;$D$20&amp;" "&amp;$D$21&amp;" is more than F00-07"&amp;CHAR(10),""),IF(E16&gt;E15," * F00-08 "&amp;$D$20&amp;" "&amp;$E$21&amp;" is more than F00-07"&amp;CHAR(10),""),IF(F16&gt;F15," * F00-08 "&amp;$F$20&amp;" "&amp;$F$21&amp;" is more than F00-07"&amp;CHAR(10),""),IF(G16&gt;G15," * F00-08 "&amp;$F$20&amp;" "&amp;$G$21&amp;" is more than F00-07"&amp;CHAR(10),""),IF(H16&gt;H15," * F00-08 "&amp;$H$20&amp;" "&amp;$H$21&amp;" is more than F00-07"&amp;CHAR(10),""),IF(I16&gt;I15," * F00-08 "&amp;$H$20&amp;" "&amp;$I$21&amp;" is more than F00-07"&amp;CHAR(10),""),IF(J16&gt;J15," * F00-08 "&amp;$J$20&amp;" "&amp;$J$21&amp;" is more than F00-07"&amp;CHAR(10),""),IF(K16&gt;K15," * F00-08 "&amp;$J$20&amp;" "&amp;$K$21&amp;" is more than F00-07"&amp;CHAR(10),""),IF(L16&gt;L15," * F00-08 "&amp;$L$20&amp;" "&amp;$L$21&amp;" is more than F00-07"&amp;CHAR(10),""),IF(M16&gt;M15," * F00-08 "&amp;$L$20&amp;" "&amp;$M$21&amp;" is more than F00-07"&amp;CHAR(10),""),IF(N16&gt;N15," * F00-08 "&amp;$N$20&amp;" "&amp;$N$21&amp;" is more than F00-07"&amp;CHAR(10),""),IF(O16&gt;O15," * F00-08 "&amp;$N$20&amp;" "&amp;$O$21&amp;" is more than F00-07"&amp;CHAR(10),""),IF(P16&gt;P15," * F00-08 "&amp;$P$20&amp;" "&amp;$P$21&amp;" is more than F00-07"&amp;CHAR(10),""),IF(Q16&gt;Q15," * F00-08 "&amp;$P$20&amp;" "&amp;$Q$21&amp;" is more than F00-07"&amp;CHAR(10),""),IF(R16&gt;R15," * F00-08 "&amp;$R$20&amp;" "&amp;$R$21&amp;" is more than F00-07"&amp;CHAR(10),""),IF(S16&gt;S15," * F00-08 "&amp;$R$20&amp;" "&amp;$S$21&amp;" is more than F00-07"&amp;CHAR(10),""),IF(T16&gt;T15," * F00-08 "&amp;$T$20&amp;" "&amp;$T$21&amp;" is more than F00-07"&amp;CHAR(10),""),IF(U16&gt;U15," * F00-08 "&amp;$T$20&amp;" "&amp;$U$21&amp;" is more than F00-07"&amp;CHAR(10),""),IF(V16&gt;V15," * F00-08 "&amp;$V$20&amp;" "&amp;$V$21&amp;" is more than F00-07"&amp;CHAR(10),""),IF(W16&gt;W15," * F00-08 "&amp;$V$20&amp;" "&amp;$W$21&amp;" is more than F00-07"&amp;CHAR(10),""),IF(X16&gt;X15," * F00-08 "&amp;$X$20&amp;" "&amp;$X$21&amp;" is more than F00-07"&amp;CHAR(10),""),IF(Y16&gt;Y15," * F00-08 "&amp;$X$20&amp;" "&amp;$Y$21&amp;" is more than F00-07"&amp;CHAR(10),""),IF(Z16&gt;Z15," * F00-08 "&amp;$Z$20&amp;" "&amp;$Z$21&amp;" is more than F00-07"&amp;CHAR(10),""),IF(AA16&gt;AA15," * F00-08 "&amp;$Z$20&amp;" "&amp;$AA$21&amp;" is more than F00-07"&amp;CHAR(10),""))</f>
        <v/>
      </c>
      <c r="AL15" s="1242"/>
      <c r="AM15" s="31"/>
      <c r="AN15" s="1257"/>
      <c r="AO15" s="1235"/>
      <c r="AP15" s="303"/>
      <c r="AQ15"/>
    </row>
    <row r="16" spans="1:43" ht="25.9" hidden="1" customHeight="1" thickBot="1" x14ac:dyDescent="0.8">
      <c r="A16" s="1204"/>
      <c r="B16" s="2" t="s">
        <v>642</v>
      </c>
      <c r="C16" s="576" t="s">
        <v>852</v>
      </c>
      <c r="D16" s="49"/>
      <c r="E16" s="50"/>
      <c r="F16" s="50"/>
      <c r="G16" s="50"/>
      <c r="H16" s="50"/>
      <c r="I16" s="50"/>
      <c r="J16" s="50"/>
      <c r="K16" s="50"/>
      <c r="L16" s="50"/>
      <c r="M16" s="50"/>
      <c r="N16" s="50"/>
      <c r="O16" s="50"/>
      <c r="P16" s="50"/>
      <c r="Q16" s="50"/>
      <c r="R16" s="50"/>
      <c r="S16" s="50"/>
      <c r="T16" s="50"/>
      <c r="U16" s="50"/>
      <c r="V16" s="50"/>
      <c r="W16" s="50"/>
      <c r="X16" s="50"/>
      <c r="Y16" s="50"/>
      <c r="Z16" s="50"/>
      <c r="AA16" s="51"/>
      <c r="AB16" s="314"/>
      <c r="AC16" s="314"/>
      <c r="AD16" s="314"/>
      <c r="AE16" s="314"/>
      <c r="AF16" s="314"/>
      <c r="AG16" s="314"/>
      <c r="AH16" s="314"/>
      <c r="AI16" s="314"/>
      <c r="AJ16" s="66">
        <f t="shared" si="1"/>
        <v>0</v>
      </c>
      <c r="AK16" s="30" t="str">
        <f>CONCATENATE(IF(D17&gt;D16," * F00-09 "&amp;$D$20&amp;" "&amp;$D$21&amp;" is more than F00-08"&amp;CHAR(10),""),IF(E17&gt;E16," * F00-09 "&amp;$D$20&amp;" "&amp;$E$21&amp;" is more than F00-08"&amp;CHAR(10),""),IF(F17&gt;F16," * F00-09 "&amp;$F$20&amp;" "&amp;$F$21&amp;" is more than F00-08"&amp;CHAR(10),""),IF(G17&gt;G16," * F00-09 "&amp;$F$20&amp;" "&amp;$G$21&amp;" is more than F00-08"&amp;CHAR(10),""),IF(H17&gt;H16," * F00-09 "&amp;$H$20&amp;" "&amp;$H$21&amp;" is more than F00-08"&amp;CHAR(10),""),IF(I17&gt;I16," * F00-09 "&amp;$H$20&amp;" "&amp;$I$21&amp;" is more than F00-08"&amp;CHAR(10),""),IF(J17&gt;J16," * F00-09 "&amp;$J$20&amp;" "&amp;$J$21&amp;" is more than F00-08"&amp;CHAR(10),""),IF(K17&gt;K16," * F00-09 "&amp;$J$20&amp;" "&amp;$K$21&amp;" is more than F00-08"&amp;CHAR(10),""),IF(L17&gt;L16," * F00-09 "&amp;$L$20&amp;" "&amp;$L$21&amp;" is more than F00-08"&amp;CHAR(10),""),IF(M17&gt;M16," * F00-09 "&amp;$L$20&amp;" "&amp;$M$21&amp;" is more than F00-08"&amp;CHAR(10),""),IF(N17&gt;N16," * F00-09 "&amp;$N$20&amp;" "&amp;$N$21&amp;" is more than F00-08"&amp;CHAR(10),""),IF(O17&gt;O16," * F00-09 "&amp;$N$20&amp;" "&amp;$O$21&amp;" is more than F00-08"&amp;CHAR(10),""),IF(P17&gt;P16," * F00-09 "&amp;$P$20&amp;" "&amp;$P$21&amp;" is more than F00-08"&amp;CHAR(10),""),IF(Q17&gt;Q16," * F00-09 "&amp;$P$20&amp;" "&amp;$Q$21&amp;" is more than F00-08"&amp;CHAR(10),""),IF(R17&gt;R16," * F00-09 "&amp;$R$20&amp;" "&amp;$R$21&amp;" is more than F00-08"&amp;CHAR(10),""),IF(S17&gt;S16," * F00-09 "&amp;$R$20&amp;" "&amp;$S$21&amp;" is more than F00-08"&amp;CHAR(10),""),IF(T17&gt;T16," * F00-09 "&amp;$T$20&amp;" "&amp;$T$21&amp;" is more than F00-08"&amp;CHAR(10),""),IF(U17&gt;U16," * F00-09 "&amp;$T$20&amp;" "&amp;$U$21&amp;" is more than F00-08"&amp;CHAR(10),""),IF(V17&gt;V16," * F00-09 "&amp;$V$20&amp;" "&amp;$V$21&amp;" is more than F00-08"&amp;CHAR(10),""),IF(W17&gt;W16," * F00-09 "&amp;$V$20&amp;" "&amp;$W$21&amp;" is more than F00-08"&amp;CHAR(10),""),IF(X17&gt;X16," * F00-09 "&amp;$X$20&amp;" "&amp;$X$21&amp;" is more than F00-08"&amp;CHAR(10),""),IF(Y17&gt;Y16," * F00-09 "&amp;$X$20&amp;" "&amp;$Y$21&amp;" is more than F00-08"&amp;CHAR(10),""),IF(Z17&gt;Z16," * F00-09 "&amp;$Z$20&amp;" "&amp;$Z$21&amp;" is more than F00-08"&amp;CHAR(10),""),IF(AA17&gt;AA16," * F00-09 "&amp;$Z$20&amp;" "&amp;$AA$21&amp;" is more than F00-08"&amp;CHAR(10),""))</f>
        <v/>
      </c>
      <c r="AL16" s="1242"/>
      <c r="AM16" s="31"/>
      <c r="AN16" s="1257"/>
      <c r="AO16" s="1235"/>
      <c r="AP16" s="303"/>
      <c r="AQ16"/>
    </row>
    <row r="17" spans="1:43" ht="25.9" hidden="1" customHeight="1" thickBot="1" x14ac:dyDescent="0.8">
      <c r="A17" s="1205"/>
      <c r="B17" s="3" t="s">
        <v>469</v>
      </c>
      <c r="C17" s="577" t="s">
        <v>853</v>
      </c>
      <c r="D17" s="53"/>
      <c r="E17" s="54"/>
      <c r="F17" s="54"/>
      <c r="G17" s="54"/>
      <c r="H17" s="54"/>
      <c r="I17" s="54"/>
      <c r="J17" s="54"/>
      <c r="K17" s="54"/>
      <c r="L17" s="54"/>
      <c r="M17" s="54"/>
      <c r="N17" s="54"/>
      <c r="O17" s="54"/>
      <c r="P17" s="54"/>
      <c r="Q17" s="54"/>
      <c r="R17" s="54"/>
      <c r="S17" s="54"/>
      <c r="T17" s="54"/>
      <c r="U17" s="54"/>
      <c r="V17" s="54"/>
      <c r="W17" s="54"/>
      <c r="X17" s="54"/>
      <c r="Y17" s="54"/>
      <c r="Z17" s="54"/>
      <c r="AA17" s="55"/>
      <c r="AB17" s="315"/>
      <c r="AC17" s="315"/>
      <c r="AD17" s="315"/>
      <c r="AE17" s="315"/>
      <c r="AF17" s="315"/>
      <c r="AG17" s="315"/>
      <c r="AH17" s="315"/>
      <c r="AI17" s="315"/>
      <c r="AJ17" s="67">
        <f t="shared" si="1"/>
        <v>0</v>
      </c>
      <c r="AK17" s="45"/>
      <c r="AL17" s="1242"/>
      <c r="AM17" s="31"/>
      <c r="AN17" s="1257"/>
      <c r="AO17" s="1235"/>
      <c r="AP17" s="303"/>
      <c r="AQ17"/>
    </row>
    <row r="18" spans="1:43" ht="25.9" hidden="1" customHeight="1" thickBot="1" x14ac:dyDescent="0.8">
      <c r="A18" s="657"/>
      <c r="B18" s="304" t="s">
        <v>1000</v>
      </c>
      <c r="C18" s="575" t="s">
        <v>989</v>
      </c>
      <c r="D18" s="58">
        <f t="shared" ref="D18:E18" si="4">D17+D13+D10</f>
        <v>0</v>
      </c>
      <c r="E18" s="58">
        <f t="shared" si="4"/>
        <v>0</v>
      </c>
      <c r="F18" s="58">
        <f>F17+F13+F10</f>
        <v>0</v>
      </c>
      <c r="G18" s="58">
        <f t="shared" ref="G18:AJ18" si="5">G17+G13+G10</f>
        <v>0</v>
      </c>
      <c r="H18" s="58">
        <f t="shared" si="5"/>
        <v>0</v>
      </c>
      <c r="I18" s="58">
        <f t="shared" si="5"/>
        <v>0</v>
      </c>
      <c r="J18" s="58">
        <f t="shared" si="5"/>
        <v>0</v>
      </c>
      <c r="K18" s="58">
        <f t="shared" si="5"/>
        <v>0</v>
      </c>
      <c r="L18" s="58">
        <f t="shared" si="5"/>
        <v>0</v>
      </c>
      <c r="M18" s="58">
        <f t="shared" si="5"/>
        <v>0</v>
      </c>
      <c r="N18" s="58">
        <f t="shared" si="5"/>
        <v>0</v>
      </c>
      <c r="O18" s="58">
        <f t="shared" si="5"/>
        <v>0</v>
      </c>
      <c r="P18" s="58">
        <f t="shared" si="5"/>
        <v>0</v>
      </c>
      <c r="Q18" s="58">
        <f t="shared" si="5"/>
        <v>0</v>
      </c>
      <c r="R18" s="58">
        <f t="shared" si="5"/>
        <v>0</v>
      </c>
      <c r="S18" s="58">
        <f t="shared" si="5"/>
        <v>0</v>
      </c>
      <c r="T18" s="58">
        <f t="shared" si="5"/>
        <v>0</v>
      </c>
      <c r="U18" s="58">
        <f t="shared" si="5"/>
        <v>0</v>
      </c>
      <c r="V18" s="58">
        <f t="shared" si="5"/>
        <v>0</v>
      </c>
      <c r="W18" s="58">
        <f t="shared" si="5"/>
        <v>0</v>
      </c>
      <c r="X18" s="58">
        <f t="shared" si="5"/>
        <v>0</v>
      </c>
      <c r="Y18" s="58">
        <f t="shared" si="5"/>
        <v>0</v>
      </c>
      <c r="Z18" s="58">
        <f t="shared" si="5"/>
        <v>0</v>
      </c>
      <c r="AA18" s="58">
        <f t="shared" si="5"/>
        <v>0</v>
      </c>
      <c r="AB18" s="58"/>
      <c r="AC18" s="58"/>
      <c r="AD18" s="58"/>
      <c r="AE18" s="58"/>
      <c r="AF18" s="58"/>
      <c r="AG18" s="58"/>
      <c r="AH18" s="58"/>
      <c r="AI18" s="58"/>
      <c r="AJ18" s="58">
        <f t="shared" si="5"/>
        <v>0</v>
      </c>
      <c r="AK18" s="305"/>
      <c r="AL18" s="1242"/>
      <c r="AM18" s="123"/>
      <c r="AN18" s="1257"/>
      <c r="AO18" s="1235"/>
      <c r="AP18" s="303"/>
      <c r="AQ18"/>
    </row>
    <row r="19" spans="1:43" ht="36.75" hidden="1" customHeight="1" thickBot="1" x14ac:dyDescent="0.75">
      <c r="A19" s="1043" t="s">
        <v>12</v>
      </c>
      <c r="B19" s="1044"/>
      <c r="C19" s="1044"/>
      <c r="D19" s="1044"/>
      <c r="E19" s="1044"/>
      <c r="F19" s="1044"/>
      <c r="G19" s="1044"/>
      <c r="H19" s="1044"/>
      <c r="I19" s="1044"/>
      <c r="J19" s="1044"/>
      <c r="K19" s="1044"/>
      <c r="L19" s="1044"/>
      <c r="M19" s="1044"/>
      <c r="N19" s="1044"/>
      <c r="O19" s="1044"/>
      <c r="P19" s="1044"/>
      <c r="Q19" s="1044"/>
      <c r="R19" s="1044"/>
      <c r="S19" s="1044"/>
      <c r="T19" s="1044"/>
      <c r="U19" s="1044"/>
      <c r="V19" s="1044"/>
      <c r="W19" s="1044"/>
      <c r="X19" s="1044"/>
      <c r="Y19" s="1044"/>
      <c r="Z19" s="1044"/>
      <c r="AA19" s="1044"/>
      <c r="AB19" s="1044"/>
      <c r="AC19" s="1044"/>
      <c r="AD19" s="1044"/>
      <c r="AE19" s="1044"/>
      <c r="AF19" s="1044"/>
      <c r="AG19" s="1044"/>
      <c r="AH19" s="1044"/>
      <c r="AI19" s="1044"/>
      <c r="AJ19" s="1044"/>
      <c r="AK19" s="1044"/>
      <c r="AL19" s="1044"/>
      <c r="AM19" s="1044"/>
      <c r="AN19" s="1174"/>
      <c r="AO19" s="1235"/>
      <c r="AP19" s="302" t="str">
        <f>HYPERLINK("#PREP","2.0 Prep New &amp; CURR")</f>
        <v>2.0 Prep New &amp; CURR</v>
      </c>
      <c r="AQ19" s="302" t="str">
        <f>HYPERLINK("#HAART","6.2 PMTCT HAART")</f>
        <v>6.2 PMTCT HAART</v>
      </c>
    </row>
    <row r="20" spans="1:43" s="14" customFormat="1" ht="33" customHeight="1" thickBot="1" x14ac:dyDescent="0.75">
      <c r="A20" s="1039" t="s">
        <v>37</v>
      </c>
      <c r="B20" s="1041" t="s">
        <v>344</v>
      </c>
      <c r="C20" s="1049" t="s">
        <v>325</v>
      </c>
      <c r="D20" s="1020" t="s">
        <v>0</v>
      </c>
      <c r="E20" s="1020"/>
      <c r="F20" s="1020" t="s">
        <v>1</v>
      </c>
      <c r="G20" s="1020"/>
      <c r="H20" s="1020" t="s">
        <v>2</v>
      </c>
      <c r="I20" s="1020"/>
      <c r="J20" s="1020" t="s">
        <v>3</v>
      </c>
      <c r="K20" s="1020"/>
      <c r="L20" s="1020" t="s">
        <v>4</v>
      </c>
      <c r="M20" s="1020"/>
      <c r="N20" s="1020" t="s">
        <v>5</v>
      </c>
      <c r="O20" s="1020"/>
      <c r="P20" s="1020" t="s">
        <v>6</v>
      </c>
      <c r="Q20" s="1020"/>
      <c r="R20" s="1020" t="s">
        <v>7</v>
      </c>
      <c r="S20" s="1020"/>
      <c r="T20" s="1020" t="s">
        <v>8</v>
      </c>
      <c r="U20" s="1020"/>
      <c r="V20" s="1020" t="s">
        <v>23</v>
      </c>
      <c r="W20" s="1020"/>
      <c r="X20" s="1020" t="s">
        <v>24</v>
      </c>
      <c r="Y20" s="1020"/>
      <c r="Z20" s="1020" t="s">
        <v>9</v>
      </c>
      <c r="AA20" s="1020"/>
      <c r="AB20" s="1012" t="s">
        <v>1020</v>
      </c>
      <c r="AC20" s="1013"/>
      <c r="AD20" s="1012" t="s">
        <v>1021</v>
      </c>
      <c r="AE20" s="1013"/>
      <c r="AF20" s="1012" t="s">
        <v>1192</v>
      </c>
      <c r="AG20" s="1013"/>
      <c r="AH20" s="1012" t="s">
        <v>1193</v>
      </c>
      <c r="AI20" s="1013"/>
      <c r="AJ20" s="1033" t="s">
        <v>19</v>
      </c>
      <c r="AK20" s="1035" t="s">
        <v>378</v>
      </c>
      <c r="AL20" s="1126" t="s">
        <v>384</v>
      </c>
      <c r="AM20" s="1121" t="s">
        <v>385</v>
      </c>
      <c r="AN20" s="1086" t="s">
        <v>385</v>
      </c>
      <c r="AO20" s="1235"/>
      <c r="AP20" s="302" t="str">
        <f>HYPERLINK("#IPT","3.0 IPT")</f>
        <v>3.0 IPT</v>
      </c>
      <c r="AQ20" s="302" t="str">
        <f>HYPERLINK("#ART","7.0 HIV &amp; TB SCREEN")</f>
        <v>7.0 HIV &amp; TB SCREEN</v>
      </c>
    </row>
    <row r="21" spans="1:43" s="14" customFormat="1" ht="33" customHeight="1" thickBot="1" x14ac:dyDescent="0.75">
      <c r="A21" s="1040"/>
      <c r="B21" s="1042"/>
      <c r="C21" s="1059"/>
      <c r="D21" s="68" t="s">
        <v>10</v>
      </c>
      <c r="E21" s="68" t="s">
        <v>11</v>
      </c>
      <c r="F21" s="68" t="s">
        <v>10</v>
      </c>
      <c r="G21" s="68" t="s">
        <v>11</v>
      </c>
      <c r="H21" s="68" t="s">
        <v>10</v>
      </c>
      <c r="I21" s="68" t="s">
        <v>11</v>
      </c>
      <c r="J21" s="68" t="s">
        <v>10</v>
      </c>
      <c r="K21" s="68" t="s">
        <v>11</v>
      </c>
      <c r="L21" s="68" t="s">
        <v>10</v>
      </c>
      <c r="M21" s="68" t="s">
        <v>11</v>
      </c>
      <c r="N21" s="68" t="s">
        <v>10</v>
      </c>
      <c r="O21" s="68" t="s">
        <v>11</v>
      </c>
      <c r="P21" s="68" t="s">
        <v>10</v>
      </c>
      <c r="Q21" s="68" t="s">
        <v>11</v>
      </c>
      <c r="R21" s="68" t="s">
        <v>10</v>
      </c>
      <c r="S21" s="68" t="s">
        <v>11</v>
      </c>
      <c r="T21" s="68" t="s">
        <v>10</v>
      </c>
      <c r="U21" s="68" t="s">
        <v>11</v>
      </c>
      <c r="V21" s="68" t="s">
        <v>10</v>
      </c>
      <c r="W21" s="68" t="s">
        <v>11</v>
      </c>
      <c r="X21" s="68" t="s">
        <v>10</v>
      </c>
      <c r="Y21" s="68" t="s">
        <v>11</v>
      </c>
      <c r="Z21" s="68" t="s">
        <v>10</v>
      </c>
      <c r="AA21" s="68" t="s">
        <v>11</v>
      </c>
      <c r="AB21" s="295" t="s">
        <v>10</v>
      </c>
      <c r="AC21" s="295" t="s">
        <v>11</v>
      </c>
      <c r="AD21" s="295" t="s">
        <v>10</v>
      </c>
      <c r="AE21" s="295" t="s">
        <v>11</v>
      </c>
      <c r="AF21" s="295" t="s">
        <v>10</v>
      </c>
      <c r="AG21" s="295" t="s">
        <v>11</v>
      </c>
      <c r="AH21" s="295" t="s">
        <v>10</v>
      </c>
      <c r="AI21" s="295" t="s">
        <v>11</v>
      </c>
      <c r="AJ21" s="1216"/>
      <c r="AK21" s="1036"/>
      <c r="AL21" s="1127"/>
      <c r="AM21" s="1128"/>
      <c r="AN21" s="1087"/>
      <c r="AO21" s="1235"/>
      <c r="AP21" s="302" t="str">
        <f>HYPERLINK("#CXCA","4.0 CXCA")</f>
        <v>4.0 CXCA</v>
      </c>
      <c r="AQ21" s="302" t="str">
        <f>HYPERLINK("#TB","9.0 HIV TB Clinic")</f>
        <v>9.0 HIV TB Clinic</v>
      </c>
    </row>
    <row r="22" spans="1:43" ht="25.5" hidden="1" x14ac:dyDescent="0.75">
      <c r="A22" s="972" t="s">
        <v>121</v>
      </c>
      <c r="B22" s="69" t="s">
        <v>1016</v>
      </c>
      <c r="C22" s="579" t="s">
        <v>141</v>
      </c>
      <c r="D22" s="134"/>
      <c r="E22" s="99"/>
      <c r="F22" s="94"/>
      <c r="G22" s="94"/>
      <c r="H22" s="94"/>
      <c r="I22" s="380"/>
      <c r="J22" s="94"/>
      <c r="K22" s="94"/>
      <c r="L22" s="94"/>
      <c r="M22" s="94"/>
      <c r="N22" s="94"/>
      <c r="O22" s="94"/>
      <c r="P22" s="94"/>
      <c r="Q22" s="94"/>
      <c r="R22" s="94"/>
      <c r="S22" s="94"/>
      <c r="T22" s="94"/>
      <c r="U22" s="94"/>
      <c r="V22" s="94"/>
      <c r="W22" s="94"/>
      <c r="X22" s="94"/>
      <c r="Y22" s="94"/>
      <c r="Z22" s="94"/>
      <c r="AA22" s="322"/>
      <c r="AB22" s="387"/>
      <c r="AC22" s="388"/>
      <c r="AD22" s="388"/>
      <c r="AE22" s="388"/>
      <c r="AF22" s="388"/>
      <c r="AG22" s="388"/>
      <c r="AH22" s="388"/>
      <c r="AI22" s="317"/>
      <c r="AJ22" s="189">
        <f t="shared" ref="AJ22:AJ27" si="6">SUM(D22:AA22)</f>
        <v>0</v>
      </c>
      <c r="AK22" s="1220" t="str">
        <f>CONCATENATE(IF(D23&gt;D22," * F01-02 "&amp;$D$20&amp;" "&amp;$D$21&amp;" is more than F01-01"&amp;CHAR(10),""),IF(E23&gt;E22," * F01-02 "&amp;$D$20&amp;" "&amp;$E$21&amp;" is more than F01-01"&amp;CHAR(10),""),IF(F23&gt;F22," * F01-02 "&amp;$F$20&amp;" "&amp;$F$21&amp;" is more than F01-01"&amp;CHAR(10),""),IF(G23&gt;G22," * F01-02 "&amp;$F$20&amp;" "&amp;$G$21&amp;" is more than F01-01"&amp;CHAR(10),""),IF(H23&gt;H22," * F01-02 "&amp;$H$20&amp;" "&amp;$H$21&amp;" is more than F01-01"&amp;CHAR(10),""),IF(I23&gt;I22," * F01-02 "&amp;$H$20&amp;" "&amp;$I$21&amp;" is more than F01-01"&amp;CHAR(10),""),IF(J23&gt;J22," * F01-02 "&amp;$J$20&amp;" "&amp;$J$21&amp;" is more than F01-01"&amp;CHAR(10),""),IF(K23&gt;K22," * F01-02 "&amp;$J$20&amp;" "&amp;$K$21&amp;" is more than F01-01"&amp;CHAR(10),""),IF(L23&gt;L22," * F01-02 "&amp;$L$20&amp;" "&amp;$L$21&amp;" is more than F01-01"&amp;CHAR(10),""),IF(M23&gt;M22," * F01-02 "&amp;$L$20&amp;" "&amp;$M$21&amp;" is more than F01-01"&amp;CHAR(10),""),IF(N23&gt;N22," * F01-02 "&amp;$N$20&amp;" "&amp;$N$21&amp;" is more than F01-01"&amp;CHAR(10),""),IF(O23&gt;O22," * F01-02 "&amp;$N$20&amp;" "&amp;$O$21&amp;" is more than F01-01"&amp;CHAR(10),""),IF(P23&gt;P22," * F01-02 "&amp;$P$20&amp;" "&amp;$P$21&amp;" is more than F01-01"&amp;CHAR(10),""),IF(Q23&gt;Q22," * F01-02 "&amp;$P$20&amp;" "&amp;$Q$21&amp;" is more than F01-01"&amp;CHAR(10),""),IF(R23&gt;R22," * F01-02 "&amp;$R$20&amp;" "&amp;$R$21&amp;" is more than F01-01"&amp;CHAR(10),""),IF(S23&gt;S22," * F01-02 "&amp;$R$20&amp;" "&amp;$S$21&amp;" is more than F01-01"&amp;CHAR(10),""),IF(T23&gt;T22," * F01-02 "&amp;$T$20&amp;" "&amp;$T$21&amp;" is more than F01-01"&amp;CHAR(10),""),IF(U23&gt;U22," * F01-02 "&amp;$T$20&amp;" "&amp;$U$21&amp;" is more than F01-01"&amp;CHAR(10),""),IF(V23&gt;V22," * F01-02 "&amp;$V$20&amp;" "&amp;$V$21&amp;" is more than F01-01"&amp;CHAR(10),""),IF(W23&gt;W22," * F01-02 "&amp;$V$20&amp;" "&amp;$W$21&amp;" is more than F01-01"&amp;CHAR(10),""),IF(X23&gt;X22," * F01-02 "&amp;$X$20&amp;" "&amp;$X$21&amp;" is more than F01-01"&amp;CHAR(10),""),IF(Y23&gt;Y22," * F01-02 "&amp;$X$20&amp;" "&amp;$Y$21&amp;" is more than F01-01"&amp;CHAR(10),""),IF(Z23&gt;Z22," * F01-02 "&amp;$Z$20&amp;" "&amp;$Z$21&amp;" is more than F01-01"&amp;CHAR(10),""),IF(AA23&gt;AA22," * F01-02 "&amp;$Z$20&amp;" "&amp;$AA$21&amp;" is more than F01-01"&amp;CHAR(10),""))</f>
        <v/>
      </c>
      <c r="AL22" s="1227" t="str">
        <f>CONCATENATE(AK22,AK24,AK25,AK27,AK29,AK30,AK31,AK33,AK35,AK37,AK39,AK41,AK43,AK45,AK47,AK49,AK54,AK32,AK52,AK51,AK53,AK59,AK61,AK26,AK55,AK56,AK57)</f>
        <v/>
      </c>
      <c r="AM22" s="73"/>
      <c r="AN22" s="1223" t="str">
        <f>CONCATENATE(AM22,AM23,AM24,AM25,AM27,AM28,AM29,AM30,AM31,AM33,AM34,AM35,AM36,AM37,AM38,AM39,AM40,AM41,AM42,AM43,AM44,AM45,AM46,AM47,AM48,AM49,AM50,AM54,AM55)</f>
        <v/>
      </c>
      <c r="AO22" s="13">
        <v>21</v>
      </c>
      <c r="AP22" s="74"/>
      <c r="AQ22" s="75"/>
    </row>
    <row r="23" spans="1:43" ht="25.5" hidden="1" x14ac:dyDescent="0.75">
      <c r="A23" s="973"/>
      <c r="B23" s="76" t="s">
        <v>1017</v>
      </c>
      <c r="C23" s="580" t="s">
        <v>143</v>
      </c>
      <c r="D23" s="135"/>
      <c r="E23" s="78"/>
      <c r="F23" s="79"/>
      <c r="G23" s="79"/>
      <c r="H23" s="79"/>
      <c r="I23" s="79"/>
      <c r="J23" s="79"/>
      <c r="K23" s="79"/>
      <c r="L23" s="79"/>
      <c r="M23" s="79"/>
      <c r="N23" s="79"/>
      <c r="O23" s="79"/>
      <c r="P23" s="79"/>
      <c r="Q23" s="79"/>
      <c r="R23" s="79"/>
      <c r="S23" s="79"/>
      <c r="T23" s="79"/>
      <c r="U23" s="79"/>
      <c r="V23" s="79"/>
      <c r="W23" s="79"/>
      <c r="X23" s="79"/>
      <c r="Y23" s="79"/>
      <c r="Z23" s="79"/>
      <c r="AA23" s="319"/>
      <c r="AB23" s="389"/>
      <c r="AC23" s="357"/>
      <c r="AD23" s="357"/>
      <c r="AE23" s="357"/>
      <c r="AF23" s="357"/>
      <c r="AG23" s="357"/>
      <c r="AH23" s="357"/>
      <c r="AI23" s="314"/>
      <c r="AJ23" s="174">
        <f t="shared" si="6"/>
        <v>0</v>
      </c>
      <c r="AK23" s="1011"/>
      <c r="AL23" s="1228"/>
      <c r="AM23" s="31"/>
      <c r="AN23" s="1224"/>
      <c r="AO23" s="13">
        <v>22</v>
      </c>
      <c r="AP23" s="74"/>
      <c r="AQ23" s="75"/>
    </row>
    <row r="24" spans="1:43" s="61" customFormat="1" ht="25.5" hidden="1" x14ac:dyDescent="0.75">
      <c r="A24" s="973"/>
      <c r="B24" s="76" t="s">
        <v>144</v>
      </c>
      <c r="C24" s="580" t="s">
        <v>345</v>
      </c>
      <c r="D24" s="135"/>
      <c r="E24" s="78"/>
      <c r="F24" s="79"/>
      <c r="G24" s="79"/>
      <c r="H24" s="79"/>
      <c r="I24" s="79"/>
      <c r="J24" s="79"/>
      <c r="K24" s="79"/>
      <c r="L24" s="79"/>
      <c r="M24" s="79"/>
      <c r="N24" s="79"/>
      <c r="O24" s="79"/>
      <c r="P24" s="79"/>
      <c r="Q24" s="79"/>
      <c r="R24" s="79"/>
      <c r="S24" s="79"/>
      <c r="T24" s="79"/>
      <c r="U24" s="79"/>
      <c r="V24" s="79"/>
      <c r="W24" s="79"/>
      <c r="X24" s="79"/>
      <c r="Y24" s="79"/>
      <c r="Z24" s="79"/>
      <c r="AA24" s="319"/>
      <c r="AB24" s="389"/>
      <c r="AC24" s="357"/>
      <c r="AD24" s="357"/>
      <c r="AE24" s="357"/>
      <c r="AF24" s="357"/>
      <c r="AG24" s="357"/>
      <c r="AH24" s="357"/>
      <c r="AI24" s="314"/>
      <c r="AJ24" s="174">
        <f t="shared" si="6"/>
        <v>0</v>
      </c>
      <c r="AK24" s="45" t="str">
        <f>IF(AJ24&gt;0,IF(AJ23&lt;1,"Contacts were Elicited [ F01-03 ] yet no Patients Accepted Index Testing [F01-02]",""),"")</f>
        <v/>
      </c>
      <c r="AL24" s="1228"/>
      <c r="AM24" s="60" t="str">
        <f>CONCATENATE(IF(D24&lt;&gt;SUM(D25,D27,D30,D31)," * F01-03 for Age "&amp;D20&amp;" "&amp;D21&amp;" is not equal to the sum of (F01-04+F01-05+F01-08+F01-09)"&amp;CHAR(10),""),IF(E24&lt;&gt;SUM(E25,E27,E30,E31)," * F01-03 for Age "&amp;D20&amp;" "&amp;E21&amp;" is not equal to the sum of F01-04+F01-05+F01-08+F01-09"&amp;CHAR(10),""),IF(F24&lt;&gt;SUM(F25,F27,F30,F31)," * F01-03 for Age "&amp;F20&amp;" "&amp;F21&amp;" is not equal to the sum of (F01-04+F01-05+F01-08+F01-09)"&amp;CHAR(10),""),IF(G24&lt;&gt;SUM(G25,G27,G30,G31)," * F01-03 for Age "&amp;F20&amp;" "&amp;G21&amp;" is not equal to the sum of F01-04+F01-05+F01-08+F01-09"&amp;CHAR(10),""),IF(H24&lt;&gt;SUM(H25,H27,H30,H31)," * F01-03 for Age "&amp;H20&amp;" "&amp;H21&amp;" is not equal to the sum of (F01-04+F01-05+F01-08+F01-09)"&amp;CHAR(10),""),IF(I24&lt;&gt;SUM(I25,I27,I30,I31)," * F01-03 for Age "&amp;H20&amp;" "&amp;I21&amp;" is not equal to the sum of F01-04+F01-05+F01-08+F01-09"&amp;CHAR(10),""),IF(J24&lt;&gt;SUM(J25,J27,J30,J31)," * F01-03 for Age "&amp;J20&amp;" "&amp;J21&amp;" is not equal to the sum of (F01-04+F01-05+F01-08+F01-09)"&amp;CHAR(10),""),IF(K24&lt;&gt;SUM(K25,K27,K30,K31)," * F01-03 for Age "&amp;J20&amp;" "&amp;K21&amp;" is not equal to the sum of F01-04+F01-05+F01-08+F01-09"&amp;CHAR(10),""),IF(L24&lt;&gt;SUM(L25,L27,L30,L31)," * F01-03 for Age "&amp;L20&amp;" "&amp;L21&amp;" is not equal to the sum of (F01-04+F01-05+F01-08+F01-09)"&amp;CHAR(10),""),IF(M24&lt;&gt;SUM(M25,M27,M30,M31)," * F01-03 for Age "&amp;L20&amp;" "&amp;M21&amp;" is not equal to the sum of F01-04+F01-05+F01-08+F01-09"&amp;CHAR(10),""),IF(N24&lt;&gt;SUM(N25,N27,N30,N31)," * F01-03 for Age "&amp;N20&amp;" "&amp;N21&amp;" is not equal to the sum of (F01-04+F01-05+F01-08+F01-09)"&amp;CHAR(10),""),IF(O24&lt;&gt;SUM(O25,O27,O30,O31)," * F01-03 for Age "&amp;N20&amp;" "&amp;O21&amp;" is not equal to the sum of F01-04+F01-05+F01-08+F01-09"&amp;CHAR(10),""),IF(P24&lt;&gt;SUM(P25,P27,P30,P31)," * F01-03 for Age "&amp;P20&amp;" "&amp;P21&amp;" is not equal to the sum of (F01-04+F01-05+F01-08+F01-09)"&amp;CHAR(10),""),IF(Q24&lt;&gt;SUM(Q25,Q27,Q30,Q31)," * F01-03 for Age "&amp;P20&amp;" "&amp;Q21&amp;" is not equal to the sum of F01-04+F01-05+F01-08+F01-09"&amp;CHAR(10),""),IF(R24&lt;&gt;SUM(R25,R27,R30,R31)," * F01-03 for Age "&amp;R20&amp;" "&amp;R21&amp;" is not equal to the sum of (F01-04+F01-05+F01-08+F01-09)"&amp;CHAR(10),""),IF(S24&lt;&gt;SUM(S25,S27,S30,S31)," * F01-03 for Age "&amp;R20&amp;" "&amp;S21&amp;" is not equal to the sum of F01-04+F01-05+F01-08+F01-09"&amp;CHAR(10),""),IF(T24&lt;&gt;SUM(T25,T27,T30,T31)," * F01-03 for Age "&amp;T20&amp;" "&amp;T21&amp;" is not equal to the sum of (F01-04+F01-05+F01-08+F01-09)"&amp;CHAR(10),""),IF(U24&lt;&gt;SUM(U25,U27,U30,U31)," * F01-03 for Age "&amp;T20&amp;" "&amp;U21&amp;" is not equal to the sum of F01-04+F01-05+F01-08+F01-09"&amp;CHAR(10),""),IF(V24&lt;&gt;SUM(V25,V27,V30,V31)," * F01-03 for Age "&amp;V20&amp;" "&amp;V21&amp;" is not equal to the sum of (F01-04+F01-05+F01-08+F01-09)"&amp;CHAR(10),""),IF(W24&lt;&gt;SUM(W25,W27,W30,W31)," * F01-03 for Age "&amp;V20&amp;" "&amp;W21&amp;" is not equal to the sum of F01-04+F01-05+F01-08+F01-09"&amp;CHAR(10),""),IF(X24&lt;&gt;SUM(X25,X27,X30,X31)," * F01-03 for Age "&amp;X20&amp;" "&amp;X21&amp;" is not equal to the sum of (F01-04+F01-05+F01-08+F01-09)"&amp;CHAR(10),""),IF(Y24&lt;&gt;SUM(Y25,Y27,Y30,Y31)," * F01-03 for Age "&amp;X20&amp;" "&amp;Y21&amp;" is not equal to the sum of F01-04+F01-05+F01-08+F01-09"&amp;CHAR(10),""),IF(Z24&lt;&gt;SUM(Z25,Z27,Z30,Z31)," * F01-03 for Age "&amp;Z20&amp;" "&amp;Z21&amp;" is not equal to the sum of (F01-04+F01-05+F01-08+F01-09)"&amp;CHAR(10),""),IF(AA24&lt;&gt;SUM(AA25,AA27,AA30,AA31)," * F01-03 for Age "&amp;Z20&amp;" "&amp;AA21&amp;" is not equal to the sum of (F01-04+F01-05+F01-08+F01-09)"&amp;CHAR(10),""))</f>
        <v/>
      </c>
      <c r="AN24" s="1224"/>
      <c r="AO24" s="13">
        <v>23</v>
      </c>
      <c r="AP24" s="80"/>
      <c r="AQ24" s="75"/>
    </row>
    <row r="25" spans="1:43" s="83" customFormat="1" ht="25.5" hidden="1" x14ac:dyDescent="0.75">
      <c r="A25" s="973"/>
      <c r="B25" s="76" t="s">
        <v>145</v>
      </c>
      <c r="C25" s="580" t="s">
        <v>146</v>
      </c>
      <c r="D25" s="135"/>
      <c r="E25" s="78"/>
      <c r="F25" s="79"/>
      <c r="G25" s="79"/>
      <c r="H25" s="79"/>
      <c r="I25" s="79"/>
      <c r="J25" s="79"/>
      <c r="K25" s="79"/>
      <c r="L25" s="79"/>
      <c r="M25" s="79"/>
      <c r="N25" s="79"/>
      <c r="O25" s="79"/>
      <c r="P25" s="79"/>
      <c r="Q25" s="79"/>
      <c r="R25" s="79"/>
      <c r="S25" s="79"/>
      <c r="T25" s="79"/>
      <c r="U25" s="79"/>
      <c r="V25" s="79"/>
      <c r="W25" s="79"/>
      <c r="X25" s="79"/>
      <c r="Y25" s="79"/>
      <c r="Z25" s="79"/>
      <c r="AA25" s="319"/>
      <c r="AB25" s="389"/>
      <c r="AC25" s="357"/>
      <c r="AD25" s="357"/>
      <c r="AE25" s="357"/>
      <c r="AF25" s="357"/>
      <c r="AG25" s="357"/>
      <c r="AH25" s="357"/>
      <c r="AI25" s="314"/>
      <c r="AJ25" s="174">
        <f t="shared" si="6"/>
        <v>0</v>
      </c>
      <c r="AK25" s="45"/>
      <c r="AL25" s="1228"/>
      <c r="AM25" s="31"/>
      <c r="AN25" s="1224"/>
      <c r="AO25" s="13">
        <v>24</v>
      </c>
      <c r="AP25" s="81"/>
      <c r="AQ25" s="82"/>
    </row>
    <row r="26" spans="1:43" s="83" customFormat="1" ht="25.5" hidden="1" x14ac:dyDescent="0.75">
      <c r="A26" s="973"/>
      <c r="B26" s="76" t="s">
        <v>1060</v>
      </c>
      <c r="C26" s="580" t="s">
        <v>1059</v>
      </c>
      <c r="D26" s="135"/>
      <c r="E26" s="78"/>
      <c r="F26" s="79"/>
      <c r="G26" s="79"/>
      <c r="H26" s="79"/>
      <c r="I26" s="79"/>
      <c r="J26" s="79"/>
      <c r="K26" s="79"/>
      <c r="L26" s="78"/>
      <c r="M26" s="78"/>
      <c r="N26" s="78"/>
      <c r="O26" s="78"/>
      <c r="P26" s="78"/>
      <c r="Q26" s="78"/>
      <c r="R26" s="78"/>
      <c r="S26" s="78"/>
      <c r="T26" s="78"/>
      <c r="U26" s="78"/>
      <c r="V26" s="78"/>
      <c r="W26" s="78"/>
      <c r="X26" s="78"/>
      <c r="Y26" s="78"/>
      <c r="Z26" s="78"/>
      <c r="AA26" s="355"/>
      <c r="AB26" s="389"/>
      <c r="AC26" s="357"/>
      <c r="AD26" s="357"/>
      <c r="AE26" s="357"/>
      <c r="AF26" s="357"/>
      <c r="AG26" s="357"/>
      <c r="AH26" s="357"/>
      <c r="AI26" s="314"/>
      <c r="AJ26" s="174">
        <f t="shared" si="6"/>
        <v>0</v>
      </c>
      <c r="AK26" s="307"/>
      <c r="AL26" s="1228"/>
      <c r="AM26" s="31"/>
      <c r="AN26" s="1224"/>
      <c r="AO26" s="13"/>
      <c r="AP26" s="81"/>
      <c r="AQ26" s="82"/>
    </row>
    <row r="27" spans="1:43" s="83" customFormat="1" ht="25.5" hidden="1" x14ac:dyDescent="0.75">
      <c r="A27" s="973"/>
      <c r="B27" s="76" t="s">
        <v>158</v>
      </c>
      <c r="C27" s="580" t="s">
        <v>147</v>
      </c>
      <c r="D27" s="135"/>
      <c r="E27" s="78"/>
      <c r="F27" s="79"/>
      <c r="G27" s="79"/>
      <c r="H27" s="79"/>
      <c r="I27" s="79"/>
      <c r="J27" s="79"/>
      <c r="K27" s="79"/>
      <c r="L27" s="79"/>
      <c r="M27" s="79"/>
      <c r="N27" s="79"/>
      <c r="O27" s="79"/>
      <c r="P27" s="79"/>
      <c r="Q27" s="79"/>
      <c r="R27" s="79"/>
      <c r="S27" s="79"/>
      <c r="T27" s="79"/>
      <c r="U27" s="79"/>
      <c r="V27" s="79"/>
      <c r="W27" s="79"/>
      <c r="X27" s="79"/>
      <c r="Y27" s="79"/>
      <c r="Z27" s="79"/>
      <c r="AA27" s="79"/>
      <c r="AB27" s="389"/>
      <c r="AC27" s="357"/>
      <c r="AD27" s="357"/>
      <c r="AE27" s="357"/>
      <c r="AF27" s="357"/>
      <c r="AG27" s="357"/>
      <c r="AH27" s="357"/>
      <c r="AI27" s="314"/>
      <c r="AJ27" s="174">
        <f t="shared" si="6"/>
        <v>0</v>
      </c>
      <c r="AK27" s="1011" t="str">
        <f>CONCATENATE(IF(D28&gt;D27," * Positive F01-06 for Age "&amp;D20&amp;" "&amp;D21&amp;" is more than Tested  F01-05"&amp;CHAR(10),""),IF(E28&gt;E27," * Positive F01-06 for Age "&amp;D20&amp;" "&amp;E21&amp;" is more than Tested  F01-05"&amp;CHAR(10),""),IF(F28&gt;F27," * Positive F01-06 for Age "&amp;F20&amp;" "&amp;F21&amp;" is more than Tested  F01-05"&amp;CHAR(10),""),IF(G28&gt;G27," * Positive F01-06 for Age "&amp;F20&amp;" "&amp;G21&amp;" is more than Tested  F01-05"&amp;CHAR(10),""),IF(H28&gt;H27," * Positive F01-06 for Age "&amp;H20&amp;" "&amp;H21&amp;" is more than Tested  F01-05"&amp;CHAR(10),""),IF(I28&gt;I27," * Positive F01-06 for Age "&amp;H20&amp;" "&amp;I21&amp;" is more than Tested  F01-05"&amp;CHAR(10),""),IF(J28&gt;J27," * Positive F01-06 for Age "&amp;J20&amp;" "&amp;J21&amp;" is more than Tested  F01-05"&amp;CHAR(10),""),IF(K28&gt;K27," * Positive F01-06 for Age "&amp;J20&amp;" "&amp;K21&amp;" is more than Tested  F01-05"&amp;CHAR(10),""),IF(L28&gt;L27," * Positive F01-06 for Age "&amp;L20&amp;" "&amp;L21&amp;" is more than Tested  F01-05"&amp;CHAR(10),""),IF(M28&gt;M27," * Positive F01-06 for Age "&amp;L20&amp;" "&amp;M21&amp;" is more than Tested  F01-05"&amp;CHAR(10),""),IF(N28&gt;N27," * Positive F01-06 for Age "&amp;N20&amp;" "&amp;N21&amp;" is more than Tested  F01-05"&amp;CHAR(10),""),IF(O28&gt;O27," * Positive F01-06 for Age "&amp;N20&amp;" "&amp;O21&amp;" is more than Tested  F01-05"&amp;CHAR(10),""),IF(P28&gt;P27," * Positive F01-06 for Age "&amp;P20&amp;" "&amp;P21&amp;" is more than Tested  F01-05"&amp;CHAR(10),""),IF(Q28&gt;Q27," * Positive F01-06 for Age "&amp;P20&amp;" "&amp;Q21&amp;" is more than Tested  F01-05"&amp;CHAR(10),""),IF(R28&gt;R27," * Positive F01-06 for Age "&amp;R20&amp;" "&amp;R21&amp;" is more than Tested  F01-05"&amp;CHAR(10),""),IF(S28&gt;S27," * Positive F01-06 for Age "&amp;R20&amp;" "&amp;S21&amp;" is more than Tested  F01-05"&amp;CHAR(10),""),IF(T28&gt;T27," * Positive F01-06 for Age "&amp;T20&amp;" "&amp;T21&amp;" is more than Tested  F01-05"&amp;CHAR(10),""),IF(U28&gt;U27," * Positive F01-06 for Age "&amp;T20&amp;" "&amp;U21&amp;" is more than Tested  F01-05"&amp;CHAR(10),""),IF(V28&gt;V27," * Positive F01-06 for Age "&amp;V20&amp;" "&amp;V21&amp;" is more than Tested  F01-05"&amp;CHAR(10),""),IF(W28&gt;W27," * Positive F01-06 for Age "&amp;V20&amp;" "&amp;W21&amp;" is more than Tested  F01-05"&amp;CHAR(10),""),IF(X28&gt;X27," * Positive F01-06 for Age "&amp;X20&amp;" "&amp;X21&amp;" is more than Tested  F01-05"&amp;CHAR(10),""),IF(Y28&gt;Y27," * Positive F01-06 for Age "&amp;X20&amp;" "&amp;Y21&amp;" is more than Tested  F01-05"&amp;CHAR(10),""),IF(Z28&gt;Z27," * Positive F01-06 for Age "&amp;Z20&amp;" "&amp;Z21&amp;" is more than Tested  F01-05"&amp;CHAR(10),""),IF(AA28&gt;AA27," * Positive F01-06 for Age "&amp;Z20&amp;" "&amp;AA21&amp;" is more than Tested  F01-05"&amp;CHAR(10),""))</f>
        <v/>
      </c>
      <c r="AL27" s="1228"/>
      <c r="AM27" s="31" t="str">
        <f>CONCATENATE(IF(AND(IFERROR((AJ28*100)/AJ27,0)&gt;10,AJ28&gt;5)," * This facility has a high positivity rate for Index Testing. Kindly confirm if this is the true reflection"&amp;CHAR(10),""),"")</f>
        <v/>
      </c>
      <c r="AN27" s="1224"/>
      <c r="AO27" s="13">
        <v>25</v>
      </c>
      <c r="AP27" s="81"/>
      <c r="AQ27" s="82"/>
    </row>
    <row r="28" spans="1:43" s="83" customFormat="1" ht="25.5" hidden="1" x14ac:dyDescent="0.75">
      <c r="A28" s="973"/>
      <c r="B28" s="84" t="s">
        <v>150</v>
      </c>
      <c r="C28" s="580" t="s">
        <v>149</v>
      </c>
      <c r="D28" s="135"/>
      <c r="E28" s="78"/>
      <c r="F28" s="85"/>
      <c r="G28" s="85"/>
      <c r="H28" s="85"/>
      <c r="I28" s="85"/>
      <c r="J28" s="85"/>
      <c r="K28" s="85"/>
      <c r="L28" s="85"/>
      <c r="M28" s="85"/>
      <c r="N28" s="85"/>
      <c r="O28" s="85"/>
      <c r="P28" s="85"/>
      <c r="Q28" s="85"/>
      <c r="R28" s="85"/>
      <c r="S28" s="85"/>
      <c r="T28" s="85"/>
      <c r="U28" s="85"/>
      <c r="V28" s="85"/>
      <c r="W28" s="85"/>
      <c r="X28" s="85"/>
      <c r="Y28" s="85"/>
      <c r="Z28" s="85"/>
      <c r="AA28" s="320"/>
      <c r="AB28" s="389"/>
      <c r="AC28" s="357"/>
      <c r="AD28" s="357"/>
      <c r="AE28" s="357"/>
      <c r="AF28" s="357"/>
      <c r="AG28" s="357"/>
      <c r="AH28" s="357"/>
      <c r="AI28" s="314"/>
      <c r="AJ28" s="382">
        <f>SUM(D28:AA28)</f>
        <v>0</v>
      </c>
      <c r="AK28" s="1011"/>
      <c r="AL28" s="1228"/>
      <c r="AM28" s="31"/>
      <c r="AN28" s="1224"/>
      <c r="AO28" s="13">
        <v>26</v>
      </c>
      <c r="AP28" s="81"/>
      <c r="AQ28" s="82"/>
    </row>
    <row r="29" spans="1:43" s="83" customFormat="1" ht="25.5" hidden="1" x14ac:dyDescent="0.75">
      <c r="A29" s="973"/>
      <c r="B29" s="76" t="s">
        <v>151</v>
      </c>
      <c r="C29" s="580" t="s">
        <v>152</v>
      </c>
      <c r="D29" s="135"/>
      <c r="E29" s="78"/>
      <c r="F29" s="79"/>
      <c r="G29" s="79"/>
      <c r="H29" s="79"/>
      <c r="I29" s="79"/>
      <c r="J29" s="79"/>
      <c r="K29" s="79"/>
      <c r="L29" s="79"/>
      <c r="M29" s="79"/>
      <c r="N29" s="79"/>
      <c r="O29" s="79"/>
      <c r="P29" s="79"/>
      <c r="Q29" s="79"/>
      <c r="R29" s="79"/>
      <c r="S29" s="79"/>
      <c r="T29" s="79"/>
      <c r="U29" s="79"/>
      <c r="V29" s="79"/>
      <c r="W29" s="79"/>
      <c r="X29" s="79"/>
      <c r="Y29" s="79"/>
      <c r="Z29" s="79"/>
      <c r="AA29" s="319"/>
      <c r="AB29" s="389"/>
      <c r="AC29" s="357"/>
      <c r="AD29" s="357"/>
      <c r="AE29" s="357"/>
      <c r="AF29" s="357"/>
      <c r="AG29" s="357"/>
      <c r="AH29" s="357"/>
      <c r="AI29" s="314"/>
      <c r="AJ29" s="174">
        <f t="shared" ref="AJ29:AJ55" si="7">SUM(D29:AA29)</f>
        <v>0</v>
      </c>
      <c r="AK29" s="45"/>
      <c r="AL29" s="1228"/>
      <c r="AM29" s="31"/>
      <c r="AN29" s="1224"/>
      <c r="AO29" s="13">
        <v>27</v>
      </c>
      <c r="AP29" s="81"/>
      <c r="AQ29" s="82"/>
    </row>
    <row r="30" spans="1:43" s="83" customFormat="1" ht="25.5" hidden="1" x14ac:dyDescent="0.75">
      <c r="A30" s="973"/>
      <c r="B30" s="76" t="s">
        <v>643</v>
      </c>
      <c r="C30" s="580" t="s">
        <v>153</v>
      </c>
      <c r="D30" s="381"/>
      <c r="E30" s="86"/>
      <c r="F30" s="79"/>
      <c r="G30" s="79"/>
      <c r="H30" s="79"/>
      <c r="I30" s="79"/>
      <c r="J30" s="79"/>
      <c r="K30" s="79"/>
      <c r="L30" s="79"/>
      <c r="M30" s="79"/>
      <c r="N30" s="79"/>
      <c r="O30" s="79"/>
      <c r="P30" s="79"/>
      <c r="Q30" s="79"/>
      <c r="R30" s="79"/>
      <c r="S30" s="79"/>
      <c r="T30" s="79"/>
      <c r="U30" s="79"/>
      <c r="V30" s="79"/>
      <c r="W30" s="79"/>
      <c r="X30" s="79"/>
      <c r="Y30" s="79"/>
      <c r="Z30" s="79"/>
      <c r="AA30" s="79"/>
      <c r="AB30" s="389"/>
      <c r="AC30" s="357"/>
      <c r="AD30" s="357"/>
      <c r="AE30" s="357"/>
      <c r="AF30" s="357"/>
      <c r="AG30" s="357"/>
      <c r="AH30" s="357"/>
      <c r="AI30" s="314"/>
      <c r="AJ30" s="174">
        <f t="shared" si="7"/>
        <v>0</v>
      </c>
      <c r="AK30" s="45"/>
      <c r="AL30" s="1228"/>
      <c r="AM30" s="31"/>
      <c r="AN30" s="1224"/>
      <c r="AO30" s="13">
        <v>28</v>
      </c>
      <c r="AP30" s="81"/>
      <c r="AQ30" s="82"/>
    </row>
    <row r="31" spans="1:43" s="83" customFormat="1" ht="25.9" hidden="1" thickBot="1" x14ac:dyDescent="0.8">
      <c r="A31" s="973"/>
      <c r="B31" s="76" t="s">
        <v>1240</v>
      </c>
      <c r="C31" s="633" t="s">
        <v>1241</v>
      </c>
      <c r="D31" s="381"/>
      <c r="E31" s="86"/>
      <c r="F31" s="79"/>
      <c r="G31" s="79"/>
      <c r="H31" s="79"/>
      <c r="I31" s="79"/>
      <c r="J31" s="79"/>
      <c r="K31" s="79"/>
      <c r="L31" s="79"/>
      <c r="M31" s="79"/>
      <c r="N31" s="79"/>
      <c r="O31" s="79"/>
      <c r="P31" s="79"/>
      <c r="Q31" s="79"/>
      <c r="R31" s="79"/>
      <c r="S31" s="79"/>
      <c r="T31" s="79"/>
      <c r="U31" s="79"/>
      <c r="V31" s="79"/>
      <c r="W31" s="79"/>
      <c r="X31" s="79"/>
      <c r="Y31" s="79"/>
      <c r="Z31" s="79"/>
      <c r="AA31" s="79"/>
      <c r="AB31" s="389"/>
      <c r="AC31" s="357"/>
      <c r="AD31" s="357"/>
      <c r="AE31" s="357"/>
      <c r="AF31" s="357"/>
      <c r="AG31" s="357"/>
      <c r="AH31" s="357"/>
      <c r="AI31" s="314"/>
      <c r="AJ31" s="193">
        <f t="shared" si="7"/>
        <v>0</v>
      </c>
      <c r="AK31" s="45"/>
      <c r="AL31" s="1228"/>
      <c r="AM31" s="31"/>
      <c r="AN31" s="1224"/>
      <c r="AO31" s="13">
        <v>29</v>
      </c>
      <c r="AP31" s="81"/>
      <c r="AQ31" s="82"/>
    </row>
    <row r="32" spans="1:43" s="83" customFormat="1" ht="25.9" hidden="1" thickBot="1" x14ac:dyDescent="0.8">
      <c r="A32" s="974"/>
      <c r="B32" s="87" t="s">
        <v>154</v>
      </c>
      <c r="C32" s="605" t="s">
        <v>155</v>
      </c>
      <c r="D32" s="379"/>
      <c r="E32" s="88"/>
      <c r="F32" s="89"/>
      <c r="G32" s="89"/>
      <c r="H32" s="89"/>
      <c r="I32" s="89"/>
      <c r="J32" s="89"/>
      <c r="K32" s="89"/>
      <c r="L32" s="89"/>
      <c r="M32" s="89"/>
      <c r="N32" s="89"/>
      <c r="O32" s="89"/>
      <c r="P32" s="89"/>
      <c r="Q32" s="89"/>
      <c r="R32" s="89"/>
      <c r="S32" s="89"/>
      <c r="T32" s="89"/>
      <c r="U32" s="89"/>
      <c r="V32" s="89"/>
      <c r="W32" s="89"/>
      <c r="X32" s="89"/>
      <c r="Y32" s="89"/>
      <c r="Z32" s="89"/>
      <c r="AA32" s="89"/>
      <c r="AB32" s="389"/>
      <c r="AC32" s="357"/>
      <c r="AD32" s="357"/>
      <c r="AE32" s="357"/>
      <c r="AF32" s="357"/>
      <c r="AG32" s="357"/>
      <c r="AH32" s="357"/>
      <c r="AI32" s="314"/>
      <c r="AJ32" s="193">
        <f t="shared" ref="AJ32" si="8">SUM(D32:AA32)</f>
        <v>0</v>
      </c>
      <c r="AK32" s="604" t="str">
        <f>CONCATENATE(IF((D30+D31+D32)&lt;&gt;D27," * "&amp;$A27&amp;" , "&amp;$B30&amp;" plus "&amp;$B31&amp;" plus "&amp;$B32&amp;"  For age "&amp;$D$20&amp;" "&amp;$D$21&amp;" should be equal to "&amp;$B27&amp;""&amp;CHAR(10),""),IF((E30+E31+E32)&lt;&gt;E27," * "&amp;$A27&amp;" , "&amp;$B30&amp;" plus "&amp;$B31&amp;" plus "&amp;$B32&amp;"  For age "&amp;$D$20&amp;" "&amp;$E$21&amp;" should be equal to "&amp;$B27&amp;""&amp;CHAR(10),""),IF((F30+F31+F32)&lt;&gt;F27," * "&amp;$A27&amp;" , "&amp;$B30&amp;" plus "&amp;$B31&amp;" plus "&amp;$B32&amp;"  For age "&amp;$F$20&amp;" "&amp;$F$21&amp;" should be equal to "&amp;$B27&amp;""&amp;CHAR(10),""),IF((G30+G31+G32)&lt;&gt;G27," * "&amp;$A27&amp;" , "&amp;$B30&amp;" plus "&amp;$B31&amp;" plus "&amp;$B32&amp;"  For age "&amp;$F$20&amp;" "&amp;$G$21&amp;" should be equal to "&amp;$B27&amp;""&amp;CHAR(10),""),IF((H30+H31+H32)&lt;&gt;H27," * "&amp;$A27&amp;" , "&amp;$B30&amp;" plus "&amp;$B31&amp;" plus "&amp;$B32&amp;"  For age "&amp;$H$20&amp;" "&amp;$H$21&amp;" should be equal to "&amp;$B27&amp;""&amp;CHAR(10),""),IF((I30+I31+I32)&lt;&gt;I27," * "&amp;$A27&amp;" , "&amp;$B30&amp;" plus "&amp;$B31&amp;" plus "&amp;$B32&amp;"  For age "&amp;$H$20&amp;" "&amp;$I$21&amp;" should be equal to "&amp;$B27&amp;""&amp;CHAR(10),""),IF((J30+J31+J32)&lt;&gt;J27," * "&amp;$A27&amp;" , "&amp;$B30&amp;" plus "&amp;$B31&amp;" plus "&amp;$B32&amp;"  For age "&amp;$J$20&amp;" "&amp;$J$21&amp;" should be equal to "&amp;$B27&amp;""&amp;CHAR(10),""),IF((K30+K31+K32)&lt;&gt;K27," * "&amp;$A27&amp;" , "&amp;$B30&amp;" plus "&amp;$B31&amp;" plus "&amp;$B32&amp;"  For age "&amp;$J$20&amp;" "&amp;$K$21&amp;" should be equal to "&amp;$B27&amp;""&amp;CHAR(10),""),IF((L30+L31+L32)&lt;&gt;L27," * "&amp;$A27&amp;" , "&amp;$B30&amp;" plus "&amp;$B31&amp;" plus "&amp;$B32&amp;"  For age "&amp;$L$20&amp;" "&amp;$L$21&amp;" should be equal to "&amp;$B27&amp;""&amp;CHAR(10),""),IF((M30+M31+M32)&lt;&gt;M27," * "&amp;$A27&amp;" , "&amp;$B30&amp;" plus "&amp;$B31&amp;" plus "&amp;$B32&amp;"  For age "&amp;$L$20&amp;" "&amp;$M$21&amp;" should be equal to "&amp;$B27&amp;""&amp;CHAR(10),""),IF((N30+N31+N32)&lt;&gt;N27," * "&amp;$A27&amp;" , "&amp;$B30&amp;" plus "&amp;$B31&amp;" plus "&amp;$B32&amp;"  For age "&amp;$N$20&amp;" "&amp;$N$21&amp;" should be equal to "&amp;$B27&amp;""&amp;CHAR(10),""),IF((O30+O31+O32)&lt;&gt;O27," * "&amp;$A27&amp;" , "&amp;$B30&amp;" plus "&amp;$B31&amp;" plus "&amp;$B32&amp;"  For age "&amp;$N$20&amp;" "&amp;$O$21&amp;" should be equal to "&amp;$B27&amp;""&amp;CHAR(10),""),IF((P30+P31+P32)&lt;&gt;P27," * "&amp;$A27&amp;" , "&amp;$B30&amp;" plus "&amp;$B31&amp;" plus "&amp;$B32&amp;"  For age "&amp;$P$20&amp;" "&amp;$P$21&amp;" should be equal to "&amp;$B27&amp;""&amp;CHAR(10),""),IF((Q30+Q31+Q32)&lt;&gt;Q27," * "&amp;$A27&amp;" , "&amp;$B30&amp;" plus "&amp;$B31&amp;" plus "&amp;$B32&amp;"  For age "&amp;$P$20&amp;" "&amp;$Q$21&amp;" should be equal to "&amp;$B27&amp;""&amp;CHAR(10),""),IF((R30+R31+R32)&lt;&gt;R27," * "&amp;$A27&amp;" , "&amp;$B30&amp;" plus "&amp;$B31&amp;" plus "&amp;$B32&amp;"  For age "&amp;$R$20&amp;" "&amp;$R$21&amp;" should be equal to "&amp;$B27&amp;""&amp;CHAR(10),""),IF((S30+S31+S32)&lt;&gt;S27," * "&amp;$A27&amp;" , "&amp;$B30&amp;" plus "&amp;$B31&amp;" plus "&amp;$B32&amp;"  For age "&amp;$R$20&amp;" "&amp;$S$21&amp;" should be equal to "&amp;$B27&amp;""&amp;CHAR(10),""),IF((T30+T31+T32)&lt;&gt;T27," * "&amp;$A27&amp;" , "&amp;$B30&amp;" plus "&amp;$B31&amp;" plus "&amp;$B32&amp;"  For age "&amp;$T$20&amp;" "&amp;$T$21&amp;" should be equal to "&amp;$B27&amp;""&amp;CHAR(10),""),IF((U30+U31+U32)&lt;&gt;U27," * "&amp;$A27&amp;" , "&amp;$B30&amp;" plus "&amp;$B31&amp;" plus "&amp;$B32&amp;"  For age "&amp;$T$20&amp;" "&amp;$U$21&amp;" should be equal to "&amp;$B27&amp;""&amp;CHAR(10),""),IF((V30+V31+V32)&lt;&gt;V27," * "&amp;$A27&amp;" , "&amp;$B30&amp;" plus "&amp;$B31&amp;" plus "&amp;$B32&amp;"  For age "&amp;$V$20&amp;" "&amp;$V$21&amp;" should be equal to "&amp;$B27&amp;""&amp;CHAR(10),""),IF((W30+W31+W32)&lt;&gt;W27," * "&amp;$A27&amp;" , "&amp;$B30&amp;" plus "&amp;$B31&amp;" plus "&amp;$B32&amp;"  For age "&amp;$V$20&amp;" "&amp;$W$21&amp;" should be equal to "&amp;$B27&amp;""&amp;CHAR(10),""),IF((X30+X31+X32)&lt;&gt;X27," * "&amp;$A27&amp;" , "&amp;$B30&amp;" plus "&amp;$B31&amp;" plus "&amp;$B32&amp;"  For age "&amp;$X$20&amp;" "&amp;$X$21&amp;" should be equal to "&amp;$B27&amp;""&amp;CHAR(10),""),IF((Y30+Y31+Y32)&lt;&gt;Y27," * "&amp;$A27&amp;" , "&amp;$B30&amp;" plus "&amp;$B31&amp;" plus "&amp;$B32&amp;"  For age "&amp;$X$20&amp;" "&amp;$Y$21&amp;" should be equal to "&amp;$B27&amp;""&amp;CHAR(10),""),IF((Z30+Z31+Z32)&lt;&gt;Z27," * "&amp;$A27&amp;" , "&amp;$B30&amp;" plus "&amp;$B31&amp;" plus "&amp;$B32&amp;"  For age "&amp;$Z$20&amp;" "&amp;$Z$21&amp;" should be equal to "&amp;$B27&amp;""&amp;CHAR(10),""),IF((AA30+AA31+AA32)&lt;&gt;AA27," * "&amp;$A27&amp;" , "&amp;$B30&amp;" plus "&amp;$B31&amp;" plus "&amp;$B32&amp;"  For age "&amp;$Z$20&amp;" "&amp;$AA$21&amp;" should be equal to "&amp;$B27&amp;""&amp;CHAR(10),""))</f>
        <v/>
      </c>
      <c r="AL32" s="1228"/>
      <c r="AM32" s="31"/>
      <c r="AN32" s="1224"/>
      <c r="AO32" s="13">
        <v>29</v>
      </c>
      <c r="AP32" s="81"/>
      <c r="AQ32" s="82"/>
    </row>
    <row r="33" spans="1:43" s="83" customFormat="1" ht="25.5" hidden="1" x14ac:dyDescent="0.75">
      <c r="A33" s="944" t="s">
        <v>13</v>
      </c>
      <c r="B33" s="299" t="s">
        <v>158</v>
      </c>
      <c r="C33" s="579" t="s">
        <v>157</v>
      </c>
      <c r="D33" s="297"/>
      <c r="E33" s="93"/>
      <c r="F33" s="94"/>
      <c r="G33" s="94"/>
      <c r="H33" s="94"/>
      <c r="I33" s="94"/>
      <c r="J33" s="94"/>
      <c r="K33" s="94"/>
      <c r="L33" s="94"/>
      <c r="M33" s="94"/>
      <c r="N33" s="94"/>
      <c r="O33" s="94"/>
      <c r="P33" s="94"/>
      <c r="Q33" s="94"/>
      <c r="R33" s="94"/>
      <c r="S33" s="94"/>
      <c r="T33" s="94"/>
      <c r="U33" s="94"/>
      <c r="V33" s="94"/>
      <c r="W33" s="94"/>
      <c r="X33" s="94"/>
      <c r="Y33" s="94"/>
      <c r="Z33" s="94"/>
      <c r="AA33" s="322"/>
      <c r="AB33" s="389"/>
      <c r="AC33" s="357"/>
      <c r="AD33" s="357"/>
      <c r="AE33" s="357"/>
      <c r="AF33" s="357"/>
      <c r="AG33" s="357"/>
      <c r="AH33" s="357"/>
      <c r="AI33" s="314"/>
      <c r="AJ33" s="189">
        <f t="shared" si="7"/>
        <v>0</v>
      </c>
      <c r="AK33" s="1011" t="str">
        <f>CONCATENATE(IF(D34&gt;D33," * Positive F01-11 for Age "&amp;D20&amp;" "&amp;D21&amp;" is more than Tested  F01-10"&amp;CHAR(10),""),IF(E34&gt;E33," * Positive F01-11 for Age "&amp;D20&amp;" "&amp;E21&amp;" is more than Tested  F01-10"&amp;CHAR(10),""),IF(F34&gt;F33," * Positive F01-11 for Age "&amp;F20&amp;" "&amp;F21&amp;" is more than Tested  F01-10"&amp;CHAR(10),""),IF(G34&gt;G33," * Positive F01-11 for Age "&amp;F20&amp;" "&amp;G21&amp;" is more than Tested  F01-10"&amp;CHAR(10),""),IF(H34&gt;H33," * Positive F01-11 for Age "&amp;H20&amp;" "&amp;H21&amp;" is more than Tested  F01-10"&amp;CHAR(10),""),IF(I34&gt;I33," * Positive F01-11 for Age "&amp;H20&amp;" "&amp;I21&amp;" is more than Tested  F01-10"&amp;CHAR(10),""),IF(J34&gt;J33," * Positive F01-11 for Age "&amp;J20&amp;" "&amp;J21&amp;" is more than Tested  F01-10"&amp;CHAR(10),""),IF(K34&gt;K33," * Positive F01-11 for Age "&amp;J20&amp;" "&amp;K21&amp;" is more than Tested  F01-10"&amp;CHAR(10),""),IF(L34&gt;L33," * Positive F01-11 for Age "&amp;L20&amp;" "&amp;L21&amp;" is more than Tested  F01-10"&amp;CHAR(10),""),IF(M34&gt;M33," * Positive F01-11 for Age "&amp;L20&amp;" "&amp;M21&amp;" is more than Tested  F01-10"&amp;CHAR(10),""),IF(N34&gt;N33," * Positive F01-11 for Age "&amp;N20&amp;" "&amp;N21&amp;" is more than Tested  F01-10"&amp;CHAR(10),""),IF(O34&gt;O33," * Positive F01-11 for Age "&amp;N20&amp;" "&amp;O21&amp;" is more than Tested  F01-10"&amp;CHAR(10),""),IF(P34&gt;P33," * Positive F01-11 for Age "&amp;P20&amp;" "&amp;P21&amp;" is more than Tested  F01-10"&amp;CHAR(10),""),IF(Q34&gt;Q33," * Positive F01-11 for Age "&amp;P20&amp;" "&amp;Q21&amp;" is more than Tested  F01-10"&amp;CHAR(10),""),IF(R34&gt;R33," * Positive F01-11 for Age "&amp;R20&amp;" "&amp;R21&amp;" is more than Tested  F01-10"&amp;CHAR(10),""),IF(S34&gt;S33," * Positive F01-11 for Age "&amp;R20&amp;" "&amp;S21&amp;" is more than Tested  F01-10"&amp;CHAR(10),""),IF(T34&gt;T33," * Positive F01-11 for Age "&amp;T20&amp;" "&amp;T21&amp;" is more than Tested  F01-10"&amp;CHAR(10),""),IF(U34&gt;U33," * Positive F01-11 for Age "&amp;T20&amp;" "&amp;U21&amp;" is more than Tested  F01-10"&amp;CHAR(10),""),IF(V34&gt;V33," * Positive F01-11 for Age "&amp;V20&amp;" "&amp;V21&amp;" is more than Tested  F01-10"&amp;CHAR(10),""),IF(W34&gt;W33," * Positive F01-11 for Age "&amp;V20&amp;" "&amp;W21&amp;" is more than Tested  F01-10"&amp;CHAR(10),""),IF(X34&gt;X33," * Positive F01-11 for Age "&amp;X20&amp;" "&amp;X21&amp;" is more than Tested  F01-10"&amp;CHAR(10),""),IF(Y34&gt;Y33," * Positive F01-11 for Age "&amp;X20&amp;" "&amp;Y21&amp;" is more than Tested  F01-10"&amp;CHAR(10),""),IF(Z34&gt;Z33," * Positive F01-11 for Age "&amp;Z20&amp;" "&amp;Z21&amp;" is more than Tested  F01-10"&amp;CHAR(10),""),IF(AA34&gt;AA33," * Positive F01-11 for Age "&amp;Z20&amp;" "&amp;AA21&amp;" is more than Tested  F01-10"&amp;CHAR(10),""),IF(AJ34&gt;AJ33," * Total Positive F01-11 is more than Total Tested  F01-10"&amp;CHAR(10),""))</f>
        <v/>
      </c>
      <c r="AL33" s="1228"/>
      <c r="AM33" s="31" t="str">
        <f>CONCATENATE(IF(AND(IFERROR((AJ34*100)/AJ33,0)&gt;10,AJ34&gt;5)," * This facility has a high positivity rate for Index Testing. Kindly confirm if this is the true reflection"&amp;CHAR(10),""),"")</f>
        <v/>
      </c>
      <c r="AN33" s="1224"/>
      <c r="AO33" s="13">
        <v>30</v>
      </c>
      <c r="AP33" s="81"/>
      <c r="AQ33" s="82"/>
    </row>
    <row r="34" spans="1:43" s="83" customFormat="1" ht="25.9" hidden="1" thickBot="1" x14ac:dyDescent="0.8">
      <c r="A34" s="1070"/>
      <c r="B34" s="300" t="s">
        <v>150</v>
      </c>
      <c r="C34" s="581" t="s">
        <v>159</v>
      </c>
      <c r="D34" s="298"/>
      <c r="E34" s="96"/>
      <c r="F34" s="97"/>
      <c r="G34" s="97"/>
      <c r="H34" s="97"/>
      <c r="I34" s="97"/>
      <c r="J34" s="97"/>
      <c r="K34" s="97"/>
      <c r="L34" s="97"/>
      <c r="M34" s="97"/>
      <c r="N34" s="97"/>
      <c r="O34" s="97"/>
      <c r="P34" s="97"/>
      <c r="Q34" s="97"/>
      <c r="R34" s="97"/>
      <c r="S34" s="97"/>
      <c r="T34" s="97"/>
      <c r="U34" s="97"/>
      <c r="V34" s="97"/>
      <c r="W34" s="97"/>
      <c r="X34" s="97"/>
      <c r="Y34" s="97"/>
      <c r="Z34" s="97"/>
      <c r="AA34" s="323"/>
      <c r="AB34" s="389"/>
      <c r="AC34" s="357"/>
      <c r="AD34" s="357"/>
      <c r="AE34" s="357"/>
      <c r="AF34" s="357"/>
      <c r="AG34" s="357"/>
      <c r="AH34" s="357"/>
      <c r="AI34" s="314"/>
      <c r="AJ34" s="376">
        <f t="shared" si="7"/>
        <v>0</v>
      </c>
      <c r="AK34" s="1011"/>
      <c r="AL34" s="1228"/>
      <c r="AM34" s="31"/>
      <c r="AN34" s="1224"/>
      <c r="AO34" s="13">
        <v>31</v>
      </c>
      <c r="AP34" s="81"/>
      <c r="AQ34" s="82"/>
    </row>
    <row r="35" spans="1:43" s="83" customFormat="1" ht="25.5" hidden="1" x14ac:dyDescent="0.75">
      <c r="A35" s="944" t="s">
        <v>14</v>
      </c>
      <c r="B35" s="91" t="s">
        <v>158</v>
      </c>
      <c r="C35" s="579" t="s">
        <v>160</v>
      </c>
      <c r="D35" s="70"/>
      <c r="E35" s="71"/>
      <c r="F35" s="72"/>
      <c r="G35" s="72"/>
      <c r="H35" s="72"/>
      <c r="I35" s="72"/>
      <c r="J35" s="72"/>
      <c r="K35" s="72"/>
      <c r="L35" s="72"/>
      <c r="M35" s="72"/>
      <c r="N35" s="72"/>
      <c r="O35" s="72"/>
      <c r="P35" s="72"/>
      <c r="Q35" s="72"/>
      <c r="R35" s="72"/>
      <c r="S35" s="72"/>
      <c r="T35" s="72"/>
      <c r="U35" s="72"/>
      <c r="V35" s="72"/>
      <c r="W35" s="72"/>
      <c r="X35" s="72"/>
      <c r="Y35" s="72"/>
      <c r="Z35" s="72"/>
      <c r="AA35" s="318"/>
      <c r="AB35" s="389"/>
      <c r="AC35" s="357"/>
      <c r="AD35" s="357"/>
      <c r="AE35" s="357"/>
      <c r="AF35" s="357"/>
      <c r="AG35" s="357"/>
      <c r="AH35" s="357"/>
      <c r="AI35" s="314"/>
      <c r="AJ35" s="52">
        <f t="shared" si="7"/>
        <v>0</v>
      </c>
      <c r="AK35" s="1011" t="str">
        <f>CONCATENATE(IF(D36&gt;D35," * Positive F01-13 for Age "&amp;D20&amp;" "&amp;D21&amp;" is more than Tested F01-12"&amp;CHAR(10),""),IF(E36&gt;E35," * Positive F01-13 for Age "&amp;D20&amp;" "&amp;E21&amp;" is more than Tested F01-12"&amp;CHAR(10),""),IF(F36&gt;F35," * Positive F01-13 for Age "&amp;F20&amp;" "&amp;F21&amp;" is more than Tested F01-12"&amp;CHAR(10),""),IF(G36&gt;G35," * Positive F01-13 for Age "&amp;F20&amp;" "&amp;G21&amp;" is more than Tested F01-12"&amp;CHAR(10),""),IF(H36&gt;H35," * Positive F01-13 for Age "&amp;H20&amp;" "&amp;H21&amp;" is more than Tested F01-12"&amp;CHAR(10),""),IF(I36&gt;I35," * Positive F01-13 for Age "&amp;H20&amp;" "&amp;I21&amp;" is more than Tested F01-12"&amp;CHAR(10),""),IF(J36&gt;J35," * Positive F01-13 for Age "&amp;J20&amp;" "&amp;J21&amp;" is more than Tested F01-12"&amp;CHAR(10),""),IF(K36&gt;K35," * Positive F01-13 for Age "&amp;J20&amp;" "&amp;K21&amp;" is more than Tested F01-12"&amp;CHAR(10),""),IF(L36&gt;L35," * Positive F01-13 for Age "&amp;L20&amp;" "&amp;L21&amp;" is more than Tested F01-12"&amp;CHAR(10),""),IF(M36&gt;M35," * Positive F01-13 for Age "&amp;L20&amp;" "&amp;M21&amp;" is more than Tested F01-12"&amp;CHAR(10),""),IF(N36&gt;N35," * Positive F01-13 for Age "&amp;N20&amp;" "&amp;N21&amp;" is more than Tested F01-12"&amp;CHAR(10),""),IF(O36&gt;O35," * Positive F01-13 for Age "&amp;N20&amp;" "&amp;O21&amp;" is more than Tested F01-12"&amp;CHAR(10),""),IF(P36&gt;P35," * Positive F01-13 for Age "&amp;P20&amp;" "&amp;P21&amp;" is more than Tested F01-12"&amp;CHAR(10),""),IF(Q36&gt;Q35," * Positive F01-13 for Age "&amp;P20&amp;" "&amp;Q21&amp;" is more than Tested F01-12"&amp;CHAR(10),""),IF(R36&gt;R35," * Positive F01-13 for Age "&amp;R20&amp;" "&amp;R21&amp;" is more than Tested F01-12"&amp;CHAR(10),""),IF(S36&gt;S35," * Positive F01-13 for Age "&amp;R20&amp;" "&amp;S21&amp;" is more than Tested F01-12"&amp;CHAR(10),""),IF(T36&gt;T35," * Positive F01-13 for Age "&amp;T20&amp;" "&amp;T21&amp;" is more than Tested F01-12"&amp;CHAR(10),""),IF(U36&gt;U35," * Positive F01-13 for Age "&amp;T20&amp;" "&amp;U21&amp;" is more than Tested F01-12"&amp;CHAR(10),""),IF(V36&gt;V35," * Positive F01-13 for Age "&amp;V20&amp;" "&amp;V21&amp;" is more than Tested F01-12"&amp;CHAR(10),""),IF(W36&gt;W35," * Positive F01-13 for Age "&amp;V20&amp;" "&amp;W21&amp;" is more than Tested F01-12"&amp;CHAR(10),""),IF(X36&gt;X35," * Positive F01-13 for Age "&amp;X20&amp;" "&amp;X21&amp;" is more than Tested F01-12"&amp;CHAR(10),""),IF(Y36&gt;Y35," * Positive F01-13 for Age "&amp;X20&amp;" "&amp;Y21&amp;" is more than Tested F01-12"&amp;CHAR(10),""),IF(Z36&gt;Z35," * Positive F01-13 for Age "&amp;Z20&amp;" "&amp;Z21&amp;" is more than Tested F01-12"&amp;CHAR(10),""),IF(AA36&gt;AA35," * Positive F01-13 for Age "&amp;Z20&amp;" "&amp;AA21&amp;" is more than Tested F01-12"&amp;CHAR(10),""))</f>
        <v/>
      </c>
      <c r="AL35" s="1228"/>
      <c r="AM35" s="31" t="str">
        <f>CONCATENATE(IF(AND(IFERROR((AJ36*100)/AJ35,0)&gt;10,AJ36&gt;5)," * This facility has a high positivity rate for Index Testing. Kindly confirm if this is the true reflection"&amp;CHAR(10),""),"")</f>
        <v/>
      </c>
      <c r="AN35" s="1224"/>
      <c r="AO35" s="13">
        <v>32</v>
      </c>
      <c r="AP35" s="81"/>
      <c r="AQ35" s="82"/>
    </row>
    <row r="36" spans="1:43" s="83" customFormat="1" ht="25.9" hidden="1" thickBot="1" x14ac:dyDescent="0.8">
      <c r="A36" s="1070"/>
      <c r="B36" s="95" t="s">
        <v>150</v>
      </c>
      <c r="C36" s="581" t="s">
        <v>161</v>
      </c>
      <c r="D36" s="100"/>
      <c r="E36" s="101"/>
      <c r="F36" s="97"/>
      <c r="G36" s="97"/>
      <c r="H36" s="97"/>
      <c r="I36" s="97"/>
      <c r="J36" s="97"/>
      <c r="K36" s="97"/>
      <c r="L36" s="97"/>
      <c r="M36" s="97"/>
      <c r="N36" s="97"/>
      <c r="O36" s="97"/>
      <c r="P36" s="97"/>
      <c r="Q36" s="97"/>
      <c r="R36" s="97"/>
      <c r="S36" s="97"/>
      <c r="T36" s="97"/>
      <c r="U36" s="97"/>
      <c r="V36" s="97"/>
      <c r="W36" s="97"/>
      <c r="X36" s="97"/>
      <c r="Y36" s="97"/>
      <c r="Z36" s="97"/>
      <c r="AA36" s="323"/>
      <c r="AB36" s="389"/>
      <c r="AC36" s="357"/>
      <c r="AD36" s="357"/>
      <c r="AE36" s="357"/>
      <c r="AF36" s="357"/>
      <c r="AG36" s="357"/>
      <c r="AH36" s="357"/>
      <c r="AI36" s="314"/>
      <c r="AJ36" s="376">
        <f t="shared" si="7"/>
        <v>0</v>
      </c>
      <c r="AK36" s="1011"/>
      <c r="AL36" s="1228"/>
      <c r="AM36" s="31" t="str">
        <f>CONCATENATE(IF(D35&gt;0," * F01-12 for Age "&amp;D20&amp;" "&amp;D21&amp;" has a value greater than 0"&amp;CHAR(10),""),IF(E35&gt;0," * F01-12 for Age "&amp;D20&amp;" "&amp;E21&amp;" has a value greater than 0"&amp;CHAR(10),""),IF(D36&gt;0," * F01-13 for Age "&amp;D20&amp;" "&amp;D21&amp;" has a value greater than 0"&amp;CHAR(10),""),IF(E36&gt;0," * F01-13 for Age "&amp;D20&amp;" "&amp;E21&amp;" has a value greater than 0"&amp;CHAR(10),""),IF(D37&gt;0," * F01-14 for Age "&amp;D20&amp;" "&amp;D21&amp;" has a value greater than 0"&amp;CHAR(10),""),IF(E37&gt;0," * F01-14 for Age "&amp;D20&amp;" "&amp;E21&amp;" has a value greater than 0"&amp;CHAR(10),""),IF(D38&gt;0," * F01-15 for Age "&amp;D20&amp;" "&amp;D21&amp;" has a value greater than 0"&amp;CHAR(10),""),IF(E38&gt;0," * F01-15 for Age "&amp;D20&amp;" "&amp;E21&amp;" has a value greater than 0"&amp;CHAR(10),""),IF(D43&gt;0," * F01-20 for Age "&amp;D20&amp;" "&amp;D21&amp;" has a value greater than 0"&amp;CHAR(10),""),IF(E43&gt;0," * F01-20 for Age "&amp;D20&amp;" "&amp;E21&amp;" has a value greater than 0"&amp;CHAR(10),""),IF(D44&gt;0," * F01-21 for Age "&amp;D20&amp;" "&amp;D21&amp;" has a value greater than 0"&amp;CHAR(10),""),IF(E44&gt;0," * F01-21 for Age "&amp;D20&amp;" "&amp;E21&amp;" has a value greater than 0"&amp;CHAR(10),""),IF(D45&gt;0," * F01-22 for Age "&amp;D20&amp;" "&amp;D21&amp;" has a value greater than 0"&amp;CHAR(10),""),IF(E45&gt;0," * F01-22 for Age "&amp;D20&amp;" "&amp;E21&amp;" has a value greater than 0"&amp;CHAR(10),""),IF(D46&gt;0," * F01-23 for Age "&amp;D20&amp;" "&amp;D21&amp;" has a value greater than 0"&amp;CHAR(10),""),IF(E46&gt;0," * F01-23 for Age "&amp;D20&amp;" "&amp;E21&amp;" has a value greater than 0"&amp;CHAR(10),""),"")</f>
        <v/>
      </c>
      <c r="AN36" s="1224"/>
      <c r="AO36" s="13">
        <v>33</v>
      </c>
      <c r="AP36" s="81"/>
      <c r="AQ36" s="82"/>
    </row>
    <row r="37" spans="1:43" ht="25.5" hidden="1" x14ac:dyDescent="0.75">
      <c r="A37" s="944" t="s">
        <v>15</v>
      </c>
      <c r="B37" s="91" t="s">
        <v>158</v>
      </c>
      <c r="C37" s="579" t="s">
        <v>162</v>
      </c>
      <c r="D37" s="98"/>
      <c r="E37" s="99"/>
      <c r="F37" s="94"/>
      <c r="G37" s="94"/>
      <c r="H37" s="99"/>
      <c r="I37" s="99"/>
      <c r="J37" s="99"/>
      <c r="K37" s="99"/>
      <c r="L37" s="99"/>
      <c r="M37" s="99"/>
      <c r="N37" s="99"/>
      <c r="O37" s="99"/>
      <c r="P37" s="99"/>
      <c r="Q37" s="99"/>
      <c r="R37" s="99"/>
      <c r="S37" s="99"/>
      <c r="T37" s="99"/>
      <c r="U37" s="99"/>
      <c r="V37" s="99"/>
      <c r="W37" s="99"/>
      <c r="X37" s="99"/>
      <c r="Y37" s="99"/>
      <c r="Z37" s="99"/>
      <c r="AA37" s="324"/>
      <c r="AB37" s="389"/>
      <c r="AC37" s="357"/>
      <c r="AD37" s="357"/>
      <c r="AE37" s="357"/>
      <c r="AF37" s="357"/>
      <c r="AG37" s="357"/>
      <c r="AH37" s="357"/>
      <c r="AI37" s="314"/>
      <c r="AJ37" s="189">
        <f t="shared" si="7"/>
        <v>0</v>
      </c>
      <c r="AK37" s="1011" t="str">
        <f>CONCATENATE(IF(D38&gt;D37," * Positive F01-15 for Age "&amp;D20&amp;" "&amp;D21&amp;" is more than Tested F01-14"&amp;CHAR(10),""),IF(E38&gt;E37," * Positive F01-15 for Age "&amp;D20&amp;" "&amp;E21&amp;" is more than Tested F01-14"&amp;CHAR(10),""),IF(F38&gt;F37," * Positive F01-15 for Age "&amp;F20&amp;" "&amp;F21&amp;" is more than Tested F01-14"&amp;CHAR(10),""),IF(G38&gt;G37," * Positive F01-15 for Age "&amp;F20&amp;" "&amp;G21&amp;" is more than Tested F01-14"&amp;CHAR(10),""),IF(H38&gt;H37," * Positive F01-15 for Age "&amp;H20&amp;" "&amp;H21&amp;" is more than Tested F01-14"&amp;CHAR(10),""),IF(I38&gt;I37," * Positive F01-15 for Age "&amp;H20&amp;" "&amp;I21&amp;" is more than Tested F01-14"&amp;CHAR(10),""),IF(J38&gt;J37," * Positive F01-15 for Age "&amp;J20&amp;" "&amp;J21&amp;" is more than Tested F01-14"&amp;CHAR(10),""),IF(K38&gt;K37," * Positive F01-15 for Age "&amp;J20&amp;" "&amp;K21&amp;" is more than Tested F01-14"&amp;CHAR(10),""),IF(L38&gt;L37," * Positive F01-15 for Age "&amp;L20&amp;" "&amp;L21&amp;" is more than Tested F01-14"&amp;CHAR(10),""),IF(M38&gt;M37," * Positive F01-15 for Age "&amp;L20&amp;" "&amp;M21&amp;" is more than Tested F01-14"&amp;CHAR(10),""),IF(N38&gt;N37," * Positive F01-15 for Age "&amp;N20&amp;" "&amp;N21&amp;" is more than Tested F01-14"&amp;CHAR(10),""),IF(O38&gt;O37," * Positive F01-15 for Age "&amp;N20&amp;" "&amp;O21&amp;" is more than Tested F01-14"&amp;CHAR(10),""),IF(P38&gt;P37," * Positive F01-15 for Age "&amp;P20&amp;" "&amp;P21&amp;" is more than Tested F01-14"&amp;CHAR(10),""),IF(Q38&gt;Q37," * Positive F01-15 for Age "&amp;P20&amp;" "&amp;Q21&amp;" is more than Tested F01-14"&amp;CHAR(10),""),IF(R38&gt;R37," * Positive F01-15 for Age "&amp;R20&amp;" "&amp;R21&amp;" is more than Tested F01-14"&amp;CHAR(10),""),IF(S38&gt;S37," * Positive F01-15 for Age "&amp;R20&amp;" "&amp;S21&amp;" is more than Tested F01-14"&amp;CHAR(10),""),IF(T38&gt;T37," * Positive F01-15 for Age "&amp;T20&amp;" "&amp;T21&amp;" is more than Tested F01-14"&amp;CHAR(10),""),IF(U38&gt;U37," * Positive F01-15 for Age "&amp;T20&amp;" "&amp;U21&amp;" is more than Tested F01-14"&amp;CHAR(10),""),IF(V38&gt;V37," * Positive F01-15 for Age "&amp;V20&amp;" "&amp;V21&amp;" is more than Tested F01-14"&amp;CHAR(10),""),IF(W38&gt;W37," * Positive F01-15 for Age "&amp;V20&amp;" "&amp;W21&amp;" is more than Tested F01-14"&amp;CHAR(10),""),IF(X38&gt;X37," * Positive F01-15 for Age "&amp;X20&amp;" "&amp;X21&amp;" is more than Tested F01-14"&amp;CHAR(10),""),IF(Y38&gt;Y37," * Positive F01-15 for Age "&amp;X20&amp;" "&amp;Y21&amp;" is more than Tested F01-14"&amp;CHAR(10),""),IF(Z38&gt;Z37," * Positive F01-15 for Age "&amp;Z20&amp;" "&amp;Z21&amp;" is more than Tested F01-14"&amp;CHAR(10),""),IF(AA38&gt;AA37," * Positive F01-15 for Age "&amp;Z20&amp;" "&amp;AA21&amp;" is more than Tested F01-14"&amp;CHAR(10),""))</f>
        <v/>
      </c>
      <c r="AL37" s="1228"/>
      <c r="AM37" s="31" t="str">
        <f>CONCATENATE(IF(AND(IFERROR((AJ38*100)/AJ37,0)&gt;10,AJ38&gt;5)," * This facility has a high positivity rate for Index Testing. Kindly confirm if this is the true reflection"&amp;CHAR(10),""),"")</f>
        <v/>
      </c>
      <c r="AN37" s="1224"/>
      <c r="AO37" s="13">
        <v>34</v>
      </c>
      <c r="AP37" s="74"/>
      <c r="AQ37" s="75"/>
    </row>
    <row r="38" spans="1:43" ht="25.9" hidden="1" thickBot="1" x14ac:dyDescent="0.8">
      <c r="A38" s="1070"/>
      <c r="B38" s="95" t="s">
        <v>150</v>
      </c>
      <c r="C38" s="581" t="s">
        <v>163</v>
      </c>
      <c r="D38" s="100"/>
      <c r="E38" s="101"/>
      <c r="F38" s="97"/>
      <c r="G38" s="97"/>
      <c r="H38" s="102"/>
      <c r="I38" s="102"/>
      <c r="J38" s="102"/>
      <c r="K38" s="102"/>
      <c r="L38" s="102"/>
      <c r="M38" s="102"/>
      <c r="N38" s="102"/>
      <c r="O38" s="102"/>
      <c r="P38" s="102"/>
      <c r="Q38" s="102"/>
      <c r="R38" s="102"/>
      <c r="S38" s="102"/>
      <c r="T38" s="102"/>
      <c r="U38" s="102"/>
      <c r="V38" s="102"/>
      <c r="W38" s="102"/>
      <c r="X38" s="102"/>
      <c r="Y38" s="102"/>
      <c r="Z38" s="102"/>
      <c r="AA38" s="325"/>
      <c r="AB38" s="389"/>
      <c r="AC38" s="357"/>
      <c r="AD38" s="357"/>
      <c r="AE38" s="357"/>
      <c r="AF38" s="357"/>
      <c r="AG38" s="357"/>
      <c r="AH38" s="357"/>
      <c r="AI38" s="314"/>
      <c r="AJ38" s="376">
        <f t="shared" si="7"/>
        <v>0</v>
      </c>
      <c r="AK38" s="1011"/>
      <c r="AL38" s="1228"/>
      <c r="AM38" s="31"/>
      <c r="AN38" s="1224"/>
      <c r="AO38" s="13">
        <v>35</v>
      </c>
      <c r="AP38" s="74"/>
      <c r="AQ38" s="75"/>
    </row>
    <row r="39" spans="1:43" ht="25.5" hidden="1" x14ac:dyDescent="0.75">
      <c r="A39" s="944" t="s">
        <v>440</v>
      </c>
      <c r="B39" s="91" t="s">
        <v>158</v>
      </c>
      <c r="C39" s="579" t="s">
        <v>164</v>
      </c>
      <c r="D39" s="98"/>
      <c r="E39" s="99"/>
      <c r="F39" s="94"/>
      <c r="G39" s="94"/>
      <c r="H39" s="99"/>
      <c r="I39" s="99"/>
      <c r="J39" s="99"/>
      <c r="K39" s="99"/>
      <c r="L39" s="99"/>
      <c r="M39" s="99"/>
      <c r="N39" s="99"/>
      <c r="O39" s="99"/>
      <c r="P39" s="99"/>
      <c r="Q39" s="99"/>
      <c r="R39" s="99"/>
      <c r="S39" s="99"/>
      <c r="T39" s="99"/>
      <c r="U39" s="99"/>
      <c r="V39" s="99"/>
      <c r="W39" s="99"/>
      <c r="X39" s="99"/>
      <c r="Y39" s="99"/>
      <c r="Z39" s="99"/>
      <c r="AA39" s="324"/>
      <c r="AB39" s="389"/>
      <c r="AC39" s="357"/>
      <c r="AD39" s="357"/>
      <c r="AE39" s="357"/>
      <c r="AF39" s="357"/>
      <c r="AG39" s="357"/>
      <c r="AH39" s="357"/>
      <c r="AI39" s="314"/>
      <c r="AJ39" s="189">
        <f t="shared" si="7"/>
        <v>0</v>
      </c>
      <c r="AK39" s="1011" t="str">
        <f>CONCATENATE(IF(D40&gt;D39," * Positive F01-17 for Age "&amp;D20&amp;" "&amp;D21&amp;" is more than Tested F01-16"&amp;CHAR(10),""),IF(E40&gt;E39," * Positive F01-17 for Age "&amp;D20&amp;" "&amp;E21&amp;" is more than Tested F01-16"&amp;CHAR(10),""),IF(F40&gt;F39," * Positive F01-17 for Age "&amp;F20&amp;" "&amp;F21&amp;" is more than Tested F01-16"&amp;CHAR(10),""),IF(G40&gt;G39," * Positive F01-17 for Age "&amp;F20&amp;" "&amp;G21&amp;" is more than Tested F01-16"&amp;CHAR(10),""),IF(H40&gt;H39," * Positive F01-17 for Age "&amp;H20&amp;" "&amp;H21&amp;" is more than Tested F01-16"&amp;CHAR(10),""),IF(I40&gt;I39," * Positive F01-17 for Age "&amp;H20&amp;" "&amp;I21&amp;" is more than Tested F01-16"&amp;CHAR(10),""),IF(J40&gt;J39," * Positive F01-17 for Age "&amp;J20&amp;" "&amp;J21&amp;" is more than Tested F01-16"&amp;CHAR(10),""),IF(K40&gt;K39," * Positive F01-17 for Age "&amp;J20&amp;" "&amp;K21&amp;" is more than Tested F01-16"&amp;CHAR(10),""),IF(L40&gt;L39," * Positive F01-17 for Age "&amp;L20&amp;" "&amp;L21&amp;" is more than Tested F01-16"&amp;CHAR(10),""),IF(M40&gt;M39," * Positive F01-17 for Age "&amp;L20&amp;" "&amp;M21&amp;" is more than Tested F01-16"&amp;CHAR(10),""),IF(N40&gt;N39," * Positive F01-17 for Age "&amp;N20&amp;" "&amp;N21&amp;" is more than Tested F01-16"&amp;CHAR(10),""),IF(O40&gt;O39," * Positive F01-17 for Age "&amp;N20&amp;" "&amp;O21&amp;" is more than Tested F01-16"&amp;CHAR(10),""),IF(P40&gt;P39," * Positive F01-17 for Age "&amp;P20&amp;" "&amp;P21&amp;" is more than Tested F01-16"&amp;CHAR(10),""),IF(Q40&gt;Q39," * Positive F01-17 for Age "&amp;P20&amp;" "&amp;Q21&amp;" is more than Tested F01-16"&amp;CHAR(10),""),IF(R40&gt;R39," * Positive F01-17 for Age "&amp;R20&amp;" "&amp;R21&amp;" is more than Tested F01-16"&amp;CHAR(10),""),IF(S40&gt;S39," * Positive F01-17 for Age "&amp;R20&amp;" "&amp;S21&amp;" is more than Tested F01-16"&amp;CHAR(10),""),IF(T40&gt;T39," * Positive F01-17 for Age "&amp;T20&amp;" "&amp;T21&amp;" is more than Tested F01-16"&amp;CHAR(10),""),IF(U40&gt;U39," * Positive F01-17 for Age "&amp;T20&amp;" "&amp;U21&amp;" is more than Tested F01-16"&amp;CHAR(10),""),IF(V40&gt;V39," * Positive F01-17 for Age "&amp;V20&amp;" "&amp;V21&amp;" is more than Tested F01-16"&amp;CHAR(10),""),IF(W40&gt;W39," * Positive F01-17 for Age "&amp;V20&amp;" "&amp;W21&amp;" is more than Tested F01-16"&amp;CHAR(10),""),IF(X40&gt;X39," * Positive F01-17 for Age "&amp;X20&amp;" "&amp;X21&amp;" is more than Tested F01-16"&amp;CHAR(10),""),IF(Y40&gt;Y39," * Positive F01-17 for Age "&amp;X20&amp;" "&amp;Y21&amp;" is more than Tested F01-16"&amp;CHAR(10),""),IF(Z40&gt;Z39," * Positive F01-17 for Age "&amp;Z20&amp;" "&amp;Z21&amp;" is more than Tested F01-16"&amp;CHAR(10),""),IF(AA40&gt;AA39," * Positive F01-17 for Age "&amp;Z20&amp;" "&amp;AA21&amp;" is more than Tested F01-16"&amp;CHAR(10),""))</f>
        <v/>
      </c>
      <c r="AL39" s="1228"/>
      <c r="AM39" s="31" t="str">
        <f>CONCATENATE(IF(AND(IFERROR((AJ40*100)/AJ39,0)&gt;10,AJ40&gt;5)," * This facility has a high positivity rate for Index Testing. Kindly confirm if this is the true reflection"&amp;CHAR(10),""),"")</f>
        <v/>
      </c>
      <c r="AN39" s="1224"/>
      <c r="AO39" s="13">
        <v>36</v>
      </c>
      <c r="AP39" s="74"/>
      <c r="AQ39" s="75"/>
    </row>
    <row r="40" spans="1:43" ht="25.9" hidden="1" thickBot="1" x14ac:dyDescent="0.8">
      <c r="A40" s="1070"/>
      <c r="B40" s="95" t="s">
        <v>150</v>
      </c>
      <c r="C40" s="581" t="s">
        <v>165</v>
      </c>
      <c r="D40" s="103"/>
      <c r="E40" s="102"/>
      <c r="F40" s="97"/>
      <c r="G40" s="97"/>
      <c r="H40" s="102"/>
      <c r="I40" s="102"/>
      <c r="J40" s="102"/>
      <c r="K40" s="102"/>
      <c r="L40" s="102"/>
      <c r="M40" s="102"/>
      <c r="N40" s="102"/>
      <c r="O40" s="102"/>
      <c r="P40" s="102"/>
      <c r="Q40" s="102"/>
      <c r="R40" s="102"/>
      <c r="S40" s="102"/>
      <c r="T40" s="102"/>
      <c r="U40" s="102"/>
      <c r="V40" s="102"/>
      <c r="W40" s="102"/>
      <c r="X40" s="102"/>
      <c r="Y40" s="102"/>
      <c r="Z40" s="102"/>
      <c r="AA40" s="325"/>
      <c r="AB40" s="389"/>
      <c r="AC40" s="357"/>
      <c r="AD40" s="357"/>
      <c r="AE40" s="357"/>
      <c r="AF40" s="357"/>
      <c r="AG40" s="357"/>
      <c r="AH40" s="357"/>
      <c r="AI40" s="314"/>
      <c r="AJ40" s="376">
        <f t="shared" si="7"/>
        <v>0</v>
      </c>
      <c r="AK40" s="1011"/>
      <c r="AL40" s="1228"/>
      <c r="AM40" s="31"/>
      <c r="AN40" s="1224"/>
      <c r="AO40" s="13">
        <v>37</v>
      </c>
      <c r="AP40" s="74"/>
      <c r="AQ40" s="75"/>
    </row>
    <row r="41" spans="1:43" ht="25.5" hidden="1" x14ac:dyDescent="0.75">
      <c r="A41" s="944" t="s">
        <v>16</v>
      </c>
      <c r="B41" s="91" t="s">
        <v>158</v>
      </c>
      <c r="C41" s="579" t="s">
        <v>166</v>
      </c>
      <c r="D41" s="297"/>
      <c r="E41" s="93"/>
      <c r="F41" s="94"/>
      <c r="G41" s="94"/>
      <c r="H41" s="94"/>
      <c r="I41" s="94"/>
      <c r="J41" s="94"/>
      <c r="K41" s="94"/>
      <c r="L41" s="94"/>
      <c r="M41" s="94"/>
      <c r="N41" s="94"/>
      <c r="O41" s="94"/>
      <c r="P41" s="94"/>
      <c r="Q41" s="94"/>
      <c r="R41" s="94"/>
      <c r="S41" s="94"/>
      <c r="T41" s="94"/>
      <c r="U41" s="94"/>
      <c r="V41" s="94"/>
      <c r="W41" s="94"/>
      <c r="X41" s="94"/>
      <c r="Y41" s="94"/>
      <c r="Z41" s="94"/>
      <c r="AA41" s="322"/>
      <c r="AB41" s="389"/>
      <c r="AC41" s="357"/>
      <c r="AD41" s="357"/>
      <c r="AE41" s="357"/>
      <c r="AF41" s="357"/>
      <c r="AG41" s="357"/>
      <c r="AH41" s="357"/>
      <c r="AI41" s="314"/>
      <c r="AJ41" s="189">
        <f t="shared" si="7"/>
        <v>0</v>
      </c>
      <c r="AK41" s="1011" t="str">
        <f>CONCATENATE(IF(D42&gt;D41," * Positive F01-19 for Age "&amp;D20&amp;" "&amp;D21&amp;" is more than Tested F01-18"&amp;CHAR(10),""),IF(E42&gt;E41," * Positive F01-19 for Age "&amp;D20&amp;" "&amp;E21&amp;" is more than Tested F01-18"&amp;CHAR(10),""),IF(F42&gt;F41," * Positive F01-19 for Age "&amp;F20&amp;" "&amp;F21&amp;" is more than Tested F01-18"&amp;CHAR(10),""),IF(G42&gt;G41," * Positive F01-19 for Age "&amp;F20&amp;" "&amp;G21&amp;" is more than Tested F01-18"&amp;CHAR(10),""),IF(H42&gt;H41," * Positive F01-19 for Age "&amp;H20&amp;" "&amp;H21&amp;" is more than Tested F01-18"&amp;CHAR(10),""),IF(I42&gt;I41," * Positive F01-19 for Age "&amp;H20&amp;" "&amp;I21&amp;" is more than Tested F01-18"&amp;CHAR(10),""),IF(J42&gt;J41," * Positive F01-19 for Age "&amp;J20&amp;" "&amp;J21&amp;" is more than Tested F01-18"&amp;CHAR(10),""),IF(K42&gt;K41," * Positive F01-19 for Age "&amp;J20&amp;" "&amp;K21&amp;" is more than Tested F01-18"&amp;CHAR(10),""),IF(L42&gt;L41," * Positive F01-19 for Age "&amp;L20&amp;" "&amp;L21&amp;" is more than Tested F01-18"&amp;CHAR(10),""),IF(M42&gt;M41," * Positive F01-19 for Age "&amp;L20&amp;" "&amp;M21&amp;" is more than Tested F01-18"&amp;CHAR(10),""),IF(N42&gt;N41," * Positive F01-19 for Age "&amp;N20&amp;" "&amp;N21&amp;" is more than Tested F01-18"&amp;CHAR(10),""),IF(O42&gt;O41," * Positive F01-19 for Age "&amp;N20&amp;" "&amp;O21&amp;" is more than Tested F01-18"&amp;CHAR(10),""),IF(P42&gt;P41," * Positive F01-19 for Age "&amp;P20&amp;" "&amp;P21&amp;" is more than Tested F01-18"&amp;CHAR(10),""),IF(Q42&gt;Q41," * Positive F01-19 for Age "&amp;P20&amp;" "&amp;Q21&amp;" is more than Tested F01-18"&amp;CHAR(10),""),IF(R42&gt;R41," * Positive F01-19 for Age "&amp;R20&amp;" "&amp;R21&amp;" is more than Tested F01-18"&amp;CHAR(10),""),IF(S42&gt;S41," * Positive F01-19 for Age "&amp;R20&amp;" "&amp;S21&amp;" is more than Tested F01-18"&amp;CHAR(10),""),IF(T42&gt;T41," * Positive F01-19 for Age "&amp;T20&amp;" "&amp;T21&amp;" is more than Tested F01-18"&amp;CHAR(10),""),IF(U42&gt;U41," * Positive F01-19 for Age "&amp;T20&amp;" "&amp;U21&amp;" is more than Tested F01-18"&amp;CHAR(10),""),IF(V42&gt;V41," * Positive F01-19 for Age "&amp;V20&amp;" "&amp;V21&amp;" is more than Tested F01-18"&amp;CHAR(10),""),IF(W42&gt;W41," * Positive F01-19 for Age "&amp;V20&amp;" "&amp;W21&amp;" is more than Tested F01-18"&amp;CHAR(10),""),IF(X42&gt;X41," * Positive F01-19 for Age "&amp;X20&amp;" "&amp;X21&amp;" is more than Tested F01-18"&amp;CHAR(10),""),IF(Y42&gt;Y41," * Positive F01-19 for Age "&amp;X20&amp;" "&amp;Y21&amp;" is more than Tested F01-18"&amp;CHAR(10),""),IF(Z42&gt;Z41," * Positive F01-19 for Age "&amp;Z20&amp;" "&amp;Z21&amp;" is more than Tested F01-18"&amp;CHAR(10),""),IF(AA42&gt;AA41," * Positive F01-19 for Age "&amp;Z20&amp;" "&amp;AA21&amp;" is more than Tested F01-18"&amp;CHAR(10),""))</f>
        <v/>
      </c>
      <c r="AL41" s="1228"/>
      <c r="AM41" s="31" t="str">
        <f>CONCATENATE(IF(AND(IFERROR((AJ42*100)/AJ41,0)&gt;10,AJ42&gt;5)," * This facility has a high positivity rate for Index Testing. Kindly confirm if this is the true reflection"&amp;CHAR(10),""),"")</f>
        <v/>
      </c>
      <c r="AN41" s="1224"/>
      <c r="AO41" s="13">
        <v>38</v>
      </c>
      <c r="AP41" s="74"/>
      <c r="AQ41" s="75"/>
    </row>
    <row r="42" spans="1:43" ht="25.9" hidden="1" thickBot="1" x14ac:dyDescent="0.8">
      <c r="A42" s="1070"/>
      <c r="B42" s="95" t="s">
        <v>150</v>
      </c>
      <c r="C42" s="581" t="s">
        <v>167</v>
      </c>
      <c r="D42" s="379"/>
      <c r="E42" s="88"/>
      <c r="F42" s="97"/>
      <c r="G42" s="97"/>
      <c r="H42" s="97"/>
      <c r="I42" s="97"/>
      <c r="J42" s="97"/>
      <c r="K42" s="97"/>
      <c r="L42" s="97"/>
      <c r="M42" s="97"/>
      <c r="N42" s="97"/>
      <c r="O42" s="97"/>
      <c r="P42" s="97"/>
      <c r="Q42" s="97"/>
      <c r="R42" s="97"/>
      <c r="S42" s="97"/>
      <c r="T42" s="97"/>
      <c r="U42" s="97"/>
      <c r="V42" s="97"/>
      <c r="W42" s="97"/>
      <c r="X42" s="97"/>
      <c r="Y42" s="97"/>
      <c r="Z42" s="97"/>
      <c r="AA42" s="323"/>
      <c r="AB42" s="389"/>
      <c r="AC42" s="357"/>
      <c r="AD42" s="357"/>
      <c r="AE42" s="357"/>
      <c r="AF42" s="357"/>
      <c r="AG42" s="357"/>
      <c r="AH42" s="357"/>
      <c r="AI42" s="314"/>
      <c r="AJ42" s="376">
        <f t="shared" si="7"/>
        <v>0</v>
      </c>
      <c r="AK42" s="1011"/>
      <c r="AL42" s="1228"/>
      <c r="AM42" s="31"/>
      <c r="AN42" s="1224"/>
      <c r="AO42" s="13">
        <v>39</v>
      </c>
      <c r="AP42" s="74"/>
      <c r="AQ42" s="75"/>
    </row>
    <row r="43" spans="1:43" ht="42.75" hidden="1" customHeight="1" x14ac:dyDescent="0.75">
      <c r="A43" s="944" t="s">
        <v>1001</v>
      </c>
      <c r="B43" s="91" t="s">
        <v>158</v>
      </c>
      <c r="C43" s="579" t="s">
        <v>346</v>
      </c>
      <c r="D43" s="297"/>
      <c r="E43" s="93"/>
      <c r="F43" s="104">
        <f>F405</f>
        <v>0</v>
      </c>
      <c r="G43" s="104">
        <f t="shared" ref="G43:AA43" si="9">G405</f>
        <v>0</v>
      </c>
      <c r="H43" s="104">
        <f t="shared" si="9"/>
        <v>0</v>
      </c>
      <c r="I43" s="104">
        <f t="shared" si="9"/>
        <v>0</v>
      </c>
      <c r="J43" s="104">
        <f t="shared" si="9"/>
        <v>0</v>
      </c>
      <c r="K43" s="104">
        <f t="shared" si="9"/>
        <v>0</v>
      </c>
      <c r="L43" s="104">
        <f t="shared" si="9"/>
        <v>0</v>
      </c>
      <c r="M43" s="104">
        <f t="shared" si="9"/>
        <v>0</v>
      </c>
      <c r="N43" s="104">
        <f t="shared" si="9"/>
        <v>0</v>
      </c>
      <c r="O43" s="104">
        <f t="shared" si="9"/>
        <v>0</v>
      </c>
      <c r="P43" s="104">
        <f t="shared" si="9"/>
        <v>0</v>
      </c>
      <c r="Q43" s="104">
        <f t="shared" si="9"/>
        <v>0</v>
      </c>
      <c r="R43" s="104">
        <f t="shared" si="9"/>
        <v>0</v>
      </c>
      <c r="S43" s="104">
        <f t="shared" si="9"/>
        <v>0</v>
      </c>
      <c r="T43" s="104">
        <f t="shared" si="9"/>
        <v>0</v>
      </c>
      <c r="U43" s="104">
        <f t="shared" si="9"/>
        <v>0</v>
      </c>
      <c r="V43" s="104">
        <f t="shared" si="9"/>
        <v>0</v>
      </c>
      <c r="W43" s="104">
        <f t="shared" si="9"/>
        <v>0</v>
      </c>
      <c r="X43" s="104">
        <f t="shared" si="9"/>
        <v>0</v>
      </c>
      <c r="Y43" s="104">
        <f t="shared" si="9"/>
        <v>0</v>
      </c>
      <c r="Z43" s="104">
        <f t="shared" si="9"/>
        <v>0</v>
      </c>
      <c r="AA43" s="326">
        <f t="shared" si="9"/>
        <v>0</v>
      </c>
      <c r="AB43" s="389"/>
      <c r="AC43" s="357"/>
      <c r="AD43" s="357"/>
      <c r="AE43" s="357"/>
      <c r="AF43" s="357"/>
      <c r="AG43" s="357"/>
      <c r="AH43" s="357"/>
      <c r="AI43" s="314"/>
      <c r="AJ43" s="189">
        <f t="shared" si="7"/>
        <v>0</v>
      </c>
      <c r="AK43" s="1011" t="str">
        <f>CONCATENATE(IF(D44&gt;D43," * Positive F01-21 for Age "&amp;D20&amp;" "&amp;D21&amp;" is more than Tested F01-20"&amp;CHAR(10),""),IF(E44&gt;E43," * Positive F01-21 for Age "&amp;D20&amp;" "&amp;E21&amp;" is more than Tested F01-20"&amp;CHAR(10),""),IF(F44&gt;F43," * Positive F01-21 for Age "&amp;F20&amp;" "&amp;F21&amp;" is more than Tested F01-20"&amp;CHAR(10),""),IF(G44&gt;G43," * Positive F01-21 for Age "&amp;F20&amp;" "&amp;G21&amp;" is more than Tested F01-20"&amp;CHAR(10),""),IF(H44&gt;H43," * Positive F01-21 for Age "&amp;H20&amp;" "&amp;H21&amp;" is more than Tested F01-20"&amp;CHAR(10),""),IF(I44&gt;I43," * Positive F01-21 for Age "&amp;H20&amp;" "&amp;I21&amp;" is more than Tested F01-20"&amp;CHAR(10),""),IF(J44&gt;J43," * Positive F01-21 for Age "&amp;J20&amp;" "&amp;J21&amp;" is more than Tested F01-20"&amp;CHAR(10),""),IF(K44&gt;K43," * Positive F01-21 for Age "&amp;J20&amp;" "&amp;K21&amp;" is more than Tested F01-20"&amp;CHAR(10),""),IF(L44&gt;L43," * Positive F01-21 for Age "&amp;L20&amp;" "&amp;L21&amp;" is more than Tested F01-20"&amp;CHAR(10),""),IF(M44&gt;M43," * Positive F01-21 for Age "&amp;L20&amp;" "&amp;M21&amp;" is more than Tested F01-20"&amp;CHAR(10),""),IF(N44&gt;N43," * Positive F01-21 for Age "&amp;N20&amp;" "&amp;N21&amp;" is more than Tested F01-20"&amp;CHAR(10),""),IF(O44&gt;O43," * Positive F01-21 for Age "&amp;N20&amp;" "&amp;O21&amp;" is more than Tested F01-20"&amp;CHAR(10),""),IF(P44&gt;P43," * Positive F01-21 for Age "&amp;P20&amp;" "&amp;P21&amp;" is more than Tested F01-20"&amp;CHAR(10),""),IF(Q44&gt;Q43," * Positive F01-21 for Age "&amp;P20&amp;" "&amp;Q21&amp;" is more than Tested F01-20"&amp;CHAR(10),""),IF(R44&gt;R43," * Positive F01-21 for Age "&amp;R20&amp;" "&amp;R21&amp;" is more than Tested F01-20"&amp;CHAR(10),""),IF(S44&gt;S43," * Positive F01-21 for Age "&amp;R20&amp;" "&amp;S21&amp;" is more than Tested F01-20"&amp;CHAR(10),""),IF(T44&gt;T43," * Positive F01-21 for Age "&amp;T20&amp;" "&amp;T21&amp;" is more than Tested F01-20"&amp;CHAR(10),""),IF(U44&gt;U43," * Positive F01-21 for Age "&amp;T20&amp;" "&amp;U21&amp;" is more than Tested F01-20"&amp;CHAR(10),""),IF(V44&gt;V43," * Positive F01-21 for Age "&amp;V20&amp;" "&amp;V21&amp;" is more than Tested F01-20"&amp;CHAR(10),""),IF(W44&gt;W43," * Positive F01-21 for Age "&amp;V20&amp;" "&amp;W21&amp;" is more than Tested F01-20"&amp;CHAR(10),""),IF(X44&gt;X43," * Positive F01-21 for Age "&amp;X20&amp;" "&amp;X21&amp;" is more than Tested F01-20"&amp;CHAR(10),""),IF(Y44&gt;Y43," * Positive F01-21 for Age "&amp;X20&amp;" "&amp;Y21&amp;" is more than Tested F01-20"&amp;CHAR(10),""),IF(Z44&gt;Z43," * Positive F01-21 for Age "&amp;Z20&amp;" "&amp;Z21&amp;" is more than Tested F01-20"&amp;CHAR(10),""),IF(AA44&gt;AA43," * Positive F01-21 for Age "&amp;Z20&amp;" "&amp;AA21&amp;" is more than Tested F01-20"&amp;CHAR(10),""))</f>
        <v/>
      </c>
      <c r="AL43" s="1228"/>
      <c r="AM43" s="31" t="str">
        <f>CONCATENATE(IF(AND(IFERROR((AJ44*100)/AJ43,0)&gt;10,AJ44&gt;5)," * This facility has a high positivity rate for Index Testing. Kindly confirm if this is the true reflection"&amp;CHAR(10),""),"")</f>
        <v/>
      </c>
      <c r="AN43" s="1224"/>
      <c r="AO43" s="13">
        <v>40</v>
      </c>
      <c r="AP43" s="74"/>
      <c r="AQ43" s="75"/>
    </row>
    <row r="44" spans="1:43" ht="41.25" hidden="1" customHeight="1" thickBot="1" x14ac:dyDescent="0.8">
      <c r="A44" s="1070"/>
      <c r="B44" s="95" t="s">
        <v>150</v>
      </c>
      <c r="C44" s="581" t="s">
        <v>168</v>
      </c>
      <c r="D44" s="379"/>
      <c r="E44" s="88"/>
      <c r="F44" s="105">
        <f>F407</f>
        <v>0</v>
      </c>
      <c r="G44" s="105">
        <f t="shared" ref="G44:AA44" si="10">G407</f>
        <v>0</v>
      </c>
      <c r="H44" s="105">
        <f t="shared" si="10"/>
        <v>0</v>
      </c>
      <c r="I44" s="105">
        <f t="shared" si="10"/>
        <v>0</v>
      </c>
      <c r="J44" s="105">
        <f t="shared" si="10"/>
        <v>0</v>
      </c>
      <c r="K44" s="105">
        <f t="shared" si="10"/>
        <v>0</v>
      </c>
      <c r="L44" s="105">
        <f t="shared" si="10"/>
        <v>0</v>
      </c>
      <c r="M44" s="105">
        <f t="shared" si="10"/>
        <v>0</v>
      </c>
      <c r="N44" s="105">
        <f t="shared" si="10"/>
        <v>0</v>
      </c>
      <c r="O44" s="105">
        <f t="shared" si="10"/>
        <v>0</v>
      </c>
      <c r="P44" s="105">
        <f t="shared" si="10"/>
        <v>0</v>
      </c>
      <c r="Q44" s="105">
        <f t="shared" si="10"/>
        <v>0</v>
      </c>
      <c r="R44" s="105">
        <f t="shared" si="10"/>
        <v>0</v>
      </c>
      <c r="S44" s="105">
        <f t="shared" si="10"/>
        <v>0</v>
      </c>
      <c r="T44" s="105">
        <f t="shared" si="10"/>
        <v>0</v>
      </c>
      <c r="U44" s="105">
        <f t="shared" si="10"/>
        <v>0</v>
      </c>
      <c r="V44" s="105">
        <f t="shared" si="10"/>
        <v>0</v>
      </c>
      <c r="W44" s="105">
        <f t="shared" si="10"/>
        <v>0</v>
      </c>
      <c r="X44" s="105">
        <f t="shared" si="10"/>
        <v>0</v>
      </c>
      <c r="Y44" s="105">
        <f t="shared" si="10"/>
        <v>0</v>
      </c>
      <c r="Z44" s="105">
        <f t="shared" si="10"/>
        <v>0</v>
      </c>
      <c r="AA44" s="327">
        <f t="shared" si="10"/>
        <v>0</v>
      </c>
      <c r="AB44" s="389"/>
      <c r="AC44" s="357"/>
      <c r="AD44" s="357"/>
      <c r="AE44" s="357"/>
      <c r="AF44" s="357"/>
      <c r="AG44" s="357"/>
      <c r="AH44" s="357"/>
      <c r="AI44" s="314"/>
      <c r="AJ44" s="376">
        <f t="shared" si="7"/>
        <v>0</v>
      </c>
      <c r="AK44" s="1011"/>
      <c r="AL44" s="1228"/>
      <c r="AM44" s="31"/>
      <c r="AN44" s="1224"/>
      <c r="AO44" s="13">
        <v>41</v>
      </c>
      <c r="AP44" s="74"/>
      <c r="AQ44" s="75"/>
    </row>
    <row r="45" spans="1:43" ht="25.5" hidden="1" x14ac:dyDescent="0.75">
      <c r="A45" s="944" t="s">
        <v>22</v>
      </c>
      <c r="B45" s="91" t="s">
        <v>158</v>
      </c>
      <c r="C45" s="579" t="s">
        <v>169</v>
      </c>
      <c r="D45" s="134"/>
      <c r="E45" s="99"/>
      <c r="F45" s="94"/>
      <c r="G45" s="94"/>
      <c r="H45" s="94"/>
      <c r="I45" s="94"/>
      <c r="J45" s="94"/>
      <c r="K45" s="94"/>
      <c r="L45" s="94"/>
      <c r="M45" s="94"/>
      <c r="N45" s="94"/>
      <c r="O45" s="94"/>
      <c r="P45" s="94"/>
      <c r="Q45" s="94"/>
      <c r="R45" s="94"/>
      <c r="S45" s="94"/>
      <c r="T45" s="94"/>
      <c r="U45" s="94"/>
      <c r="V45" s="94"/>
      <c r="W45" s="94"/>
      <c r="X45" s="94"/>
      <c r="Y45" s="94"/>
      <c r="Z45" s="94"/>
      <c r="AA45" s="322"/>
      <c r="AB45" s="389"/>
      <c r="AC45" s="357"/>
      <c r="AD45" s="357"/>
      <c r="AE45" s="357"/>
      <c r="AF45" s="357"/>
      <c r="AG45" s="357"/>
      <c r="AH45" s="357"/>
      <c r="AI45" s="314"/>
      <c r="AJ45" s="189">
        <f t="shared" si="7"/>
        <v>0</v>
      </c>
      <c r="AK45" s="1011" t="str">
        <f>CONCATENATE(IF(D46&gt;D45," * Positive F01-23 for Age "&amp;D20&amp;" "&amp;D21&amp;" is more than Tested F01-22"&amp;CHAR(10),""),IF(E46&gt;E45," * Positive F01-23 for Age "&amp;D20&amp;" "&amp;E21&amp;" is more than Tested F01-22"&amp;CHAR(10),""),IF(F46&gt;F45," * Positive F01-23 for Age "&amp;F20&amp;" "&amp;F21&amp;" is more than Tested F01-22"&amp;CHAR(10),""),IF(G46&gt;G45," * Positive F01-23 for Age "&amp;F20&amp;" "&amp;G21&amp;" is more than Tested F01-22"&amp;CHAR(10),""),IF(H46&gt;H45," * Positive F01-23 for Age "&amp;H20&amp;" "&amp;H21&amp;" is more than Tested F01-22"&amp;CHAR(10),""),IF(I46&gt;I45," * Positive F01-23 for Age "&amp;H20&amp;" "&amp;I21&amp;" is more than Tested F01-22"&amp;CHAR(10),""),IF(J46&gt;J45," * Positive F01-23 for Age "&amp;J20&amp;" "&amp;J21&amp;" is more than Tested F01-22"&amp;CHAR(10),""),IF(K46&gt;K45," * Positive F01-23 for Age "&amp;J20&amp;" "&amp;K21&amp;" is more than Tested F01-22"&amp;CHAR(10),""),IF(L46&gt;L45," * Positive F01-23 for Age "&amp;L20&amp;" "&amp;L21&amp;" is more than Tested F01-22"&amp;CHAR(10),""),IF(M46&gt;M45," * Positive F01-23 for Age "&amp;L20&amp;" "&amp;M21&amp;" is more than Tested F01-22"&amp;CHAR(10),""),IF(N46&gt;N45," * Positive F01-23 for Age "&amp;N20&amp;" "&amp;N21&amp;" is more than Tested F01-22"&amp;CHAR(10),""),IF(O46&gt;O45," * Positive F01-23 for Age "&amp;N20&amp;" "&amp;O21&amp;" is more than Tested F01-22"&amp;CHAR(10),""),IF(P46&gt;P45," * Positive F01-23 for Age "&amp;P20&amp;" "&amp;P21&amp;" is more than Tested F01-22"&amp;CHAR(10),""),IF(Q46&gt;Q45," * Positive F01-23 for Age "&amp;P20&amp;" "&amp;Q21&amp;" is more than Tested F01-22"&amp;CHAR(10),""),IF(R46&gt;R45," * Positive F01-23 for Age "&amp;R20&amp;" "&amp;R21&amp;" is more than Tested F01-22"&amp;CHAR(10),""),IF(S46&gt;S45," * Positive F01-23 for Age "&amp;R20&amp;" "&amp;S21&amp;" is more than Tested F01-22"&amp;CHAR(10),""),IF(T46&gt;T45," * Positive F01-23 for Age "&amp;T20&amp;" "&amp;T21&amp;" is more than Tested F01-22"&amp;CHAR(10),""),IF(U46&gt;U45," * Positive F01-23 for Age "&amp;T20&amp;" "&amp;U21&amp;" is more than Tested F01-22"&amp;CHAR(10),""),IF(V46&gt;V45," * Positive F01-23 for Age "&amp;V20&amp;" "&amp;V21&amp;" is more than Tested F01-22"&amp;CHAR(10),""),IF(W46&gt;W45," * Positive F01-23 for Age "&amp;V20&amp;" "&amp;W21&amp;" is more than Tested F01-22"&amp;CHAR(10),""),IF(X46&gt;X45," * Positive F01-23 for Age "&amp;X20&amp;" "&amp;X21&amp;" is more than Tested F01-22"&amp;CHAR(10),""),IF(Y46&gt;Y45," * Positive F01-23 for Age "&amp;X20&amp;" "&amp;Y21&amp;" is more than Tested F01-22"&amp;CHAR(10),""),IF(Z46&gt;Z45," * Positive F01-23 for Age "&amp;Z20&amp;" "&amp;Z21&amp;" is more than Tested F01-22"&amp;CHAR(10),""),IF(AA46&gt;AA45," * Positive F01-23 for Age "&amp;Z20&amp;" "&amp;AA21&amp;" is more than Tested F01-22"&amp;CHAR(10),""))</f>
        <v/>
      </c>
      <c r="AL45" s="1228"/>
      <c r="AM45" s="31" t="str">
        <f>CONCATENATE(IF(AND(IFERROR((AJ46*100)/AJ45,0)&gt;10,AJ46&gt;5)," * This facility has a high positivity rate for Index Testing. Kindly confirm if this is the true reflection"&amp;CHAR(10),""),"")</f>
        <v/>
      </c>
      <c r="AN45" s="1224"/>
      <c r="AO45" s="13">
        <v>42</v>
      </c>
      <c r="AP45" s="74"/>
      <c r="AQ45" s="75"/>
    </row>
    <row r="46" spans="1:43" ht="25.9" hidden="1" thickBot="1" x14ac:dyDescent="0.8">
      <c r="A46" s="1070"/>
      <c r="B46" s="95" t="s">
        <v>150</v>
      </c>
      <c r="C46" s="581" t="s">
        <v>170</v>
      </c>
      <c r="D46" s="119"/>
      <c r="E46" s="102"/>
      <c r="F46" s="97"/>
      <c r="G46" s="97"/>
      <c r="H46" s="97"/>
      <c r="I46" s="97"/>
      <c r="J46" s="97"/>
      <c r="K46" s="97"/>
      <c r="L46" s="97"/>
      <c r="M46" s="97"/>
      <c r="N46" s="97"/>
      <c r="O46" s="97"/>
      <c r="P46" s="97"/>
      <c r="Q46" s="97"/>
      <c r="R46" s="97"/>
      <c r="S46" s="97"/>
      <c r="T46" s="97"/>
      <c r="U46" s="97"/>
      <c r="V46" s="97"/>
      <c r="W46" s="97"/>
      <c r="X46" s="97"/>
      <c r="Y46" s="97"/>
      <c r="Z46" s="97"/>
      <c r="AA46" s="323"/>
      <c r="AB46" s="389"/>
      <c r="AC46" s="357"/>
      <c r="AD46" s="357"/>
      <c r="AE46" s="357"/>
      <c r="AF46" s="357"/>
      <c r="AG46" s="357"/>
      <c r="AH46" s="357"/>
      <c r="AI46" s="314"/>
      <c r="AJ46" s="376">
        <f t="shared" si="7"/>
        <v>0</v>
      </c>
      <c r="AK46" s="1011"/>
      <c r="AL46" s="1228"/>
      <c r="AM46" s="31"/>
      <c r="AN46" s="1224"/>
      <c r="AO46" s="13">
        <v>43</v>
      </c>
      <c r="AP46" s="74"/>
      <c r="AQ46" s="75"/>
    </row>
    <row r="47" spans="1:43" ht="29.25" hidden="1" customHeight="1" x14ac:dyDescent="0.75">
      <c r="A47" s="944" t="s">
        <v>18</v>
      </c>
      <c r="B47" s="91" t="s">
        <v>158</v>
      </c>
      <c r="C47" s="579" t="s">
        <v>171</v>
      </c>
      <c r="D47" s="297"/>
      <c r="E47" s="93"/>
      <c r="F47" s="99"/>
      <c r="G47" s="99"/>
      <c r="H47" s="99"/>
      <c r="I47" s="99"/>
      <c r="J47" s="99"/>
      <c r="K47" s="99"/>
      <c r="L47" s="94"/>
      <c r="M47" s="94"/>
      <c r="N47" s="94"/>
      <c r="O47" s="94"/>
      <c r="P47" s="94"/>
      <c r="Q47" s="94"/>
      <c r="R47" s="94"/>
      <c r="S47" s="94"/>
      <c r="T47" s="94"/>
      <c r="U47" s="94"/>
      <c r="V47" s="94"/>
      <c r="W47" s="94"/>
      <c r="X47" s="94"/>
      <c r="Y47" s="94"/>
      <c r="Z47" s="94"/>
      <c r="AA47" s="322"/>
      <c r="AB47" s="389"/>
      <c r="AC47" s="357"/>
      <c r="AD47" s="357"/>
      <c r="AE47" s="357"/>
      <c r="AF47" s="357"/>
      <c r="AG47" s="357"/>
      <c r="AH47" s="357"/>
      <c r="AI47" s="314"/>
      <c r="AJ47" s="189">
        <f t="shared" si="7"/>
        <v>0</v>
      </c>
      <c r="AK47" s="1011" t="str">
        <f>CONCATENATE(IF(D48&gt;D47," * Positive F01-25 for Age "&amp;D20&amp;" "&amp;D21&amp;" is more than Tested F01-24"&amp;CHAR(10),""),IF(E48&gt;E47," * Positive F01-25 for Age "&amp;D20&amp;" "&amp;E21&amp;" is more than Tested F01-24"&amp;CHAR(10),""),IF(F48&gt;F47," * Positive F01-25 for Age "&amp;F20&amp;" "&amp;F21&amp;" is more than Tested F01-24"&amp;CHAR(10),""),IF(G48&gt;G47," * Positive F01-25 for Age "&amp;F20&amp;" "&amp;G21&amp;" is more than Tested F01-24"&amp;CHAR(10),""),IF(H48&gt;H47," * Positive F01-25 for Age "&amp;H20&amp;" "&amp;H21&amp;" is more than Tested F01-24"&amp;CHAR(10),""),IF(I48&gt;I47," * Positive F01-25 for Age "&amp;H20&amp;" "&amp;I21&amp;" is more than Tested F01-24"&amp;CHAR(10),""),IF(J48&gt;J47," * Positive F01-25 for Age "&amp;J20&amp;" "&amp;J21&amp;" is more than Tested F01-24"&amp;CHAR(10),""),IF(K48&gt;K47," * Positive F01-25 for Age "&amp;J20&amp;" "&amp;K21&amp;" is more than Tested F01-24"&amp;CHAR(10),""),IF(L48&gt;L47," * Positive F01-25 for Age "&amp;L20&amp;" "&amp;L21&amp;" is more than Tested F01-24"&amp;CHAR(10),""),IF(M48&gt;M47," * Positive F01-25 for Age "&amp;L20&amp;" "&amp;M21&amp;" is more than Tested F01-24"&amp;CHAR(10),""),IF(N48&gt;N47," * Positive F01-25 for Age "&amp;N20&amp;" "&amp;N21&amp;" is more than Tested F01-24"&amp;CHAR(10),""),IF(O48&gt;O47," * Positive F01-25 for Age "&amp;N20&amp;" "&amp;O21&amp;" is more than Tested F01-24"&amp;CHAR(10),""),IF(P48&gt;P47," * Positive F01-25 for Age "&amp;P20&amp;" "&amp;P21&amp;" is more than Tested F01-24"&amp;CHAR(10),""),IF(Q48&gt;Q47," * Positive F01-25 for Age "&amp;P20&amp;" "&amp;Q21&amp;" is more than Tested F01-24"&amp;CHAR(10),""),IF(R48&gt;R47," * Positive F01-25 for Age "&amp;R20&amp;" "&amp;R21&amp;" is more than Tested F01-24"&amp;CHAR(10),""),IF(S48&gt;S47," * Positive F01-25 for Age "&amp;R20&amp;" "&amp;S21&amp;" is more than Tested F01-24"&amp;CHAR(10),""),IF(T48&gt;T47," * Positive F01-25 for Age "&amp;T20&amp;" "&amp;T21&amp;" is more than Tested F01-24"&amp;CHAR(10),""),IF(U48&gt;U47," * Positive F01-25 for Age "&amp;T20&amp;" "&amp;U21&amp;" is more than Tested F01-24"&amp;CHAR(10),""),IF(V48&gt;V47," * Positive F01-25 for Age "&amp;V20&amp;" "&amp;V21&amp;" is more than Tested F01-24"&amp;CHAR(10),""),IF(W48&gt;W47," * Positive F01-25 for Age "&amp;V20&amp;" "&amp;W21&amp;" is more than Tested F01-24"&amp;CHAR(10),""),IF(X48&gt;X47," * Positive F01-25 for Age "&amp;X20&amp;" "&amp;X21&amp;" is more than Tested F01-24"&amp;CHAR(10),""),IF(Y48&gt;Y47," * Positive F01-25 for Age "&amp;X20&amp;" "&amp;Y21&amp;" is more than Tested F01-24"&amp;CHAR(10),""),IF(Z48&gt;Z47," * Positive F01-25 for Age "&amp;Z20&amp;" "&amp;Z21&amp;" is more than Tested F01-24"&amp;CHAR(10),""),IF(AA48&gt;AA47," * Positive F01-25 for Age "&amp;Z20&amp;" "&amp;AA21&amp;" is more than Tested F01-24"&amp;CHAR(10),""))</f>
        <v/>
      </c>
      <c r="AL47" s="1228"/>
      <c r="AM47" s="31" t="str">
        <f>CONCATENATE(IF(AND(IFERROR((AJ48*100)/AJ47,0)&gt;10,AJ48&gt;5)," * This facility has a high positivity rate for Index Testing. Kindly confirm if this is the true reflection"&amp;CHAR(10),""),"")</f>
        <v/>
      </c>
      <c r="AN47" s="1224"/>
      <c r="AO47" s="13">
        <v>44</v>
      </c>
      <c r="AP47" s="74"/>
      <c r="AQ47" s="75"/>
    </row>
    <row r="48" spans="1:43" ht="25.9" hidden="1" thickBot="1" x14ac:dyDescent="0.8">
      <c r="A48" s="1070"/>
      <c r="B48" s="95" t="s">
        <v>150</v>
      </c>
      <c r="C48" s="581" t="s">
        <v>172</v>
      </c>
      <c r="D48" s="379"/>
      <c r="E48" s="88"/>
      <c r="F48" s="102"/>
      <c r="G48" s="102"/>
      <c r="H48" s="102"/>
      <c r="I48" s="102"/>
      <c r="J48" s="102"/>
      <c r="K48" s="102"/>
      <c r="L48" s="106"/>
      <c r="M48" s="106"/>
      <c r="N48" s="106"/>
      <c r="O48" s="106"/>
      <c r="P48" s="106"/>
      <c r="Q48" s="106"/>
      <c r="R48" s="106"/>
      <c r="S48" s="106"/>
      <c r="T48" s="106"/>
      <c r="U48" s="106"/>
      <c r="V48" s="106"/>
      <c r="W48" s="106"/>
      <c r="X48" s="106"/>
      <c r="Y48" s="106"/>
      <c r="Z48" s="106"/>
      <c r="AA48" s="328"/>
      <c r="AB48" s="389"/>
      <c r="AC48" s="357"/>
      <c r="AD48" s="357"/>
      <c r="AE48" s="357"/>
      <c r="AF48" s="357"/>
      <c r="AG48" s="357"/>
      <c r="AH48" s="357"/>
      <c r="AI48" s="314"/>
      <c r="AJ48" s="376">
        <f t="shared" si="7"/>
        <v>0</v>
      </c>
      <c r="AK48" s="1011"/>
      <c r="AL48" s="1228"/>
      <c r="AM48" s="31"/>
      <c r="AN48" s="1224"/>
      <c r="AO48" s="13">
        <v>45</v>
      </c>
      <c r="AP48" s="74"/>
      <c r="AQ48" s="75"/>
    </row>
    <row r="49" spans="1:43" ht="27" hidden="1" customHeight="1" thickBot="1" x14ac:dyDescent="0.8">
      <c r="A49" s="944" t="s">
        <v>113</v>
      </c>
      <c r="B49" s="91" t="s">
        <v>158</v>
      </c>
      <c r="C49" s="579" t="s">
        <v>347</v>
      </c>
      <c r="D49" s="92"/>
      <c r="E49" s="93"/>
      <c r="F49" s="99"/>
      <c r="G49" s="99"/>
      <c r="H49" s="99"/>
      <c r="I49" s="99"/>
      <c r="J49" s="99"/>
      <c r="K49" s="99"/>
      <c r="L49" s="94"/>
      <c r="M49" s="99"/>
      <c r="N49" s="94"/>
      <c r="O49" s="99"/>
      <c r="P49" s="94"/>
      <c r="Q49" s="99"/>
      <c r="R49" s="94"/>
      <c r="S49" s="99"/>
      <c r="T49" s="94"/>
      <c r="U49" s="99"/>
      <c r="V49" s="94"/>
      <c r="W49" s="99"/>
      <c r="X49" s="94"/>
      <c r="Y49" s="99"/>
      <c r="Z49" s="94"/>
      <c r="AA49" s="324"/>
      <c r="AB49" s="389"/>
      <c r="AC49" s="357"/>
      <c r="AD49" s="357"/>
      <c r="AE49" s="357"/>
      <c r="AF49" s="357"/>
      <c r="AG49" s="357"/>
      <c r="AH49" s="357"/>
      <c r="AI49" s="314"/>
      <c r="AJ49" s="189">
        <f t="shared" si="7"/>
        <v>0</v>
      </c>
      <c r="AK49" s="1011" t="str">
        <f>CONCATENATE(IF(D50&gt;D49," * Positive F01-27 for Age "&amp;D20&amp;" "&amp;D21&amp;" is more than Tested F01-26"&amp;CHAR(10),""),IF(E50&gt;E49," * Positive F01-27 for Age "&amp;D20&amp;" "&amp;E21&amp;" is more than Tested F01-26"&amp;CHAR(10),""),IF(F50&gt;F49," * Positive F01-27 for Age "&amp;F20&amp;" "&amp;F21&amp;" is more than Tested F01-26"&amp;CHAR(10),""),IF(G50&gt;G49," * Positive F01-27 for Age "&amp;F20&amp;" "&amp;G21&amp;" is more than Tested F01-26"&amp;CHAR(10),""),IF(H50&gt;H49," * Positive F01-27 for Age "&amp;H20&amp;" "&amp;H21&amp;" is more than Tested F01-26"&amp;CHAR(10),""),IF(I50&gt;I49," * Positive F01-27 for Age "&amp;H20&amp;" "&amp;I21&amp;" is more than Tested F01-26"&amp;CHAR(10),""),IF(J50&gt;J49," * Positive F01-27 for Age "&amp;J20&amp;" "&amp;J21&amp;" is more than Tested F01-26"&amp;CHAR(10),""),IF(K50&gt;K49," * Positive F01-27 for Age "&amp;J20&amp;" "&amp;K21&amp;" is more than Tested F01-26"&amp;CHAR(10),""),IF(L50&gt;L49," * Positive F01-27 for Age "&amp;L20&amp;" "&amp;L21&amp;" is more than Tested F01-26"&amp;CHAR(10),""),IF(M50&gt;M49," * Positive F01-27 for Age "&amp;L20&amp;" "&amp;M21&amp;" is more than Tested F01-26"&amp;CHAR(10),""),IF(N50&gt;N49," * Positive F01-27 for Age "&amp;N20&amp;" "&amp;N21&amp;" is more than Tested F01-26"&amp;CHAR(10),""),IF(O50&gt;O49," * Positive F01-27 for Age "&amp;N20&amp;" "&amp;O21&amp;" is more than Tested F01-26"&amp;CHAR(10),""),IF(P50&gt;P49," * Positive F01-27 for Age "&amp;P20&amp;" "&amp;P21&amp;" is more than Tested F01-26"&amp;CHAR(10),""),IF(Q50&gt;Q49," * Positive F01-27 for Age "&amp;P20&amp;" "&amp;Q21&amp;" is more than Tested F01-26"&amp;CHAR(10),""),IF(R50&gt;R49," * Positive F01-27 for Age "&amp;R20&amp;" "&amp;R21&amp;" is more than Tested F01-26"&amp;CHAR(10),""),IF(S50&gt;S49," * Positive F01-27 for Age "&amp;R20&amp;" "&amp;S21&amp;" is more than Tested F01-26"&amp;CHAR(10),""),IF(T50&gt;T49," * Positive F01-27 for Age "&amp;T20&amp;" "&amp;T21&amp;" is more than Tested F01-26"&amp;CHAR(10),""),IF(U50&gt;U49," * Positive F01-27 for Age "&amp;T20&amp;" "&amp;U21&amp;" is more than Tested F01-26"&amp;CHAR(10),""),IF(V50&gt;V49," * Positive F01-27 for Age "&amp;V20&amp;" "&amp;V21&amp;" is more than Tested F01-26"&amp;CHAR(10),""),IF(W50&gt;W49," * Positive F01-27 for Age "&amp;V20&amp;" "&amp;W21&amp;" is more than Tested F01-26"&amp;CHAR(10),""),IF(X50&gt;X49," * Positive F01-27 for Age "&amp;X20&amp;" "&amp;X21&amp;" is more than Tested F01-26"&amp;CHAR(10),""),IF(Y50&gt;Y49," * Positive F01-27 for Age "&amp;X20&amp;" "&amp;Y21&amp;" is more than Tested F01-26"&amp;CHAR(10),""),IF(Z50&gt;Z49," * Positive F01-27 for Age "&amp;Z20&amp;" "&amp;Z21&amp;" is more than Tested F01-26"&amp;CHAR(10),""),IF(AA50&gt;AA49," * Positive F01-27 for Age "&amp;Z20&amp;" "&amp;AA21&amp;" is more than Tested F01-26"&amp;CHAR(10),""))</f>
        <v/>
      </c>
      <c r="AL49" s="1228"/>
      <c r="AM49" s="31" t="str">
        <f>CONCATENATE(IF(AND(IFERROR((AJ50*100)/AJ49,0)&gt;10,AJ50&gt;5)," * This facility has a high positivity rate for Index Testing. Kindly confirm if this is the true reflection"&amp;CHAR(10),""),"")</f>
        <v/>
      </c>
      <c r="AN49" s="1224"/>
      <c r="AO49" s="13">
        <v>46</v>
      </c>
      <c r="AP49" s="74"/>
      <c r="AQ49" s="75"/>
    </row>
    <row r="50" spans="1:43" ht="27" hidden="1" customHeight="1" thickBot="1" x14ac:dyDescent="0.8">
      <c r="A50" s="1070"/>
      <c r="B50" s="635" t="s">
        <v>150</v>
      </c>
      <c r="C50" s="606" t="s">
        <v>173</v>
      </c>
      <c r="D50" s="639"/>
      <c r="E50" s="640"/>
      <c r="F50" s="120"/>
      <c r="G50" s="120"/>
      <c r="H50" s="120"/>
      <c r="I50" s="120"/>
      <c r="J50" s="120"/>
      <c r="K50" s="120"/>
      <c r="L50" s="641"/>
      <c r="M50" s="120"/>
      <c r="N50" s="641"/>
      <c r="O50" s="120"/>
      <c r="P50" s="641"/>
      <c r="Q50" s="120"/>
      <c r="R50" s="641"/>
      <c r="S50" s="120"/>
      <c r="T50" s="641"/>
      <c r="U50" s="120"/>
      <c r="V50" s="641"/>
      <c r="W50" s="120"/>
      <c r="X50" s="641"/>
      <c r="Y50" s="120"/>
      <c r="Z50" s="641"/>
      <c r="AA50" s="335"/>
      <c r="AB50" s="389"/>
      <c r="AC50" s="357"/>
      <c r="AD50" s="357"/>
      <c r="AE50" s="357"/>
      <c r="AF50" s="357"/>
      <c r="AG50" s="357"/>
      <c r="AH50" s="357"/>
      <c r="AI50" s="314"/>
      <c r="AJ50" s="193">
        <f t="shared" si="7"/>
        <v>0</v>
      </c>
      <c r="AK50" s="1011"/>
      <c r="AL50" s="1228"/>
      <c r="AM50" s="31"/>
      <c r="AN50" s="1224"/>
      <c r="AO50" s="13">
        <v>47</v>
      </c>
      <c r="AP50" s="74"/>
      <c r="AQ50" s="75"/>
    </row>
    <row r="51" spans="1:43" ht="25.9" hidden="1" thickBot="1" x14ac:dyDescent="0.8">
      <c r="A51" s="946" t="s">
        <v>1056</v>
      </c>
      <c r="B51" s="863" t="s">
        <v>144</v>
      </c>
      <c r="C51" s="637" t="s">
        <v>1242</v>
      </c>
      <c r="D51" s="646"/>
      <c r="E51" s="647"/>
      <c r="F51" s="644"/>
      <c r="G51" s="642"/>
      <c r="H51" s="642"/>
      <c r="I51" s="642"/>
      <c r="J51" s="642"/>
      <c r="K51" s="642"/>
      <c r="L51" s="642"/>
      <c r="M51" s="642"/>
      <c r="N51" s="642"/>
      <c r="O51" s="642"/>
      <c r="P51" s="642"/>
      <c r="Q51" s="642"/>
      <c r="R51" s="642"/>
      <c r="S51" s="642"/>
      <c r="T51" s="642"/>
      <c r="U51" s="642"/>
      <c r="V51" s="642"/>
      <c r="W51" s="642"/>
      <c r="X51" s="642"/>
      <c r="Y51" s="642"/>
      <c r="Z51" s="642"/>
      <c r="AA51" s="643"/>
      <c r="AB51" s="357"/>
      <c r="AC51" s="357"/>
      <c r="AD51" s="357"/>
      <c r="AE51" s="357"/>
      <c r="AF51" s="357"/>
      <c r="AG51" s="357"/>
      <c r="AH51" s="357"/>
      <c r="AI51" s="314"/>
      <c r="AJ51" s="189">
        <f t="shared" si="7"/>
        <v>0</v>
      </c>
      <c r="AK51" s="604" t="str">
        <f>CONCATENATE(IF(D52&gt;D51," * SNS Contacts Elicited for Age "&amp;D20&amp;" "&amp;D21&amp;" is more than Tested F01-24"&amp;CHAR(10),""),IF(E52&gt;E51," * SNS Contacts Elicited for Age "&amp;D20&amp;" "&amp;E21&amp;" is more than Tested F01-24"&amp;CHAR(10),""),IF(F52&gt;F51," * SNS Contacts Elicited for Age "&amp;F20&amp;" "&amp;F21&amp;" is more than Tested F01-24"&amp;CHAR(10),""),IF(G52&gt;G51," * SNS Contacts Elicited for Age "&amp;F20&amp;" "&amp;G21&amp;" is more than Tested F01-24"&amp;CHAR(10),""),IF(H52&gt;H51," * SNS Contacts Elicited for Age "&amp;H20&amp;" "&amp;H21&amp;" is more than Tested F01-24"&amp;CHAR(10),""),IF(I52&gt;I51," * SNS Contacts Elicited for Age "&amp;H20&amp;" "&amp;I21&amp;" is more than Tested F01-24"&amp;CHAR(10),""),IF(J52&gt;J51," * SNS Contacts Elicited for Age "&amp;J20&amp;" "&amp;J21&amp;" is more than Tested F01-24"&amp;CHAR(10),""),IF(K52&gt;K51," * SNS Contacts Elicited for Age "&amp;J20&amp;" "&amp;K21&amp;" is more than Tested F01-24"&amp;CHAR(10),""),IF(L52&gt;L51," * SNS Contacts Elicited for Age "&amp;L20&amp;" "&amp;L21&amp;" is more than Tested F01-24"&amp;CHAR(10),""),IF(M52&gt;M51," * SNS Contacts Elicited for Age "&amp;L20&amp;" "&amp;M21&amp;" is more than Tested F01-24"&amp;CHAR(10),""),IF(N52&gt;N51," * SNS Contacts Elicited for Age "&amp;N20&amp;" "&amp;N21&amp;" is more than Tested F01-24"&amp;CHAR(10),""),IF(O52&gt;O51," * SNS Contacts Elicited for Age "&amp;N20&amp;" "&amp;O21&amp;" is more than Tested F01-24"&amp;CHAR(10),""),IF(P52&gt;P51," * SNS Contacts Elicited for Age "&amp;P20&amp;" "&amp;P21&amp;" is more than Tested F01-24"&amp;CHAR(10),""),IF(Q52&gt;Q51," * SNS Contacts Elicited for Age "&amp;P20&amp;" "&amp;Q21&amp;" is more than Tested F01-24"&amp;CHAR(10),""),IF(R52&gt;R51," * SNS Contacts Elicited for Age "&amp;R20&amp;" "&amp;R21&amp;" is more than Tested F01-24"&amp;CHAR(10),""),IF(S52&gt;S51," * SNS Contacts Elicited for Age "&amp;R20&amp;" "&amp;S21&amp;" is more than Tested F01-24"&amp;CHAR(10),""),IF(T52&gt;T51," * SNS Contacts Elicited for Age "&amp;T20&amp;" "&amp;T21&amp;" is more than Tested F01-24"&amp;CHAR(10),""),IF(U52&gt;U51," * SNS Contacts Elicited for Age "&amp;T20&amp;" "&amp;U21&amp;" is more than Tested F01-24"&amp;CHAR(10),""),IF(V52&gt;V51," * SNS Contacts Elicited for Age "&amp;V20&amp;" "&amp;V21&amp;" is more than Tested F01-24"&amp;CHAR(10),""),IF(W52&gt;W51," * SNS Contacts Elicited for Age "&amp;V20&amp;" "&amp;W21&amp;" is more than Tested F01-24"&amp;CHAR(10),""),IF(X52&gt;X51," * SNS Contacts Elicited for Age "&amp;X20&amp;" "&amp;X21&amp;" is more than Tested F01-24"&amp;CHAR(10),""),IF(Y52&gt;Y51," * SNS Contacts Elicited for Age "&amp;X20&amp;" "&amp;Y21&amp;" is more than Tested F01-24"&amp;CHAR(10),""),IF(Z52&gt;Z51," * SNS Contacts Elicited for Age "&amp;Z20&amp;" "&amp;Z21&amp;" is more than Tested F01-24"&amp;CHAR(10),""),IF(AA52&gt;AA51," * SNS Contacts Elicited for Age "&amp;Z20&amp;" "&amp;AA21&amp;" is more than Tested F01-24"&amp;CHAR(10),""))</f>
        <v/>
      </c>
      <c r="AL51" s="1228"/>
      <c r="AM51" s="31"/>
      <c r="AN51" s="1224"/>
      <c r="AO51" s="13"/>
      <c r="AP51" s="74"/>
      <c r="AQ51" s="75"/>
    </row>
    <row r="52" spans="1:43" ht="26.25" hidden="1" customHeight="1" x14ac:dyDescent="0.75">
      <c r="A52" s="1209"/>
      <c r="B52" s="636" t="s">
        <v>158</v>
      </c>
      <c r="C52" s="638" t="s">
        <v>1057</v>
      </c>
      <c r="D52" s="648"/>
      <c r="E52" s="489"/>
      <c r="F52" s="645"/>
      <c r="G52" s="645"/>
      <c r="H52" s="645"/>
      <c r="I52" s="645"/>
      <c r="J52" s="645"/>
      <c r="K52" s="645"/>
      <c r="L52" s="645"/>
      <c r="M52" s="645"/>
      <c r="N52" s="645"/>
      <c r="O52" s="645"/>
      <c r="P52" s="645"/>
      <c r="Q52" s="645"/>
      <c r="R52" s="645"/>
      <c r="S52" s="645"/>
      <c r="T52" s="645"/>
      <c r="U52" s="645"/>
      <c r="V52" s="645"/>
      <c r="W52" s="645"/>
      <c r="X52" s="645"/>
      <c r="Y52" s="645"/>
      <c r="Z52" s="645"/>
      <c r="AA52" s="645"/>
      <c r="AB52" s="357"/>
      <c r="AC52" s="357"/>
      <c r="AD52" s="357"/>
      <c r="AE52" s="357"/>
      <c r="AF52" s="357"/>
      <c r="AG52" s="357"/>
      <c r="AH52" s="357"/>
      <c r="AI52" s="314"/>
      <c r="AJ52" s="189">
        <f t="shared" si="7"/>
        <v>0</v>
      </c>
      <c r="AK52" s="307" t="str">
        <f>CONCATENATE(IF(D53&gt;D52," * Positive F01-25 for Age "&amp;D20&amp;" "&amp;D21&amp;" is more than Tested F01-24"&amp;CHAR(10),""),IF(E53&gt;E52," * Positive F01-25 for Age "&amp;D20&amp;" "&amp;E21&amp;" is more than Tested F01-24"&amp;CHAR(10),""),IF(F53&gt;F52," * Positive F01-25 for Age "&amp;F20&amp;" "&amp;F21&amp;" is more than Tested F01-24"&amp;CHAR(10),""),IF(G53&gt;G52," * Positive F01-25 for Age "&amp;F20&amp;" "&amp;G21&amp;" is more than Tested F01-24"&amp;CHAR(10),""),IF(H53&gt;H52," * Positive F01-25 for Age "&amp;H20&amp;" "&amp;H21&amp;" is more than Tested F01-24"&amp;CHAR(10),""),IF(I53&gt;I52," * Positive F01-25 for Age "&amp;H20&amp;" "&amp;I21&amp;" is more than Tested F01-24"&amp;CHAR(10),""),IF(J53&gt;J52," * Positive F01-25 for Age "&amp;J20&amp;" "&amp;J21&amp;" is more than Tested F01-24"&amp;CHAR(10),""),IF(K53&gt;K52," * Positive F01-25 for Age "&amp;J20&amp;" "&amp;K21&amp;" is more than Tested F01-24"&amp;CHAR(10),""),IF(L53&gt;L52," * Positive F01-25 for Age "&amp;L20&amp;" "&amp;L21&amp;" is more than Tested F01-24"&amp;CHAR(10),""),IF(M53&gt;M52," * Positive F01-25 for Age "&amp;L20&amp;" "&amp;M21&amp;" is more than Tested F01-24"&amp;CHAR(10),""),IF(N53&gt;N52," * Positive F01-25 for Age "&amp;N20&amp;" "&amp;N21&amp;" is more than Tested F01-24"&amp;CHAR(10),""),IF(O53&gt;O52," * Positive F01-25 for Age "&amp;N20&amp;" "&amp;O21&amp;" is more than Tested F01-24"&amp;CHAR(10),""),IF(P53&gt;P52," * Positive F01-25 for Age "&amp;P20&amp;" "&amp;P21&amp;" is more than Tested F01-24"&amp;CHAR(10),""),IF(Q53&gt;Q52," * Positive F01-25 for Age "&amp;P20&amp;" "&amp;Q21&amp;" is more than Tested F01-24"&amp;CHAR(10),""),IF(R53&gt;R52," * Positive F01-25 for Age "&amp;R20&amp;" "&amp;R21&amp;" is more than Tested F01-24"&amp;CHAR(10),""),IF(S53&gt;S52," * Positive F01-25 for Age "&amp;R20&amp;" "&amp;S21&amp;" is more than Tested F01-24"&amp;CHAR(10),""),IF(T53&gt;T52," * Positive F01-25 for Age "&amp;T20&amp;" "&amp;T21&amp;" is more than Tested F01-24"&amp;CHAR(10),""),IF(U53&gt;U52," * Positive F01-25 for Age "&amp;T20&amp;" "&amp;U21&amp;" is more than Tested F01-24"&amp;CHAR(10),""),IF(V53&gt;V52," * Positive F01-25 for Age "&amp;V20&amp;" "&amp;V21&amp;" is more than Tested F01-24"&amp;CHAR(10),""),IF(W53&gt;W52," * Positive F01-25 for Age "&amp;V20&amp;" "&amp;W21&amp;" is more than Tested F01-24"&amp;CHAR(10),""),IF(X53&gt;X52," * Positive F01-25 for Age "&amp;X20&amp;" "&amp;X21&amp;" is more than Tested F01-24"&amp;CHAR(10),""),IF(Y53&gt;Y52," * Positive F01-25 for Age "&amp;X20&amp;" "&amp;Y21&amp;" is more than Tested F01-24"&amp;CHAR(10),""),IF(Z53&gt;Z52," * Positive F01-25 for Age "&amp;Z20&amp;" "&amp;Z21&amp;" is more than Tested F01-24"&amp;CHAR(10),""),IF(AA53&gt;AA52," * Positive F01-25 for Age "&amp;Z20&amp;" "&amp;AA21&amp;" is more than Tested F01-24"&amp;CHAR(10),""))</f>
        <v/>
      </c>
      <c r="AL52" s="1228"/>
      <c r="AM52" s="31"/>
      <c r="AN52" s="1224"/>
      <c r="AO52" s="13"/>
      <c r="AP52" s="74"/>
      <c r="AQ52" s="75"/>
    </row>
    <row r="53" spans="1:43" ht="25.9" hidden="1" thickBot="1" x14ac:dyDescent="0.8">
      <c r="A53" s="1209"/>
      <c r="B53" s="685" t="s">
        <v>150</v>
      </c>
      <c r="C53" s="654" t="s">
        <v>1058</v>
      </c>
      <c r="D53" s="686"/>
      <c r="E53" s="687"/>
      <c r="F53" s="688"/>
      <c r="G53" s="689"/>
      <c r="H53" s="689"/>
      <c r="I53" s="689"/>
      <c r="J53" s="689"/>
      <c r="K53" s="689"/>
      <c r="L53" s="689"/>
      <c r="M53" s="689"/>
      <c r="N53" s="689"/>
      <c r="O53" s="689"/>
      <c r="P53" s="689"/>
      <c r="Q53" s="689"/>
      <c r="R53" s="689"/>
      <c r="S53" s="689"/>
      <c r="T53" s="689"/>
      <c r="U53" s="689"/>
      <c r="V53" s="689"/>
      <c r="W53" s="689"/>
      <c r="X53" s="689"/>
      <c r="Y53" s="689"/>
      <c r="Z53" s="689"/>
      <c r="AA53" s="690"/>
      <c r="AB53" s="357"/>
      <c r="AC53" s="357"/>
      <c r="AD53" s="357"/>
      <c r="AE53" s="357"/>
      <c r="AF53" s="357"/>
      <c r="AG53" s="357"/>
      <c r="AH53" s="357"/>
      <c r="AI53" s="314"/>
      <c r="AJ53" s="376">
        <f t="shared" si="7"/>
        <v>0</v>
      </c>
      <c r="AK53" s="307"/>
      <c r="AL53" s="1228"/>
      <c r="AM53" s="31"/>
      <c r="AN53" s="1224"/>
      <c r="AO53" s="13"/>
      <c r="AP53" s="74"/>
      <c r="AQ53" s="75"/>
    </row>
    <row r="54" spans="1:43" s="8" customFormat="1" ht="25.5" hidden="1" x14ac:dyDescent="0.75">
      <c r="A54" s="1207" t="s">
        <v>1249</v>
      </c>
      <c r="B54" s="691" t="s">
        <v>635</v>
      </c>
      <c r="C54" s="867" t="s">
        <v>348</v>
      </c>
      <c r="D54" s="870">
        <f>SUM(D27+D33+D35+D37+D39+D41+D43+D45+D47+D49+D52)</f>
        <v>0</v>
      </c>
      <c r="E54" s="871">
        <f t="shared" ref="E54:AA54" si="11">SUM(E27+E33+E35+E37+E39+E41+E43+E45+E47+E49+E52)</f>
        <v>0</v>
      </c>
      <c r="F54" s="871">
        <f t="shared" si="11"/>
        <v>0</v>
      </c>
      <c r="G54" s="871">
        <f t="shared" si="11"/>
        <v>0</v>
      </c>
      <c r="H54" s="871">
        <f t="shared" si="11"/>
        <v>0</v>
      </c>
      <c r="I54" s="871">
        <f t="shared" si="11"/>
        <v>0</v>
      </c>
      <c r="J54" s="871">
        <f t="shared" si="11"/>
        <v>0</v>
      </c>
      <c r="K54" s="871">
        <f t="shared" si="11"/>
        <v>0</v>
      </c>
      <c r="L54" s="871">
        <f t="shared" si="11"/>
        <v>0</v>
      </c>
      <c r="M54" s="871">
        <f t="shared" si="11"/>
        <v>0</v>
      </c>
      <c r="N54" s="871">
        <f t="shared" si="11"/>
        <v>0</v>
      </c>
      <c r="O54" s="871">
        <f t="shared" si="11"/>
        <v>0</v>
      </c>
      <c r="P54" s="871">
        <f t="shared" si="11"/>
        <v>0</v>
      </c>
      <c r="Q54" s="871">
        <f t="shared" si="11"/>
        <v>0</v>
      </c>
      <c r="R54" s="871">
        <f t="shared" si="11"/>
        <v>0</v>
      </c>
      <c r="S54" s="871">
        <f t="shared" si="11"/>
        <v>0</v>
      </c>
      <c r="T54" s="871">
        <f t="shared" si="11"/>
        <v>0</v>
      </c>
      <c r="U54" s="871">
        <f t="shared" si="11"/>
        <v>0</v>
      </c>
      <c r="V54" s="871">
        <f t="shared" si="11"/>
        <v>0</v>
      </c>
      <c r="W54" s="871">
        <f t="shared" si="11"/>
        <v>0</v>
      </c>
      <c r="X54" s="871">
        <f t="shared" si="11"/>
        <v>0</v>
      </c>
      <c r="Y54" s="871">
        <f t="shared" si="11"/>
        <v>0</v>
      </c>
      <c r="Z54" s="871">
        <f t="shared" si="11"/>
        <v>0</v>
      </c>
      <c r="AA54" s="872">
        <f t="shared" si="11"/>
        <v>0</v>
      </c>
      <c r="AB54" s="357"/>
      <c r="AC54" s="357"/>
      <c r="AD54" s="357"/>
      <c r="AE54" s="357"/>
      <c r="AF54" s="357"/>
      <c r="AG54" s="357"/>
      <c r="AH54" s="357"/>
      <c r="AI54" s="314"/>
      <c r="AJ54" s="189">
        <f t="shared" si="7"/>
        <v>0</v>
      </c>
      <c r="AK54" s="30" t="str">
        <f>CONCATENATE(IF(D55&gt;D54," * Totals HTS Positive F01-29 for Age "&amp;D20&amp;" "&amp;D21&amp;" is more than Total Tested F01-28"&amp;CHAR(10),""),IF(E55&gt;E54," * Totals HTS Positive F01-29 for Age "&amp;D20&amp;" "&amp;E21&amp;" is more than Total Tested F01-28"&amp;CHAR(10),""),IF(F55&gt;F54," * Totals HTS Positive F01-29 for Age "&amp;F20&amp;" "&amp;F21&amp;" is more than Total Tested F01-28"&amp;CHAR(10),""),IF(G55&gt;G54," * Totals HTS Positive F01-29 for Age "&amp;F20&amp;" "&amp;G21&amp;" is more than Total Tested F01-28"&amp;CHAR(10),""),IF(H55&gt;H54," * Totals HTS Positive F01-29 for Age "&amp;H20&amp;" "&amp;H21&amp;" is more than Total Tested F01-28"&amp;CHAR(10),""),IF(I55&gt;I54," * Totals HTS Positive F01-29 for Age "&amp;H20&amp;" "&amp;I21&amp;" is more than Total Tested F01-28"&amp;CHAR(10),""),IF(J55&gt;J54," * Totals HTS Positive F01-29 for Age "&amp;J20&amp;" "&amp;J21&amp;" is more than Total Tested F01-28"&amp;CHAR(10),""),IF(K55&gt;K54," * Totals HTS Positive F01-29 for Age "&amp;J20&amp;" "&amp;K21&amp;" is more than Total Tested F01-28"&amp;CHAR(10),""),IF(L55&gt;L54," * Totals HTS Positive F01-29 for Age "&amp;L20&amp;" "&amp;L21&amp;" is more than Total Tested F01-28"&amp;CHAR(10),""),IF(M55&gt;M54," * Totals HTS Positive F01-29 for Age "&amp;L20&amp;" "&amp;M21&amp;" is more than Total Tested F01-28"&amp;CHAR(10),""),IF(N55&gt;N54," * Totals HTS Positive F01-29 for Age "&amp;N20&amp;" "&amp;N21&amp;" is more than Total Tested F01-28"&amp;CHAR(10),""),IF(O55&gt;O54," * Totals HTS Positive F01-29 for Age "&amp;N20&amp;" "&amp;O21&amp;" is more than Total Tested F01-28"&amp;CHAR(10),""),IF(P55&gt;P54," * Totals HTS Positive F01-29 for Age "&amp;P20&amp;" "&amp;P21&amp;" is more than Total Tested F01-28"&amp;CHAR(10),""),IF(Q55&gt;Q54," * Totals HTS Positive F01-29 for Age "&amp;P20&amp;" "&amp;Q21&amp;" is more than Total Tested F01-28"&amp;CHAR(10),""),IF(R55&gt;R54," * Totals HTS Positive F01-29 for Age "&amp;R20&amp;" "&amp;R21&amp;" is more than Total Tested F01-28"&amp;CHAR(10),""),IF(S55&gt;S54," * Totals HTS Positive F01-29 for Age "&amp;R20&amp;" "&amp;S21&amp;" is more than Total Tested F01-28"&amp;CHAR(10),""),IF(T55&gt;T54," * Totals HTS Positive F01-29 for Age "&amp;T20&amp;" "&amp;T21&amp;" is more than Total Tested F01-28"&amp;CHAR(10),""),IF(U55&gt;U54," * Totals HTS Positive F01-29 for Age "&amp;T20&amp;" "&amp;U21&amp;" is more than Total Tested F01-28"&amp;CHAR(10),""),IF(V55&gt;V54," * Totals HTS Positive F01-29 for Age "&amp;V20&amp;" "&amp;V21&amp;" is more than Total Tested F01-28"&amp;CHAR(10),""),IF(W55&gt;W54," * Totals HTS Positive F01-29 for Age "&amp;V20&amp;" "&amp;W21&amp;" is more than Total Tested F01-28"&amp;CHAR(10),""),IF(X55&gt;X54," * Totals HTS Positive F01-29 for Age "&amp;X20&amp;" "&amp;X21&amp;" is more than Total Tested F01-28"&amp;CHAR(10),""),IF(Y55&gt;Y54," * Totals HTS Positive F01-29 for Age "&amp;X20&amp;" "&amp;Y21&amp;" is more than Total Tested F01-28"&amp;CHAR(10),""),IF(Z55&gt;Z54," * Totals HTS Positive F01-29 for Age "&amp;Z20&amp;" "&amp;Z21&amp;" is more than Total Tested F01-28"&amp;CHAR(10),""),IF(AA55&gt;AA54," * Totals HTS Positive F01-29 for Age "&amp;Z20&amp;" "&amp;AA21&amp;" is more than Total Tested F01-28"&amp;CHAR(10),""))</f>
        <v/>
      </c>
      <c r="AL54" s="1228"/>
      <c r="AM54" s="108" t="str">
        <f>CONCATENATE(IF(AJ331&gt;SUM(AJ28,AJ34,AJ36,AJ38,AJ40,AJ42,AJ44,AJ46,AJ48,AJ50,AJ280,AJ284,AJ288,AJ292)," * This site has more started on ART than positives"&amp;CHAR(10),""),"")</f>
        <v/>
      </c>
      <c r="AN54" s="1224"/>
      <c r="AO54" s="13">
        <v>48</v>
      </c>
      <c r="AP54" s="109"/>
      <c r="AQ54" s="110"/>
    </row>
    <row r="55" spans="1:43" s="114" customFormat="1" ht="25.9" hidden="1" thickBot="1" x14ac:dyDescent="0.8">
      <c r="A55" s="1208"/>
      <c r="B55" s="693" t="s">
        <v>644</v>
      </c>
      <c r="C55" s="868" t="s">
        <v>349</v>
      </c>
      <c r="D55" s="873">
        <f>SUM(D28+D34+D36+D38+D40+D42+D44+D46+D48+D50+D53)</f>
        <v>0</v>
      </c>
      <c r="E55" s="874">
        <f t="shared" ref="E55:AA55" si="12">SUM(E28+E34+E36+E38+E40+E42+E44+E46+E48+E50+E53)</f>
        <v>0</v>
      </c>
      <c r="F55" s="874">
        <f t="shared" si="12"/>
        <v>0</v>
      </c>
      <c r="G55" s="874">
        <f t="shared" si="12"/>
        <v>0</v>
      </c>
      <c r="H55" s="874">
        <f t="shared" si="12"/>
        <v>0</v>
      </c>
      <c r="I55" s="874">
        <f t="shared" si="12"/>
        <v>0</v>
      </c>
      <c r="J55" s="874">
        <f t="shared" si="12"/>
        <v>0</v>
      </c>
      <c r="K55" s="874">
        <f t="shared" si="12"/>
        <v>0</v>
      </c>
      <c r="L55" s="874">
        <f t="shared" si="12"/>
        <v>0</v>
      </c>
      <c r="M55" s="874">
        <f t="shared" si="12"/>
        <v>0</v>
      </c>
      <c r="N55" s="874">
        <f t="shared" si="12"/>
        <v>0</v>
      </c>
      <c r="O55" s="874">
        <f t="shared" si="12"/>
        <v>0</v>
      </c>
      <c r="P55" s="874">
        <f t="shared" si="12"/>
        <v>0</v>
      </c>
      <c r="Q55" s="874">
        <f t="shared" si="12"/>
        <v>0</v>
      </c>
      <c r="R55" s="874">
        <f t="shared" si="12"/>
        <v>0</v>
      </c>
      <c r="S55" s="874">
        <f t="shared" si="12"/>
        <v>0</v>
      </c>
      <c r="T55" s="874">
        <f t="shared" si="12"/>
        <v>0</v>
      </c>
      <c r="U55" s="874">
        <f t="shared" si="12"/>
        <v>0</v>
      </c>
      <c r="V55" s="874">
        <f t="shared" si="12"/>
        <v>0</v>
      </c>
      <c r="W55" s="874">
        <f t="shared" si="12"/>
        <v>0</v>
      </c>
      <c r="X55" s="874">
        <f t="shared" si="12"/>
        <v>0</v>
      </c>
      <c r="Y55" s="874">
        <f t="shared" si="12"/>
        <v>0</v>
      </c>
      <c r="Z55" s="874">
        <f t="shared" si="12"/>
        <v>0</v>
      </c>
      <c r="AA55" s="875">
        <f t="shared" si="12"/>
        <v>0</v>
      </c>
      <c r="AB55" s="391"/>
      <c r="AC55" s="391"/>
      <c r="AD55" s="391"/>
      <c r="AE55" s="391"/>
      <c r="AF55" s="391"/>
      <c r="AG55" s="391"/>
      <c r="AH55" s="391"/>
      <c r="AI55" s="315"/>
      <c r="AJ55" s="383">
        <f t="shared" si="7"/>
        <v>0</v>
      </c>
      <c r="AK55" s="111"/>
      <c r="AL55" s="1228"/>
      <c r="AM55" s="112" t="str">
        <f>CONCATENATE(IF(AND(AJ331=0,SUM(AJ28,AJ34,AJ36,AJ38,AJ40,AJ42,AJ44,AJ46,AJ48,AJ50,AJ280,AJ284,AJ288,AJ292)&gt;0)," * This site has positives but none was started on ART"&amp;CHAR(10),""),"")</f>
        <v/>
      </c>
      <c r="AN55" s="1225"/>
      <c r="AO55" s="13">
        <v>49</v>
      </c>
      <c r="AP55" s="113"/>
      <c r="AQ55" s="110"/>
    </row>
    <row r="56" spans="1:43" s="8" customFormat="1" ht="25.5" hidden="1" x14ac:dyDescent="0.75">
      <c r="A56" s="1207" t="s">
        <v>1250</v>
      </c>
      <c r="B56" s="864" t="s">
        <v>1251</v>
      </c>
      <c r="C56" s="683" t="s">
        <v>1253</v>
      </c>
      <c r="D56" s="869">
        <f>SUM(D27+D35+D37+D39+D41+D43+D45+D47+D49+D52+D279+D283+D285+D287+D289+D291+D293+D295+D297+D33)</f>
        <v>0</v>
      </c>
      <c r="E56" s="869">
        <f t="shared" ref="E56:AA56" si="13">SUM(E27+E35+E37+E39+E41+E43+E45+E47+E49+E52+E279+E283+E285+E287+E289+E291+E293+E295+E297+E33)</f>
        <v>0</v>
      </c>
      <c r="F56" s="869">
        <f t="shared" si="13"/>
        <v>0</v>
      </c>
      <c r="G56" s="869">
        <f t="shared" si="13"/>
        <v>0</v>
      </c>
      <c r="H56" s="869">
        <f t="shared" si="13"/>
        <v>0</v>
      </c>
      <c r="I56" s="869">
        <f t="shared" si="13"/>
        <v>0</v>
      </c>
      <c r="J56" s="869">
        <f t="shared" si="13"/>
        <v>0</v>
      </c>
      <c r="K56" s="869">
        <f t="shared" si="13"/>
        <v>0</v>
      </c>
      <c r="L56" s="869">
        <f t="shared" si="13"/>
        <v>0</v>
      </c>
      <c r="M56" s="869">
        <f t="shared" si="13"/>
        <v>0</v>
      </c>
      <c r="N56" s="869">
        <f t="shared" si="13"/>
        <v>0</v>
      </c>
      <c r="O56" s="869">
        <f t="shared" si="13"/>
        <v>0</v>
      </c>
      <c r="P56" s="869">
        <f t="shared" si="13"/>
        <v>0</v>
      </c>
      <c r="Q56" s="869">
        <f t="shared" si="13"/>
        <v>0</v>
      </c>
      <c r="R56" s="869">
        <f t="shared" si="13"/>
        <v>0</v>
      </c>
      <c r="S56" s="869">
        <f t="shared" si="13"/>
        <v>0</v>
      </c>
      <c r="T56" s="869">
        <f t="shared" si="13"/>
        <v>0</v>
      </c>
      <c r="U56" s="869">
        <f t="shared" si="13"/>
        <v>0</v>
      </c>
      <c r="V56" s="869">
        <f t="shared" si="13"/>
        <v>0</v>
      </c>
      <c r="W56" s="869">
        <f t="shared" si="13"/>
        <v>0</v>
      </c>
      <c r="X56" s="869">
        <f t="shared" si="13"/>
        <v>0</v>
      </c>
      <c r="Y56" s="869">
        <f t="shared" si="13"/>
        <v>0</v>
      </c>
      <c r="Z56" s="869">
        <f t="shared" si="13"/>
        <v>0</v>
      </c>
      <c r="AA56" s="869">
        <f t="shared" si="13"/>
        <v>0</v>
      </c>
      <c r="AB56" s="357"/>
      <c r="AC56" s="357"/>
      <c r="AD56" s="357"/>
      <c r="AE56" s="357"/>
      <c r="AF56" s="357"/>
      <c r="AG56" s="357"/>
      <c r="AH56" s="357"/>
      <c r="AI56" s="314"/>
      <c r="AJ56" s="666">
        <f t="shared" ref="AJ56:AJ62" si="14">SUM(D56:AA56)</f>
        <v>0</v>
      </c>
      <c r="AK56" s="848"/>
      <c r="AL56" s="1228"/>
      <c r="AM56" s="108" t="str">
        <f>CONCATENATE(IF(AJ333&gt;SUM(AJ30,AJ36,AJ38,AJ40,AJ42,AJ44,AJ46,AJ48,AJ50,AJ52,AJ282,AJ286,AJ290,AJ294)," * This site has more started on ART than positives"&amp;CHAR(10),""),"")</f>
        <v/>
      </c>
      <c r="AN56" s="369"/>
      <c r="AO56" s="13">
        <v>48</v>
      </c>
      <c r="AP56" s="109"/>
      <c r="AQ56" s="110"/>
    </row>
    <row r="57" spans="1:43" s="114" customFormat="1" ht="25.9" hidden="1" thickBot="1" x14ac:dyDescent="0.8">
      <c r="A57" s="1208"/>
      <c r="B57" s="865" t="s">
        <v>1252</v>
      </c>
      <c r="C57" s="684" t="s">
        <v>1254</v>
      </c>
      <c r="D57" s="682">
        <f>SUM(D28+D36+D38+D40+D42+D44+D46+D48+D50+D53+D55+D280,D284,D286,D288,D290,D292,D294,D296,D298)</f>
        <v>0</v>
      </c>
      <c r="E57" s="682">
        <f t="shared" ref="E57:AA57" si="15">SUM(E28+E36+E38+E40+E42+E44+E46+E48+E50+E53+E55+E280,E284,E286,E288,E290,E292,E294,E296,E298)</f>
        <v>0</v>
      </c>
      <c r="F57" s="682">
        <f t="shared" si="15"/>
        <v>0</v>
      </c>
      <c r="G57" s="682">
        <f t="shared" si="15"/>
        <v>0</v>
      </c>
      <c r="H57" s="682">
        <f t="shared" si="15"/>
        <v>0</v>
      </c>
      <c r="I57" s="682">
        <f t="shared" si="15"/>
        <v>0</v>
      </c>
      <c r="J57" s="682">
        <f t="shared" si="15"/>
        <v>0</v>
      </c>
      <c r="K57" s="682">
        <f t="shared" si="15"/>
        <v>0</v>
      </c>
      <c r="L57" s="682">
        <f t="shared" si="15"/>
        <v>0</v>
      </c>
      <c r="M57" s="682">
        <f t="shared" si="15"/>
        <v>0</v>
      </c>
      <c r="N57" s="682">
        <f t="shared" si="15"/>
        <v>0</v>
      </c>
      <c r="O57" s="682">
        <f t="shared" si="15"/>
        <v>0</v>
      </c>
      <c r="P57" s="682">
        <f t="shared" si="15"/>
        <v>0</v>
      </c>
      <c r="Q57" s="682">
        <f t="shared" si="15"/>
        <v>0</v>
      </c>
      <c r="R57" s="682">
        <f t="shared" si="15"/>
        <v>0</v>
      </c>
      <c r="S57" s="682">
        <f t="shared" si="15"/>
        <v>0</v>
      </c>
      <c r="T57" s="682">
        <f t="shared" si="15"/>
        <v>0</v>
      </c>
      <c r="U57" s="682">
        <f t="shared" si="15"/>
        <v>0</v>
      </c>
      <c r="V57" s="682">
        <f t="shared" si="15"/>
        <v>0</v>
      </c>
      <c r="W57" s="682">
        <f t="shared" si="15"/>
        <v>0</v>
      </c>
      <c r="X57" s="682">
        <f t="shared" si="15"/>
        <v>0</v>
      </c>
      <c r="Y57" s="682">
        <f t="shared" si="15"/>
        <v>0</v>
      </c>
      <c r="Z57" s="682">
        <f t="shared" si="15"/>
        <v>0</v>
      </c>
      <c r="AA57" s="682">
        <f t="shared" si="15"/>
        <v>0</v>
      </c>
      <c r="AB57" s="391"/>
      <c r="AC57" s="391"/>
      <c r="AD57" s="391"/>
      <c r="AE57" s="391"/>
      <c r="AF57" s="391"/>
      <c r="AG57" s="391"/>
      <c r="AH57" s="391"/>
      <c r="AI57" s="315"/>
      <c r="AJ57" s="667">
        <f t="shared" si="14"/>
        <v>0</v>
      </c>
      <c r="AK57" s="848"/>
      <c r="AL57" s="1229"/>
      <c r="AM57" s="112" t="str">
        <f>CONCATENATE(IF(AND(AJ333=0,SUM(AJ30,AJ36,AJ38,AJ40,AJ42,AJ44,AJ46,AJ48,AJ50,AJ52,AJ282,AJ286,AJ290,AJ294)&gt;0)," * This site has positives but none was started on ART"&amp;CHAR(10),""),"")</f>
        <v/>
      </c>
      <c r="AN57" s="369"/>
      <c r="AO57" s="13">
        <v>49</v>
      </c>
      <c r="AP57" s="113"/>
      <c r="AQ57" s="110"/>
    </row>
    <row r="58" spans="1:43" ht="25.9" hidden="1" thickBot="1" x14ac:dyDescent="0.8">
      <c r="A58" s="1222" t="s">
        <v>1265</v>
      </c>
      <c r="B58" s="1077"/>
      <c r="C58" s="1077"/>
      <c r="D58" s="1077"/>
      <c r="E58" s="1077"/>
      <c r="F58" s="1077"/>
      <c r="G58" s="1077"/>
      <c r="H58" s="1077"/>
      <c r="I58" s="1077"/>
      <c r="J58" s="1077"/>
      <c r="K58" s="1077"/>
      <c r="L58" s="1077"/>
      <c r="M58" s="1077"/>
      <c r="N58" s="1077"/>
      <c r="O58" s="1077"/>
      <c r="P58" s="1077"/>
      <c r="Q58" s="1077"/>
      <c r="R58" s="1077"/>
      <c r="S58" s="1077"/>
      <c r="T58" s="1077"/>
      <c r="U58" s="1077"/>
      <c r="V58" s="1077"/>
      <c r="W58" s="1077"/>
      <c r="X58" s="1077"/>
      <c r="Y58" s="1077"/>
      <c r="Z58" s="1077"/>
      <c r="AA58" s="1077"/>
      <c r="AB58" s="1077"/>
      <c r="AC58" s="1077"/>
      <c r="AD58" s="1077"/>
      <c r="AE58" s="1077"/>
      <c r="AF58" s="1077"/>
      <c r="AG58" s="1077"/>
      <c r="AH58" s="1077"/>
      <c r="AI58" s="1077"/>
      <c r="AJ58" s="1044"/>
      <c r="AK58" s="1077"/>
      <c r="AL58" s="1044"/>
      <c r="AM58" s="1044"/>
      <c r="AN58" s="1046"/>
      <c r="AO58" s="13">
        <v>50</v>
      </c>
      <c r="AP58" s="74"/>
      <c r="AQ58" s="75"/>
    </row>
    <row r="59" spans="1:43" ht="29.25" hidden="1" customHeight="1" x14ac:dyDescent="0.75">
      <c r="A59" s="944" t="s">
        <v>391</v>
      </c>
      <c r="B59" s="91" t="s">
        <v>158</v>
      </c>
      <c r="C59" s="603" t="s">
        <v>1261</v>
      </c>
      <c r="D59" s="297"/>
      <c r="E59" s="93"/>
      <c r="F59" s="99"/>
      <c r="G59" s="99"/>
      <c r="H59" s="99"/>
      <c r="I59" s="99"/>
      <c r="J59" s="99"/>
      <c r="K59" s="99"/>
      <c r="L59" s="94"/>
      <c r="M59" s="94"/>
      <c r="N59" s="94"/>
      <c r="O59" s="94"/>
      <c r="P59" s="94"/>
      <c r="Q59" s="94"/>
      <c r="R59" s="94"/>
      <c r="S59" s="94"/>
      <c r="T59" s="94"/>
      <c r="U59" s="94"/>
      <c r="V59" s="94"/>
      <c r="W59" s="94"/>
      <c r="X59" s="94"/>
      <c r="Y59" s="94"/>
      <c r="Z59" s="94"/>
      <c r="AA59" s="322"/>
      <c r="AB59" s="389"/>
      <c r="AC59" s="357"/>
      <c r="AD59" s="357"/>
      <c r="AE59" s="357"/>
      <c r="AF59" s="357"/>
      <c r="AG59" s="357"/>
      <c r="AH59" s="357"/>
      <c r="AI59" s="314"/>
      <c r="AJ59" s="666">
        <f t="shared" si="14"/>
        <v>0</v>
      </c>
      <c r="AK59" s="1221" t="str">
        <f>CONCATENATE(IF(D60&gt;D59," * Positive FSW for Age "&amp;D20&amp;" "&amp;D21&amp;" is more than Tested FSW"&amp;CHAR(10),""),IF(E60&gt;E59," * Positive FSW for Age "&amp;D20&amp;" "&amp;E21&amp;" is more than Tested FSW"&amp;CHAR(10),""),IF(F60&gt;F59," * Positive FSW for Age "&amp;F20&amp;" "&amp;F21&amp;" is more than Tested FSW"&amp;CHAR(10),""),IF(G60&gt;G59," * Positive FSW for Age "&amp;F20&amp;" "&amp;G21&amp;" is more than Tested FSW"&amp;CHAR(10),""),IF(H60&gt;H59," * Positive FSW for Age "&amp;H20&amp;" "&amp;H21&amp;" is more than Tested FSW"&amp;CHAR(10),""),IF(I60&gt;I59," * Positive FSW for Age "&amp;H20&amp;" "&amp;I21&amp;" is more than Tested FSW"&amp;CHAR(10),""),IF(J60&gt;J59," * Positive FSW for Age "&amp;J20&amp;" "&amp;J21&amp;" is more than Tested FSW"&amp;CHAR(10),""),IF(K60&gt;K59," * Positive FSW for Age "&amp;J20&amp;" "&amp;K21&amp;" is more than Tested FSW"&amp;CHAR(10),""),IF(L60&gt;L59," * Positive FSW for Age "&amp;L20&amp;" "&amp;L21&amp;" is more than Tested FSW"&amp;CHAR(10),""),IF(M60&gt;M59," * Positive FSW for Age "&amp;L20&amp;" "&amp;M21&amp;" is more than Tested FSW"&amp;CHAR(10),""),IF(N60&gt;N59," * Positive FSW for Age "&amp;N20&amp;" "&amp;N21&amp;" is more than Tested FSW"&amp;CHAR(10),""),IF(O60&gt;O59," * Positive FSW for Age "&amp;N20&amp;" "&amp;O21&amp;" is more than Tested FSW"&amp;CHAR(10),""),IF(P60&gt;P59," * Positive FSW for Age "&amp;P20&amp;" "&amp;P21&amp;" is more than Tested FSW"&amp;CHAR(10),""),IF(Q60&gt;Q59," * Positive FSW for Age "&amp;P20&amp;" "&amp;Q21&amp;" is more than Tested FSW"&amp;CHAR(10),""),IF(R60&gt;R59," * Positive FSW for Age "&amp;R20&amp;" "&amp;R21&amp;" is more than Tested FSW"&amp;CHAR(10),""),IF(S60&gt;S59," * Positive FSW for Age "&amp;R20&amp;" "&amp;S21&amp;" is more than Tested FSW"&amp;CHAR(10),""),IF(T60&gt;T59," * Positive FSW for Age "&amp;T20&amp;" "&amp;T21&amp;" is more than Tested FSW"&amp;CHAR(10),""),IF(U60&gt;U59," * Positive FSW for Age "&amp;T20&amp;" "&amp;U21&amp;" is more than Tested FSW"&amp;CHAR(10),""),IF(V60&gt;V59," * Positive FSW for Age "&amp;V20&amp;" "&amp;V21&amp;" is more than Tested FSW"&amp;CHAR(10),""),IF(W60&gt;W59," * Positive FSW for Age "&amp;V20&amp;" "&amp;W21&amp;" is more than Tested FSW"&amp;CHAR(10),""),IF(X60&gt;X59," * Positive FSW for Age "&amp;X20&amp;" "&amp;X21&amp;" is more than Tested FSW"&amp;CHAR(10),""),IF(Y60&gt;Y59," * Positive FSW for Age "&amp;X20&amp;" "&amp;Y21&amp;" is more than Tested FSW"&amp;CHAR(10),""),IF(Z60&gt;Z59," * Positive FSW for Age "&amp;Z20&amp;" "&amp;Z21&amp;" is more than Tested FSW"&amp;CHAR(10),""),IF(AA60&gt;AA59," * Positive FSW for Age "&amp;Z20&amp;" "&amp;AA21&amp;" is more than Tested FSW"&amp;CHAR(10),""))</f>
        <v/>
      </c>
      <c r="AL59" s="653"/>
      <c r="AM59" s="31" t="str">
        <f>CONCATENATE(IF(AND(IFERROR((AJ60*100)/AJ59,0)&gt;10,AJ60&gt;5)," * This facility has a high positivity rate for Index Testing. Kindly confirm if this is the true reflection"&amp;CHAR(10),""),"")</f>
        <v/>
      </c>
      <c r="AN59" s="369"/>
      <c r="AO59" s="13">
        <v>44</v>
      </c>
      <c r="AP59" s="74"/>
      <c r="AQ59" s="75"/>
    </row>
    <row r="60" spans="1:43" ht="25.9" hidden="1" thickBot="1" x14ac:dyDescent="0.8">
      <c r="A60" s="1070"/>
      <c r="B60" s="95" t="s">
        <v>150</v>
      </c>
      <c r="C60" s="634" t="s">
        <v>1262</v>
      </c>
      <c r="D60" s="379"/>
      <c r="E60" s="88"/>
      <c r="F60" s="102"/>
      <c r="G60" s="102"/>
      <c r="H60" s="102"/>
      <c r="I60" s="102"/>
      <c r="J60" s="102"/>
      <c r="K60" s="102"/>
      <c r="L60" s="106"/>
      <c r="M60" s="106"/>
      <c r="N60" s="106"/>
      <c r="O60" s="106"/>
      <c r="P60" s="106"/>
      <c r="Q60" s="106"/>
      <c r="R60" s="106"/>
      <c r="S60" s="106"/>
      <c r="T60" s="106"/>
      <c r="U60" s="106"/>
      <c r="V60" s="106"/>
      <c r="W60" s="106"/>
      <c r="X60" s="106"/>
      <c r="Y60" s="106"/>
      <c r="Z60" s="106"/>
      <c r="AA60" s="328"/>
      <c r="AB60" s="389"/>
      <c r="AC60" s="357"/>
      <c r="AD60" s="357"/>
      <c r="AE60" s="357"/>
      <c r="AF60" s="357"/>
      <c r="AG60" s="357"/>
      <c r="AH60" s="357"/>
      <c r="AI60" s="314"/>
      <c r="AJ60" s="668">
        <f t="shared" si="14"/>
        <v>0</v>
      </c>
      <c r="AK60" s="1221"/>
      <c r="AL60" s="653"/>
      <c r="AM60" s="31"/>
      <c r="AN60" s="369"/>
      <c r="AO60" s="13">
        <v>45</v>
      </c>
      <c r="AP60" s="74"/>
      <c r="AQ60" s="75"/>
    </row>
    <row r="61" spans="1:43" ht="29.25" hidden="1" customHeight="1" x14ac:dyDescent="0.75">
      <c r="A61" s="944" t="s">
        <v>389</v>
      </c>
      <c r="B61" s="91" t="s">
        <v>158</v>
      </c>
      <c r="C61" s="603" t="s">
        <v>1263</v>
      </c>
      <c r="D61" s="297"/>
      <c r="E61" s="93"/>
      <c r="F61" s="99"/>
      <c r="G61" s="99"/>
      <c r="H61" s="99"/>
      <c r="I61" s="99"/>
      <c r="J61" s="99"/>
      <c r="K61" s="99"/>
      <c r="L61" s="94"/>
      <c r="M61" s="94"/>
      <c r="N61" s="94"/>
      <c r="O61" s="94"/>
      <c r="P61" s="94"/>
      <c r="Q61" s="94"/>
      <c r="R61" s="94"/>
      <c r="S61" s="94"/>
      <c r="T61" s="94"/>
      <c r="U61" s="94"/>
      <c r="V61" s="94"/>
      <c r="W61" s="94"/>
      <c r="X61" s="94"/>
      <c r="Y61" s="94"/>
      <c r="Z61" s="94"/>
      <c r="AA61" s="322"/>
      <c r="AB61" s="389"/>
      <c r="AC61" s="357"/>
      <c r="AD61" s="357"/>
      <c r="AE61" s="357"/>
      <c r="AF61" s="357"/>
      <c r="AG61" s="357"/>
      <c r="AH61" s="357"/>
      <c r="AI61" s="314"/>
      <c r="AJ61" s="666">
        <f t="shared" si="14"/>
        <v>0</v>
      </c>
      <c r="AK61" s="1221" t="str">
        <f>CONCATENATE(IF(D62&gt;D61," * Positive MSM for Age "&amp;D20&amp;" "&amp;D21&amp;" is more than Tested MSM"&amp;CHAR(10),""),IF(E62&gt;E61," * Positive MSM for Age "&amp;D20&amp;" "&amp;E21&amp;" is more than Tested MSM"&amp;CHAR(10),""),IF(F62&gt;F61," * Positive MSM for Age "&amp;F20&amp;" "&amp;F21&amp;" is more than Tested MSM"&amp;CHAR(10),""),IF(G62&gt;G61," * Positive MSM for Age "&amp;F20&amp;" "&amp;G21&amp;" is more than Tested MSM"&amp;CHAR(10),""),IF(H62&gt;H61," * Positive MSM for Age "&amp;H20&amp;" "&amp;H21&amp;" is more than Tested MSM"&amp;CHAR(10),""),IF(I62&gt;I61," * Positive MSM for Age "&amp;H20&amp;" "&amp;I21&amp;" is more than Tested MSM"&amp;CHAR(10),""),IF(J62&gt;J61," * Positive MSM for Age "&amp;J20&amp;" "&amp;J21&amp;" is more than Tested MSM"&amp;CHAR(10),""),IF(K62&gt;K61," * Positive MSM for Age "&amp;J20&amp;" "&amp;K21&amp;" is more than Tested MSM"&amp;CHAR(10),""),IF(L62&gt;L61," * Positive MSM for Age "&amp;L20&amp;" "&amp;L21&amp;" is more than Tested MSM"&amp;CHAR(10),""),IF(M62&gt;M61," * Positive MSM for Age "&amp;L20&amp;" "&amp;M21&amp;" is more than Tested MSM"&amp;CHAR(10),""),IF(N62&gt;N61," * Positive MSM for Age "&amp;N20&amp;" "&amp;N21&amp;" is more than Tested MSM"&amp;CHAR(10),""),IF(O62&gt;O61," * Positive MSM for Age "&amp;N20&amp;" "&amp;O21&amp;" is more than Tested MSM"&amp;CHAR(10),""),IF(P62&gt;P61," * Positive MSM for Age "&amp;P20&amp;" "&amp;P21&amp;" is more than Tested MSM"&amp;CHAR(10),""),IF(Q62&gt;Q61," * Positive MSM for Age "&amp;P20&amp;" "&amp;Q21&amp;" is more than Tested MSM"&amp;CHAR(10),""),IF(R62&gt;R61," * Positive MSM for Age "&amp;R20&amp;" "&amp;R21&amp;" is more than Tested MSM"&amp;CHAR(10),""),IF(S62&gt;S61," * Positive MSM for Age "&amp;R20&amp;" "&amp;S21&amp;" is more than Tested MSM"&amp;CHAR(10),""),IF(T62&gt;T61," * Positive MSM for Age "&amp;T20&amp;" "&amp;T21&amp;" is more than Tested MSM"&amp;CHAR(10),""),IF(U62&gt;U61," * Positive MSM for Age "&amp;T20&amp;" "&amp;U21&amp;" is more than Tested MSM"&amp;CHAR(10),""),IF(V62&gt;V61," * Positive MSM for Age "&amp;V20&amp;" "&amp;V21&amp;" is more than Tested MSM"&amp;CHAR(10),""),IF(W62&gt;W61," * Positive MSM for Age "&amp;V20&amp;" "&amp;W21&amp;" is more than Tested MSM"&amp;CHAR(10),""),IF(X62&gt;X61," * Positive MSM for Age "&amp;X20&amp;" "&amp;X21&amp;" is more than Tested MSM"&amp;CHAR(10),""),IF(Y62&gt;Y61," * Positive MSM for Age "&amp;X20&amp;" "&amp;Y21&amp;" is more than Tested MSM"&amp;CHAR(10),""),IF(Z62&gt;Z61," * Positive MSM for Age "&amp;Z20&amp;" "&amp;Z21&amp;" is more than Tested MSM"&amp;CHAR(10),""),IF(AA62&gt;AA61," * Positive MSM for Age "&amp;Z20&amp;" "&amp;AA21&amp;" is more than Tested MSM"&amp;CHAR(10),""))</f>
        <v/>
      </c>
      <c r="AL61" s="653"/>
      <c r="AM61" s="31" t="str">
        <f>CONCATENATE(IF(AND(IFERROR((AJ62*100)/AJ61,0)&gt;10,AJ62&gt;5)," * This facility has a high positivity rate for Index Testing. Kindly confirm if this is the true reflection"&amp;CHAR(10),""),"")</f>
        <v/>
      </c>
      <c r="AN61" s="369"/>
      <c r="AO61" s="13">
        <v>44</v>
      </c>
      <c r="AP61" s="74"/>
      <c r="AQ61" s="75"/>
    </row>
    <row r="62" spans="1:43" ht="25.9" hidden="1" thickBot="1" x14ac:dyDescent="0.8">
      <c r="A62" s="1070"/>
      <c r="B62" s="95" t="s">
        <v>150</v>
      </c>
      <c r="C62" s="634" t="s">
        <v>1264</v>
      </c>
      <c r="D62" s="379"/>
      <c r="E62" s="88"/>
      <c r="F62" s="102"/>
      <c r="G62" s="102"/>
      <c r="H62" s="102"/>
      <c r="I62" s="102"/>
      <c r="J62" s="102"/>
      <c r="K62" s="102"/>
      <c r="L62" s="106"/>
      <c r="M62" s="106"/>
      <c r="N62" s="106"/>
      <c r="O62" s="106"/>
      <c r="P62" s="106"/>
      <c r="Q62" s="106"/>
      <c r="R62" s="106"/>
      <c r="S62" s="106"/>
      <c r="T62" s="106"/>
      <c r="U62" s="106"/>
      <c r="V62" s="106"/>
      <c r="W62" s="106"/>
      <c r="X62" s="106"/>
      <c r="Y62" s="106"/>
      <c r="Z62" s="106"/>
      <c r="AA62" s="328"/>
      <c r="AB62" s="389"/>
      <c r="AC62" s="357"/>
      <c r="AD62" s="357"/>
      <c r="AE62" s="357"/>
      <c r="AF62" s="357"/>
      <c r="AG62" s="357"/>
      <c r="AH62" s="357"/>
      <c r="AI62" s="314"/>
      <c r="AJ62" s="668">
        <f t="shared" si="14"/>
        <v>0</v>
      </c>
      <c r="AK62" s="1221"/>
      <c r="AL62" s="653"/>
      <c r="AM62" s="31"/>
      <c r="AN62" s="369"/>
      <c r="AO62" s="13">
        <v>45</v>
      </c>
      <c r="AP62" s="74"/>
      <c r="AQ62" s="75"/>
    </row>
    <row r="63" spans="1:43" ht="25.9" hidden="1" thickBot="1" x14ac:dyDescent="0.8">
      <c r="A63" s="1043" t="s">
        <v>1023</v>
      </c>
      <c r="B63" s="1044"/>
      <c r="C63" s="1077"/>
      <c r="D63" s="1044"/>
      <c r="E63" s="1044"/>
      <c r="F63" s="1044"/>
      <c r="G63" s="1044"/>
      <c r="H63" s="1044"/>
      <c r="I63" s="1044"/>
      <c r="J63" s="1044"/>
      <c r="K63" s="1044"/>
      <c r="L63" s="1044"/>
      <c r="M63" s="1044"/>
      <c r="N63" s="1044"/>
      <c r="O63" s="1044"/>
      <c r="P63" s="1044"/>
      <c r="Q63" s="1044"/>
      <c r="R63" s="1044"/>
      <c r="S63" s="1044"/>
      <c r="T63" s="1044"/>
      <c r="U63" s="1044"/>
      <c r="V63" s="1044"/>
      <c r="W63" s="1044"/>
      <c r="X63" s="1044"/>
      <c r="Y63" s="1044"/>
      <c r="Z63" s="1044"/>
      <c r="AA63" s="1044"/>
      <c r="AB63" s="1077"/>
      <c r="AC63" s="1077"/>
      <c r="AD63" s="1077"/>
      <c r="AE63" s="1077"/>
      <c r="AF63" s="1077"/>
      <c r="AG63" s="1077"/>
      <c r="AH63" s="1077"/>
      <c r="AI63" s="1077"/>
      <c r="AJ63" s="1044"/>
      <c r="AK63" s="1077"/>
      <c r="AL63" s="1044"/>
      <c r="AM63" s="1044"/>
      <c r="AN63" s="1046"/>
      <c r="AO63" s="13">
        <v>50</v>
      </c>
      <c r="AP63" s="74"/>
      <c r="AQ63" s="75"/>
    </row>
    <row r="64" spans="1:43" ht="26.25" hidden="1" customHeight="1" x14ac:dyDescent="0.75">
      <c r="A64" s="1039" t="s">
        <v>37</v>
      </c>
      <c r="B64" s="1041" t="s">
        <v>344</v>
      </c>
      <c r="C64" s="1049" t="s">
        <v>325</v>
      </c>
      <c r="D64" s="1057"/>
      <c r="E64" s="1057"/>
      <c r="F64" s="1057"/>
      <c r="G64" s="1057"/>
      <c r="H64" s="1057"/>
      <c r="I64" s="1057"/>
      <c r="J64" s="1057"/>
      <c r="K64" s="1057"/>
      <c r="L64" s="1057" t="s">
        <v>4</v>
      </c>
      <c r="M64" s="1057"/>
      <c r="N64" s="1057" t="s">
        <v>5</v>
      </c>
      <c r="O64" s="1057"/>
      <c r="P64" s="1057" t="s">
        <v>6</v>
      </c>
      <c r="Q64" s="1057"/>
      <c r="R64" s="1057" t="s">
        <v>7</v>
      </c>
      <c r="S64" s="1057"/>
      <c r="T64" s="1057" t="s">
        <v>8</v>
      </c>
      <c r="U64" s="1057"/>
      <c r="V64" s="1057" t="s">
        <v>23</v>
      </c>
      <c r="W64" s="1057"/>
      <c r="X64" s="1057" t="s">
        <v>24</v>
      </c>
      <c r="Y64" s="1057"/>
      <c r="Z64" s="1057" t="s">
        <v>9</v>
      </c>
      <c r="AA64" s="1012"/>
      <c r="AB64" s="1226"/>
      <c r="AC64" s="1014"/>
      <c r="AD64" s="1014"/>
      <c r="AE64" s="1014"/>
      <c r="AF64" s="1014"/>
      <c r="AG64" s="1014"/>
      <c r="AH64" s="1014"/>
      <c r="AI64" s="1015"/>
      <c r="AJ64" s="1194" t="s">
        <v>19</v>
      </c>
      <c r="AK64" s="1192" t="s">
        <v>378</v>
      </c>
      <c r="AL64" s="1183" t="s">
        <v>384</v>
      </c>
      <c r="AM64" s="1058" t="s">
        <v>385</v>
      </c>
      <c r="AN64" s="1047" t="s">
        <v>385</v>
      </c>
      <c r="AO64" s="13">
        <v>98</v>
      </c>
      <c r="AP64" s="74"/>
      <c r="AQ64" s="75"/>
    </row>
    <row r="65" spans="1:43" ht="27" hidden="1" customHeight="1" thickBot="1" x14ac:dyDescent="0.8">
      <c r="A65" s="1040"/>
      <c r="B65" s="1042"/>
      <c r="C65" s="1050"/>
      <c r="D65" s="68"/>
      <c r="E65" s="68"/>
      <c r="F65" s="68"/>
      <c r="G65" s="68"/>
      <c r="H65" s="68"/>
      <c r="I65" s="68"/>
      <c r="J65" s="68"/>
      <c r="K65" s="68"/>
      <c r="L65" s="68" t="s">
        <v>10</v>
      </c>
      <c r="M65" s="68" t="s">
        <v>11</v>
      </c>
      <c r="N65" s="68" t="s">
        <v>10</v>
      </c>
      <c r="O65" s="68" t="s">
        <v>11</v>
      </c>
      <c r="P65" s="68" t="s">
        <v>10</v>
      </c>
      <c r="Q65" s="68" t="s">
        <v>11</v>
      </c>
      <c r="R65" s="68" t="s">
        <v>10</v>
      </c>
      <c r="S65" s="68" t="s">
        <v>11</v>
      </c>
      <c r="T65" s="68" t="s">
        <v>10</v>
      </c>
      <c r="U65" s="68" t="s">
        <v>11</v>
      </c>
      <c r="V65" s="68" t="s">
        <v>10</v>
      </c>
      <c r="W65" s="68" t="s">
        <v>11</v>
      </c>
      <c r="X65" s="68" t="s">
        <v>10</v>
      </c>
      <c r="Y65" s="68" t="s">
        <v>11</v>
      </c>
      <c r="Z65" s="68" t="s">
        <v>10</v>
      </c>
      <c r="AA65" s="371" t="s">
        <v>11</v>
      </c>
      <c r="AB65" s="385"/>
      <c r="AC65" s="372"/>
      <c r="AD65" s="372"/>
      <c r="AE65" s="372"/>
      <c r="AF65" s="372"/>
      <c r="AG65" s="372"/>
      <c r="AH65" s="372"/>
      <c r="AI65" s="386"/>
      <c r="AJ65" s="1197"/>
      <c r="AK65" s="1193"/>
      <c r="AL65" s="1277"/>
      <c r="AM65" s="1058"/>
      <c r="AN65" s="1048"/>
      <c r="AO65" s="13">
        <v>99</v>
      </c>
      <c r="AP65" s="74"/>
      <c r="AQ65" s="75"/>
    </row>
    <row r="66" spans="1:43" s="83" customFormat="1" ht="25.5" hidden="1" customHeight="1" x14ac:dyDescent="0.75">
      <c r="A66" s="975" t="s">
        <v>1036</v>
      </c>
      <c r="B66" s="1" t="s">
        <v>1197</v>
      </c>
      <c r="C66" s="583" t="s">
        <v>1024</v>
      </c>
      <c r="D66" s="134"/>
      <c r="E66" s="99"/>
      <c r="F66" s="99"/>
      <c r="G66" s="99"/>
      <c r="H66" s="99"/>
      <c r="I66" s="99"/>
      <c r="J66" s="99"/>
      <c r="K66" s="377"/>
      <c r="L66" s="237"/>
      <c r="M66" s="237"/>
      <c r="N66" s="237"/>
      <c r="O66" s="237"/>
      <c r="P66" s="237"/>
      <c r="Q66" s="237"/>
      <c r="R66" s="237"/>
      <c r="S66" s="237"/>
      <c r="T66" s="237"/>
      <c r="U66" s="237"/>
      <c r="V66" s="237"/>
      <c r="W66" s="237"/>
      <c r="X66" s="237"/>
      <c r="Y66" s="237"/>
      <c r="Z66" s="237"/>
      <c r="AA66" s="237"/>
      <c r="AB66" s="387"/>
      <c r="AC66" s="388"/>
      <c r="AD66" s="388"/>
      <c r="AE66" s="388"/>
      <c r="AF66" s="388"/>
      <c r="AG66" s="388"/>
      <c r="AH66" s="388"/>
      <c r="AI66" s="317"/>
      <c r="AJ66" s="189">
        <f t="shared" ref="AJ66:AJ107" si="16">SUM(D66:AA66)</f>
        <v>0</v>
      </c>
      <c r="AK66" s="30" t="str">
        <f>CONCATENATE(IF(D68&gt;D66," * RITA RECENT Index Testing"&amp;$D$20&amp;" "&amp;$D$21&amp;" is more than RTRI RECENT Index Testing"&amp;CHAR(10),""),IF(E68&gt;E66," * RITA RECENT Index Testing"&amp;$D$20&amp;" "&amp;$E$21&amp;" is more than RTRI RECENT Index Testing"&amp;CHAR(10),""),IF(F68&gt;F66," * RITA RECENT Index Testing"&amp;$F$20&amp;" "&amp;$F$21&amp;" is more than RTRI RECENT Index Testing"&amp;CHAR(10),""),IF(G68&gt;G66," * RITA RECENT Index Testing"&amp;$F$20&amp;" "&amp;$G$21&amp;" is more than RTRI RECENT Index Testing"&amp;CHAR(10),""),IF(H68&gt;H66," * RITA RECENT Index Testing"&amp;$H$20&amp;" "&amp;$H$21&amp;" is more than RTRI RECENT Index Testing"&amp;CHAR(10),""),IF(I68&gt;I66," * RITA RECENT Index Testing"&amp;$H$20&amp;" "&amp;$I$21&amp;" is more than RTRI RECENT Index Testing"&amp;CHAR(10),""),IF(J68&gt;J66," * RITA RECENT Index Testing"&amp;$J$20&amp;" "&amp;$J$21&amp;" is more than RTRI RECENT Index Testing"&amp;CHAR(10),""),IF(K68&gt;K66," * RITA RECENT Index Testing"&amp;$J$20&amp;" "&amp;$K$21&amp;" is more than RTRI RECENT Index Testing"&amp;CHAR(10),""),IF(L68&gt;L66," * RITA RECENT Index Testing"&amp;$L$20&amp;" "&amp;$L$21&amp;" is more than RTRI RECENT Index Testing"&amp;CHAR(10),""),IF(M68&gt;M66," * RITA RECENT Index Testing"&amp;$L$20&amp;" "&amp;$M$21&amp;" is more than RTRI RECENT Index Testing"&amp;CHAR(10),""),IF(N68&gt;N66," * RITA RECENT Index Testing"&amp;$N$20&amp;" "&amp;$N$21&amp;" is more than RTRI RECENT Index Testing"&amp;CHAR(10),""),IF(O68&gt;O66," * RITA RECENT Index Testing"&amp;$N$20&amp;" "&amp;$O$21&amp;" is more than RTRI RECENT Index Testing"&amp;CHAR(10),""),IF(P68&gt;P66," * RITA RECENT Index Testing"&amp;$P$20&amp;" "&amp;$P$21&amp;" is more than RTRI RECENT Index Testing"&amp;CHAR(10),""),IF(Q68&gt;Q66," * RITA RECENT Index Testing"&amp;$P$20&amp;" "&amp;$Q$21&amp;" is more than RTRI RECENT Index Testing"&amp;CHAR(10),""),IF(R68&gt;R66," * RITA RECENT Index Testing"&amp;$R$20&amp;" "&amp;$R$21&amp;" is more than RTRI RECENT Index Testing"&amp;CHAR(10),""),IF(S68&gt;S66," * RITA RECENT Index Testing"&amp;$R$20&amp;" "&amp;$S$21&amp;" is more than RTRI RECENT Index Testing"&amp;CHAR(10),""),IF(T68&gt;T66," * RITA RECENT Index Testing"&amp;$T$20&amp;" "&amp;$T$21&amp;" is more than RTRI RECENT Index Testing"&amp;CHAR(10),""),IF(U68&gt;U66," * RITA RECENT Index Testing"&amp;$T$20&amp;" "&amp;$U$21&amp;" is more than RTRI RECENT Index Testing"&amp;CHAR(10),""),IF(V68&gt;V66," * RITA RECENT Index Testing"&amp;$V$20&amp;" "&amp;$V$21&amp;" is more than RTRI RECENT Index Testing"&amp;CHAR(10),""),IF(W68&gt;W66," * RITA RECENT Index Testing"&amp;$V$20&amp;" "&amp;$W$21&amp;" is more than RTRI RECENT Index Testing"&amp;CHAR(10),""),IF(X68&gt;X66," * RITA RECENT Index Testing"&amp;$X$20&amp;" "&amp;$X$21&amp;" is more than RTRI RECENT Index Testing"&amp;CHAR(10),""),IF(Y68&gt;Y66," * RITA RECENT Index Testing"&amp;$X$20&amp;" "&amp;$Y$21&amp;" is more than RTRI RECENT Index Testing"&amp;CHAR(10),""),IF(Z68&gt;Z66," * RITA RECENT Index Testing"&amp;$Z$20&amp;" "&amp;$Z$21&amp;" is more than RTRI RECENT Index Testing"&amp;CHAR(10),""),IF(AA68&gt;AA66," * RITA RECENT Index Testing"&amp;$Z$20&amp;" "&amp;$AA$21&amp;" is more than RTRI RECENT Index Testing"&amp;CHAR(10),""))</f>
        <v/>
      </c>
      <c r="AL66" s="1274" t="str">
        <f>CONCATENATE(AK66,AK67,AK68,AK69,AK70,AK71,AK72,AK73,AK74,AK75,AK76,AK77,AK78,AK79,AK80,AK81,AK82,AK83,AK84,AK85,AK86,AK87,AK88,AK89,AK90,AK91,AK92,AK93,AK94,AK95,AK96,AK97,AK98,AK99,AK100,AK101,AK102,AK103,AK104,AK105)</f>
        <v/>
      </c>
      <c r="AM66" s="31"/>
      <c r="AN66" s="369"/>
      <c r="AO66" s="13">
        <v>30</v>
      </c>
      <c r="AP66" s="81"/>
      <c r="AQ66" s="82"/>
    </row>
    <row r="67" spans="1:43" s="83" customFormat="1" ht="25.9" hidden="1" thickBot="1" x14ac:dyDescent="0.8">
      <c r="A67" s="976"/>
      <c r="B67" s="370" t="s">
        <v>1198</v>
      </c>
      <c r="C67" s="584" t="s">
        <v>1025</v>
      </c>
      <c r="D67" s="119"/>
      <c r="E67" s="102"/>
      <c r="F67" s="102"/>
      <c r="G67" s="102"/>
      <c r="H67" s="102"/>
      <c r="I67" s="102"/>
      <c r="J67" s="102"/>
      <c r="K67" s="378"/>
      <c r="L67" s="141"/>
      <c r="M67" s="141"/>
      <c r="N67" s="141"/>
      <c r="O67" s="141"/>
      <c r="P67" s="141"/>
      <c r="Q67" s="141"/>
      <c r="R67" s="141"/>
      <c r="S67" s="141"/>
      <c r="T67" s="141"/>
      <c r="U67" s="141"/>
      <c r="V67" s="141"/>
      <c r="W67" s="141"/>
      <c r="X67" s="141"/>
      <c r="Y67" s="141"/>
      <c r="Z67" s="141"/>
      <c r="AA67" s="141"/>
      <c r="AB67" s="389"/>
      <c r="AC67" s="357"/>
      <c r="AD67" s="357"/>
      <c r="AE67" s="357"/>
      <c r="AF67" s="357"/>
      <c r="AG67" s="357"/>
      <c r="AH67" s="357"/>
      <c r="AI67" s="314"/>
      <c r="AJ67" s="193">
        <f t="shared" si="16"/>
        <v>0</v>
      </c>
      <c r="AK67" s="30" t="str">
        <f>CONCATENATE(IF(D69&gt;D67," * RITA Long-Term Index Testing"&amp;$D$20&amp;" "&amp;$D$21&amp;" is more than RTRI Long-Term Index Testing"&amp;CHAR(10),""),IF(E69&gt;E67," * RITA Long-Term Index Testing"&amp;$D$20&amp;" "&amp;$E$21&amp;" is more than RTRI Long-Term Index Testing"&amp;CHAR(10),""),IF(F69&gt;F67," * RITA Long-Term Index Testing"&amp;$F$20&amp;" "&amp;$F$21&amp;" is more than RTRI Long-Term Index Testing"&amp;CHAR(10),""),IF(G69&gt;G67," * RITA Long-Term Index Testing"&amp;$F$20&amp;" "&amp;$G$21&amp;" is more than RTRI Long-Term Index Testing"&amp;CHAR(10),""),IF(H69&gt;H67," * RITA Long-Term Index Testing"&amp;$H$20&amp;" "&amp;$H$21&amp;" is more than RTRI Long-Term Index Testing"&amp;CHAR(10),""),IF(I69&gt;I67," * RITA Long-Term Index Testing"&amp;$H$20&amp;" "&amp;$I$21&amp;" is more than RTRI Long-Term Index Testing"&amp;CHAR(10),""),IF(J69&gt;J67," * RITA Long-Term Index Testing"&amp;$J$20&amp;" "&amp;$J$21&amp;" is more than RTRI Long-Term Index Testing"&amp;CHAR(10),""),IF(K69&gt;K67," * RITA Long-Term Index Testing"&amp;$J$20&amp;" "&amp;$K$21&amp;" is more than RTRI Long-Term Index Testing"&amp;CHAR(10),""),IF(L69&gt;L67," * RITA Long-Term Index Testing"&amp;$L$20&amp;" "&amp;$L$21&amp;" is more than RTRI Long-Term Index Testing"&amp;CHAR(10),""),IF(M69&gt;M67," * RITA Long-Term Index Testing"&amp;$L$20&amp;" "&amp;$M$21&amp;" is more than RTRI Long-Term Index Testing"&amp;CHAR(10),""),IF(N69&gt;N67," * RITA Long-Term Index Testing"&amp;$N$20&amp;" "&amp;$N$21&amp;" is more than RTRI Long-Term Index Testing"&amp;CHAR(10),""),IF(O69&gt;O67," * RITA Long-Term Index Testing"&amp;$N$20&amp;" "&amp;$O$21&amp;" is more than RTRI Long-Term Index Testing"&amp;CHAR(10),""),IF(P69&gt;P67," * RITA Long-Term Index Testing"&amp;$P$20&amp;" "&amp;$P$21&amp;" is more than RTRI Long-Term Index Testing"&amp;CHAR(10),""),IF(Q69&gt;Q67," * RITA Long-Term Index Testing"&amp;$P$20&amp;" "&amp;$Q$21&amp;" is more than RTRI Long-Term Index Testing"&amp;CHAR(10),""),IF(R69&gt;R67," * RITA Long-Term Index Testing"&amp;$R$20&amp;" "&amp;$R$21&amp;" is more than RTRI Long-Term Index Testing"&amp;CHAR(10),""),IF(S69&gt;S67," * RITA Long-Term Index Testing"&amp;$R$20&amp;" "&amp;$S$21&amp;" is more than RTRI Long-Term Index Testing"&amp;CHAR(10),""),IF(T69&gt;T67," * RITA Long-Term Index Testing"&amp;$T$20&amp;" "&amp;$T$21&amp;" is more than RTRI Long-Term Index Testing"&amp;CHAR(10),""),IF(U69&gt;U67," * RITA Long-Term Index Testing"&amp;$T$20&amp;" "&amp;$U$21&amp;" is more than RTRI Long-Term Index Testing"&amp;CHAR(10),""),IF(V69&gt;V67," * RITA Long-Term Index Testing"&amp;$V$20&amp;" "&amp;$V$21&amp;" is more than RTRI Long-Term Index Testing"&amp;CHAR(10),""),IF(W69&gt;W67," * RITA Long-Term Index Testing"&amp;$V$20&amp;" "&amp;$W$21&amp;" is more than RTRI Long-Term Index Testing"&amp;CHAR(10),""),IF(X69&gt;X67," * RITA Long-Term Index Testing"&amp;$X$20&amp;" "&amp;$X$21&amp;" is more than RTRI Long-Term Index Testing"&amp;CHAR(10),""),IF(Y69&gt;Y67," * RITA Long-Term Index Testing"&amp;$X$20&amp;" "&amp;$Y$21&amp;" is more than RTRI Long-Term Index Testing"&amp;CHAR(10),""),IF(Z69&gt;Z67," * RITA Long-Term Index Testing"&amp;$Z$20&amp;" "&amp;$Z$21&amp;" is more than RTRI Long-Term Index Testing"&amp;CHAR(10),""),IF(AA69&gt;AA67," * RITA Long-Term Index Testing"&amp;$Z$20&amp;" "&amp;$AA$21&amp;" is more than RTRI Long-Term Index Testing"&amp;CHAR(10),""))</f>
        <v/>
      </c>
      <c r="AL67" s="1275"/>
      <c r="AM67" s="31"/>
      <c r="AN67" s="369"/>
      <c r="AO67" s="13">
        <v>31</v>
      </c>
      <c r="AP67" s="81"/>
      <c r="AQ67" s="82"/>
    </row>
    <row r="68" spans="1:43" s="83" customFormat="1" ht="25.5" hidden="1" customHeight="1" x14ac:dyDescent="0.75">
      <c r="A68" s="976"/>
      <c r="B68" s="1" t="s">
        <v>1199</v>
      </c>
      <c r="C68" s="583" t="s">
        <v>1201</v>
      </c>
      <c r="D68" s="134"/>
      <c r="E68" s="99"/>
      <c r="F68" s="99"/>
      <c r="G68" s="99"/>
      <c r="H68" s="99"/>
      <c r="I68" s="99"/>
      <c r="J68" s="99"/>
      <c r="K68" s="377"/>
      <c r="L68" s="237"/>
      <c r="M68" s="237"/>
      <c r="N68" s="237"/>
      <c r="O68" s="237"/>
      <c r="P68" s="237"/>
      <c r="Q68" s="237"/>
      <c r="R68" s="237"/>
      <c r="S68" s="237"/>
      <c r="T68" s="237"/>
      <c r="U68" s="237"/>
      <c r="V68" s="237"/>
      <c r="W68" s="237"/>
      <c r="X68" s="237"/>
      <c r="Y68" s="237"/>
      <c r="Z68" s="237"/>
      <c r="AA68" s="237"/>
      <c r="AB68" s="387"/>
      <c r="AC68" s="388"/>
      <c r="AD68" s="388"/>
      <c r="AE68" s="388"/>
      <c r="AF68" s="388"/>
      <c r="AG68" s="388"/>
      <c r="AH68" s="388"/>
      <c r="AI68" s="317"/>
      <c r="AJ68" s="189">
        <f t="shared" ref="AJ68:AJ69" si="17">SUM(D68:AA68)</f>
        <v>0</v>
      </c>
      <c r="AK68" s="30"/>
      <c r="AL68" s="1275"/>
      <c r="AM68" s="31"/>
      <c r="AN68" s="369"/>
      <c r="AO68" s="13">
        <v>30</v>
      </c>
      <c r="AP68" s="81"/>
      <c r="AQ68" s="82"/>
    </row>
    <row r="69" spans="1:43" s="83" customFormat="1" ht="25.9" hidden="1" thickBot="1" x14ac:dyDescent="0.8">
      <c r="A69" s="977"/>
      <c r="B69" s="370" t="s">
        <v>1200</v>
      </c>
      <c r="C69" s="585" t="s">
        <v>1202</v>
      </c>
      <c r="D69" s="508"/>
      <c r="E69" s="120"/>
      <c r="F69" s="120"/>
      <c r="G69" s="120"/>
      <c r="H69" s="120"/>
      <c r="I69" s="120"/>
      <c r="J69" s="120"/>
      <c r="K69" s="408"/>
      <c r="L69" s="250"/>
      <c r="M69" s="250"/>
      <c r="N69" s="250"/>
      <c r="O69" s="250"/>
      <c r="P69" s="250"/>
      <c r="Q69" s="250"/>
      <c r="R69" s="250"/>
      <c r="S69" s="250"/>
      <c r="T69" s="250"/>
      <c r="U69" s="250"/>
      <c r="V69" s="250"/>
      <c r="W69" s="250"/>
      <c r="X69" s="250"/>
      <c r="Y69" s="250"/>
      <c r="Z69" s="250"/>
      <c r="AA69" s="250"/>
      <c r="AB69" s="389"/>
      <c r="AC69" s="357"/>
      <c r="AD69" s="357"/>
      <c r="AE69" s="357"/>
      <c r="AF69" s="357"/>
      <c r="AG69" s="357"/>
      <c r="AH69" s="357"/>
      <c r="AI69" s="314"/>
      <c r="AJ69" s="193">
        <f t="shared" si="17"/>
        <v>0</v>
      </c>
      <c r="AK69" s="30"/>
      <c r="AL69" s="1275"/>
      <c r="AM69" s="31"/>
      <c r="AN69" s="369"/>
      <c r="AO69" s="13">
        <v>31</v>
      </c>
      <c r="AP69" s="81"/>
      <c r="AQ69" s="82"/>
    </row>
    <row r="70" spans="1:43" s="83" customFormat="1" ht="25.5" hidden="1" customHeight="1" x14ac:dyDescent="0.75">
      <c r="A70" s="972" t="s">
        <v>1037</v>
      </c>
      <c r="B70" s="1" t="s">
        <v>1197</v>
      </c>
      <c r="C70" s="583" t="s">
        <v>1026</v>
      </c>
      <c r="D70" s="134"/>
      <c r="E70" s="99"/>
      <c r="F70" s="99"/>
      <c r="G70" s="99"/>
      <c r="H70" s="99"/>
      <c r="I70" s="99"/>
      <c r="J70" s="99"/>
      <c r="K70" s="377"/>
      <c r="L70" s="237"/>
      <c r="M70" s="237"/>
      <c r="N70" s="237"/>
      <c r="O70" s="237"/>
      <c r="P70" s="237"/>
      <c r="Q70" s="237"/>
      <c r="R70" s="237"/>
      <c r="S70" s="237"/>
      <c r="T70" s="237"/>
      <c r="U70" s="237"/>
      <c r="V70" s="237"/>
      <c r="W70" s="237"/>
      <c r="X70" s="237"/>
      <c r="Y70" s="237"/>
      <c r="Z70" s="237"/>
      <c r="AA70" s="237"/>
      <c r="AB70" s="389"/>
      <c r="AC70" s="357"/>
      <c r="AD70" s="357"/>
      <c r="AE70" s="357"/>
      <c r="AF70" s="357"/>
      <c r="AG70" s="357"/>
      <c r="AH70" s="357"/>
      <c r="AI70" s="314"/>
      <c r="AJ70" s="189">
        <f t="shared" si="16"/>
        <v>0</v>
      </c>
      <c r="AK70" s="30" t="str">
        <f>CONCATENATE(IF(D72&gt;D70," * RITA RECENT Emergency Ward"&amp;$D$20&amp;" "&amp;$D$21&amp;" is more than RTRI RECENT Emergency Ward"&amp;CHAR(10),""),IF(E72&gt;E70," * RITA RECENT Emergency Ward"&amp;$D$20&amp;" "&amp;$E$21&amp;" is more than RTRI RECENT Emergency Ward"&amp;CHAR(10),""),IF(F72&gt;F70," * RITA RECENT Emergency Ward"&amp;$F$20&amp;" "&amp;$F$21&amp;" is more than RTRI RECENT Emergency Ward"&amp;CHAR(10),""),IF(G72&gt;G70," * RITA RECENT Emergency Ward"&amp;$F$20&amp;" "&amp;$G$21&amp;" is more than RTRI RECENT Emergency Ward"&amp;CHAR(10),""),IF(H72&gt;H70," * RITA RECENT Emergency Ward"&amp;$H$20&amp;" "&amp;$H$21&amp;" is more than RTRI RECENT Emergency Ward"&amp;CHAR(10),""),IF(I72&gt;I70," * RITA RECENT Emergency Ward"&amp;$H$20&amp;" "&amp;$I$21&amp;" is more than RTRI RECENT Emergency Ward"&amp;CHAR(10),""),IF(J72&gt;J70," * RITA RECENT Emergency Ward"&amp;$J$20&amp;" "&amp;$J$21&amp;" is more than RTRI RECENT Emergency Ward"&amp;CHAR(10),""),IF(K72&gt;K70," * RITA RECENT Emergency Ward"&amp;$J$20&amp;" "&amp;$K$21&amp;" is more than RTRI RECENT Emergency Ward"&amp;CHAR(10),""),IF(L72&gt;L70," * RITA RECENT Emergency Ward"&amp;$L$20&amp;" "&amp;$L$21&amp;" is more than RTRI RECENT Emergency Ward"&amp;CHAR(10),""),IF(M72&gt;M70," * RITA RECENT Emergency Ward"&amp;$L$20&amp;" "&amp;$M$21&amp;" is more than RTRI RECENT Emergency Ward"&amp;CHAR(10),""),IF(N72&gt;N70," * RITA RECENT Emergency Ward"&amp;$N$20&amp;" "&amp;$N$21&amp;" is more than RTRI RECENT Emergency Ward"&amp;CHAR(10),""),IF(O72&gt;O70," * RITA RECENT Emergency Ward"&amp;$N$20&amp;" "&amp;$O$21&amp;" is more than RTRI RECENT Emergency Ward"&amp;CHAR(10),""),IF(P72&gt;P70," * RITA RECENT Emergency Ward"&amp;$P$20&amp;" "&amp;$P$21&amp;" is more than RTRI RECENT Emergency Ward"&amp;CHAR(10),""),IF(Q72&gt;Q70," * RITA RECENT Emergency Ward"&amp;$P$20&amp;" "&amp;$Q$21&amp;" is more than RTRI RECENT Emergency Ward"&amp;CHAR(10),""),IF(R72&gt;R70," * RITA RECENT Emergency Ward"&amp;$R$20&amp;" "&amp;$R$21&amp;" is more than RTRI RECENT Emergency Ward"&amp;CHAR(10),""),IF(S72&gt;S70," * RITA RECENT Emergency Ward"&amp;$R$20&amp;" "&amp;$S$21&amp;" is more than RTRI RECENT Emergency Ward"&amp;CHAR(10),""),IF(T72&gt;T70," * RITA RECENT Emergency Ward"&amp;$T$20&amp;" "&amp;$T$21&amp;" is more than RTRI RECENT Emergency Ward"&amp;CHAR(10),""),IF(U72&gt;U70," * RITA RECENT Emergency Ward"&amp;$T$20&amp;" "&amp;$U$21&amp;" is more than RTRI RECENT Emergency Ward"&amp;CHAR(10),""),IF(V72&gt;V70," * RITA RECENT Emergency Ward"&amp;$V$20&amp;" "&amp;$V$21&amp;" is more than RTRI RECENT Emergency Ward"&amp;CHAR(10),""),IF(W72&gt;W70," * RITA RECENT Emergency Ward"&amp;$V$20&amp;" "&amp;$W$21&amp;" is more than RTRI RECENT Emergency Ward"&amp;CHAR(10),""),IF(X72&gt;X70," * RITA RECENT Emergency Ward"&amp;$X$20&amp;" "&amp;$X$21&amp;" is more than RTRI RECENT Emergency Ward"&amp;CHAR(10),""),IF(Y72&gt;Y70," * RITA RECENT Emergency Ward"&amp;$X$20&amp;" "&amp;$Y$21&amp;" is more than RTRI RECENT Emergency Ward"&amp;CHAR(10),""),IF(Z72&gt;Z70," * RITA RECENT Emergency Ward"&amp;$Z$20&amp;" "&amp;$Z$21&amp;" is more than RTRI RECENT Emergency Ward"&amp;CHAR(10),""),IF(AA72&gt;AA70," * RITA RECENT Emergency Ward"&amp;$Z$20&amp;" "&amp;$AA$21&amp;" is more than RTRI RECENT Emergency Ward"&amp;CHAR(10),""))</f>
        <v/>
      </c>
      <c r="AL70" s="1275"/>
      <c r="AM70" s="31"/>
      <c r="AN70" s="369"/>
      <c r="AO70" s="13">
        <v>32</v>
      </c>
      <c r="AP70" s="81"/>
      <c r="AQ70" s="82"/>
    </row>
    <row r="71" spans="1:43" s="83" customFormat="1" ht="25.9" hidden="1" thickBot="1" x14ac:dyDescent="0.8">
      <c r="A71" s="973"/>
      <c r="B71" s="370" t="s">
        <v>1198</v>
      </c>
      <c r="C71" s="584" t="s">
        <v>1027</v>
      </c>
      <c r="D71" s="135"/>
      <c r="E71" s="78"/>
      <c r="F71" s="78"/>
      <c r="G71" s="78"/>
      <c r="H71" s="78"/>
      <c r="I71" s="78"/>
      <c r="J71" s="78"/>
      <c r="K71" s="384"/>
      <c r="L71" s="141"/>
      <c r="M71" s="141"/>
      <c r="N71" s="141"/>
      <c r="O71" s="141"/>
      <c r="P71" s="141"/>
      <c r="Q71" s="141"/>
      <c r="R71" s="141"/>
      <c r="S71" s="141"/>
      <c r="T71" s="141"/>
      <c r="U71" s="141"/>
      <c r="V71" s="141"/>
      <c r="W71" s="141"/>
      <c r="X71" s="141"/>
      <c r="Y71" s="141"/>
      <c r="Z71" s="141"/>
      <c r="AA71" s="141"/>
      <c r="AB71" s="389"/>
      <c r="AC71" s="357"/>
      <c r="AD71" s="357"/>
      <c r="AE71" s="357"/>
      <c r="AF71" s="357"/>
      <c r="AG71" s="357"/>
      <c r="AH71" s="357"/>
      <c r="AI71" s="314"/>
      <c r="AJ71" s="193">
        <f t="shared" si="16"/>
        <v>0</v>
      </c>
      <c r="AK71" s="30" t="str">
        <f>CONCATENATE(IF(D73&gt;D71," * RITA Long-Term Emergency Ward "&amp;$D$20&amp;" "&amp;$D$21&amp;" is more than RTRI Long-Term Emergency Ward "&amp;CHAR(10),""),IF(E73&gt;E71," * RITA Long-Term Emergency Ward "&amp;$D$20&amp;" "&amp;$E$21&amp;" is more than RTRI Long-Term Emergency Ward "&amp;CHAR(10),""),IF(F73&gt;F71," * RITA Long-Term Emergency Ward "&amp;$F$20&amp;" "&amp;$F$21&amp;" is more than RTRI Long-Term Emergency Ward "&amp;CHAR(10),""),IF(G73&gt;G71," * RITA Long-Term Emergency Ward "&amp;$F$20&amp;" "&amp;$G$21&amp;" is more than RTRI Long-Term Emergency Ward "&amp;CHAR(10),""),IF(H73&gt;H71," * RITA Long-Term Emergency Ward "&amp;$H$20&amp;" "&amp;$H$21&amp;" is more than RTRI Long-Term Emergency Ward "&amp;CHAR(10),""),IF(I73&gt;I71," * RITA Long-Term Emergency Ward "&amp;$H$20&amp;" "&amp;$I$21&amp;" is more than RTRI Long-Term Emergency Ward "&amp;CHAR(10),""),IF(J73&gt;J71," * RITA Long-Term Emergency Ward "&amp;$J$20&amp;" "&amp;$J$21&amp;" is more than RTRI Long-Term Emergency Ward "&amp;CHAR(10),""),IF(K73&gt;K71," * RITA Long-Term Emergency Ward "&amp;$J$20&amp;" "&amp;$K$21&amp;" is more than RTRI Long-Term Emergency Ward "&amp;CHAR(10),""),IF(L73&gt;L71," * RITA Long-Term Emergency Ward "&amp;$L$20&amp;" "&amp;$L$21&amp;" is more than RTRI Long-Term Emergency Ward "&amp;CHAR(10),""),IF(M73&gt;M71," * RITA Long-Term Emergency Ward "&amp;$L$20&amp;" "&amp;$M$21&amp;" is more than RTRI Long-Term Emergency Ward "&amp;CHAR(10),""),IF(N73&gt;N71," * RITA Long-Term Emergency Ward "&amp;$N$20&amp;" "&amp;$N$21&amp;" is more than RTRI Long-Term Emergency Ward "&amp;CHAR(10),""),IF(O73&gt;O71," * RITA Long-Term Emergency Ward "&amp;$N$20&amp;" "&amp;$O$21&amp;" is more than RTRI Long-Term Emergency Ward "&amp;CHAR(10),""),IF(P73&gt;P71," * RITA Long-Term Emergency Ward "&amp;$P$20&amp;" "&amp;$P$21&amp;" is more than RTRI Long-Term Emergency Ward "&amp;CHAR(10),""),IF(Q73&gt;Q71," * RITA Long-Term Emergency Ward "&amp;$P$20&amp;" "&amp;$Q$21&amp;" is more than RTRI Long-Term Emergency Ward "&amp;CHAR(10),""),IF(R73&gt;R71," * RITA Long-Term Emergency Ward "&amp;$R$20&amp;" "&amp;$R$21&amp;" is more than RTRI Long-Term Emergency Ward "&amp;CHAR(10),""),IF(S73&gt;S71," * RITA Long-Term Emergency Ward "&amp;$R$20&amp;" "&amp;$S$21&amp;" is more than RTRI Long-Term Emergency Ward "&amp;CHAR(10),""),IF(T73&gt;T71," * RITA Long-Term Emergency Ward "&amp;$T$20&amp;" "&amp;$T$21&amp;" is more than RTRI Long-Term Emergency Ward "&amp;CHAR(10),""),IF(U73&gt;U71," * RITA Long-Term Emergency Ward "&amp;$T$20&amp;" "&amp;$U$21&amp;" is more than RTRI Long-Term Emergency Ward "&amp;CHAR(10),""),IF(V73&gt;V71," * RITA Long-Term Emergency Ward "&amp;$V$20&amp;" "&amp;$V$21&amp;" is more than RTRI Long-Term Emergency Ward "&amp;CHAR(10),""),IF(W73&gt;W71," * RITA Long-Term Emergency Ward "&amp;$V$20&amp;" "&amp;$W$21&amp;" is more than RTRI Long-Term Emergency Ward "&amp;CHAR(10),""),IF(X73&gt;X71," * RITA Long-Term Emergency Ward "&amp;$X$20&amp;" "&amp;$X$21&amp;" is more than RTRI Long-Term Emergency Ward "&amp;CHAR(10),""),IF(Y73&gt;Y71," * RITA Long-Term Emergency Ward "&amp;$X$20&amp;" "&amp;$Y$21&amp;" is more than RTRI Long-Term Emergency Ward "&amp;CHAR(10),""),IF(Z73&gt;Z71," * RITA Long-Term Emergency Ward "&amp;$Z$20&amp;" "&amp;$Z$21&amp;" is more than RTRI Long-Term Emergency Ward "&amp;CHAR(10),""),IF(AA73&gt;AA71," * RITA Long-Term Emergency Ward "&amp;$Z$20&amp;" "&amp;$AA$21&amp;" is more than RTRI Long-Term Emergency Ward "&amp;CHAR(10),""))</f>
        <v/>
      </c>
      <c r="AL71" s="1275"/>
      <c r="AM71" s="31"/>
      <c r="AN71" s="369"/>
      <c r="AO71" s="13">
        <v>33</v>
      </c>
      <c r="AP71" s="81"/>
      <c r="AQ71" s="82"/>
    </row>
    <row r="72" spans="1:43" s="83" customFormat="1" ht="25.5" hidden="1" customHeight="1" x14ac:dyDescent="0.75">
      <c r="A72" s="973"/>
      <c r="B72" s="1" t="s">
        <v>1199</v>
      </c>
      <c r="C72" s="584" t="s">
        <v>1203</v>
      </c>
      <c r="D72" s="135"/>
      <c r="E72" s="78"/>
      <c r="F72" s="78"/>
      <c r="G72" s="78"/>
      <c r="H72" s="78"/>
      <c r="I72" s="78"/>
      <c r="J72" s="78"/>
      <c r="K72" s="384"/>
      <c r="L72" s="237"/>
      <c r="M72" s="237"/>
      <c r="N72" s="237"/>
      <c r="O72" s="237"/>
      <c r="P72" s="237"/>
      <c r="Q72" s="237"/>
      <c r="R72" s="237"/>
      <c r="S72" s="237"/>
      <c r="T72" s="237"/>
      <c r="U72" s="237"/>
      <c r="V72" s="237"/>
      <c r="W72" s="237"/>
      <c r="X72" s="237"/>
      <c r="Y72" s="237"/>
      <c r="Z72" s="237"/>
      <c r="AA72" s="237"/>
      <c r="AB72" s="389"/>
      <c r="AC72" s="357"/>
      <c r="AD72" s="357"/>
      <c r="AE72" s="357"/>
      <c r="AF72" s="357"/>
      <c r="AG72" s="357"/>
      <c r="AH72" s="357"/>
      <c r="AI72" s="314"/>
      <c r="AJ72" s="189">
        <f t="shared" ref="AJ72:AJ73" si="18">SUM(D72:AA72)</f>
        <v>0</v>
      </c>
      <c r="AK72" s="30"/>
      <c r="AL72" s="1275"/>
      <c r="AM72" s="31"/>
      <c r="AN72" s="369"/>
      <c r="AO72" s="13">
        <v>32</v>
      </c>
      <c r="AP72" s="81"/>
      <c r="AQ72" s="82"/>
    </row>
    <row r="73" spans="1:43" s="83" customFormat="1" ht="25.9" hidden="1" thickBot="1" x14ac:dyDescent="0.8">
      <c r="A73" s="974"/>
      <c r="B73" s="370" t="s">
        <v>1200</v>
      </c>
      <c r="C73" s="586" t="s">
        <v>1204</v>
      </c>
      <c r="D73" s="119"/>
      <c r="E73" s="102"/>
      <c r="F73" s="102"/>
      <c r="G73" s="102"/>
      <c r="H73" s="102"/>
      <c r="I73" s="102"/>
      <c r="J73" s="102"/>
      <c r="K73" s="378"/>
      <c r="L73" s="250"/>
      <c r="M73" s="250"/>
      <c r="N73" s="250"/>
      <c r="O73" s="250"/>
      <c r="P73" s="250"/>
      <c r="Q73" s="250"/>
      <c r="R73" s="250"/>
      <c r="S73" s="250"/>
      <c r="T73" s="250"/>
      <c r="U73" s="250"/>
      <c r="V73" s="250"/>
      <c r="W73" s="250"/>
      <c r="X73" s="250"/>
      <c r="Y73" s="250"/>
      <c r="Z73" s="250"/>
      <c r="AA73" s="250"/>
      <c r="AB73" s="389"/>
      <c r="AC73" s="357"/>
      <c r="AD73" s="357"/>
      <c r="AE73" s="357"/>
      <c r="AF73" s="357"/>
      <c r="AG73" s="357"/>
      <c r="AH73" s="357"/>
      <c r="AI73" s="314"/>
      <c r="AJ73" s="193">
        <f t="shared" si="18"/>
        <v>0</v>
      </c>
      <c r="AK73" s="30"/>
      <c r="AL73" s="1275"/>
      <c r="AM73" s="31"/>
      <c r="AN73" s="369"/>
      <c r="AO73" s="13">
        <v>33</v>
      </c>
      <c r="AP73" s="81"/>
      <c r="AQ73" s="82"/>
    </row>
    <row r="74" spans="1:43" s="83" customFormat="1" ht="25.5" hidden="1" customHeight="1" x14ac:dyDescent="0.75">
      <c r="A74" s="975" t="s">
        <v>1038</v>
      </c>
      <c r="B74" s="1" t="s">
        <v>1197</v>
      </c>
      <c r="C74" s="583" t="s">
        <v>1028</v>
      </c>
      <c r="D74" s="134"/>
      <c r="E74" s="99"/>
      <c r="F74" s="99"/>
      <c r="G74" s="99"/>
      <c r="H74" s="99"/>
      <c r="I74" s="99"/>
      <c r="J74" s="99"/>
      <c r="K74" s="377"/>
      <c r="L74" s="237"/>
      <c r="M74" s="237"/>
      <c r="N74" s="237"/>
      <c r="O74" s="237"/>
      <c r="P74" s="237"/>
      <c r="Q74" s="237"/>
      <c r="R74" s="237"/>
      <c r="S74" s="237"/>
      <c r="T74" s="237"/>
      <c r="U74" s="237"/>
      <c r="V74" s="237"/>
      <c r="W74" s="237"/>
      <c r="X74" s="237"/>
      <c r="Y74" s="237"/>
      <c r="Z74" s="237"/>
      <c r="AA74" s="237"/>
      <c r="AB74" s="389"/>
      <c r="AC74" s="357"/>
      <c r="AD74" s="357"/>
      <c r="AE74" s="357"/>
      <c r="AF74" s="357"/>
      <c r="AG74" s="357"/>
      <c r="AH74" s="357"/>
      <c r="AI74" s="314"/>
      <c r="AJ74" s="189">
        <f t="shared" si="16"/>
        <v>0</v>
      </c>
      <c r="AK74" s="30" t="str">
        <f>CONCATENATE(IF(D76&gt;D74," * RITA RECENT Inpatient Services "&amp;$D$20&amp;" "&amp;$D$21&amp;" is more than RTRI RECENT Inpatient Services "&amp;CHAR(10),""),IF(E76&gt;E74," * RITA RECENT Inpatient Services "&amp;$D$20&amp;" "&amp;$E$21&amp;" is more than RTRI RECENT Inpatient Services "&amp;CHAR(10),""),IF(F76&gt;F74," * RITA RECENT Inpatient Services "&amp;$F$20&amp;" "&amp;$F$21&amp;" is more than RTRI RECENT Inpatient Services "&amp;CHAR(10),""),IF(G76&gt;G74," * RITA RECENT Inpatient Services "&amp;$F$20&amp;" "&amp;$G$21&amp;" is more than RTRI RECENT Inpatient Services "&amp;CHAR(10),""),IF(H76&gt;H74," * RITA RECENT Inpatient Services "&amp;$H$20&amp;" "&amp;$H$21&amp;" is more than RTRI RECENT Inpatient Services "&amp;CHAR(10),""),IF(I76&gt;I74," * RITA RECENT Inpatient Services "&amp;$H$20&amp;" "&amp;$I$21&amp;" is more than RTRI RECENT Inpatient Services "&amp;CHAR(10),""),IF(J76&gt;J74," * RITA RECENT Inpatient Services "&amp;$J$20&amp;" "&amp;$J$21&amp;" is more than RTRI RECENT Inpatient Services "&amp;CHAR(10),""),IF(K76&gt;K74," * RITA RECENT Inpatient Services "&amp;$J$20&amp;" "&amp;$K$21&amp;" is more than RTRI RECENT Inpatient Services "&amp;CHAR(10),""),IF(L76&gt;L74," * RITA RECENT Inpatient Services "&amp;$L$20&amp;" "&amp;$L$21&amp;" is more than RTRI RECENT Inpatient Services "&amp;CHAR(10),""),IF(M76&gt;M74," * RITA RECENT Inpatient Services "&amp;$L$20&amp;" "&amp;$M$21&amp;" is more than RTRI RECENT Inpatient Services "&amp;CHAR(10),""),IF(N76&gt;N74," * RITA RECENT Inpatient Services "&amp;$N$20&amp;" "&amp;$N$21&amp;" is more than RTRI RECENT Inpatient Services "&amp;CHAR(10),""),IF(O76&gt;O74," * RITA RECENT Inpatient Services "&amp;$N$20&amp;" "&amp;$O$21&amp;" is more than RTRI RECENT Inpatient Services "&amp;CHAR(10),""),IF(P76&gt;P74," * RITA RECENT Inpatient Services "&amp;$P$20&amp;" "&amp;$P$21&amp;" is more than RTRI RECENT Inpatient Services "&amp;CHAR(10),""),IF(Q76&gt;Q74," * RITA RECENT Inpatient Services "&amp;$P$20&amp;" "&amp;$Q$21&amp;" is more than RTRI RECENT Inpatient Services "&amp;CHAR(10),""),IF(R76&gt;R74," * RITA RECENT Inpatient Services "&amp;$R$20&amp;" "&amp;$R$21&amp;" is more than RTRI RECENT Inpatient Services "&amp;CHAR(10),""),IF(S76&gt;S74," * RITA RECENT Inpatient Services "&amp;$R$20&amp;" "&amp;$S$21&amp;" is more than RTRI RECENT Inpatient Services "&amp;CHAR(10),""),IF(T76&gt;T74," * RITA RECENT Inpatient Services "&amp;$T$20&amp;" "&amp;$T$21&amp;" is more than RTRI RECENT Inpatient Services "&amp;CHAR(10),""),IF(U76&gt;U74," * RITA RECENT Inpatient Services "&amp;$T$20&amp;" "&amp;$U$21&amp;" is more than RTRI RECENT Inpatient Services "&amp;CHAR(10),""),IF(V76&gt;V74," * RITA RECENT Inpatient Services "&amp;$V$20&amp;" "&amp;$V$21&amp;" is more than RTRI RECENT Inpatient Services "&amp;CHAR(10),""),IF(W76&gt;W74," * RITA RECENT Inpatient Services "&amp;$V$20&amp;" "&amp;$W$21&amp;" is more than RTRI RECENT Inpatient Services "&amp;CHAR(10),""),IF(X76&gt;X74," * RITA RECENT Inpatient Services "&amp;$X$20&amp;" "&amp;$X$21&amp;" is more than RTRI RECENT Inpatient Services "&amp;CHAR(10),""),IF(Y76&gt;Y74," * RITA RECENT Inpatient Services "&amp;$X$20&amp;" "&amp;$Y$21&amp;" is more than RTRI RECENT Inpatient Services "&amp;CHAR(10),""),IF(Z76&gt;Z74," * RITA RECENT Inpatient Services "&amp;$Z$20&amp;" "&amp;$Z$21&amp;" is more than RTRI RECENT Inpatient Services "&amp;CHAR(10),""),IF(AA76&gt;AA74," * RITA RECENT Inpatient Services "&amp;$Z$20&amp;" "&amp;$AA$21&amp;" is more than RTRI RECENT Inpatient Services "&amp;CHAR(10),""))</f>
        <v/>
      </c>
      <c r="AL74" s="1275"/>
      <c r="AM74" s="31"/>
      <c r="AN74" s="369"/>
      <c r="AO74" s="13">
        <v>32</v>
      </c>
      <c r="AP74" s="81"/>
      <c r="AQ74" s="82"/>
    </row>
    <row r="75" spans="1:43" s="83" customFormat="1" ht="25.9" hidden="1" thickBot="1" x14ac:dyDescent="0.8">
      <c r="A75" s="976"/>
      <c r="B75" s="370" t="s">
        <v>1198</v>
      </c>
      <c r="C75" s="584" t="s">
        <v>1029</v>
      </c>
      <c r="D75" s="135"/>
      <c r="E75" s="78"/>
      <c r="F75" s="78"/>
      <c r="G75" s="78"/>
      <c r="H75" s="78"/>
      <c r="I75" s="78"/>
      <c r="J75" s="78"/>
      <c r="K75" s="384"/>
      <c r="L75" s="141"/>
      <c r="M75" s="141"/>
      <c r="N75" s="141"/>
      <c r="O75" s="141"/>
      <c r="P75" s="141"/>
      <c r="Q75" s="141"/>
      <c r="R75" s="141"/>
      <c r="S75" s="141"/>
      <c r="T75" s="141"/>
      <c r="U75" s="141"/>
      <c r="V75" s="141"/>
      <c r="W75" s="141"/>
      <c r="X75" s="141"/>
      <c r="Y75" s="141"/>
      <c r="Z75" s="141"/>
      <c r="AA75" s="141"/>
      <c r="AB75" s="389"/>
      <c r="AC75" s="357"/>
      <c r="AD75" s="357"/>
      <c r="AE75" s="357"/>
      <c r="AF75" s="357"/>
      <c r="AG75" s="357"/>
      <c r="AH75" s="357"/>
      <c r="AI75" s="314"/>
      <c r="AJ75" s="193">
        <f t="shared" si="16"/>
        <v>0</v>
      </c>
      <c r="AK75" s="30" t="str">
        <f>CONCATENATE(IF(D77&gt;D75," * RITA Long-Term Inpatient Services  "&amp;$D$20&amp;" "&amp;$D$21&amp;" is more than RTRI Long-Term Inpatient Services  "&amp;CHAR(10),""),IF(E77&gt;E75," * RITA Long-Term Inpatient Services  "&amp;$D$20&amp;" "&amp;$E$21&amp;" is more than RTRI Long-Term Inpatient Services  "&amp;CHAR(10),""),IF(F77&gt;F75," * RITA Long-Term Inpatient Services  "&amp;$F$20&amp;" "&amp;$F$21&amp;" is more than RTRI Long-Term Inpatient Services  "&amp;CHAR(10),""),IF(G77&gt;G75," * RITA Long-Term Inpatient Services  "&amp;$F$20&amp;" "&amp;$G$21&amp;" is more than RTRI Long-Term Inpatient Services  "&amp;CHAR(10),""),IF(H77&gt;H75," * RITA Long-Term Inpatient Services  "&amp;$H$20&amp;" "&amp;$H$21&amp;" is more than RTRI Long-Term Inpatient Services  "&amp;CHAR(10),""),IF(I77&gt;I75," * RITA Long-Term Inpatient Services  "&amp;$H$20&amp;" "&amp;$I$21&amp;" is more than RTRI Long-Term Inpatient Services  "&amp;CHAR(10),""),IF(J77&gt;J75," * RITA Long-Term Inpatient Services  "&amp;$J$20&amp;" "&amp;$J$21&amp;" is more than RTRI Long-Term Inpatient Services  "&amp;CHAR(10),""),IF(K77&gt;K75," * RITA Long-Term Inpatient Services  "&amp;$J$20&amp;" "&amp;$K$21&amp;" is more than RTRI Long-Term Inpatient Services  "&amp;CHAR(10),""),IF(L77&gt;L75," * RITA Long-Term Inpatient Services  "&amp;$L$20&amp;" "&amp;$L$21&amp;" is more than RTRI Long-Term Inpatient Services  "&amp;CHAR(10),""),IF(M77&gt;M75," * RITA Long-Term Inpatient Services  "&amp;$L$20&amp;" "&amp;$M$21&amp;" is more than RTRI Long-Term Inpatient Services  "&amp;CHAR(10),""),IF(N77&gt;N75," * RITA Long-Term Inpatient Services  "&amp;$N$20&amp;" "&amp;$N$21&amp;" is more than RTRI Long-Term Inpatient Services  "&amp;CHAR(10),""),IF(O77&gt;O75," * RITA Long-Term Inpatient Services  "&amp;$N$20&amp;" "&amp;$O$21&amp;" is more than RTRI Long-Term Inpatient Services  "&amp;CHAR(10),""),IF(P77&gt;P75," * RITA Long-Term Inpatient Services  "&amp;$P$20&amp;" "&amp;$P$21&amp;" is more than RTRI Long-Term Inpatient Services  "&amp;CHAR(10),""),IF(Q77&gt;Q75," * RITA Long-Term Inpatient Services  "&amp;$P$20&amp;" "&amp;$Q$21&amp;" is more than RTRI Long-Term Inpatient Services  "&amp;CHAR(10),""),IF(R77&gt;R75," * RITA Long-Term Inpatient Services  "&amp;$R$20&amp;" "&amp;$R$21&amp;" is more than RTRI Long-Term Inpatient Services  "&amp;CHAR(10),""),IF(S77&gt;S75," * RITA Long-Term Inpatient Services  "&amp;$R$20&amp;" "&amp;$S$21&amp;" is more than RTRI Long-Term Inpatient Services  "&amp;CHAR(10),""),IF(T77&gt;T75," * RITA Long-Term Inpatient Services  "&amp;$T$20&amp;" "&amp;$T$21&amp;" is more than RTRI Long-Term Inpatient Services  "&amp;CHAR(10),""),IF(U77&gt;U75," * RITA Long-Term Inpatient Services  "&amp;$T$20&amp;" "&amp;$U$21&amp;" is more than RTRI Long-Term Inpatient Services  "&amp;CHAR(10),""),IF(V77&gt;V75," * RITA Long-Term Inpatient Services  "&amp;$V$20&amp;" "&amp;$V$21&amp;" is more than RTRI Long-Term Inpatient Services  "&amp;CHAR(10),""),IF(W77&gt;W75," * RITA Long-Term Inpatient Services  "&amp;$V$20&amp;" "&amp;$W$21&amp;" is more than RTRI Long-Term Inpatient Services  "&amp;CHAR(10),""),IF(X77&gt;X75," * RITA Long-Term Inpatient Services  "&amp;$X$20&amp;" "&amp;$X$21&amp;" is more than RTRI Long-Term Inpatient Services  "&amp;CHAR(10),""),IF(Y77&gt;Y75," * RITA Long-Term Inpatient Services  "&amp;$X$20&amp;" "&amp;$Y$21&amp;" is more than RTRI Long-Term Inpatient Services  "&amp;CHAR(10),""),IF(Z77&gt;Z75," * RITA Long-Term Inpatient Services  "&amp;$Z$20&amp;" "&amp;$Z$21&amp;" is more than RTRI Long-Term Inpatient Services  "&amp;CHAR(10),""),IF(AA77&gt;AA75," * RITA Long-Term Inpatient Services  "&amp;$Z$20&amp;" "&amp;$AA$21&amp;" is more than RTRI Long-Term Inpatient Services  "&amp;CHAR(10),""))</f>
        <v/>
      </c>
      <c r="AL75" s="1275"/>
      <c r="AM75" s="31"/>
      <c r="AN75" s="369"/>
      <c r="AO75" s="13">
        <v>33</v>
      </c>
      <c r="AP75" s="81"/>
      <c r="AQ75" s="82"/>
    </row>
    <row r="76" spans="1:43" s="83" customFormat="1" ht="25.5" hidden="1" customHeight="1" x14ac:dyDescent="0.75">
      <c r="A76" s="976"/>
      <c r="B76" s="1" t="s">
        <v>1199</v>
      </c>
      <c r="C76" s="584" t="s">
        <v>1243</v>
      </c>
      <c r="D76" s="135"/>
      <c r="E76" s="78"/>
      <c r="F76" s="78"/>
      <c r="G76" s="78"/>
      <c r="H76" s="78"/>
      <c r="I76" s="78"/>
      <c r="J76" s="78"/>
      <c r="K76" s="384"/>
      <c r="L76" s="237"/>
      <c r="M76" s="237"/>
      <c r="N76" s="237"/>
      <c r="O76" s="237"/>
      <c r="P76" s="237"/>
      <c r="Q76" s="237"/>
      <c r="R76" s="237"/>
      <c r="S76" s="237"/>
      <c r="T76" s="237"/>
      <c r="U76" s="237"/>
      <c r="V76" s="237"/>
      <c r="W76" s="237"/>
      <c r="X76" s="237"/>
      <c r="Y76" s="237"/>
      <c r="Z76" s="237"/>
      <c r="AA76" s="237"/>
      <c r="AB76" s="389"/>
      <c r="AC76" s="357"/>
      <c r="AD76" s="357"/>
      <c r="AE76" s="357"/>
      <c r="AF76" s="357"/>
      <c r="AG76" s="357"/>
      <c r="AH76" s="357"/>
      <c r="AI76" s="314"/>
      <c r="AJ76" s="185"/>
      <c r="AK76" s="30"/>
      <c r="AL76" s="1275"/>
      <c r="AM76" s="31"/>
      <c r="AN76" s="369"/>
      <c r="AO76" s="13"/>
      <c r="AP76" s="81"/>
      <c r="AQ76" s="82"/>
    </row>
    <row r="77" spans="1:43" s="83" customFormat="1" ht="25.9" hidden="1" thickBot="1" x14ac:dyDescent="0.8">
      <c r="A77" s="977"/>
      <c r="B77" s="370" t="s">
        <v>1200</v>
      </c>
      <c r="C77" s="586" t="s">
        <v>1244</v>
      </c>
      <c r="D77" s="119"/>
      <c r="E77" s="102"/>
      <c r="F77" s="102"/>
      <c r="G77" s="102"/>
      <c r="H77" s="102"/>
      <c r="I77" s="102"/>
      <c r="J77" s="102"/>
      <c r="K77" s="378"/>
      <c r="L77" s="250"/>
      <c r="M77" s="250"/>
      <c r="N77" s="250"/>
      <c r="O77" s="250"/>
      <c r="P77" s="250"/>
      <c r="Q77" s="250"/>
      <c r="R77" s="250"/>
      <c r="S77" s="250"/>
      <c r="T77" s="250"/>
      <c r="U77" s="250"/>
      <c r="V77" s="250"/>
      <c r="W77" s="250"/>
      <c r="X77" s="250"/>
      <c r="Y77" s="250"/>
      <c r="Z77" s="250"/>
      <c r="AA77" s="250"/>
      <c r="AB77" s="389"/>
      <c r="AC77" s="357"/>
      <c r="AD77" s="357"/>
      <c r="AE77" s="357"/>
      <c r="AF77" s="357"/>
      <c r="AG77" s="357"/>
      <c r="AH77" s="357"/>
      <c r="AI77" s="314"/>
      <c r="AJ77" s="185"/>
      <c r="AK77" s="30"/>
      <c r="AL77" s="1275"/>
      <c r="AM77" s="31"/>
      <c r="AN77" s="369"/>
      <c r="AO77" s="13"/>
      <c r="AP77" s="81"/>
      <c r="AQ77" s="82"/>
    </row>
    <row r="78" spans="1:43" s="83" customFormat="1" ht="25.5" hidden="1" customHeight="1" x14ac:dyDescent="0.75">
      <c r="A78" s="972" t="s">
        <v>1039</v>
      </c>
      <c r="B78" s="1" t="s">
        <v>1197</v>
      </c>
      <c r="C78" s="583" t="s">
        <v>1030</v>
      </c>
      <c r="D78" s="134"/>
      <c r="E78" s="99"/>
      <c r="F78" s="99"/>
      <c r="G78" s="99"/>
      <c r="H78" s="99"/>
      <c r="I78" s="99"/>
      <c r="J78" s="99"/>
      <c r="K78" s="377"/>
      <c r="L78" s="98"/>
      <c r="M78" s="237"/>
      <c r="N78" s="99"/>
      <c r="O78" s="237"/>
      <c r="P78" s="99"/>
      <c r="Q78" s="237"/>
      <c r="R78" s="99"/>
      <c r="S78" s="237"/>
      <c r="T78" s="99"/>
      <c r="U78" s="237"/>
      <c r="V78" s="99"/>
      <c r="W78" s="237"/>
      <c r="X78" s="99"/>
      <c r="Y78" s="237"/>
      <c r="Z78" s="99"/>
      <c r="AA78" s="511"/>
      <c r="AB78" s="389"/>
      <c r="AC78" s="357"/>
      <c r="AD78" s="357"/>
      <c r="AE78" s="357"/>
      <c r="AF78" s="357"/>
      <c r="AG78" s="357"/>
      <c r="AH78" s="357"/>
      <c r="AI78" s="314"/>
      <c r="AJ78" s="189">
        <f t="shared" si="16"/>
        <v>0</v>
      </c>
      <c r="AK78" s="30" t="str">
        <f>CONCATENATE(IF(D80&gt;D78," * RITA RECENT PMTCT ANC1 ONLY "&amp;$D$20&amp;" "&amp;$D$21&amp;" is more than RTRI RECENT PMTCT ANC1 ONLY "&amp;CHAR(10),""),IF(E80&gt;E78," * RITA RECENT PMTCT ANC1 ONLY "&amp;$D$20&amp;" "&amp;$E$21&amp;" is more than RTRI RECENT PMTCT ANC1 ONLY "&amp;CHAR(10),""),IF(F80&gt;F78," * RITA RECENT PMTCT ANC1 ONLY "&amp;$F$20&amp;" "&amp;$F$21&amp;" is more than RTRI RECENT PMTCT ANC1 ONLY "&amp;CHAR(10),""),IF(G80&gt;G78," * RITA RECENT PMTCT ANC1 ONLY "&amp;$F$20&amp;" "&amp;$G$21&amp;" is more than RTRI RECENT PMTCT ANC1 ONLY "&amp;CHAR(10),""),IF(H80&gt;H78," * RITA RECENT PMTCT ANC1 ONLY "&amp;$H$20&amp;" "&amp;$H$21&amp;" is more than RTRI RECENT PMTCT ANC1 ONLY "&amp;CHAR(10),""),IF(I80&gt;I78," * RITA RECENT PMTCT ANC1 ONLY "&amp;$H$20&amp;" "&amp;$I$21&amp;" is more than RTRI RECENT PMTCT ANC1 ONLY "&amp;CHAR(10),""),IF(J80&gt;J78," * RITA RECENT PMTCT ANC1 ONLY "&amp;$J$20&amp;" "&amp;$J$21&amp;" is more than RTRI RECENT PMTCT ANC1 ONLY "&amp;CHAR(10),""),IF(K80&gt;K78," * RITA RECENT PMTCT ANC1 ONLY "&amp;$J$20&amp;" "&amp;$K$21&amp;" is more than RTRI RECENT PMTCT ANC1 ONLY "&amp;CHAR(10),""),IF(L80&gt;L78," * RITA RECENT PMTCT ANC1 ONLY "&amp;$L$20&amp;" "&amp;$L$21&amp;" is more than RTRI RECENT PMTCT ANC1 ONLY "&amp;CHAR(10),""),IF(M80&gt;M78," * RITA RECENT PMTCT ANC1 ONLY "&amp;$L$20&amp;" "&amp;$M$21&amp;" is more than RTRI RECENT PMTCT ANC1 ONLY "&amp;CHAR(10),""),IF(N80&gt;N78," * RITA RECENT PMTCT ANC1 ONLY "&amp;$N$20&amp;" "&amp;$N$21&amp;" is more than RTRI RECENT PMTCT ANC1 ONLY "&amp;CHAR(10),""),IF(O80&gt;O78," * RITA RECENT PMTCT ANC1 ONLY "&amp;$N$20&amp;" "&amp;$O$21&amp;" is more than RTRI RECENT PMTCT ANC1 ONLY "&amp;CHAR(10),""),IF(P80&gt;P78," * RITA RECENT PMTCT ANC1 ONLY "&amp;$P$20&amp;" "&amp;$P$21&amp;" is more than RTRI RECENT PMTCT ANC1 ONLY "&amp;CHAR(10),""),IF(Q80&gt;Q78," * RITA RECENT PMTCT ANC1 ONLY "&amp;$P$20&amp;" "&amp;$Q$21&amp;" is more than RTRI RECENT PMTCT ANC1 ONLY "&amp;CHAR(10),""),IF(R80&gt;R78," * RITA RECENT PMTCT ANC1 ONLY "&amp;$R$20&amp;" "&amp;$R$21&amp;" is more than RTRI RECENT PMTCT ANC1 ONLY "&amp;CHAR(10),""),IF(S80&gt;S78," * RITA RECENT PMTCT ANC1 ONLY "&amp;$R$20&amp;" "&amp;$S$21&amp;" is more than RTRI RECENT PMTCT ANC1 ONLY "&amp;CHAR(10),""),IF(T80&gt;T78," * RITA RECENT PMTCT ANC1 ONLY "&amp;$T$20&amp;" "&amp;$T$21&amp;" is more than RTRI RECENT PMTCT ANC1 ONLY "&amp;CHAR(10),""),IF(U80&gt;U78," * RITA RECENT PMTCT ANC1 ONLY "&amp;$T$20&amp;" "&amp;$U$21&amp;" is more than RTRI RECENT PMTCT ANC1 ONLY "&amp;CHAR(10),""),IF(V80&gt;V78," * RITA RECENT PMTCT ANC1 ONLY "&amp;$V$20&amp;" "&amp;$V$21&amp;" is more than RTRI RECENT PMTCT ANC1 ONLY "&amp;CHAR(10),""),IF(W80&gt;W78," * RITA RECENT PMTCT ANC1 ONLY "&amp;$V$20&amp;" "&amp;$W$21&amp;" is more than RTRI RECENT PMTCT ANC1 ONLY "&amp;CHAR(10),""),IF(X80&gt;X78," * RITA RECENT PMTCT ANC1 ONLY "&amp;$X$20&amp;" "&amp;$X$21&amp;" is more than RTRI RECENT PMTCT ANC1 ONLY "&amp;CHAR(10),""),IF(Y80&gt;Y78," * RITA RECENT PMTCT ANC1 ONLY "&amp;$X$20&amp;" "&amp;$Y$21&amp;" is more than RTRI RECENT PMTCT ANC1 ONLY "&amp;CHAR(10),""),IF(Z80&gt;Z78," * RITA RECENT PMTCT ANC1 ONLY "&amp;$Z$20&amp;" "&amp;$Z$21&amp;" is more than RTRI RECENT PMTCT ANC1 ONLY "&amp;CHAR(10),""),IF(AA80&gt;AA78," * RITA RECENT PMTCT ANC1 ONLY "&amp;$Z$20&amp;" "&amp;$AA$21&amp;" is more than RTRI RECENT PMTCT ANC1 ONLY "&amp;CHAR(10),""))</f>
        <v/>
      </c>
      <c r="AL78" s="1275"/>
      <c r="AM78" s="31"/>
      <c r="AN78" s="369"/>
      <c r="AO78" s="13">
        <v>32</v>
      </c>
      <c r="AP78" s="81"/>
      <c r="AQ78" s="82"/>
    </row>
    <row r="79" spans="1:43" s="83" customFormat="1" ht="25.9" hidden="1" thickBot="1" x14ac:dyDescent="0.8">
      <c r="A79" s="973"/>
      <c r="B79" s="370" t="s">
        <v>1198</v>
      </c>
      <c r="C79" s="584" t="s">
        <v>1031</v>
      </c>
      <c r="D79" s="135"/>
      <c r="E79" s="78"/>
      <c r="F79" s="78"/>
      <c r="G79" s="78"/>
      <c r="H79" s="78"/>
      <c r="I79" s="78"/>
      <c r="J79" s="78"/>
      <c r="K79" s="384"/>
      <c r="L79" s="77"/>
      <c r="M79" s="141"/>
      <c r="N79" s="78"/>
      <c r="O79" s="141"/>
      <c r="P79" s="78"/>
      <c r="Q79" s="141"/>
      <c r="R79" s="78"/>
      <c r="S79" s="141"/>
      <c r="T79" s="78"/>
      <c r="U79" s="141"/>
      <c r="V79" s="78"/>
      <c r="W79" s="141"/>
      <c r="X79" s="78"/>
      <c r="Y79" s="141"/>
      <c r="Z79" s="78"/>
      <c r="AA79" s="512"/>
      <c r="AB79" s="389"/>
      <c r="AC79" s="357"/>
      <c r="AD79" s="357"/>
      <c r="AE79" s="357"/>
      <c r="AF79" s="357"/>
      <c r="AG79" s="357"/>
      <c r="AH79" s="357"/>
      <c r="AI79" s="314"/>
      <c r="AJ79" s="193">
        <f t="shared" si="16"/>
        <v>0</v>
      </c>
      <c r="AK79" s="30" t="str">
        <f>CONCATENATE(IF(D81&gt;D79," * RITA Long-Term PMTCT ANC1 ONLY  "&amp;$D$20&amp;" "&amp;$D$21&amp;" is more than RTRI Long-Term PMTCT ANC1 ONLY  "&amp;CHAR(10),""),IF(E81&gt;E79," * RITA Long-Term PMTCT ANC1 ONLY  "&amp;$D$20&amp;" "&amp;$E$21&amp;" is more than RTRI Long-Term PMTCT ANC1 ONLY  "&amp;CHAR(10),""),IF(F81&gt;F79," * RITA Long-Term PMTCT ANC1 ONLY  "&amp;$F$20&amp;" "&amp;$F$21&amp;" is more than RTRI Long-Term PMTCT ANC1 ONLY  "&amp;CHAR(10),""),IF(G81&gt;G79," * RITA Long-Term PMTCT ANC1 ONLY  "&amp;$F$20&amp;" "&amp;$G$21&amp;" is more than RTRI Long-Term PMTCT ANC1 ONLY  "&amp;CHAR(10),""),IF(H81&gt;H79," * RITA Long-Term PMTCT ANC1 ONLY  "&amp;$H$20&amp;" "&amp;$H$21&amp;" is more than RTRI Long-Term PMTCT ANC1 ONLY  "&amp;CHAR(10),""),IF(I81&gt;I79," * RITA Long-Term PMTCT ANC1 ONLY  "&amp;$H$20&amp;" "&amp;$I$21&amp;" is more than RTRI Long-Term PMTCT ANC1 ONLY  "&amp;CHAR(10),""),IF(J81&gt;J79," * RITA Long-Term PMTCT ANC1 ONLY  "&amp;$J$20&amp;" "&amp;$J$21&amp;" is more than RTRI Long-Term PMTCT ANC1 ONLY  "&amp;CHAR(10),""),IF(K81&gt;K79," * RITA Long-Term PMTCT ANC1 ONLY  "&amp;$J$20&amp;" "&amp;$K$21&amp;" is more than RTRI Long-Term PMTCT ANC1 ONLY  "&amp;CHAR(10),""),IF(L81&gt;L79," * RITA Long-Term PMTCT ANC1 ONLY  "&amp;$L$20&amp;" "&amp;$L$21&amp;" is more than RTRI Long-Term PMTCT ANC1 ONLY  "&amp;CHAR(10),""),IF(M81&gt;M79," * RITA Long-Term PMTCT ANC1 ONLY  "&amp;$L$20&amp;" "&amp;$M$21&amp;" is more than RTRI Long-Term PMTCT ANC1 ONLY  "&amp;CHAR(10),""),IF(N81&gt;N79," * RITA Long-Term PMTCT ANC1 ONLY  "&amp;$N$20&amp;" "&amp;$N$21&amp;" is more than RTRI Long-Term PMTCT ANC1 ONLY  "&amp;CHAR(10),""),IF(O81&gt;O79," * RITA Long-Term PMTCT ANC1 ONLY  "&amp;$N$20&amp;" "&amp;$O$21&amp;" is more than RTRI Long-Term PMTCT ANC1 ONLY  "&amp;CHAR(10),""),IF(P81&gt;P79," * RITA Long-Term PMTCT ANC1 ONLY  "&amp;$P$20&amp;" "&amp;$P$21&amp;" is more than RTRI Long-Term PMTCT ANC1 ONLY  "&amp;CHAR(10),""),IF(Q81&gt;Q79," * RITA Long-Term PMTCT ANC1 ONLY  "&amp;$P$20&amp;" "&amp;$Q$21&amp;" is more than RTRI Long-Term PMTCT ANC1 ONLY  "&amp;CHAR(10),""),IF(R81&gt;R79," * RITA Long-Term PMTCT ANC1 ONLY  "&amp;$R$20&amp;" "&amp;$R$21&amp;" is more than RTRI Long-Term PMTCT ANC1 ONLY  "&amp;CHAR(10),""),IF(S81&gt;S79," * RITA Long-Term PMTCT ANC1 ONLY  "&amp;$R$20&amp;" "&amp;$S$21&amp;" is more than RTRI Long-Term PMTCT ANC1 ONLY  "&amp;CHAR(10),""),IF(T81&gt;T79," * RITA Long-Term PMTCT ANC1 ONLY  "&amp;$T$20&amp;" "&amp;$T$21&amp;" is more than RTRI Long-Term PMTCT ANC1 ONLY  "&amp;CHAR(10),""),IF(U81&gt;U79," * RITA Long-Term PMTCT ANC1 ONLY  "&amp;$T$20&amp;" "&amp;$U$21&amp;" is more than RTRI Long-Term PMTCT ANC1 ONLY  "&amp;CHAR(10),""),IF(V81&gt;V79," * RITA Long-Term PMTCT ANC1 ONLY  "&amp;$V$20&amp;" "&amp;$V$21&amp;" is more than RTRI Long-Term PMTCT ANC1 ONLY  "&amp;CHAR(10),""),IF(W81&gt;W79," * RITA Long-Term PMTCT ANC1 ONLY  "&amp;$V$20&amp;" "&amp;$W$21&amp;" is more than RTRI Long-Term PMTCT ANC1 ONLY  "&amp;CHAR(10),""),IF(X81&gt;X79," * RITA Long-Term PMTCT ANC1 ONLY  "&amp;$X$20&amp;" "&amp;$X$21&amp;" is more than RTRI Long-Term PMTCT ANC1 ONLY  "&amp;CHAR(10),""),IF(Y81&gt;Y79," * RITA Long-Term PMTCT ANC1 ONLY  "&amp;$X$20&amp;" "&amp;$Y$21&amp;" is more than RTRI Long-Term PMTCT ANC1 ONLY  "&amp;CHAR(10),""),IF(Z81&gt;Z79," * RITA Long-Term PMTCT ANC1 ONLY  "&amp;$Z$20&amp;" "&amp;$Z$21&amp;" is more than RTRI Long-Term PMTCT ANC1 ONLY  "&amp;CHAR(10),""),IF(AA81&gt;AA79," * RITA Long-Term PMTCT ANC1 ONLY  "&amp;$Z$20&amp;" "&amp;$AA$21&amp;" is more than RTRI Long-Term PMTCT ANC1 ONLY  "&amp;CHAR(10),""))</f>
        <v/>
      </c>
      <c r="AL79" s="1275"/>
      <c r="AM79" s="31"/>
      <c r="AN79" s="369"/>
      <c r="AO79" s="13">
        <v>33</v>
      </c>
      <c r="AP79" s="81"/>
      <c r="AQ79" s="82"/>
    </row>
    <row r="80" spans="1:43" s="83" customFormat="1" ht="25.5" hidden="1" x14ac:dyDescent="0.75">
      <c r="A80" s="973"/>
      <c r="B80" s="1" t="s">
        <v>1199</v>
      </c>
      <c r="C80" s="584" t="s">
        <v>1205</v>
      </c>
      <c r="D80" s="135"/>
      <c r="E80" s="78"/>
      <c r="F80" s="78"/>
      <c r="G80" s="78"/>
      <c r="H80" s="78"/>
      <c r="I80" s="78"/>
      <c r="J80" s="78"/>
      <c r="K80" s="384"/>
      <c r="L80" s="77"/>
      <c r="M80" s="237"/>
      <c r="N80" s="78"/>
      <c r="O80" s="237"/>
      <c r="P80" s="78"/>
      <c r="Q80" s="237"/>
      <c r="R80" s="78"/>
      <c r="S80" s="237"/>
      <c r="T80" s="78"/>
      <c r="U80" s="237"/>
      <c r="V80" s="78"/>
      <c r="W80" s="237"/>
      <c r="X80" s="78"/>
      <c r="Y80" s="237"/>
      <c r="Z80" s="78"/>
      <c r="AA80" s="511"/>
      <c r="AB80" s="389"/>
      <c r="AC80" s="357"/>
      <c r="AD80" s="357"/>
      <c r="AE80" s="357"/>
      <c r="AF80" s="357"/>
      <c r="AG80" s="357"/>
      <c r="AH80" s="357"/>
      <c r="AI80" s="314"/>
      <c r="AJ80" s="185"/>
      <c r="AK80" s="30"/>
      <c r="AL80" s="1275"/>
      <c r="AM80" s="31"/>
      <c r="AN80" s="369"/>
      <c r="AO80" s="13"/>
      <c r="AP80" s="81"/>
      <c r="AQ80" s="82"/>
    </row>
    <row r="81" spans="1:43" s="83" customFormat="1" ht="25.9" hidden="1" thickBot="1" x14ac:dyDescent="0.8">
      <c r="A81" s="974"/>
      <c r="B81" s="370" t="s">
        <v>1200</v>
      </c>
      <c r="C81" s="586" t="s">
        <v>1206</v>
      </c>
      <c r="D81" s="119"/>
      <c r="E81" s="102"/>
      <c r="F81" s="102"/>
      <c r="G81" s="102"/>
      <c r="H81" s="102"/>
      <c r="I81" s="102"/>
      <c r="J81" s="102"/>
      <c r="K81" s="378"/>
      <c r="L81" s="103"/>
      <c r="M81" s="141"/>
      <c r="N81" s="102"/>
      <c r="O81" s="141"/>
      <c r="P81" s="102"/>
      <c r="Q81" s="141"/>
      <c r="R81" s="102"/>
      <c r="S81" s="141"/>
      <c r="T81" s="102"/>
      <c r="U81" s="141"/>
      <c r="V81" s="102"/>
      <c r="W81" s="141"/>
      <c r="X81" s="102"/>
      <c r="Y81" s="141"/>
      <c r="Z81" s="102"/>
      <c r="AA81" s="512"/>
      <c r="AB81" s="389"/>
      <c r="AC81" s="357"/>
      <c r="AD81" s="357"/>
      <c r="AE81" s="357"/>
      <c r="AF81" s="357"/>
      <c r="AG81" s="357"/>
      <c r="AH81" s="357"/>
      <c r="AI81" s="314"/>
      <c r="AJ81" s="185"/>
      <c r="AK81" s="30"/>
      <c r="AL81" s="1275"/>
      <c r="AM81" s="31"/>
      <c r="AN81" s="369"/>
      <c r="AO81" s="13"/>
      <c r="AP81" s="81"/>
      <c r="AQ81" s="82"/>
    </row>
    <row r="82" spans="1:43" s="83" customFormat="1" ht="25.5" hidden="1" customHeight="1" x14ac:dyDescent="0.75">
      <c r="A82" s="972" t="s">
        <v>1047</v>
      </c>
      <c r="B82" s="1" t="s">
        <v>1197</v>
      </c>
      <c r="C82" s="587" t="s">
        <v>1032</v>
      </c>
      <c r="D82" s="509"/>
      <c r="E82" s="71"/>
      <c r="F82" s="71"/>
      <c r="G82" s="71"/>
      <c r="H82" s="71"/>
      <c r="I82" s="71"/>
      <c r="J82" s="71"/>
      <c r="K82" s="510"/>
      <c r="L82" s="98"/>
      <c r="M82" s="237"/>
      <c r="N82" s="99"/>
      <c r="O82" s="237"/>
      <c r="P82" s="99"/>
      <c r="Q82" s="237"/>
      <c r="R82" s="99"/>
      <c r="S82" s="237"/>
      <c r="T82" s="99"/>
      <c r="U82" s="237"/>
      <c r="V82" s="99"/>
      <c r="W82" s="237"/>
      <c r="X82" s="99"/>
      <c r="Y82" s="237"/>
      <c r="Z82" s="99"/>
      <c r="AA82" s="511"/>
      <c r="AB82" s="389"/>
      <c r="AC82" s="357"/>
      <c r="AD82" s="357"/>
      <c r="AE82" s="357"/>
      <c r="AF82" s="357"/>
      <c r="AG82" s="357"/>
      <c r="AH82" s="357"/>
      <c r="AI82" s="314"/>
      <c r="AJ82" s="189">
        <f t="shared" si="16"/>
        <v>0</v>
      </c>
      <c r="AK82" s="30" t="str">
        <f>CONCATENATE(IF(D84&gt;D82," * RITA RECENT PMTCT POST ANC1 "&amp;$D$20&amp;" "&amp;$D$21&amp;" is more than RTRI RECENT PMTCT POST ANC1 "&amp;CHAR(10),""),IF(E84&gt;E82," * RITA RECENT PMTCT POST ANC1 "&amp;$D$20&amp;" "&amp;$E$21&amp;" is more than RTRI RECENT PMTCT POST ANC1 "&amp;CHAR(10),""),IF(F84&gt;F82," * RITA RECENT PMTCT POST ANC1 "&amp;$F$20&amp;" "&amp;$F$21&amp;" is more than RTRI RECENT PMTCT POST ANC1 "&amp;CHAR(10),""),IF(G84&gt;G82," * RITA RECENT PMTCT POST ANC1 "&amp;$F$20&amp;" "&amp;$G$21&amp;" is more than RTRI RECENT PMTCT POST ANC1 "&amp;CHAR(10),""),IF(H84&gt;H82," * RITA RECENT PMTCT POST ANC1 "&amp;$H$20&amp;" "&amp;$H$21&amp;" is more than RTRI RECENT PMTCT POST ANC1 "&amp;CHAR(10),""),IF(I84&gt;I82," * RITA RECENT PMTCT POST ANC1 "&amp;$H$20&amp;" "&amp;$I$21&amp;" is more than RTRI RECENT PMTCT POST ANC1 "&amp;CHAR(10),""),IF(J84&gt;J82," * RITA RECENT PMTCT POST ANC1 "&amp;$J$20&amp;" "&amp;$J$21&amp;" is more than RTRI RECENT PMTCT POST ANC1 "&amp;CHAR(10),""),IF(K84&gt;K82," * RITA RECENT PMTCT POST ANC1 "&amp;$J$20&amp;" "&amp;$K$21&amp;" is more than RTRI RECENT PMTCT POST ANC1 "&amp;CHAR(10),""),IF(L84&gt;L82," * RITA RECENT PMTCT POST ANC1 "&amp;$L$20&amp;" "&amp;$L$21&amp;" is more than RTRI RECENT PMTCT POST ANC1 "&amp;CHAR(10),""),IF(M84&gt;M82," * RITA RECENT PMTCT POST ANC1 "&amp;$L$20&amp;" "&amp;$M$21&amp;" is more than RTRI RECENT PMTCT POST ANC1 "&amp;CHAR(10),""),IF(N84&gt;N82," * RITA RECENT PMTCT POST ANC1 "&amp;$N$20&amp;" "&amp;$N$21&amp;" is more than RTRI RECENT PMTCT POST ANC1 "&amp;CHAR(10),""),IF(O84&gt;O82," * RITA RECENT PMTCT POST ANC1 "&amp;$N$20&amp;" "&amp;$O$21&amp;" is more than RTRI RECENT PMTCT POST ANC1 "&amp;CHAR(10),""),IF(P84&gt;P82," * RITA RECENT PMTCT POST ANC1 "&amp;$P$20&amp;" "&amp;$P$21&amp;" is more than RTRI RECENT PMTCT POST ANC1 "&amp;CHAR(10),""),IF(Q84&gt;Q82," * RITA RECENT PMTCT POST ANC1 "&amp;$P$20&amp;" "&amp;$Q$21&amp;" is more than RTRI RECENT PMTCT POST ANC1 "&amp;CHAR(10),""),IF(R84&gt;R82," * RITA RECENT PMTCT POST ANC1 "&amp;$R$20&amp;" "&amp;$R$21&amp;" is more than RTRI RECENT PMTCT POST ANC1 "&amp;CHAR(10),""),IF(S84&gt;S82," * RITA RECENT PMTCT POST ANC1 "&amp;$R$20&amp;" "&amp;$S$21&amp;" is more than RTRI RECENT PMTCT POST ANC1 "&amp;CHAR(10),""),IF(T84&gt;T82," * RITA RECENT PMTCT POST ANC1 "&amp;$T$20&amp;" "&amp;$T$21&amp;" is more than RTRI RECENT PMTCT POST ANC1 "&amp;CHAR(10),""),IF(U84&gt;U82," * RITA RECENT PMTCT POST ANC1 "&amp;$T$20&amp;" "&amp;$U$21&amp;" is more than RTRI RECENT PMTCT POST ANC1 "&amp;CHAR(10),""),IF(V84&gt;V82," * RITA RECENT PMTCT POST ANC1 "&amp;$V$20&amp;" "&amp;$V$21&amp;" is more than RTRI RECENT PMTCT POST ANC1 "&amp;CHAR(10),""),IF(W84&gt;W82," * RITA RECENT PMTCT POST ANC1 "&amp;$V$20&amp;" "&amp;$W$21&amp;" is more than RTRI RECENT PMTCT POST ANC1 "&amp;CHAR(10),""),IF(X84&gt;X82," * RITA RECENT PMTCT POST ANC1 "&amp;$X$20&amp;" "&amp;$X$21&amp;" is more than RTRI RECENT PMTCT POST ANC1 "&amp;CHAR(10),""),IF(Y84&gt;Y82," * RITA RECENT PMTCT POST ANC1 "&amp;$X$20&amp;" "&amp;$Y$21&amp;" is more than RTRI RECENT PMTCT POST ANC1 "&amp;CHAR(10),""),IF(Z84&gt;Z82," * RITA RECENT PMTCT POST ANC1 "&amp;$Z$20&amp;" "&amp;$Z$21&amp;" is more than RTRI RECENT PMTCT POST ANC1 "&amp;CHAR(10),""),IF(AA84&gt;AA82," * RITA RECENT PMTCT POST ANC1 "&amp;$Z$20&amp;" "&amp;$AA$21&amp;" is more than RTRI RECENT PMTCT POST ANC1 "&amp;CHAR(10),""))</f>
        <v/>
      </c>
      <c r="AL82" s="1275"/>
      <c r="AM82" s="31"/>
      <c r="AN82" s="369"/>
      <c r="AO82" s="13">
        <v>32</v>
      </c>
      <c r="AP82" s="81"/>
      <c r="AQ82" s="82"/>
    </row>
    <row r="83" spans="1:43" s="83" customFormat="1" ht="25.9" hidden="1" thickBot="1" x14ac:dyDescent="0.8">
      <c r="A83" s="973"/>
      <c r="B83" s="370" t="s">
        <v>1198</v>
      </c>
      <c r="C83" s="584" t="s">
        <v>1033</v>
      </c>
      <c r="D83" s="135"/>
      <c r="E83" s="78"/>
      <c r="F83" s="78"/>
      <c r="G83" s="78"/>
      <c r="H83" s="78"/>
      <c r="I83" s="78"/>
      <c r="J83" s="78"/>
      <c r="K83" s="384"/>
      <c r="L83" s="77"/>
      <c r="M83" s="141"/>
      <c r="N83" s="78"/>
      <c r="O83" s="141"/>
      <c r="P83" s="78"/>
      <c r="Q83" s="141"/>
      <c r="R83" s="78"/>
      <c r="S83" s="141"/>
      <c r="T83" s="78"/>
      <c r="U83" s="141"/>
      <c r="V83" s="78"/>
      <c r="W83" s="141"/>
      <c r="X83" s="78"/>
      <c r="Y83" s="141"/>
      <c r="Z83" s="78"/>
      <c r="AA83" s="512"/>
      <c r="AB83" s="389"/>
      <c r="AC83" s="357"/>
      <c r="AD83" s="357"/>
      <c r="AE83" s="357"/>
      <c r="AF83" s="357"/>
      <c r="AG83" s="357"/>
      <c r="AH83" s="357"/>
      <c r="AI83" s="314"/>
      <c r="AJ83" s="193">
        <f t="shared" si="16"/>
        <v>0</v>
      </c>
      <c r="AK83" s="30" t="str">
        <f>CONCATENATE(IF(D85&gt;D83," * RITA Long-Term PMTCT POST ANC1  "&amp;$D$20&amp;" "&amp;$D$21&amp;" is more than RTRI Long-Term PMTCT POST ANC1  "&amp;CHAR(10),""),IF(E85&gt;E83," * RITA Long-Term PMTCT POST ANC1  "&amp;$D$20&amp;" "&amp;$E$21&amp;" is more than RTRI Long-Term PMTCT POST ANC1  "&amp;CHAR(10),""),IF(F85&gt;F83," * RITA Long-Term PMTCT POST ANC1  "&amp;$F$20&amp;" "&amp;$F$21&amp;" is more than RTRI Long-Term PMTCT POST ANC1  "&amp;CHAR(10),""),IF(G85&gt;G83," * RITA Long-Term PMTCT POST ANC1  "&amp;$F$20&amp;" "&amp;$G$21&amp;" is more than RTRI Long-Term PMTCT POST ANC1  "&amp;CHAR(10),""),IF(H85&gt;H83," * RITA Long-Term PMTCT POST ANC1  "&amp;$H$20&amp;" "&amp;$H$21&amp;" is more than RTRI Long-Term PMTCT POST ANC1  "&amp;CHAR(10),""),IF(I85&gt;I83," * RITA Long-Term PMTCT POST ANC1  "&amp;$H$20&amp;" "&amp;$I$21&amp;" is more than RTRI Long-Term PMTCT POST ANC1  "&amp;CHAR(10),""),IF(J85&gt;J83," * RITA Long-Term PMTCT POST ANC1  "&amp;$J$20&amp;" "&amp;$J$21&amp;" is more than RTRI Long-Term PMTCT POST ANC1  "&amp;CHAR(10),""),IF(K85&gt;K83," * RITA Long-Term PMTCT POST ANC1  "&amp;$J$20&amp;" "&amp;$K$21&amp;" is more than RTRI Long-Term PMTCT POST ANC1  "&amp;CHAR(10),""),IF(L85&gt;L83," * RITA Long-Term PMTCT POST ANC1  "&amp;$L$20&amp;" "&amp;$L$21&amp;" is more than RTRI Long-Term PMTCT POST ANC1  "&amp;CHAR(10),""),IF(M85&gt;M83," * RITA Long-Term PMTCT POST ANC1  "&amp;$L$20&amp;" "&amp;$M$21&amp;" is more than RTRI Long-Term PMTCT POST ANC1  "&amp;CHAR(10),""),IF(N85&gt;N83," * RITA Long-Term PMTCT POST ANC1  "&amp;$N$20&amp;" "&amp;$N$21&amp;" is more than RTRI Long-Term PMTCT POST ANC1  "&amp;CHAR(10),""),IF(O85&gt;O83," * RITA Long-Term PMTCT POST ANC1  "&amp;$N$20&amp;" "&amp;$O$21&amp;" is more than RTRI Long-Term PMTCT POST ANC1  "&amp;CHAR(10),""),IF(P85&gt;P83," * RITA Long-Term PMTCT POST ANC1  "&amp;$P$20&amp;" "&amp;$P$21&amp;" is more than RTRI Long-Term PMTCT POST ANC1  "&amp;CHAR(10),""),IF(Q85&gt;Q83," * RITA Long-Term PMTCT POST ANC1  "&amp;$P$20&amp;" "&amp;$Q$21&amp;" is more than RTRI Long-Term PMTCT POST ANC1  "&amp;CHAR(10),""),IF(R85&gt;R83," * RITA Long-Term PMTCT POST ANC1  "&amp;$R$20&amp;" "&amp;$R$21&amp;" is more than RTRI Long-Term PMTCT POST ANC1  "&amp;CHAR(10),""),IF(S85&gt;S83," * RITA Long-Term PMTCT POST ANC1  "&amp;$R$20&amp;" "&amp;$S$21&amp;" is more than RTRI Long-Term PMTCT POST ANC1  "&amp;CHAR(10),""),IF(T85&gt;T83," * RITA Long-Term PMTCT POST ANC1  "&amp;$T$20&amp;" "&amp;$T$21&amp;" is more than RTRI Long-Term PMTCT POST ANC1  "&amp;CHAR(10),""),IF(U85&gt;U83," * RITA Long-Term PMTCT POST ANC1  "&amp;$T$20&amp;" "&amp;$U$21&amp;" is more than RTRI Long-Term PMTCT POST ANC1  "&amp;CHAR(10),""),IF(V85&gt;V83," * RITA Long-Term PMTCT POST ANC1  "&amp;$V$20&amp;" "&amp;$V$21&amp;" is more than RTRI Long-Term PMTCT POST ANC1  "&amp;CHAR(10),""),IF(W85&gt;W83," * RITA Long-Term PMTCT POST ANC1  "&amp;$V$20&amp;" "&amp;$W$21&amp;" is more than RTRI Long-Term PMTCT POST ANC1  "&amp;CHAR(10),""),IF(X85&gt;X83," * RITA Long-Term PMTCT POST ANC1  "&amp;$X$20&amp;" "&amp;$X$21&amp;" is more than RTRI Long-Term PMTCT POST ANC1  "&amp;CHAR(10),""),IF(Y85&gt;Y83," * RITA Long-Term PMTCT POST ANC1  "&amp;$X$20&amp;" "&amp;$Y$21&amp;" is more than RTRI Long-Term PMTCT POST ANC1  "&amp;CHAR(10),""),IF(Z85&gt;Z83," * RITA Long-Term PMTCT POST ANC1  "&amp;$Z$20&amp;" "&amp;$Z$21&amp;" is more than RTRI Long-Term PMTCT POST ANC1  "&amp;CHAR(10),""),IF(AA85&gt;AA83," * RITA Long-Term PMTCT POST ANC1  "&amp;$Z$20&amp;" "&amp;$AA$21&amp;" is more than RTRI Long-Term PMTCT POST ANC1  "&amp;CHAR(10),""))</f>
        <v/>
      </c>
      <c r="AL83" s="1275"/>
      <c r="AM83" s="31"/>
      <c r="AN83" s="369"/>
      <c r="AO83" s="13">
        <v>33</v>
      </c>
      <c r="AP83" s="81"/>
      <c r="AQ83" s="82"/>
    </row>
    <row r="84" spans="1:43" s="83" customFormat="1" ht="25.5" hidden="1" x14ac:dyDescent="0.75">
      <c r="A84" s="973"/>
      <c r="B84" s="1" t="s">
        <v>1199</v>
      </c>
      <c r="C84" s="584" t="s">
        <v>1207</v>
      </c>
      <c r="D84" s="135"/>
      <c r="E84" s="78"/>
      <c r="F84" s="78"/>
      <c r="G84" s="78"/>
      <c r="H84" s="78"/>
      <c r="I84" s="78"/>
      <c r="J84" s="78"/>
      <c r="K84" s="384"/>
      <c r="L84" s="77"/>
      <c r="M84" s="237"/>
      <c r="N84" s="78"/>
      <c r="O84" s="237"/>
      <c r="P84" s="78"/>
      <c r="Q84" s="237"/>
      <c r="R84" s="78"/>
      <c r="S84" s="237"/>
      <c r="T84" s="78"/>
      <c r="U84" s="237"/>
      <c r="V84" s="78"/>
      <c r="W84" s="237"/>
      <c r="X84" s="78"/>
      <c r="Y84" s="237"/>
      <c r="Z84" s="78"/>
      <c r="AA84" s="511"/>
      <c r="AB84" s="389"/>
      <c r="AC84" s="357"/>
      <c r="AD84" s="357"/>
      <c r="AE84" s="357"/>
      <c r="AF84" s="357"/>
      <c r="AG84" s="357"/>
      <c r="AH84" s="357"/>
      <c r="AI84" s="314"/>
      <c r="AJ84" s="185"/>
      <c r="AK84" s="30"/>
      <c r="AL84" s="1275"/>
      <c r="AM84" s="31"/>
      <c r="AN84" s="369"/>
      <c r="AO84" s="13"/>
      <c r="AP84" s="81"/>
      <c r="AQ84" s="82"/>
    </row>
    <row r="85" spans="1:43" s="83" customFormat="1" ht="25.9" hidden="1" thickBot="1" x14ac:dyDescent="0.8">
      <c r="A85" s="974"/>
      <c r="B85" s="370" t="s">
        <v>1200</v>
      </c>
      <c r="C85" s="584" t="s">
        <v>1208</v>
      </c>
      <c r="D85" s="508"/>
      <c r="E85" s="120"/>
      <c r="F85" s="120"/>
      <c r="G85" s="120"/>
      <c r="H85" s="120"/>
      <c r="I85" s="120"/>
      <c r="J85" s="120"/>
      <c r="K85" s="408"/>
      <c r="L85" s="103"/>
      <c r="M85" s="141"/>
      <c r="N85" s="102"/>
      <c r="O85" s="141"/>
      <c r="P85" s="102"/>
      <c r="Q85" s="141"/>
      <c r="R85" s="102"/>
      <c r="S85" s="141"/>
      <c r="T85" s="102"/>
      <c r="U85" s="141"/>
      <c r="V85" s="102"/>
      <c r="W85" s="141"/>
      <c r="X85" s="102"/>
      <c r="Y85" s="141"/>
      <c r="Z85" s="102"/>
      <c r="AA85" s="512"/>
      <c r="AB85" s="389"/>
      <c r="AC85" s="357"/>
      <c r="AD85" s="357"/>
      <c r="AE85" s="357"/>
      <c r="AF85" s="357"/>
      <c r="AG85" s="357"/>
      <c r="AH85" s="357"/>
      <c r="AI85" s="314"/>
      <c r="AJ85" s="185"/>
      <c r="AK85" s="30"/>
      <c r="AL85" s="1275"/>
      <c r="AM85" s="31"/>
      <c r="AN85" s="369"/>
      <c r="AO85" s="13"/>
      <c r="AP85" s="81"/>
      <c r="AQ85" s="82"/>
    </row>
    <row r="86" spans="1:43" s="83" customFormat="1" ht="25.5" hidden="1" customHeight="1" x14ac:dyDescent="0.75">
      <c r="A86" s="972" t="s">
        <v>1040</v>
      </c>
      <c r="B86" s="1" t="s">
        <v>1197</v>
      </c>
      <c r="C86" s="584" t="s">
        <v>1034</v>
      </c>
      <c r="D86" s="134"/>
      <c r="E86" s="99"/>
      <c r="F86" s="99"/>
      <c r="G86" s="99"/>
      <c r="H86" s="99"/>
      <c r="I86" s="99"/>
      <c r="J86" s="99"/>
      <c r="K86" s="377"/>
      <c r="L86" s="237"/>
      <c r="M86" s="237"/>
      <c r="N86" s="237"/>
      <c r="O86" s="237"/>
      <c r="P86" s="237"/>
      <c r="Q86" s="237"/>
      <c r="R86" s="237"/>
      <c r="S86" s="237"/>
      <c r="T86" s="237"/>
      <c r="U86" s="237"/>
      <c r="V86" s="237"/>
      <c r="W86" s="237"/>
      <c r="X86" s="237"/>
      <c r="Y86" s="237"/>
      <c r="Z86" s="237"/>
      <c r="AA86" s="237"/>
      <c r="AB86" s="389"/>
      <c r="AC86" s="357"/>
      <c r="AD86" s="357"/>
      <c r="AE86" s="357"/>
      <c r="AF86" s="357"/>
      <c r="AG86" s="357"/>
      <c r="AH86" s="357"/>
      <c r="AI86" s="314"/>
      <c r="AJ86" s="189">
        <f t="shared" si="16"/>
        <v>0</v>
      </c>
      <c r="AK86" s="30" t="str">
        <f>CONCATENATE(IF(D88&gt;D86," * RITA RECENT STI Clinic "&amp;$D$20&amp;" "&amp;$D$21&amp;" is more than RTRI RECENT STI Clinic "&amp;CHAR(10),""),IF(E88&gt;E86," * RITA RECENT STI Clinic "&amp;$D$20&amp;" "&amp;$E$21&amp;" is more than RTRI RECENT STI Clinic "&amp;CHAR(10),""),IF(F88&gt;F86," * RITA RECENT STI Clinic "&amp;$F$20&amp;" "&amp;$F$21&amp;" is more than RTRI RECENT STI Clinic "&amp;CHAR(10),""),IF(G88&gt;G86," * RITA RECENT STI Clinic "&amp;$F$20&amp;" "&amp;$G$21&amp;" is more than RTRI RECENT STI Clinic "&amp;CHAR(10),""),IF(H88&gt;H86," * RITA RECENT STI Clinic "&amp;$H$20&amp;" "&amp;$H$21&amp;" is more than RTRI RECENT STI Clinic "&amp;CHAR(10),""),IF(I88&gt;I86," * RITA RECENT STI Clinic "&amp;$H$20&amp;" "&amp;$I$21&amp;" is more than RTRI RECENT STI Clinic "&amp;CHAR(10),""),IF(J88&gt;J86," * RITA RECENT STI Clinic "&amp;$J$20&amp;" "&amp;$J$21&amp;" is more than RTRI RECENT STI Clinic "&amp;CHAR(10),""),IF(K88&gt;K86," * RITA RECENT STI Clinic "&amp;$J$20&amp;" "&amp;$K$21&amp;" is more than RTRI RECENT STI Clinic "&amp;CHAR(10),""),IF(L88&gt;L86," * RITA RECENT STI Clinic "&amp;$L$20&amp;" "&amp;$L$21&amp;" is more than RTRI RECENT STI Clinic "&amp;CHAR(10),""),IF(M88&gt;M86," * RITA RECENT STI Clinic "&amp;$L$20&amp;" "&amp;$M$21&amp;" is more than RTRI RECENT STI Clinic "&amp;CHAR(10),""),IF(N88&gt;N86," * RITA RECENT STI Clinic "&amp;$N$20&amp;" "&amp;$N$21&amp;" is more than RTRI RECENT STI Clinic "&amp;CHAR(10),""),IF(O88&gt;O86," * RITA RECENT STI Clinic "&amp;$N$20&amp;" "&amp;$O$21&amp;" is more than RTRI RECENT STI Clinic "&amp;CHAR(10),""),IF(P88&gt;P86," * RITA RECENT STI Clinic "&amp;$P$20&amp;" "&amp;$P$21&amp;" is more than RTRI RECENT STI Clinic "&amp;CHAR(10),""),IF(Q88&gt;Q86," * RITA RECENT STI Clinic "&amp;$P$20&amp;" "&amp;$Q$21&amp;" is more than RTRI RECENT STI Clinic "&amp;CHAR(10),""),IF(R88&gt;R86," * RITA RECENT STI Clinic "&amp;$R$20&amp;" "&amp;$R$21&amp;" is more than RTRI RECENT STI Clinic "&amp;CHAR(10),""),IF(S88&gt;S86," * RITA RECENT STI Clinic "&amp;$R$20&amp;" "&amp;$S$21&amp;" is more than RTRI RECENT STI Clinic "&amp;CHAR(10),""),IF(T88&gt;T86," * RITA RECENT STI Clinic "&amp;$T$20&amp;" "&amp;$T$21&amp;" is more than RTRI RECENT STI Clinic "&amp;CHAR(10),""),IF(U88&gt;U86," * RITA RECENT STI Clinic "&amp;$T$20&amp;" "&amp;$U$21&amp;" is more than RTRI RECENT STI Clinic "&amp;CHAR(10),""),IF(V88&gt;V86," * RITA RECENT STI Clinic "&amp;$V$20&amp;" "&amp;$V$21&amp;" is more than RTRI RECENT STI Clinic "&amp;CHAR(10),""),IF(W88&gt;W86," * RITA RECENT STI Clinic "&amp;$V$20&amp;" "&amp;$W$21&amp;" is more than RTRI RECENT STI Clinic "&amp;CHAR(10),""),IF(X88&gt;X86," * RITA RECENT STI Clinic "&amp;$X$20&amp;" "&amp;$X$21&amp;" is more than RTRI RECENT STI Clinic "&amp;CHAR(10),""),IF(Y88&gt;Y86," * RITA RECENT STI Clinic "&amp;$X$20&amp;" "&amp;$Y$21&amp;" is more than RTRI RECENT STI Clinic "&amp;CHAR(10),""),IF(Z88&gt;Z86," * RITA RECENT STI Clinic "&amp;$Z$20&amp;" "&amp;$Z$21&amp;" is more than RTRI RECENT STI Clinic "&amp;CHAR(10),""),IF(AA88&gt;AA86," * RITA RECENT STI Clinic "&amp;$Z$20&amp;" "&amp;$AA$21&amp;" is more than RTRI RECENT STI Clinic "&amp;CHAR(10),""))</f>
        <v/>
      </c>
      <c r="AL86" s="1275"/>
      <c r="AM86" s="31"/>
      <c r="AN86" s="369"/>
      <c r="AO86" s="13">
        <v>32</v>
      </c>
      <c r="AP86" s="81"/>
      <c r="AQ86" s="82"/>
    </row>
    <row r="87" spans="1:43" s="83" customFormat="1" ht="25.9" hidden="1" thickBot="1" x14ac:dyDescent="0.8">
      <c r="A87" s="973"/>
      <c r="B87" s="370" t="s">
        <v>1198</v>
      </c>
      <c r="C87" s="584" t="s">
        <v>1035</v>
      </c>
      <c r="D87" s="135"/>
      <c r="E87" s="78"/>
      <c r="F87" s="78"/>
      <c r="G87" s="78"/>
      <c r="H87" s="78"/>
      <c r="I87" s="78"/>
      <c r="J87" s="78"/>
      <c r="K87" s="384"/>
      <c r="L87" s="141"/>
      <c r="M87" s="141"/>
      <c r="N87" s="141"/>
      <c r="O87" s="141"/>
      <c r="P87" s="141"/>
      <c r="Q87" s="141"/>
      <c r="R87" s="141"/>
      <c r="S87" s="141"/>
      <c r="T87" s="141"/>
      <c r="U87" s="141"/>
      <c r="V87" s="141"/>
      <c r="W87" s="141"/>
      <c r="X87" s="141"/>
      <c r="Y87" s="141"/>
      <c r="Z87" s="141"/>
      <c r="AA87" s="141"/>
      <c r="AB87" s="389"/>
      <c r="AC87" s="357"/>
      <c r="AD87" s="357"/>
      <c r="AE87" s="357"/>
      <c r="AF87" s="357"/>
      <c r="AG87" s="357"/>
      <c r="AH87" s="357"/>
      <c r="AI87" s="314"/>
      <c r="AJ87" s="193">
        <f t="shared" si="16"/>
        <v>0</v>
      </c>
      <c r="AK87" s="30" t="str">
        <f>CONCATENATE(IF(D89&gt;D87," * RITA Long-Term STI Clinic  "&amp;$D$20&amp;" "&amp;$D$21&amp;" is more than RTRI Long-Term STI Clinic  "&amp;CHAR(10),""),IF(E89&gt;E87," * RITA Long-Term STI Clinic  "&amp;$D$20&amp;" "&amp;$E$21&amp;" is more than RTRI Long-Term STI Clinic  "&amp;CHAR(10),""),IF(F89&gt;F87," * RITA Long-Term STI Clinic  "&amp;$F$20&amp;" "&amp;$F$21&amp;" is more than RTRI Long-Term STI Clinic  "&amp;CHAR(10),""),IF(G89&gt;G87," * RITA Long-Term STI Clinic  "&amp;$F$20&amp;" "&amp;$G$21&amp;" is more than RTRI Long-Term STI Clinic  "&amp;CHAR(10),""),IF(H89&gt;H87," * RITA Long-Term STI Clinic  "&amp;$H$20&amp;" "&amp;$H$21&amp;" is more than RTRI Long-Term STI Clinic  "&amp;CHAR(10),""),IF(I89&gt;I87," * RITA Long-Term STI Clinic  "&amp;$H$20&amp;" "&amp;$I$21&amp;" is more than RTRI Long-Term STI Clinic  "&amp;CHAR(10),""),IF(J89&gt;J87," * RITA Long-Term STI Clinic  "&amp;$J$20&amp;" "&amp;$J$21&amp;" is more than RTRI Long-Term STI Clinic  "&amp;CHAR(10),""),IF(K89&gt;K87," * RITA Long-Term STI Clinic  "&amp;$J$20&amp;" "&amp;$K$21&amp;" is more than RTRI Long-Term STI Clinic  "&amp;CHAR(10),""),IF(L89&gt;L87," * RITA Long-Term STI Clinic  "&amp;$L$20&amp;" "&amp;$L$21&amp;" is more than RTRI Long-Term STI Clinic  "&amp;CHAR(10),""),IF(M89&gt;M87," * RITA Long-Term STI Clinic  "&amp;$L$20&amp;" "&amp;$M$21&amp;" is more than RTRI Long-Term STI Clinic  "&amp;CHAR(10),""),IF(N89&gt;N87," * RITA Long-Term STI Clinic  "&amp;$N$20&amp;" "&amp;$N$21&amp;" is more than RTRI Long-Term STI Clinic  "&amp;CHAR(10),""),IF(O89&gt;O87," * RITA Long-Term STI Clinic  "&amp;$N$20&amp;" "&amp;$O$21&amp;" is more than RTRI Long-Term STI Clinic  "&amp;CHAR(10),""),IF(P89&gt;P87," * RITA Long-Term STI Clinic  "&amp;$P$20&amp;" "&amp;$P$21&amp;" is more than RTRI Long-Term STI Clinic  "&amp;CHAR(10),""),IF(Q89&gt;Q87," * RITA Long-Term STI Clinic  "&amp;$P$20&amp;" "&amp;$Q$21&amp;" is more than RTRI Long-Term STI Clinic  "&amp;CHAR(10),""),IF(R89&gt;R87," * RITA Long-Term STI Clinic  "&amp;$R$20&amp;" "&amp;$R$21&amp;" is more than RTRI Long-Term STI Clinic  "&amp;CHAR(10),""),IF(S89&gt;S87," * RITA Long-Term STI Clinic  "&amp;$R$20&amp;" "&amp;$S$21&amp;" is more than RTRI Long-Term STI Clinic  "&amp;CHAR(10),""),IF(T89&gt;T87," * RITA Long-Term STI Clinic  "&amp;$T$20&amp;" "&amp;$T$21&amp;" is more than RTRI Long-Term STI Clinic  "&amp;CHAR(10),""),IF(U89&gt;U87," * RITA Long-Term STI Clinic  "&amp;$T$20&amp;" "&amp;$U$21&amp;" is more than RTRI Long-Term STI Clinic  "&amp;CHAR(10),""),IF(V89&gt;V87," * RITA Long-Term STI Clinic  "&amp;$V$20&amp;" "&amp;$V$21&amp;" is more than RTRI Long-Term STI Clinic  "&amp;CHAR(10),""),IF(W89&gt;W87," * RITA Long-Term STI Clinic  "&amp;$V$20&amp;" "&amp;$W$21&amp;" is more than RTRI Long-Term STI Clinic  "&amp;CHAR(10),""),IF(X89&gt;X87," * RITA Long-Term STI Clinic  "&amp;$X$20&amp;" "&amp;$X$21&amp;" is more than RTRI Long-Term STI Clinic  "&amp;CHAR(10),""),IF(Y89&gt;Y87," * RITA Long-Term STI Clinic  "&amp;$X$20&amp;" "&amp;$Y$21&amp;" is more than RTRI Long-Term STI Clinic  "&amp;CHAR(10),""),IF(Z89&gt;Z87," * RITA Long-Term STI Clinic  "&amp;$Z$20&amp;" "&amp;$Z$21&amp;" is more than RTRI Long-Term STI Clinic  "&amp;CHAR(10),""),IF(AA89&gt;AA87," * RITA Long-Term STI Clinic  "&amp;$Z$20&amp;" "&amp;$AA$21&amp;" is more than RTRI Long-Term STI Clinic  "&amp;CHAR(10),""))</f>
        <v/>
      </c>
      <c r="AL87" s="1275"/>
      <c r="AM87" s="31"/>
      <c r="AN87" s="369"/>
      <c r="AO87" s="13">
        <v>33</v>
      </c>
      <c r="AP87" s="81"/>
      <c r="AQ87" s="82"/>
    </row>
    <row r="88" spans="1:43" s="83" customFormat="1" ht="25.5" hidden="1" x14ac:dyDescent="0.75">
      <c r="A88" s="973"/>
      <c r="B88" s="1" t="s">
        <v>1199</v>
      </c>
      <c r="C88" s="584" t="s">
        <v>1209</v>
      </c>
      <c r="D88" s="135"/>
      <c r="E88" s="78"/>
      <c r="F88" s="78"/>
      <c r="G88" s="78"/>
      <c r="H88" s="78"/>
      <c r="I88" s="78"/>
      <c r="J88" s="78"/>
      <c r="K88" s="384"/>
      <c r="L88" s="237"/>
      <c r="M88" s="237"/>
      <c r="N88" s="237"/>
      <c r="O88" s="237"/>
      <c r="P88" s="237"/>
      <c r="Q88" s="237"/>
      <c r="R88" s="237"/>
      <c r="S88" s="237"/>
      <c r="T88" s="237"/>
      <c r="U88" s="237"/>
      <c r="V88" s="237"/>
      <c r="W88" s="237"/>
      <c r="X88" s="237"/>
      <c r="Y88" s="237"/>
      <c r="Z88" s="237"/>
      <c r="AA88" s="237"/>
      <c r="AB88" s="389"/>
      <c r="AC88" s="357"/>
      <c r="AD88" s="357"/>
      <c r="AE88" s="357"/>
      <c r="AF88" s="357"/>
      <c r="AG88" s="357"/>
      <c r="AH88" s="357"/>
      <c r="AI88" s="314"/>
      <c r="AJ88" s="185"/>
      <c r="AK88" s="30"/>
      <c r="AL88" s="1275"/>
      <c r="AM88" s="31"/>
      <c r="AN88" s="369"/>
      <c r="AO88" s="13"/>
      <c r="AP88" s="81"/>
      <c r="AQ88" s="82"/>
    </row>
    <row r="89" spans="1:43" s="83" customFormat="1" ht="25.9" hidden="1" thickBot="1" x14ac:dyDescent="0.8">
      <c r="A89" s="974"/>
      <c r="B89" s="370" t="s">
        <v>1200</v>
      </c>
      <c r="C89" s="584" t="s">
        <v>1210</v>
      </c>
      <c r="D89" s="119"/>
      <c r="E89" s="102"/>
      <c r="F89" s="102"/>
      <c r="G89" s="102"/>
      <c r="H89" s="102"/>
      <c r="I89" s="102"/>
      <c r="J89" s="102"/>
      <c r="K89" s="378"/>
      <c r="L89" s="250"/>
      <c r="M89" s="250"/>
      <c r="N89" s="250"/>
      <c r="O89" s="250"/>
      <c r="P89" s="250"/>
      <c r="Q89" s="250"/>
      <c r="R89" s="250"/>
      <c r="S89" s="250"/>
      <c r="T89" s="250"/>
      <c r="U89" s="250"/>
      <c r="V89" s="250"/>
      <c r="W89" s="250"/>
      <c r="X89" s="250"/>
      <c r="Y89" s="250"/>
      <c r="Z89" s="250"/>
      <c r="AA89" s="250"/>
      <c r="AB89" s="389"/>
      <c r="AC89" s="357"/>
      <c r="AD89" s="357"/>
      <c r="AE89" s="357"/>
      <c r="AF89" s="357"/>
      <c r="AG89" s="357"/>
      <c r="AH89" s="357"/>
      <c r="AI89" s="314"/>
      <c r="AJ89" s="185"/>
      <c r="AK89" s="30"/>
      <c r="AL89" s="1275"/>
      <c r="AM89" s="31"/>
      <c r="AN89" s="369"/>
      <c r="AO89" s="13"/>
      <c r="AP89" s="81"/>
      <c r="AQ89" s="82"/>
    </row>
    <row r="90" spans="1:43" s="83" customFormat="1" ht="25.5" hidden="1" customHeight="1" x14ac:dyDescent="0.75">
      <c r="A90" s="972" t="s">
        <v>1041</v>
      </c>
      <c r="B90" s="1" t="s">
        <v>1197</v>
      </c>
      <c r="C90" s="584" t="s">
        <v>1048</v>
      </c>
      <c r="D90" s="134"/>
      <c r="E90" s="99"/>
      <c r="F90" s="99"/>
      <c r="G90" s="99"/>
      <c r="H90" s="99"/>
      <c r="I90" s="99"/>
      <c r="J90" s="99"/>
      <c r="K90" s="377"/>
      <c r="L90" s="237"/>
      <c r="M90" s="237"/>
      <c r="N90" s="237"/>
      <c r="O90" s="237"/>
      <c r="P90" s="237"/>
      <c r="Q90" s="237"/>
      <c r="R90" s="237"/>
      <c r="S90" s="237"/>
      <c r="T90" s="237"/>
      <c r="U90" s="237"/>
      <c r="V90" s="237"/>
      <c r="W90" s="237"/>
      <c r="X90" s="237"/>
      <c r="Y90" s="237"/>
      <c r="Z90" s="237"/>
      <c r="AA90" s="237"/>
      <c r="AB90" s="389"/>
      <c r="AC90" s="357"/>
      <c r="AD90" s="357"/>
      <c r="AE90" s="357"/>
      <c r="AF90" s="357"/>
      <c r="AG90" s="357"/>
      <c r="AH90" s="357"/>
      <c r="AI90" s="314"/>
      <c r="AJ90" s="189">
        <f t="shared" si="16"/>
        <v>0</v>
      </c>
      <c r="AK90" s="30" t="str">
        <f>CONCATENATE(IF(D92&gt;D90," * RITA RECENT TB Clinics "&amp;$D$20&amp;" "&amp;$D$21&amp;" is more than RTRI RECENT TB Clinics "&amp;CHAR(10),""),IF(E92&gt;E90," * RITA RECENT TB Clinics "&amp;$D$20&amp;" "&amp;$E$21&amp;" is more than RTRI RECENT TB Clinics "&amp;CHAR(10),""),IF(F92&gt;F90," * RITA RECENT TB Clinics "&amp;$F$20&amp;" "&amp;$F$21&amp;" is more than RTRI RECENT TB Clinics "&amp;CHAR(10),""),IF(G92&gt;G90," * RITA RECENT TB Clinics "&amp;$F$20&amp;" "&amp;$G$21&amp;" is more than RTRI RECENT TB Clinics "&amp;CHAR(10),""),IF(H92&gt;H90," * RITA RECENT TB Clinics "&amp;$H$20&amp;" "&amp;$H$21&amp;" is more than RTRI RECENT TB Clinics "&amp;CHAR(10),""),IF(I92&gt;I90," * RITA RECENT TB Clinics "&amp;$H$20&amp;" "&amp;$I$21&amp;" is more than RTRI RECENT TB Clinics "&amp;CHAR(10),""),IF(J92&gt;J90," * RITA RECENT TB Clinics "&amp;$J$20&amp;" "&amp;$J$21&amp;" is more than RTRI RECENT TB Clinics "&amp;CHAR(10),""),IF(K92&gt;K90," * RITA RECENT TB Clinics "&amp;$J$20&amp;" "&amp;$K$21&amp;" is more than RTRI RECENT TB Clinics "&amp;CHAR(10),""),IF(L92&gt;L90," * RITA RECENT TB Clinics "&amp;$L$20&amp;" "&amp;$L$21&amp;" is more than RTRI RECENT TB Clinics "&amp;CHAR(10),""),IF(M92&gt;M90," * RITA RECENT TB Clinics "&amp;$L$20&amp;" "&amp;$M$21&amp;" is more than RTRI RECENT TB Clinics "&amp;CHAR(10),""),IF(N92&gt;N90," * RITA RECENT TB Clinics "&amp;$N$20&amp;" "&amp;$N$21&amp;" is more than RTRI RECENT TB Clinics "&amp;CHAR(10),""),IF(O92&gt;O90," * RITA RECENT TB Clinics "&amp;$N$20&amp;" "&amp;$O$21&amp;" is more than RTRI RECENT TB Clinics "&amp;CHAR(10),""),IF(P92&gt;P90," * RITA RECENT TB Clinics "&amp;$P$20&amp;" "&amp;$P$21&amp;" is more than RTRI RECENT TB Clinics "&amp;CHAR(10),""),IF(Q92&gt;Q90," * RITA RECENT TB Clinics "&amp;$P$20&amp;" "&amp;$Q$21&amp;" is more than RTRI RECENT TB Clinics "&amp;CHAR(10),""),IF(R92&gt;R90," * RITA RECENT TB Clinics "&amp;$R$20&amp;" "&amp;$R$21&amp;" is more than RTRI RECENT TB Clinics "&amp;CHAR(10),""),IF(S92&gt;S90," * RITA RECENT TB Clinics "&amp;$R$20&amp;" "&amp;$S$21&amp;" is more than RTRI RECENT TB Clinics "&amp;CHAR(10),""),IF(T92&gt;T90," * RITA RECENT TB Clinics "&amp;$T$20&amp;" "&amp;$T$21&amp;" is more than RTRI RECENT TB Clinics "&amp;CHAR(10),""),IF(U92&gt;U90," * RITA RECENT TB Clinics "&amp;$T$20&amp;" "&amp;$U$21&amp;" is more than RTRI RECENT TB Clinics "&amp;CHAR(10),""),IF(V92&gt;V90," * RITA RECENT TB Clinics "&amp;$V$20&amp;" "&amp;$V$21&amp;" is more than RTRI RECENT TB Clinics "&amp;CHAR(10),""),IF(W92&gt;W90," * RITA RECENT TB Clinics "&amp;$V$20&amp;" "&amp;$W$21&amp;" is more than RTRI RECENT TB Clinics "&amp;CHAR(10),""),IF(X92&gt;X90," * RITA RECENT TB Clinics "&amp;$X$20&amp;" "&amp;$X$21&amp;" is more than RTRI RECENT TB Clinics "&amp;CHAR(10),""),IF(Y92&gt;Y90," * RITA RECENT TB Clinics "&amp;$X$20&amp;" "&amp;$Y$21&amp;" is more than RTRI RECENT TB Clinics "&amp;CHAR(10),""),IF(Z92&gt;Z90," * RITA RECENT TB Clinics "&amp;$Z$20&amp;" "&amp;$Z$21&amp;" is more than RTRI RECENT TB Clinics "&amp;CHAR(10),""),IF(AA92&gt;AA90," * RITA RECENT TB Clinics "&amp;$Z$20&amp;" "&amp;$AA$21&amp;" is more than RTRI RECENT TB Clinics "&amp;CHAR(10),""))</f>
        <v/>
      </c>
      <c r="AL90" s="1275"/>
      <c r="AM90" s="31"/>
      <c r="AN90" s="369"/>
      <c r="AO90" s="13">
        <v>32</v>
      </c>
      <c r="AP90" s="81"/>
      <c r="AQ90" s="82"/>
    </row>
    <row r="91" spans="1:43" s="83" customFormat="1" ht="25.9" hidden="1" thickBot="1" x14ac:dyDescent="0.8">
      <c r="A91" s="973"/>
      <c r="B91" s="370" t="s">
        <v>1198</v>
      </c>
      <c r="C91" s="586" t="s">
        <v>1049</v>
      </c>
      <c r="D91" s="135"/>
      <c r="E91" s="78"/>
      <c r="F91" s="78"/>
      <c r="G91" s="78"/>
      <c r="H91" s="78"/>
      <c r="I91" s="78"/>
      <c r="J91" s="78"/>
      <c r="K91" s="384"/>
      <c r="L91" s="141"/>
      <c r="M91" s="141"/>
      <c r="N91" s="141"/>
      <c r="O91" s="141"/>
      <c r="P91" s="141"/>
      <c r="Q91" s="141"/>
      <c r="R91" s="141"/>
      <c r="S91" s="141"/>
      <c r="T91" s="141"/>
      <c r="U91" s="141"/>
      <c r="V91" s="141"/>
      <c r="W91" s="141"/>
      <c r="X91" s="141"/>
      <c r="Y91" s="141"/>
      <c r="Z91" s="141"/>
      <c r="AA91" s="141"/>
      <c r="AB91" s="389"/>
      <c r="AC91" s="357"/>
      <c r="AD91" s="357"/>
      <c r="AE91" s="357"/>
      <c r="AF91" s="357"/>
      <c r="AG91" s="357"/>
      <c r="AH91" s="357"/>
      <c r="AI91" s="314"/>
      <c r="AJ91" s="193">
        <f t="shared" si="16"/>
        <v>0</v>
      </c>
      <c r="AK91" s="30" t="str">
        <f>CONCATENATE(IF(D93&gt;D91," * RITA Long-Term TB Clinics  "&amp;$D$20&amp;" "&amp;$D$21&amp;" is more than RTRI Long-Term TB Clinics  "&amp;CHAR(10),""),IF(E93&gt;E91," * RITA Long-Term TB Clinics  "&amp;$D$20&amp;" "&amp;$E$21&amp;" is more than RTRI Long-Term TB Clinics  "&amp;CHAR(10),""),IF(F93&gt;F91," * RITA Long-Term TB Clinics  "&amp;$F$20&amp;" "&amp;$F$21&amp;" is more than RTRI Long-Term TB Clinics  "&amp;CHAR(10),""),IF(G93&gt;G91," * RITA Long-Term TB Clinics  "&amp;$F$20&amp;" "&amp;$G$21&amp;" is more than RTRI Long-Term TB Clinics  "&amp;CHAR(10),""),IF(H93&gt;H91," * RITA Long-Term TB Clinics  "&amp;$H$20&amp;" "&amp;$H$21&amp;" is more than RTRI Long-Term TB Clinics  "&amp;CHAR(10),""),IF(I93&gt;I91," * RITA Long-Term TB Clinics  "&amp;$H$20&amp;" "&amp;$I$21&amp;" is more than RTRI Long-Term TB Clinics  "&amp;CHAR(10),""),IF(J93&gt;J91," * RITA Long-Term TB Clinics  "&amp;$J$20&amp;" "&amp;$J$21&amp;" is more than RTRI Long-Term TB Clinics  "&amp;CHAR(10),""),IF(K93&gt;K91," * RITA Long-Term TB Clinics  "&amp;$J$20&amp;" "&amp;$K$21&amp;" is more than RTRI Long-Term TB Clinics  "&amp;CHAR(10),""),IF(L93&gt;L91," * RITA Long-Term TB Clinics  "&amp;$L$20&amp;" "&amp;$L$21&amp;" is more than RTRI Long-Term TB Clinics  "&amp;CHAR(10),""),IF(M93&gt;M91," * RITA Long-Term TB Clinics  "&amp;$L$20&amp;" "&amp;$M$21&amp;" is more than RTRI Long-Term TB Clinics  "&amp;CHAR(10),""),IF(N93&gt;N91," * RITA Long-Term TB Clinics  "&amp;$N$20&amp;" "&amp;$N$21&amp;" is more than RTRI Long-Term TB Clinics  "&amp;CHAR(10),""),IF(O93&gt;O91," * RITA Long-Term TB Clinics  "&amp;$N$20&amp;" "&amp;$O$21&amp;" is more than RTRI Long-Term TB Clinics  "&amp;CHAR(10),""),IF(P93&gt;P91," * RITA Long-Term TB Clinics  "&amp;$P$20&amp;" "&amp;$P$21&amp;" is more than RTRI Long-Term TB Clinics  "&amp;CHAR(10),""),IF(Q93&gt;Q91," * RITA Long-Term TB Clinics  "&amp;$P$20&amp;" "&amp;$Q$21&amp;" is more than RTRI Long-Term TB Clinics  "&amp;CHAR(10),""),IF(R93&gt;R91," * RITA Long-Term TB Clinics  "&amp;$R$20&amp;" "&amp;$R$21&amp;" is more than RTRI Long-Term TB Clinics  "&amp;CHAR(10),""),IF(S93&gt;S91," * RITA Long-Term TB Clinics  "&amp;$R$20&amp;" "&amp;$S$21&amp;" is more than RTRI Long-Term TB Clinics  "&amp;CHAR(10),""),IF(T93&gt;T91," * RITA Long-Term TB Clinics  "&amp;$T$20&amp;" "&amp;$T$21&amp;" is more than RTRI Long-Term TB Clinics  "&amp;CHAR(10),""),IF(U93&gt;U91," * RITA Long-Term TB Clinics  "&amp;$T$20&amp;" "&amp;$U$21&amp;" is more than RTRI Long-Term TB Clinics  "&amp;CHAR(10),""),IF(V93&gt;V91," * RITA Long-Term TB Clinics  "&amp;$V$20&amp;" "&amp;$V$21&amp;" is more than RTRI Long-Term TB Clinics  "&amp;CHAR(10),""),IF(W93&gt;W91," * RITA Long-Term TB Clinics  "&amp;$V$20&amp;" "&amp;$W$21&amp;" is more than RTRI Long-Term TB Clinics  "&amp;CHAR(10),""),IF(X93&gt;X91," * RITA Long-Term TB Clinics  "&amp;$X$20&amp;" "&amp;$X$21&amp;" is more than RTRI Long-Term TB Clinics  "&amp;CHAR(10),""),IF(Y93&gt;Y91," * RITA Long-Term TB Clinics  "&amp;$X$20&amp;" "&amp;$Y$21&amp;" is more than RTRI Long-Term TB Clinics  "&amp;CHAR(10),""),IF(Z93&gt;Z91," * RITA Long-Term TB Clinics  "&amp;$Z$20&amp;" "&amp;$Z$21&amp;" is more than RTRI Long-Term TB Clinics  "&amp;CHAR(10),""),IF(AA93&gt;AA91," * RITA Long-Term TB Clinics  "&amp;$Z$20&amp;" "&amp;$AA$21&amp;" is more than RTRI Long-Term TB Clinics  "&amp;CHAR(10),""))</f>
        <v/>
      </c>
      <c r="AL91" s="1275"/>
      <c r="AM91" s="31"/>
      <c r="AN91" s="369"/>
      <c r="AO91" s="13">
        <v>33</v>
      </c>
      <c r="AP91" s="81"/>
      <c r="AQ91" s="82"/>
    </row>
    <row r="92" spans="1:43" s="83" customFormat="1" ht="25.5" hidden="1" x14ac:dyDescent="0.75">
      <c r="A92" s="973"/>
      <c r="B92" s="1" t="s">
        <v>1199</v>
      </c>
      <c r="C92" s="584" t="s">
        <v>1211</v>
      </c>
      <c r="D92" s="135"/>
      <c r="E92" s="78"/>
      <c r="F92" s="78"/>
      <c r="G92" s="78"/>
      <c r="H92" s="78"/>
      <c r="I92" s="78"/>
      <c r="J92" s="78"/>
      <c r="K92" s="384"/>
      <c r="L92" s="237"/>
      <c r="M92" s="237"/>
      <c r="N92" s="237"/>
      <c r="O92" s="237"/>
      <c r="P92" s="237"/>
      <c r="Q92" s="237"/>
      <c r="R92" s="237"/>
      <c r="S92" s="237"/>
      <c r="T92" s="237"/>
      <c r="U92" s="237"/>
      <c r="V92" s="237"/>
      <c r="W92" s="237"/>
      <c r="X92" s="237"/>
      <c r="Y92" s="237"/>
      <c r="Z92" s="237"/>
      <c r="AA92" s="237"/>
      <c r="AB92" s="389"/>
      <c r="AC92" s="357"/>
      <c r="AD92" s="357"/>
      <c r="AE92" s="357"/>
      <c r="AF92" s="357"/>
      <c r="AG92" s="357"/>
      <c r="AH92" s="357"/>
      <c r="AI92" s="314"/>
      <c r="AJ92" s="185"/>
      <c r="AK92" s="30"/>
      <c r="AL92" s="1275"/>
      <c r="AM92" s="31"/>
      <c r="AN92" s="369"/>
      <c r="AO92" s="13"/>
      <c r="AP92" s="81"/>
      <c r="AQ92" s="82"/>
    </row>
    <row r="93" spans="1:43" s="83" customFormat="1" ht="25.9" hidden="1" thickBot="1" x14ac:dyDescent="0.8">
      <c r="A93" s="974"/>
      <c r="B93" s="370" t="s">
        <v>1200</v>
      </c>
      <c r="C93" s="586" t="s">
        <v>1212</v>
      </c>
      <c r="D93" s="119"/>
      <c r="E93" s="102"/>
      <c r="F93" s="102"/>
      <c r="G93" s="102"/>
      <c r="H93" s="102"/>
      <c r="I93" s="102"/>
      <c r="J93" s="102"/>
      <c r="K93" s="378"/>
      <c r="L93" s="250"/>
      <c r="M93" s="250"/>
      <c r="N93" s="250"/>
      <c r="O93" s="250"/>
      <c r="P93" s="250"/>
      <c r="Q93" s="250"/>
      <c r="R93" s="250"/>
      <c r="S93" s="250"/>
      <c r="T93" s="250"/>
      <c r="U93" s="250"/>
      <c r="V93" s="250"/>
      <c r="W93" s="250"/>
      <c r="X93" s="250"/>
      <c r="Y93" s="250"/>
      <c r="Z93" s="250"/>
      <c r="AA93" s="250"/>
      <c r="AB93" s="389"/>
      <c r="AC93" s="357"/>
      <c r="AD93" s="357"/>
      <c r="AE93" s="357"/>
      <c r="AF93" s="357"/>
      <c r="AG93" s="357"/>
      <c r="AH93" s="357"/>
      <c r="AI93" s="314"/>
      <c r="AJ93" s="185"/>
      <c r="AK93" s="30"/>
      <c r="AL93" s="1275"/>
      <c r="AM93" s="31"/>
      <c r="AN93" s="369"/>
      <c r="AO93" s="13"/>
      <c r="AP93" s="81"/>
      <c r="AQ93" s="82"/>
    </row>
    <row r="94" spans="1:43" s="83" customFormat="1" ht="25.5" hidden="1" customHeight="1" x14ac:dyDescent="0.75">
      <c r="A94" s="972" t="s">
        <v>1042</v>
      </c>
      <c r="B94" s="1" t="s">
        <v>1197</v>
      </c>
      <c r="C94" s="584" t="s">
        <v>1050</v>
      </c>
      <c r="D94" s="134"/>
      <c r="E94" s="99"/>
      <c r="F94" s="99"/>
      <c r="G94" s="99"/>
      <c r="H94" s="99"/>
      <c r="I94" s="99"/>
      <c r="J94" s="99"/>
      <c r="K94" s="377"/>
      <c r="L94" s="237"/>
      <c r="M94" s="237"/>
      <c r="N94" s="237"/>
      <c r="O94" s="237"/>
      <c r="P94" s="237"/>
      <c r="Q94" s="237"/>
      <c r="R94" s="237"/>
      <c r="S94" s="237"/>
      <c r="T94" s="237"/>
      <c r="U94" s="237"/>
      <c r="V94" s="237"/>
      <c r="W94" s="237"/>
      <c r="X94" s="237"/>
      <c r="Y94" s="237"/>
      <c r="Z94" s="237"/>
      <c r="AA94" s="237"/>
      <c r="AB94" s="389"/>
      <c r="AC94" s="357"/>
      <c r="AD94" s="357"/>
      <c r="AE94" s="357"/>
      <c r="AF94" s="357"/>
      <c r="AG94" s="357"/>
      <c r="AH94" s="357"/>
      <c r="AI94" s="314"/>
      <c r="AJ94" s="189">
        <f t="shared" si="16"/>
        <v>0</v>
      </c>
      <c r="AK94" s="30" t="str">
        <f>CONCATENATE(IF(D96&gt;D94," * RITA RECENT VCT "&amp;$D$20&amp;" "&amp;$D$21&amp;" is more than RTRI RECENT VCT "&amp;CHAR(10),""),IF(E96&gt;E94," * RITA RECENT VCT "&amp;$D$20&amp;" "&amp;$E$21&amp;" is more than RTRI RECENT VCT "&amp;CHAR(10),""),IF(F96&gt;F94," * RITA RECENT VCT "&amp;$F$20&amp;" "&amp;$F$21&amp;" is more than RTRI RECENT VCT "&amp;CHAR(10),""),IF(G96&gt;G94," * RITA RECENT VCT "&amp;$F$20&amp;" "&amp;$G$21&amp;" is more than RTRI RECENT VCT "&amp;CHAR(10),""),IF(H96&gt;H94," * RITA RECENT VCT "&amp;$H$20&amp;" "&amp;$H$21&amp;" is more than RTRI RECENT VCT "&amp;CHAR(10),""),IF(I96&gt;I94," * RITA RECENT VCT "&amp;$H$20&amp;" "&amp;$I$21&amp;" is more than RTRI RECENT VCT "&amp;CHAR(10),""),IF(J96&gt;J94," * RITA RECENT VCT "&amp;$J$20&amp;" "&amp;$J$21&amp;" is more than RTRI RECENT VCT "&amp;CHAR(10),""),IF(K96&gt;K94," * RITA RECENT VCT "&amp;$J$20&amp;" "&amp;$K$21&amp;" is more than RTRI RECENT VCT "&amp;CHAR(10),""),IF(L96&gt;L94," * RITA RECENT VCT "&amp;$L$20&amp;" "&amp;$L$21&amp;" is more than RTRI RECENT VCT "&amp;CHAR(10),""),IF(M96&gt;M94," * RITA RECENT VCT "&amp;$L$20&amp;" "&amp;$M$21&amp;" is more than RTRI RECENT VCT "&amp;CHAR(10),""),IF(N96&gt;N94," * RITA RECENT VCT "&amp;$N$20&amp;" "&amp;$N$21&amp;" is more than RTRI RECENT VCT "&amp;CHAR(10),""),IF(O96&gt;O94," * RITA RECENT VCT "&amp;$N$20&amp;" "&amp;$O$21&amp;" is more than RTRI RECENT VCT "&amp;CHAR(10),""),IF(P96&gt;P94," * RITA RECENT VCT "&amp;$P$20&amp;" "&amp;$P$21&amp;" is more than RTRI RECENT VCT "&amp;CHAR(10),""),IF(Q96&gt;Q94," * RITA RECENT VCT "&amp;$P$20&amp;" "&amp;$Q$21&amp;" is more than RTRI RECENT VCT "&amp;CHAR(10),""),IF(R96&gt;R94," * RITA RECENT VCT "&amp;$R$20&amp;" "&amp;$R$21&amp;" is more than RTRI RECENT VCT "&amp;CHAR(10),""),IF(S96&gt;S94," * RITA RECENT VCT "&amp;$R$20&amp;" "&amp;$S$21&amp;" is more than RTRI RECENT VCT "&amp;CHAR(10),""),IF(T96&gt;T94," * RITA RECENT VCT "&amp;$T$20&amp;" "&amp;$T$21&amp;" is more than RTRI RECENT VCT "&amp;CHAR(10),""),IF(U96&gt;U94," * RITA RECENT VCT "&amp;$T$20&amp;" "&amp;$U$21&amp;" is more than RTRI RECENT VCT "&amp;CHAR(10),""),IF(V96&gt;V94," * RITA RECENT VCT "&amp;$V$20&amp;" "&amp;$V$21&amp;" is more than RTRI RECENT VCT "&amp;CHAR(10),""),IF(W96&gt;W94," * RITA RECENT VCT "&amp;$V$20&amp;" "&amp;$W$21&amp;" is more than RTRI RECENT VCT "&amp;CHAR(10),""),IF(X96&gt;X94," * RITA RECENT VCT "&amp;$X$20&amp;" "&amp;$X$21&amp;" is more than RTRI RECENT VCT "&amp;CHAR(10),""),IF(Y96&gt;Y94," * RITA RECENT VCT "&amp;$X$20&amp;" "&amp;$Y$21&amp;" is more than RTRI RECENT VCT "&amp;CHAR(10),""),IF(Z96&gt;Z94," * RITA RECENT VCT "&amp;$Z$20&amp;" "&amp;$Z$21&amp;" is more than RTRI RECENT VCT "&amp;CHAR(10),""),IF(AA96&gt;AA94," * RITA RECENT VCT "&amp;$Z$20&amp;" "&amp;$AA$21&amp;" is more than RTRI RECENT VCT "&amp;CHAR(10),""))</f>
        <v/>
      </c>
      <c r="AL94" s="1275"/>
      <c r="AM94" s="31"/>
      <c r="AN94" s="369"/>
      <c r="AO94" s="13">
        <v>32</v>
      </c>
      <c r="AP94" s="81"/>
      <c r="AQ94" s="82"/>
    </row>
    <row r="95" spans="1:43" s="83" customFormat="1" ht="25.9" hidden="1" thickBot="1" x14ac:dyDescent="0.8">
      <c r="A95" s="973"/>
      <c r="B95" s="370" t="s">
        <v>1198</v>
      </c>
      <c r="C95" s="586" t="s">
        <v>1051</v>
      </c>
      <c r="D95" s="135"/>
      <c r="E95" s="78"/>
      <c r="F95" s="78"/>
      <c r="G95" s="78"/>
      <c r="H95" s="78"/>
      <c r="I95" s="78"/>
      <c r="J95" s="78"/>
      <c r="K95" s="384"/>
      <c r="L95" s="141"/>
      <c r="M95" s="141"/>
      <c r="N95" s="141"/>
      <c r="O95" s="141"/>
      <c r="P95" s="141"/>
      <c r="Q95" s="141"/>
      <c r="R95" s="141"/>
      <c r="S95" s="141"/>
      <c r="T95" s="141"/>
      <c r="U95" s="141"/>
      <c r="V95" s="141"/>
      <c r="W95" s="141"/>
      <c r="X95" s="141"/>
      <c r="Y95" s="141"/>
      <c r="Z95" s="141"/>
      <c r="AA95" s="141"/>
      <c r="AB95" s="389"/>
      <c r="AC95" s="357"/>
      <c r="AD95" s="357"/>
      <c r="AE95" s="357"/>
      <c r="AF95" s="357"/>
      <c r="AG95" s="357"/>
      <c r="AH95" s="357"/>
      <c r="AI95" s="314"/>
      <c r="AJ95" s="193">
        <f t="shared" si="16"/>
        <v>0</v>
      </c>
      <c r="AK95" s="30" t="str">
        <f>CONCATENATE(IF(D97&gt;D95," * RITA Long-Term VCT  "&amp;$D$20&amp;" "&amp;$D$21&amp;" is more than RTRI Long-Term VCT  "&amp;CHAR(10),""),IF(E97&gt;E95," * RITA Long-Term VCT  "&amp;$D$20&amp;" "&amp;$E$21&amp;" is more than RTRI Long-Term VCT  "&amp;CHAR(10),""),IF(F97&gt;F95," * RITA Long-Term VCT  "&amp;$F$20&amp;" "&amp;$F$21&amp;" is more than RTRI Long-Term VCT  "&amp;CHAR(10),""),IF(G97&gt;G95," * RITA Long-Term VCT  "&amp;$F$20&amp;" "&amp;$G$21&amp;" is more than RTRI Long-Term VCT  "&amp;CHAR(10),""),IF(H97&gt;H95," * RITA Long-Term VCT  "&amp;$H$20&amp;" "&amp;$H$21&amp;" is more than RTRI Long-Term VCT  "&amp;CHAR(10),""),IF(I97&gt;I95," * RITA Long-Term VCT  "&amp;$H$20&amp;" "&amp;$I$21&amp;" is more than RTRI Long-Term VCT  "&amp;CHAR(10),""),IF(J97&gt;J95," * RITA Long-Term VCT  "&amp;$J$20&amp;" "&amp;$J$21&amp;" is more than RTRI Long-Term VCT  "&amp;CHAR(10),""),IF(K97&gt;K95," * RITA Long-Term VCT  "&amp;$J$20&amp;" "&amp;$K$21&amp;" is more than RTRI Long-Term VCT  "&amp;CHAR(10),""),IF(L97&gt;L95," * RITA Long-Term VCT  "&amp;$L$20&amp;" "&amp;$L$21&amp;" is more than RTRI Long-Term VCT  "&amp;CHAR(10),""),IF(M97&gt;M95," * RITA Long-Term VCT  "&amp;$L$20&amp;" "&amp;$M$21&amp;" is more than RTRI Long-Term VCT  "&amp;CHAR(10),""),IF(N97&gt;N95," * RITA Long-Term VCT  "&amp;$N$20&amp;" "&amp;$N$21&amp;" is more than RTRI Long-Term VCT  "&amp;CHAR(10),""),IF(O97&gt;O95," * RITA Long-Term VCT  "&amp;$N$20&amp;" "&amp;$O$21&amp;" is more than RTRI Long-Term VCT  "&amp;CHAR(10),""),IF(P97&gt;P95," * RITA Long-Term VCT  "&amp;$P$20&amp;" "&amp;$P$21&amp;" is more than RTRI Long-Term VCT  "&amp;CHAR(10),""),IF(Q97&gt;Q95," * RITA Long-Term VCT  "&amp;$P$20&amp;" "&amp;$Q$21&amp;" is more than RTRI Long-Term VCT  "&amp;CHAR(10),""),IF(R97&gt;R95," * RITA Long-Term VCT  "&amp;$R$20&amp;" "&amp;$R$21&amp;" is more than RTRI Long-Term VCT  "&amp;CHAR(10),""),IF(S97&gt;S95," * RITA Long-Term VCT  "&amp;$R$20&amp;" "&amp;$S$21&amp;" is more than RTRI Long-Term VCT  "&amp;CHAR(10),""),IF(T97&gt;T95," * RITA Long-Term VCT  "&amp;$T$20&amp;" "&amp;$T$21&amp;" is more than RTRI Long-Term VCT  "&amp;CHAR(10),""),IF(U97&gt;U95," * RITA Long-Term VCT  "&amp;$T$20&amp;" "&amp;$U$21&amp;" is more than RTRI Long-Term VCT  "&amp;CHAR(10),""),IF(V97&gt;V95," * RITA Long-Term VCT  "&amp;$V$20&amp;" "&amp;$V$21&amp;" is more than RTRI Long-Term VCT  "&amp;CHAR(10),""),IF(W97&gt;W95," * RITA Long-Term VCT  "&amp;$V$20&amp;" "&amp;$W$21&amp;" is more than RTRI Long-Term VCT  "&amp;CHAR(10),""),IF(X97&gt;X95," * RITA Long-Term VCT  "&amp;$X$20&amp;" "&amp;$X$21&amp;" is more than RTRI Long-Term VCT  "&amp;CHAR(10),""),IF(Y97&gt;Y95," * RITA Long-Term VCT  "&amp;$X$20&amp;" "&amp;$Y$21&amp;" is more than RTRI Long-Term VCT  "&amp;CHAR(10),""),IF(Z97&gt;Z95," * RITA Long-Term VCT  "&amp;$Z$20&amp;" "&amp;$Z$21&amp;" is more than RTRI Long-Term VCT  "&amp;CHAR(10),""),IF(AA97&gt;AA95," * RITA Long-Term VCT  "&amp;$Z$20&amp;" "&amp;$AA$21&amp;" is more than RTRI Long-Term VCT  "&amp;CHAR(10),""))</f>
        <v/>
      </c>
      <c r="AL95" s="1275"/>
      <c r="AM95" s="31"/>
      <c r="AN95" s="369"/>
      <c r="AO95" s="13">
        <v>33</v>
      </c>
      <c r="AP95" s="81"/>
      <c r="AQ95" s="82"/>
    </row>
    <row r="96" spans="1:43" s="83" customFormat="1" ht="25.5" hidden="1" x14ac:dyDescent="0.75">
      <c r="A96" s="973"/>
      <c r="B96" s="1" t="s">
        <v>1199</v>
      </c>
      <c r="C96" s="584" t="s">
        <v>1213</v>
      </c>
      <c r="D96" s="135"/>
      <c r="E96" s="78"/>
      <c r="F96" s="78"/>
      <c r="G96" s="78"/>
      <c r="H96" s="78"/>
      <c r="I96" s="78"/>
      <c r="J96" s="78"/>
      <c r="K96" s="384"/>
      <c r="L96" s="237"/>
      <c r="M96" s="237"/>
      <c r="N96" s="237"/>
      <c r="O96" s="237"/>
      <c r="P96" s="237"/>
      <c r="Q96" s="237"/>
      <c r="R96" s="237"/>
      <c r="S96" s="237"/>
      <c r="T96" s="237"/>
      <c r="U96" s="237"/>
      <c r="V96" s="237"/>
      <c r="W96" s="237"/>
      <c r="X96" s="237"/>
      <c r="Y96" s="237"/>
      <c r="Z96" s="237"/>
      <c r="AA96" s="237"/>
      <c r="AB96" s="389"/>
      <c r="AC96" s="357"/>
      <c r="AD96" s="357"/>
      <c r="AE96" s="357"/>
      <c r="AF96" s="357"/>
      <c r="AG96" s="357"/>
      <c r="AH96" s="357"/>
      <c r="AI96" s="314"/>
      <c r="AJ96" s="185"/>
      <c r="AK96" s="30"/>
      <c r="AL96" s="1275"/>
      <c r="AM96" s="31"/>
      <c r="AN96" s="369"/>
      <c r="AO96" s="13"/>
      <c r="AP96" s="81"/>
      <c r="AQ96" s="82"/>
    </row>
    <row r="97" spans="1:43" s="83" customFormat="1" ht="25.9" hidden="1" thickBot="1" x14ac:dyDescent="0.8">
      <c r="A97" s="974"/>
      <c r="B97" s="370" t="s">
        <v>1200</v>
      </c>
      <c r="C97" s="586" t="s">
        <v>1214</v>
      </c>
      <c r="D97" s="119"/>
      <c r="E97" s="102"/>
      <c r="F97" s="102"/>
      <c r="G97" s="102"/>
      <c r="H97" s="102"/>
      <c r="I97" s="102"/>
      <c r="J97" s="102"/>
      <c r="K97" s="378"/>
      <c r="L97" s="250"/>
      <c r="M97" s="250"/>
      <c r="N97" s="250"/>
      <c r="O97" s="250"/>
      <c r="P97" s="250"/>
      <c r="Q97" s="250"/>
      <c r="R97" s="250"/>
      <c r="S97" s="250"/>
      <c r="T97" s="250"/>
      <c r="U97" s="250"/>
      <c r="V97" s="250"/>
      <c r="W97" s="250"/>
      <c r="X97" s="250"/>
      <c r="Y97" s="250"/>
      <c r="Z97" s="250"/>
      <c r="AA97" s="250"/>
      <c r="AB97" s="389"/>
      <c r="AC97" s="357"/>
      <c r="AD97" s="357"/>
      <c r="AE97" s="357"/>
      <c r="AF97" s="357"/>
      <c r="AG97" s="357"/>
      <c r="AH97" s="357"/>
      <c r="AI97" s="314"/>
      <c r="AJ97" s="185"/>
      <c r="AK97" s="30"/>
      <c r="AL97" s="1275"/>
      <c r="AM97" s="31"/>
      <c r="AN97" s="369"/>
      <c r="AO97" s="13"/>
      <c r="AP97" s="81"/>
      <c r="AQ97" s="82"/>
    </row>
    <row r="98" spans="1:43" s="83" customFormat="1" ht="25.5" hidden="1" customHeight="1" x14ac:dyDescent="0.75">
      <c r="A98" s="972" t="s">
        <v>1043</v>
      </c>
      <c r="B98" s="1" t="s">
        <v>1197</v>
      </c>
      <c r="C98" s="584" t="s">
        <v>1052</v>
      </c>
      <c r="D98" s="134"/>
      <c r="E98" s="99"/>
      <c r="F98" s="99"/>
      <c r="G98" s="99"/>
      <c r="H98" s="99"/>
      <c r="I98" s="99"/>
      <c r="J98" s="99"/>
      <c r="K98" s="377"/>
      <c r="L98" s="237"/>
      <c r="M98" s="237"/>
      <c r="N98" s="237"/>
      <c r="O98" s="237"/>
      <c r="P98" s="237"/>
      <c r="Q98" s="237"/>
      <c r="R98" s="237"/>
      <c r="S98" s="237"/>
      <c r="T98" s="237"/>
      <c r="U98" s="237"/>
      <c r="V98" s="237"/>
      <c r="W98" s="237"/>
      <c r="X98" s="237"/>
      <c r="Y98" s="237"/>
      <c r="Z98" s="237"/>
      <c r="AA98" s="237"/>
      <c r="AB98" s="389"/>
      <c r="AC98" s="357"/>
      <c r="AD98" s="357"/>
      <c r="AE98" s="357"/>
      <c r="AF98" s="357"/>
      <c r="AG98" s="357"/>
      <c r="AH98" s="357"/>
      <c r="AI98" s="314"/>
      <c r="AJ98" s="189">
        <f t="shared" si="16"/>
        <v>0</v>
      </c>
      <c r="AK98" s="30" t="str">
        <f>CONCATENATE(IF(D100&gt;D98," * RITA RECENT Other PITC "&amp;$D$20&amp;" "&amp;$D$21&amp;" is more than RTRI RECENT Other PITC "&amp;CHAR(10),""),IF(E100&gt;E98," * RITA RECENT Other PITC "&amp;$D$20&amp;" "&amp;$E$21&amp;" is more than RTRI RECENT Other PITC "&amp;CHAR(10),""),IF(F100&gt;F98," * RITA RECENT Other PITC "&amp;$F$20&amp;" "&amp;$F$21&amp;" is more than RTRI RECENT Other PITC "&amp;CHAR(10),""),IF(G100&gt;G98," * RITA RECENT Other PITC "&amp;$F$20&amp;" "&amp;$G$21&amp;" is more than RTRI RECENT Other PITC "&amp;CHAR(10),""),IF(H100&gt;H98," * RITA RECENT Other PITC "&amp;$H$20&amp;" "&amp;$H$21&amp;" is more than RTRI RECENT Other PITC "&amp;CHAR(10),""),IF(I100&gt;I98," * RITA RECENT Other PITC "&amp;$H$20&amp;" "&amp;$I$21&amp;" is more than RTRI RECENT Other PITC "&amp;CHAR(10),""),IF(J100&gt;J98," * RITA RECENT Other PITC "&amp;$J$20&amp;" "&amp;$J$21&amp;" is more than RTRI RECENT Other PITC "&amp;CHAR(10),""),IF(K100&gt;K98," * RITA RECENT Other PITC "&amp;$J$20&amp;" "&amp;$K$21&amp;" is more than RTRI RECENT Other PITC "&amp;CHAR(10),""),IF(L100&gt;L98," * RITA RECENT Other PITC "&amp;$L$20&amp;" "&amp;$L$21&amp;" is more than RTRI RECENT Other PITC "&amp;CHAR(10),""),IF(M100&gt;M98," * RITA RECENT Other PITC "&amp;$L$20&amp;" "&amp;$M$21&amp;" is more than RTRI RECENT Other PITC "&amp;CHAR(10),""),IF(N100&gt;N98," * RITA RECENT Other PITC "&amp;$N$20&amp;" "&amp;$N$21&amp;" is more than RTRI RECENT Other PITC "&amp;CHAR(10),""),IF(O100&gt;O98," * RITA RECENT Other PITC "&amp;$N$20&amp;" "&amp;$O$21&amp;" is more than RTRI RECENT Other PITC "&amp;CHAR(10),""),IF(P100&gt;P98," * RITA RECENT Other PITC "&amp;$P$20&amp;" "&amp;$P$21&amp;" is more than RTRI RECENT Other PITC "&amp;CHAR(10),""),IF(Q100&gt;Q98," * RITA RECENT Other PITC "&amp;$P$20&amp;" "&amp;$Q$21&amp;" is more than RTRI RECENT Other PITC "&amp;CHAR(10),""),IF(R100&gt;R98," * RITA RECENT Other PITC "&amp;$R$20&amp;" "&amp;$R$21&amp;" is more than RTRI RECENT Other PITC "&amp;CHAR(10),""),IF(S100&gt;S98," * RITA RECENT Other PITC "&amp;$R$20&amp;" "&amp;$S$21&amp;" is more than RTRI RECENT Other PITC "&amp;CHAR(10),""),IF(T100&gt;T98," * RITA RECENT Other PITC "&amp;$T$20&amp;" "&amp;$T$21&amp;" is more than RTRI RECENT Other PITC "&amp;CHAR(10),""),IF(U100&gt;U98," * RITA RECENT Other PITC "&amp;$T$20&amp;" "&amp;$U$21&amp;" is more than RTRI RECENT Other PITC "&amp;CHAR(10),""),IF(V100&gt;V98," * RITA RECENT Other PITC "&amp;$V$20&amp;" "&amp;$V$21&amp;" is more than RTRI RECENT Other PITC "&amp;CHAR(10),""),IF(W100&gt;W98," * RITA RECENT Other PITC "&amp;$V$20&amp;" "&amp;$W$21&amp;" is more than RTRI RECENT Other PITC "&amp;CHAR(10),""),IF(X100&gt;X98," * RITA RECENT Other PITC "&amp;$X$20&amp;" "&amp;$X$21&amp;" is more than RTRI RECENT Other PITC "&amp;CHAR(10),""),IF(Y100&gt;Y98," * RITA RECENT Other PITC "&amp;$X$20&amp;" "&amp;$Y$21&amp;" is more than RTRI RECENT Other PITC "&amp;CHAR(10),""),IF(Z100&gt;Z98," * RITA RECENT Other PITC "&amp;$Z$20&amp;" "&amp;$Z$21&amp;" is more than RTRI RECENT Other PITC "&amp;CHAR(10),""),IF(AA100&gt;AA98," * RITA RECENT Other PITC "&amp;$Z$20&amp;" "&amp;$AA$21&amp;" is more than RTRI RECENT Other PITC "&amp;CHAR(10),""))</f>
        <v/>
      </c>
      <c r="AL98" s="1275"/>
      <c r="AM98" s="31"/>
      <c r="AN98" s="369"/>
      <c r="AO98" s="13">
        <v>32</v>
      </c>
      <c r="AP98" s="81"/>
      <c r="AQ98" s="82"/>
    </row>
    <row r="99" spans="1:43" s="83" customFormat="1" ht="25.9" hidden="1" thickBot="1" x14ac:dyDescent="0.8">
      <c r="A99" s="973"/>
      <c r="B99" s="370" t="s">
        <v>1198</v>
      </c>
      <c r="C99" s="586" t="s">
        <v>1053</v>
      </c>
      <c r="D99" s="135"/>
      <c r="E99" s="78"/>
      <c r="F99" s="78"/>
      <c r="G99" s="78"/>
      <c r="H99" s="78"/>
      <c r="I99" s="78"/>
      <c r="J99" s="78"/>
      <c r="K99" s="384"/>
      <c r="L99" s="141"/>
      <c r="M99" s="141"/>
      <c r="N99" s="141"/>
      <c r="O99" s="141"/>
      <c r="P99" s="141"/>
      <c r="Q99" s="141"/>
      <c r="R99" s="141"/>
      <c r="S99" s="141"/>
      <c r="T99" s="141"/>
      <c r="U99" s="141"/>
      <c r="V99" s="141"/>
      <c r="W99" s="141"/>
      <c r="X99" s="141"/>
      <c r="Y99" s="141"/>
      <c r="Z99" s="141"/>
      <c r="AA99" s="141"/>
      <c r="AB99" s="389"/>
      <c r="AC99" s="357"/>
      <c r="AD99" s="357"/>
      <c r="AE99" s="357"/>
      <c r="AF99" s="357"/>
      <c r="AG99" s="357"/>
      <c r="AH99" s="357"/>
      <c r="AI99" s="314"/>
      <c r="AJ99" s="193">
        <f t="shared" si="16"/>
        <v>0</v>
      </c>
      <c r="AK99" s="30" t="str">
        <f>CONCATENATE(IF(D101&gt;D99," * RITA Long-Term Other PITC  "&amp;$D$20&amp;" "&amp;$D$21&amp;" is more than RTRI Long-Term Other PITC  "&amp;CHAR(10),""),IF(E101&gt;E99," * RITA Long-Term Other PITC  "&amp;$D$20&amp;" "&amp;$E$21&amp;" is more than RTRI Long-Term Other PITC  "&amp;CHAR(10),""),IF(F101&gt;F99," * RITA Long-Term Other PITC  "&amp;$F$20&amp;" "&amp;$F$21&amp;" is more than RTRI Long-Term Other PITC  "&amp;CHAR(10),""),IF(G101&gt;G99," * RITA Long-Term Other PITC  "&amp;$F$20&amp;" "&amp;$G$21&amp;" is more than RTRI Long-Term Other PITC  "&amp;CHAR(10),""),IF(H101&gt;H99," * RITA Long-Term Other PITC  "&amp;$H$20&amp;" "&amp;$H$21&amp;" is more than RTRI Long-Term Other PITC  "&amp;CHAR(10),""),IF(I101&gt;I99," * RITA Long-Term Other PITC  "&amp;$H$20&amp;" "&amp;$I$21&amp;" is more than RTRI Long-Term Other PITC  "&amp;CHAR(10),""),IF(J101&gt;J99," * RITA Long-Term Other PITC  "&amp;$J$20&amp;" "&amp;$J$21&amp;" is more than RTRI Long-Term Other PITC  "&amp;CHAR(10),""),IF(K101&gt;K99," * RITA Long-Term Other PITC  "&amp;$J$20&amp;" "&amp;$K$21&amp;" is more than RTRI Long-Term Other PITC  "&amp;CHAR(10),""),IF(L101&gt;L99," * RITA Long-Term Other PITC  "&amp;$L$20&amp;" "&amp;$L$21&amp;" is more than RTRI Long-Term Other PITC  "&amp;CHAR(10),""),IF(M101&gt;M99," * RITA Long-Term Other PITC  "&amp;$L$20&amp;" "&amp;$M$21&amp;" is more than RTRI Long-Term Other PITC  "&amp;CHAR(10),""),IF(N101&gt;N99," * RITA Long-Term Other PITC  "&amp;$N$20&amp;" "&amp;$N$21&amp;" is more than RTRI Long-Term Other PITC  "&amp;CHAR(10),""),IF(O101&gt;O99," * RITA Long-Term Other PITC  "&amp;$N$20&amp;" "&amp;$O$21&amp;" is more than RTRI Long-Term Other PITC  "&amp;CHAR(10),""),IF(P101&gt;P99," * RITA Long-Term Other PITC  "&amp;$P$20&amp;" "&amp;$P$21&amp;" is more than RTRI Long-Term Other PITC  "&amp;CHAR(10),""),IF(Q101&gt;Q99," * RITA Long-Term Other PITC  "&amp;$P$20&amp;" "&amp;$Q$21&amp;" is more than RTRI Long-Term Other PITC  "&amp;CHAR(10),""),IF(R101&gt;R99," * RITA Long-Term Other PITC  "&amp;$R$20&amp;" "&amp;$R$21&amp;" is more than RTRI Long-Term Other PITC  "&amp;CHAR(10),""),IF(S101&gt;S99," * RITA Long-Term Other PITC  "&amp;$R$20&amp;" "&amp;$S$21&amp;" is more than RTRI Long-Term Other PITC  "&amp;CHAR(10),""),IF(T101&gt;T99," * RITA Long-Term Other PITC  "&amp;$T$20&amp;" "&amp;$T$21&amp;" is more than RTRI Long-Term Other PITC  "&amp;CHAR(10),""),IF(U101&gt;U99," * RITA Long-Term Other PITC  "&amp;$T$20&amp;" "&amp;$U$21&amp;" is more than RTRI Long-Term Other PITC  "&amp;CHAR(10),""),IF(V101&gt;V99," * RITA Long-Term Other PITC  "&amp;$V$20&amp;" "&amp;$V$21&amp;" is more than RTRI Long-Term Other PITC  "&amp;CHAR(10),""),IF(W101&gt;W99," * RITA Long-Term Other PITC  "&amp;$V$20&amp;" "&amp;$W$21&amp;" is more than RTRI Long-Term Other PITC  "&amp;CHAR(10),""),IF(X101&gt;X99," * RITA Long-Term Other PITC  "&amp;$X$20&amp;" "&amp;$X$21&amp;" is more than RTRI Long-Term Other PITC  "&amp;CHAR(10),""),IF(Y101&gt;Y99," * RITA Long-Term Other PITC  "&amp;$X$20&amp;" "&amp;$Y$21&amp;" is more than RTRI Long-Term Other PITC  "&amp;CHAR(10),""),IF(Z101&gt;Z99," * RITA Long-Term Other PITC  "&amp;$Z$20&amp;" "&amp;$Z$21&amp;" is more than RTRI Long-Term Other PITC  "&amp;CHAR(10),""),IF(AA101&gt;AA99," * RITA Long-Term Other PITC  "&amp;$Z$20&amp;" "&amp;$AA$21&amp;" is more than RTRI Long-Term Other PITC  "&amp;CHAR(10),""))</f>
        <v/>
      </c>
      <c r="AL99" s="1275"/>
      <c r="AM99" s="31"/>
      <c r="AN99" s="369"/>
      <c r="AO99" s="13">
        <v>33</v>
      </c>
      <c r="AP99" s="81"/>
      <c r="AQ99" s="82"/>
    </row>
    <row r="100" spans="1:43" s="83" customFormat="1" ht="25.5" hidden="1" x14ac:dyDescent="0.75">
      <c r="A100" s="973"/>
      <c r="B100" s="1" t="s">
        <v>1199</v>
      </c>
      <c r="C100" s="584" t="s">
        <v>1215</v>
      </c>
      <c r="D100" s="135"/>
      <c r="E100" s="78"/>
      <c r="F100" s="78"/>
      <c r="G100" s="78"/>
      <c r="H100" s="78"/>
      <c r="I100" s="78"/>
      <c r="J100" s="78"/>
      <c r="K100" s="384"/>
      <c r="L100" s="237"/>
      <c r="M100" s="237"/>
      <c r="N100" s="237"/>
      <c r="O100" s="237"/>
      <c r="P100" s="237"/>
      <c r="Q100" s="237"/>
      <c r="R100" s="237"/>
      <c r="S100" s="237"/>
      <c r="T100" s="237"/>
      <c r="U100" s="237"/>
      <c r="V100" s="237"/>
      <c r="W100" s="237"/>
      <c r="X100" s="237"/>
      <c r="Y100" s="237"/>
      <c r="Z100" s="237"/>
      <c r="AA100" s="237"/>
      <c r="AB100" s="389"/>
      <c r="AC100" s="357"/>
      <c r="AD100" s="357"/>
      <c r="AE100" s="357"/>
      <c r="AF100" s="357"/>
      <c r="AG100" s="357"/>
      <c r="AH100" s="357"/>
      <c r="AI100" s="314"/>
      <c r="AJ100" s="185"/>
      <c r="AK100" s="30"/>
      <c r="AL100" s="1275"/>
      <c r="AM100" s="31"/>
      <c r="AN100" s="369"/>
      <c r="AO100" s="13"/>
      <c r="AP100" s="81"/>
      <c r="AQ100" s="82"/>
    </row>
    <row r="101" spans="1:43" s="83" customFormat="1" ht="25.9" hidden="1" thickBot="1" x14ac:dyDescent="0.8">
      <c r="A101" s="974"/>
      <c r="B101" s="370" t="s">
        <v>1200</v>
      </c>
      <c r="C101" s="586" t="s">
        <v>1216</v>
      </c>
      <c r="D101" s="119"/>
      <c r="E101" s="102"/>
      <c r="F101" s="102"/>
      <c r="G101" s="102"/>
      <c r="H101" s="102"/>
      <c r="I101" s="102"/>
      <c r="J101" s="102"/>
      <c r="K101" s="378"/>
      <c r="L101" s="250"/>
      <c r="M101" s="250"/>
      <c r="N101" s="250"/>
      <c r="O101" s="250"/>
      <c r="P101" s="250"/>
      <c r="Q101" s="250"/>
      <c r="R101" s="250"/>
      <c r="S101" s="250"/>
      <c r="T101" s="250"/>
      <c r="U101" s="250"/>
      <c r="V101" s="250"/>
      <c r="W101" s="250"/>
      <c r="X101" s="250"/>
      <c r="Y101" s="250"/>
      <c r="Z101" s="250"/>
      <c r="AA101" s="250"/>
      <c r="AB101" s="389"/>
      <c r="AC101" s="357"/>
      <c r="AD101" s="357"/>
      <c r="AE101" s="357"/>
      <c r="AF101" s="357"/>
      <c r="AG101" s="357"/>
      <c r="AH101" s="357"/>
      <c r="AI101" s="314"/>
      <c r="AJ101" s="185"/>
      <c r="AK101" s="30"/>
      <c r="AL101" s="1275"/>
      <c r="AM101" s="31"/>
      <c r="AN101" s="369"/>
      <c r="AO101" s="13"/>
      <c r="AP101" s="81"/>
      <c r="AQ101" s="82"/>
    </row>
    <row r="102" spans="1:43" s="83" customFormat="1" ht="25.15" hidden="1" customHeight="1" x14ac:dyDescent="0.75">
      <c r="A102" s="972" t="s">
        <v>1061</v>
      </c>
      <c r="B102" s="1" t="s">
        <v>1197</v>
      </c>
      <c r="C102" s="584" t="s">
        <v>1054</v>
      </c>
      <c r="D102" s="509"/>
      <c r="E102" s="71"/>
      <c r="F102" s="71"/>
      <c r="G102" s="71"/>
      <c r="H102" s="71"/>
      <c r="I102" s="71"/>
      <c r="J102" s="71"/>
      <c r="K102" s="510"/>
      <c r="L102" s="237"/>
      <c r="M102" s="237"/>
      <c r="N102" s="237"/>
      <c r="O102" s="237"/>
      <c r="P102" s="237"/>
      <c r="Q102" s="237"/>
      <c r="R102" s="237"/>
      <c r="S102" s="237"/>
      <c r="T102" s="237"/>
      <c r="U102" s="237"/>
      <c r="V102" s="237"/>
      <c r="W102" s="237"/>
      <c r="X102" s="237"/>
      <c r="Y102" s="237"/>
      <c r="Z102" s="237"/>
      <c r="AA102" s="237"/>
      <c r="AB102" s="389"/>
      <c r="AC102" s="357"/>
      <c r="AD102" s="357"/>
      <c r="AE102" s="357"/>
      <c r="AF102" s="357"/>
      <c r="AG102" s="357"/>
      <c r="AH102" s="357"/>
      <c r="AI102" s="314"/>
      <c r="AJ102" s="189">
        <f t="shared" si="16"/>
        <v>0</v>
      </c>
      <c r="AK102" s="30" t="str">
        <f>CONCATENATE(IF(D104&gt;D102," * RITA RECENT SNS "&amp;$D$20&amp;" "&amp;$D$21&amp;" is more than RTRI RECENT SNS "&amp;CHAR(10),""),IF(E104&gt;E102," * RITA RECENT SNS "&amp;$D$20&amp;" "&amp;$E$21&amp;" is more than RTRI RECENT SNS "&amp;CHAR(10),""),IF(F104&gt;F102," * RITA RECENT SNS "&amp;$F$20&amp;" "&amp;$F$21&amp;" is more than RTRI RECENT SNS "&amp;CHAR(10),""),IF(G104&gt;G102," * RITA RECENT SNS "&amp;$F$20&amp;" "&amp;$G$21&amp;" is more than RTRI RECENT SNS "&amp;CHAR(10),""),IF(H104&gt;H102," * RITA RECENT SNS "&amp;$H$20&amp;" "&amp;$H$21&amp;" is more than RTRI RECENT SNS "&amp;CHAR(10),""),IF(I104&gt;I102," * RITA RECENT SNS "&amp;$H$20&amp;" "&amp;$I$21&amp;" is more than RTRI RECENT SNS "&amp;CHAR(10),""),IF(J104&gt;J102," * RITA RECENT SNS "&amp;$J$20&amp;" "&amp;$J$21&amp;" is more than RTRI RECENT SNS "&amp;CHAR(10),""),IF(K104&gt;K102," * RITA RECENT SNS "&amp;$J$20&amp;" "&amp;$K$21&amp;" is more than RTRI RECENT SNS "&amp;CHAR(10),""),IF(L104&gt;L102," * RITA RECENT SNS "&amp;$L$20&amp;" "&amp;$L$21&amp;" is more than RTRI RECENT SNS "&amp;CHAR(10),""),IF(M104&gt;M102," * RITA RECENT SNS "&amp;$L$20&amp;" "&amp;$M$21&amp;" is more than RTRI RECENT SNS "&amp;CHAR(10),""),IF(N104&gt;N102," * RITA RECENT SNS "&amp;$N$20&amp;" "&amp;$N$21&amp;" is more than RTRI RECENT SNS "&amp;CHAR(10),""),IF(O104&gt;O102," * RITA RECENT SNS "&amp;$N$20&amp;" "&amp;$O$21&amp;" is more than RTRI RECENT SNS "&amp;CHAR(10),""),IF(P104&gt;P102," * RITA RECENT SNS "&amp;$P$20&amp;" "&amp;$P$21&amp;" is more than RTRI RECENT SNS "&amp;CHAR(10),""),IF(Q104&gt;Q102," * RITA RECENT SNS "&amp;$P$20&amp;" "&amp;$Q$21&amp;" is more than RTRI RECENT SNS "&amp;CHAR(10),""),IF(R104&gt;R102," * RITA RECENT SNS "&amp;$R$20&amp;" "&amp;$R$21&amp;" is more than RTRI RECENT SNS "&amp;CHAR(10),""),IF(S104&gt;S102," * RITA RECENT SNS "&amp;$R$20&amp;" "&amp;$S$21&amp;" is more than RTRI RECENT SNS "&amp;CHAR(10),""),IF(T104&gt;T102," * RITA RECENT SNS "&amp;$T$20&amp;" "&amp;$T$21&amp;" is more than RTRI RECENT SNS "&amp;CHAR(10),""),IF(U104&gt;U102," * RITA RECENT SNS "&amp;$T$20&amp;" "&amp;$U$21&amp;" is more than RTRI RECENT SNS "&amp;CHAR(10),""),IF(V104&gt;V102," * RITA RECENT SNS "&amp;$V$20&amp;" "&amp;$V$21&amp;" is more than RTRI RECENT SNS "&amp;CHAR(10),""),IF(W104&gt;W102," * RITA RECENT SNS "&amp;$V$20&amp;" "&amp;$W$21&amp;" is more than RTRI RECENT SNS "&amp;CHAR(10),""),IF(X104&gt;X102," * RITA RECENT SNS "&amp;$X$20&amp;" "&amp;$X$21&amp;" is more than RTRI RECENT SNS "&amp;CHAR(10),""),IF(Y104&gt;Y102," * RITA RECENT SNS "&amp;$X$20&amp;" "&amp;$Y$21&amp;" is more than RTRI RECENT SNS "&amp;CHAR(10),""),IF(Z104&gt;Z102," * RITA RECENT SNS "&amp;$Z$20&amp;" "&amp;$Z$21&amp;" is more than RTRI RECENT SNS "&amp;CHAR(10),""),IF(AA104&gt;AA102," * RITA RECENT SNS "&amp;$Z$20&amp;" "&amp;$AA$21&amp;" is more than RTRI RECENT SNS "&amp;CHAR(10),""))</f>
        <v/>
      </c>
      <c r="AL102" s="1275"/>
      <c r="AM102" s="31"/>
      <c r="AN102" s="369"/>
      <c r="AO102" s="13">
        <v>32</v>
      </c>
      <c r="AP102" s="81"/>
      <c r="AQ102" s="82"/>
    </row>
    <row r="103" spans="1:43" s="83" customFormat="1" ht="28.15" hidden="1" customHeight="1" thickBot="1" x14ac:dyDescent="0.8">
      <c r="A103" s="973"/>
      <c r="B103" s="370" t="s">
        <v>1198</v>
      </c>
      <c r="C103" s="586" t="s">
        <v>1055</v>
      </c>
      <c r="D103" s="119"/>
      <c r="E103" s="102"/>
      <c r="F103" s="102"/>
      <c r="G103" s="102"/>
      <c r="H103" s="102"/>
      <c r="I103" s="102"/>
      <c r="J103" s="102"/>
      <c r="K103" s="378"/>
      <c r="L103" s="141"/>
      <c r="M103" s="141"/>
      <c r="N103" s="141"/>
      <c r="O103" s="141"/>
      <c r="P103" s="141"/>
      <c r="Q103" s="141"/>
      <c r="R103" s="141"/>
      <c r="S103" s="141"/>
      <c r="T103" s="141"/>
      <c r="U103" s="141"/>
      <c r="V103" s="141"/>
      <c r="W103" s="141"/>
      <c r="X103" s="141"/>
      <c r="Y103" s="141"/>
      <c r="Z103" s="141"/>
      <c r="AA103" s="141"/>
      <c r="AB103" s="390"/>
      <c r="AC103" s="391"/>
      <c r="AD103" s="391"/>
      <c r="AE103" s="391"/>
      <c r="AF103" s="391"/>
      <c r="AG103" s="391"/>
      <c r="AH103" s="391"/>
      <c r="AI103" s="315"/>
      <c r="AJ103" s="193">
        <f t="shared" si="16"/>
        <v>0</v>
      </c>
      <c r="AK103" s="30" t="str">
        <f>CONCATENATE(IF(D105&gt;D103," * RITA Long-Term SNS  "&amp;$D$20&amp;" "&amp;$D$21&amp;" is more than RTRI Long-Term SNS  "&amp;CHAR(10),""),IF(E105&gt;E103," * RITA Long-Term SNS  "&amp;$D$20&amp;" "&amp;$E$21&amp;" is more than RTRI Long-Term SNS  "&amp;CHAR(10),""),IF(F105&gt;F103," * RITA Long-Term SNS  "&amp;$F$20&amp;" "&amp;$F$21&amp;" is more than RTRI Long-Term SNS  "&amp;CHAR(10),""),IF(G105&gt;G103," * RITA Long-Term SNS  "&amp;$F$20&amp;" "&amp;$G$21&amp;" is more than RTRI Long-Term SNS  "&amp;CHAR(10),""),IF(H105&gt;H103," * RITA Long-Term SNS  "&amp;$H$20&amp;" "&amp;$H$21&amp;" is more than RTRI Long-Term SNS  "&amp;CHAR(10),""),IF(I105&gt;I103," * RITA Long-Term SNS  "&amp;$H$20&amp;" "&amp;$I$21&amp;" is more than RTRI Long-Term SNS  "&amp;CHAR(10),""),IF(J105&gt;J103," * RITA Long-Term SNS  "&amp;$J$20&amp;" "&amp;$J$21&amp;" is more than RTRI Long-Term SNS  "&amp;CHAR(10),""),IF(K105&gt;K103," * RITA Long-Term SNS  "&amp;$J$20&amp;" "&amp;$K$21&amp;" is more than RTRI Long-Term SNS  "&amp;CHAR(10),""),IF(L105&gt;L103," * RITA Long-Term SNS  "&amp;$L$20&amp;" "&amp;$L$21&amp;" is more than RTRI Long-Term SNS  "&amp;CHAR(10),""),IF(M105&gt;M103," * RITA Long-Term SNS  "&amp;$L$20&amp;" "&amp;$M$21&amp;" is more than RTRI Long-Term SNS  "&amp;CHAR(10),""),IF(N105&gt;N103," * RITA Long-Term SNS  "&amp;$N$20&amp;" "&amp;$N$21&amp;" is more than RTRI Long-Term SNS  "&amp;CHAR(10),""),IF(O105&gt;O103," * RITA Long-Term SNS  "&amp;$N$20&amp;" "&amp;$O$21&amp;" is more than RTRI Long-Term SNS  "&amp;CHAR(10),""),IF(P105&gt;P103," * RITA Long-Term SNS  "&amp;$P$20&amp;" "&amp;$P$21&amp;" is more than RTRI Long-Term SNS  "&amp;CHAR(10),""),IF(Q105&gt;Q103," * RITA Long-Term SNS  "&amp;$P$20&amp;" "&amp;$Q$21&amp;" is more than RTRI Long-Term SNS  "&amp;CHAR(10),""),IF(R105&gt;R103," * RITA Long-Term SNS  "&amp;$R$20&amp;" "&amp;$R$21&amp;" is more than RTRI Long-Term SNS  "&amp;CHAR(10),""),IF(S105&gt;S103," * RITA Long-Term SNS  "&amp;$R$20&amp;" "&amp;$S$21&amp;" is more than RTRI Long-Term SNS  "&amp;CHAR(10),""),IF(T105&gt;T103," * RITA Long-Term SNS  "&amp;$T$20&amp;" "&amp;$T$21&amp;" is more than RTRI Long-Term SNS  "&amp;CHAR(10),""),IF(U105&gt;U103," * RITA Long-Term SNS  "&amp;$T$20&amp;" "&amp;$U$21&amp;" is more than RTRI Long-Term SNS  "&amp;CHAR(10),""),IF(V105&gt;V103," * RITA Long-Term SNS  "&amp;$V$20&amp;" "&amp;$V$21&amp;" is more than RTRI Long-Term SNS  "&amp;CHAR(10),""),IF(W105&gt;W103," * RITA Long-Term SNS  "&amp;$V$20&amp;" "&amp;$W$21&amp;" is more than RTRI Long-Term SNS  "&amp;CHAR(10),""),IF(X105&gt;X103," * RITA Long-Term SNS  "&amp;$X$20&amp;" "&amp;$X$21&amp;" is more than RTRI Long-Term SNS  "&amp;CHAR(10),""),IF(Y105&gt;Y103," * RITA Long-Term SNS  "&amp;$X$20&amp;" "&amp;$Y$21&amp;" is more than RTRI Long-Term SNS  "&amp;CHAR(10),""),IF(Z105&gt;Z103," * RITA Long-Term SNS  "&amp;$Z$20&amp;" "&amp;$Z$21&amp;" is more than RTRI Long-Term SNS  "&amp;CHAR(10),""),IF(AA105&gt;AA103," * RITA Long-Term SNS  "&amp;$Z$20&amp;" "&amp;$AA$21&amp;" is more than RTRI Long-Term SNS  "&amp;CHAR(10),""))</f>
        <v/>
      </c>
      <c r="AL103" s="1275"/>
      <c r="AM103" s="31"/>
      <c r="AN103" s="369"/>
      <c r="AO103" s="13">
        <v>33</v>
      </c>
      <c r="AP103" s="81"/>
      <c r="AQ103" s="82"/>
    </row>
    <row r="104" spans="1:43" s="83" customFormat="1" ht="27.4" hidden="1" customHeight="1" x14ac:dyDescent="0.75">
      <c r="A104" s="973"/>
      <c r="B104" s="1" t="s">
        <v>1199</v>
      </c>
      <c r="C104" s="584" t="s">
        <v>1217</v>
      </c>
      <c r="D104" s="508"/>
      <c r="E104" s="120"/>
      <c r="F104" s="120"/>
      <c r="G104" s="120"/>
      <c r="H104" s="120"/>
      <c r="I104" s="120"/>
      <c r="J104" s="120"/>
      <c r="K104" s="408"/>
      <c r="L104" s="237"/>
      <c r="M104" s="237"/>
      <c r="N104" s="237"/>
      <c r="O104" s="237"/>
      <c r="P104" s="237"/>
      <c r="Q104" s="237"/>
      <c r="R104" s="237"/>
      <c r="S104" s="237"/>
      <c r="T104" s="237"/>
      <c r="U104" s="237"/>
      <c r="V104" s="237"/>
      <c r="W104" s="237"/>
      <c r="X104" s="237"/>
      <c r="Y104" s="237"/>
      <c r="Z104" s="237"/>
      <c r="AA104" s="237"/>
      <c r="AB104" s="389"/>
      <c r="AC104" s="357"/>
      <c r="AD104" s="357"/>
      <c r="AE104" s="357"/>
      <c r="AF104" s="357"/>
      <c r="AG104" s="357"/>
      <c r="AH104" s="357"/>
      <c r="AI104" s="314"/>
      <c r="AJ104" s="185"/>
      <c r="AK104" s="30"/>
      <c r="AL104" s="1275"/>
      <c r="AM104" s="31"/>
      <c r="AN104" s="369"/>
      <c r="AO104" s="13"/>
      <c r="AP104" s="81"/>
      <c r="AQ104" s="82"/>
    </row>
    <row r="105" spans="1:43" s="83" customFormat="1" ht="24.4" hidden="1" customHeight="1" thickBot="1" x14ac:dyDescent="0.8">
      <c r="A105" s="974"/>
      <c r="B105" s="370" t="s">
        <v>1200</v>
      </c>
      <c r="C105" s="586" t="s">
        <v>1218</v>
      </c>
      <c r="D105" s="508"/>
      <c r="E105" s="120"/>
      <c r="F105" s="120"/>
      <c r="G105" s="120"/>
      <c r="H105" s="120"/>
      <c r="I105" s="120"/>
      <c r="J105" s="120"/>
      <c r="K105" s="408"/>
      <c r="L105" s="250"/>
      <c r="M105" s="250"/>
      <c r="N105" s="250"/>
      <c r="O105" s="250"/>
      <c r="P105" s="250"/>
      <c r="Q105" s="250"/>
      <c r="R105" s="250"/>
      <c r="S105" s="250"/>
      <c r="T105" s="250"/>
      <c r="U105" s="250"/>
      <c r="V105" s="250"/>
      <c r="W105" s="250"/>
      <c r="X105" s="250"/>
      <c r="Y105" s="250"/>
      <c r="Z105" s="250"/>
      <c r="AA105" s="250"/>
      <c r="AB105" s="389"/>
      <c r="AC105" s="357"/>
      <c r="AD105" s="357"/>
      <c r="AE105" s="357"/>
      <c r="AF105" s="357"/>
      <c r="AG105" s="357"/>
      <c r="AH105" s="357"/>
      <c r="AI105" s="314"/>
      <c r="AJ105" s="185"/>
      <c r="AK105" s="30"/>
      <c r="AL105" s="1275"/>
      <c r="AM105" s="31"/>
      <c r="AN105" s="369"/>
      <c r="AO105" s="13"/>
      <c r="AP105" s="81"/>
      <c r="AQ105" s="82"/>
    </row>
    <row r="106" spans="1:43" s="83" customFormat="1" ht="25.5" hidden="1" customHeight="1" x14ac:dyDescent="0.75">
      <c r="A106" s="944" t="s">
        <v>1044</v>
      </c>
      <c r="B106" s="1" t="s">
        <v>1045</v>
      </c>
      <c r="C106" s="588" t="s">
        <v>1062</v>
      </c>
      <c r="D106" s="135"/>
      <c r="E106" s="78"/>
      <c r="F106" s="78"/>
      <c r="G106" s="78"/>
      <c r="H106" s="78"/>
      <c r="I106" s="78"/>
      <c r="J106" s="78"/>
      <c r="K106" s="384"/>
      <c r="L106" s="237"/>
      <c r="M106" s="94"/>
      <c r="N106" s="94"/>
      <c r="O106" s="94"/>
      <c r="P106" s="94"/>
      <c r="Q106" s="94"/>
      <c r="R106" s="94"/>
      <c r="S106" s="94"/>
      <c r="T106" s="94"/>
      <c r="U106" s="94"/>
      <c r="V106" s="94"/>
      <c r="W106" s="94"/>
      <c r="X106" s="94"/>
      <c r="Y106" s="94"/>
      <c r="Z106" s="94"/>
      <c r="AA106" s="322"/>
      <c r="AB106" s="1017"/>
      <c r="AC106" s="1018"/>
      <c r="AD106" s="1018"/>
      <c r="AE106" s="1018"/>
      <c r="AF106" s="1018"/>
      <c r="AG106" s="1018"/>
      <c r="AH106" s="1018"/>
      <c r="AI106" s="1019"/>
      <c r="AJ106" s="409">
        <f t="shared" si="16"/>
        <v>0</v>
      </c>
      <c r="AK106" s="30"/>
      <c r="AL106" s="1275"/>
      <c r="AM106" s="31"/>
      <c r="AN106" s="369"/>
      <c r="AO106" s="13">
        <v>32</v>
      </c>
      <c r="AP106" s="81"/>
      <c r="AQ106" s="82"/>
    </row>
    <row r="107" spans="1:43" s="83" customFormat="1" ht="25.9" hidden="1" customHeight="1" thickBot="1" x14ac:dyDescent="0.8">
      <c r="A107" s="1070"/>
      <c r="B107" s="370" t="s">
        <v>1046</v>
      </c>
      <c r="C107" s="589" t="s">
        <v>1063</v>
      </c>
      <c r="D107" s="119"/>
      <c r="E107" s="102"/>
      <c r="F107" s="102"/>
      <c r="G107" s="102"/>
      <c r="H107" s="102"/>
      <c r="I107" s="102"/>
      <c r="J107" s="102"/>
      <c r="K107" s="378"/>
      <c r="L107" s="405"/>
      <c r="M107" s="97"/>
      <c r="N107" s="97"/>
      <c r="O107" s="97"/>
      <c r="P107" s="97"/>
      <c r="Q107" s="97"/>
      <c r="R107" s="97"/>
      <c r="S107" s="97"/>
      <c r="T107" s="97"/>
      <c r="U107" s="97"/>
      <c r="V107" s="97"/>
      <c r="W107" s="97"/>
      <c r="X107" s="97"/>
      <c r="Y107" s="97"/>
      <c r="Z107" s="97"/>
      <c r="AA107" s="323"/>
      <c r="AB107" s="373"/>
      <c r="AC107" s="374"/>
      <c r="AD107" s="374"/>
      <c r="AE107" s="374"/>
      <c r="AF107" s="374"/>
      <c r="AG107" s="374"/>
      <c r="AH107" s="374"/>
      <c r="AI107" s="375"/>
      <c r="AJ107" s="410">
        <f t="shared" si="16"/>
        <v>0</v>
      </c>
      <c r="AK107" s="30"/>
      <c r="AL107" s="1276"/>
      <c r="AM107" s="31"/>
      <c r="AN107" s="369"/>
      <c r="AO107" s="13">
        <v>33</v>
      </c>
      <c r="AP107" s="81"/>
      <c r="AQ107" s="82"/>
    </row>
    <row r="108" spans="1:43" ht="25.9" hidden="1" thickBot="1" x14ac:dyDescent="0.8">
      <c r="A108" s="1043" t="s">
        <v>112</v>
      </c>
      <c r="B108" s="1044"/>
      <c r="C108" s="1077"/>
      <c r="D108" s="1044"/>
      <c r="E108" s="1044"/>
      <c r="F108" s="1044"/>
      <c r="G108" s="1044"/>
      <c r="H108" s="1044"/>
      <c r="I108" s="1044"/>
      <c r="J108" s="1044"/>
      <c r="K108" s="1044"/>
      <c r="L108" s="1044"/>
      <c r="M108" s="1044"/>
      <c r="N108" s="1044"/>
      <c r="O108" s="1044"/>
      <c r="P108" s="1044"/>
      <c r="Q108" s="1044"/>
      <c r="R108" s="1044"/>
      <c r="S108" s="1044"/>
      <c r="T108" s="1044"/>
      <c r="U108" s="1044"/>
      <c r="V108" s="1044"/>
      <c r="W108" s="1044"/>
      <c r="X108" s="1044"/>
      <c r="Y108" s="1044"/>
      <c r="Z108" s="1044"/>
      <c r="AA108" s="1044"/>
      <c r="AB108" s="1077"/>
      <c r="AC108" s="1077"/>
      <c r="AD108" s="1077"/>
      <c r="AE108" s="1077"/>
      <c r="AF108" s="1077"/>
      <c r="AG108" s="1077"/>
      <c r="AH108" s="1077"/>
      <c r="AI108" s="1077"/>
      <c r="AJ108" s="1044"/>
      <c r="AK108" s="1044"/>
      <c r="AL108" s="1077"/>
      <c r="AM108" s="1044"/>
      <c r="AN108" s="1046"/>
      <c r="AO108" s="13">
        <v>50</v>
      </c>
      <c r="AP108" s="74"/>
      <c r="AQ108" s="75"/>
    </row>
    <row r="109" spans="1:43" ht="26.25" hidden="1" customHeight="1" x14ac:dyDescent="0.75">
      <c r="A109" s="1039" t="s">
        <v>37</v>
      </c>
      <c r="B109" s="1041" t="s">
        <v>344</v>
      </c>
      <c r="C109" s="1049" t="s">
        <v>325</v>
      </c>
      <c r="D109" s="1272"/>
      <c r="E109" s="1272"/>
      <c r="F109" s="1272"/>
      <c r="G109" s="1272"/>
      <c r="H109" s="1272"/>
      <c r="I109" s="1272"/>
      <c r="J109" s="1020" t="s">
        <v>3</v>
      </c>
      <c r="K109" s="1020"/>
      <c r="L109" s="1020" t="s">
        <v>4</v>
      </c>
      <c r="M109" s="1020"/>
      <c r="N109" s="1020" t="s">
        <v>5</v>
      </c>
      <c r="O109" s="1020"/>
      <c r="P109" s="1020" t="s">
        <v>6</v>
      </c>
      <c r="Q109" s="1020"/>
      <c r="R109" s="1020" t="s">
        <v>7</v>
      </c>
      <c r="S109" s="1020"/>
      <c r="T109" s="1020" t="s">
        <v>8</v>
      </c>
      <c r="U109" s="1020"/>
      <c r="V109" s="1020" t="s">
        <v>23</v>
      </c>
      <c r="W109" s="1020"/>
      <c r="X109" s="1020" t="s">
        <v>24</v>
      </c>
      <c r="Y109" s="1020"/>
      <c r="Z109" s="1020" t="s">
        <v>9</v>
      </c>
      <c r="AA109" s="1020"/>
      <c r="AB109" s="1226"/>
      <c r="AC109" s="1014"/>
      <c r="AD109" s="1014"/>
      <c r="AE109" s="1014"/>
      <c r="AF109" s="1014"/>
      <c r="AG109" s="1014"/>
      <c r="AH109" s="1014"/>
      <c r="AI109" s="1015"/>
      <c r="AJ109" s="1236" t="s">
        <v>19</v>
      </c>
      <c r="AK109" s="1035" t="s">
        <v>378</v>
      </c>
      <c r="AL109" s="1126" t="s">
        <v>384</v>
      </c>
      <c r="AM109" s="1121" t="s">
        <v>385</v>
      </c>
      <c r="AN109" s="1120" t="s">
        <v>385</v>
      </c>
      <c r="AO109" s="13">
        <v>51</v>
      </c>
      <c r="AP109" s="74"/>
      <c r="AQ109" s="75"/>
    </row>
    <row r="110" spans="1:43" ht="27" hidden="1" customHeight="1" thickBot="1" x14ac:dyDescent="0.8">
      <c r="A110" s="1040"/>
      <c r="B110" s="1042"/>
      <c r="C110" s="1059"/>
      <c r="D110" s="1273"/>
      <c r="E110" s="1273"/>
      <c r="F110" s="1273"/>
      <c r="G110" s="1273"/>
      <c r="H110" s="1273"/>
      <c r="I110" s="1273"/>
      <c r="J110" s="295" t="s">
        <v>10</v>
      </c>
      <c r="K110" s="295" t="s">
        <v>11</v>
      </c>
      <c r="L110" s="295" t="s">
        <v>10</v>
      </c>
      <c r="M110" s="295" t="s">
        <v>11</v>
      </c>
      <c r="N110" s="295" t="s">
        <v>10</v>
      </c>
      <c r="O110" s="295" t="s">
        <v>11</v>
      </c>
      <c r="P110" s="295" t="s">
        <v>10</v>
      </c>
      <c r="Q110" s="295" t="s">
        <v>11</v>
      </c>
      <c r="R110" s="295" t="s">
        <v>10</v>
      </c>
      <c r="S110" s="295" t="s">
        <v>11</v>
      </c>
      <c r="T110" s="295" t="s">
        <v>10</v>
      </c>
      <c r="U110" s="295" t="s">
        <v>11</v>
      </c>
      <c r="V110" s="295" t="s">
        <v>10</v>
      </c>
      <c r="W110" s="295" t="s">
        <v>11</v>
      </c>
      <c r="X110" s="295" t="s">
        <v>10</v>
      </c>
      <c r="Y110" s="295" t="s">
        <v>11</v>
      </c>
      <c r="Z110" s="295" t="s">
        <v>10</v>
      </c>
      <c r="AA110" s="295" t="s">
        <v>11</v>
      </c>
      <c r="AB110" s="385"/>
      <c r="AC110" s="372"/>
      <c r="AD110" s="372"/>
      <c r="AE110" s="372"/>
      <c r="AF110" s="372"/>
      <c r="AG110" s="372"/>
      <c r="AH110" s="372"/>
      <c r="AI110" s="386"/>
      <c r="AJ110" s="1237"/>
      <c r="AK110" s="1238"/>
      <c r="AL110" s="1127"/>
      <c r="AM110" s="1058"/>
      <c r="AN110" s="1048"/>
      <c r="AO110" s="13">
        <v>52</v>
      </c>
      <c r="AP110" s="74"/>
      <c r="AQ110" s="75"/>
    </row>
    <row r="111" spans="1:43" ht="25.5" hidden="1" x14ac:dyDescent="0.75">
      <c r="A111" s="944" t="s">
        <v>20</v>
      </c>
      <c r="B111" s="91" t="s">
        <v>1002</v>
      </c>
      <c r="C111" s="579" t="s">
        <v>174</v>
      </c>
      <c r="D111" s="134"/>
      <c r="E111" s="99"/>
      <c r="F111" s="99"/>
      <c r="G111" s="99"/>
      <c r="H111" s="99"/>
      <c r="I111" s="377"/>
      <c r="J111" s="237"/>
      <c r="K111" s="94"/>
      <c r="L111" s="94"/>
      <c r="M111" s="94"/>
      <c r="N111" s="94"/>
      <c r="O111" s="94"/>
      <c r="P111" s="94"/>
      <c r="Q111" s="94"/>
      <c r="R111" s="94"/>
      <c r="S111" s="94"/>
      <c r="T111" s="94"/>
      <c r="U111" s="94"/>
      <c r="V111" s="94"/>
      <c r="W111" s="94"/>
      <c r="X111" s="94"/>
      <c r="Y111" s="94"/>
      <c r="Z111" s="94"/>
      <c r="AA111" s="322"/>
      <c r="AB111" s="387"/>
      <c r="AC111" s="388"/>
      <c r="AD111" s="388"/>
      <c r="AE111" s="388"/>
      <c r="AF111" s="388"/>
      <c r="AG111" s="388"/>
      <c r="AH111" s="388"/>
      <c r="AI111" s="317"/>
      <c r="AJ111" s="189">
        <f>SUM(D111:AA111)</f>
        <v>0</v>
      </c>
      <c r="AK111" s="116"/>
      <c r="AL111" s="1227" t="str">
        <f>CONCATENATE(AK111,AK112,AK113,AK114,AK115,AK116,AK118,AK117,AK119)</f>
        <v/>
      </c>
      <c r="AM111" s="31"/>
      <c r="AN111" s="1265" t="str">
        <f>CONCATENATE(AM111,AM112,AM113,AM114,AM115)</f>
        <v/>
      </c>
      <c r="AO111" s="13">
        <v>53</v>
      </c>
      <c r="AP111" s="74"/>
      <c r="AQ111" s="75"/>
    </row>
    <row r="112" spans="1:43" ht="25.5" hidden="1" x14ac:dyDescent="0.75">
      <c r="A112" s="1021"/>
      <c r="B112" s="76" t="s">
        <v>965</v>
      </c>
      <c r="C112" s="580" t="s">
        <v>176</v>
      </c>
      <c r="D112" s="135"/>
      <c r="E112" s="78"/>
      <c r="F112" s="78"/>
      <c r="G112" s="78"/>
      <c r="H112" s="78"/>
      <c r="I112" s="384"/>
      <c r="J112" s="406">
        <f>SUM(J113:J115)</f>
        <v>0</v>
      </c>
      <c r="K112" s="117">
        <f t="shared" ref="K112:AA112" si="19">SUM(K113:K115)</f>
        <v>0</v>
      </c>
      <c r="L112" s="117">
        <f t="shared" si="19"/>
        <v>0</v>
      </c>
      <c r="M112" s="117">
        <f t="shared" si="19"/>
        <v>0</v>
      </c>
      <c r="N112" s="117">
        <f t="shared" si="19"/>
        <v>0</v>
      </c>
      <c r="O112" s="117">
        <f t="shared" si="19"/>
        <v>0</v>
      </c>
      <c r="P112" s="117">
        <f t="shared" si="19"/>
        <v>0</v>
      </c>
      <c r="Q112" s="117">
        <f t="shared" si="19"/>
        <v>0</v>
      </c>
      <c r="R112" s="117">
        <f t="shared" si="19"/>
        <v>0</v>
      </c>
      <c r="S112" s="117">
        <f t="shared" si="19"/>
        <v>0</v>
      </c>
      <c r="T112" s="117">
        <f t="shared" si="19"/>
        <v>0</v>
      </c>
      <c r="U112" s="117">
        <f t="shared" si="19"/>
        <v>0</v>
      </c>
      <c r="V112" s="117">
        <f t="shared" si="19"/>
        <v>0</v>
      </c>
      <c r="W112" s="117">
        <f t="shared" si="19"/>
        <v>0</v>
      </c>
      <c r="X112" s="117">
        <f t="shared" si="19"/>
        <v>0</v>
      </c>
      <c r="Y112" s="117">
        <f t="shared" si="19"/>
        <v>0</v>
      </c>
      <c r="Z112" s="117">
        <f t="shared" si="19"/>
        <v>0</v>
      </c>
      <c r="AA112" s="329">
        <f t="shared" si="19"/>
        <v>0</v>
      </c>
      <c r="AB112" s="389"/>
      <c r="AC112" s="357"/>
      <c r="AD112" s="357"/>
      <c r="AE112" s="357"/>
      <c r="AF112" s="357"/>
      <c r="AG112" s="357"/>
      <c r="AH112" s="357"/>
      <c r="AI112" s="314"/>
      <c r="AJ112" s="174">
        <f t="shared" ref="AJ112:AJ114" si="20">SUM(D112:AA112)</f>
        <v>0</v>
      </c>
      <c r="AK112" s="116"/>
      <c r="AL112" s="1228"/>
      <c r="AM112" s="31"/>
      <c r="AN112" s="1248"/>
      <c r="AO112" s="13">
        <v>54</v>
      </c>
      <c r="AP112" s="74"/>
      <c r="AQ112" s="75"/>
    </row>
    <row r="113" spans="1:43" ht="25.5" hidden="1" x14ac:dyDescent="0.75">
      <c r="A113" s="1021"/>
      <c r="B113" s="76" t="s">
        <v>645</v>
      </c>
      <c r="C113" s="580" t="s">
        <v>177</v>
      </c>
      <c r="D113" s="135"/>
      <c r="E113" s="78"/>
      <c r="F113" s="78"/>
      <c r="G113" s="78"/>
      <c r="H113" s="78"/>
      <c r="I113" s="384"/>
      <c r="J113" s="238"/>
      <c r="K113" s="79"/>
      <c r="L113" s="79"/>
      <c r="M113" s="79"/>
      <c r="N113" s="79"/>
      <c r="O113" s="79"/>
      <c r="P113" s="79"/>
      <c r="Q113" s="79"/>
      <c r="R113" s="79"/>
      <c r="S113" s="79"/>
      <c r="T113" s="79"/>
      <c r="U113" s="79"/>
      <c r="V113" s="79"/>
      <c r="W113" s="79"/>
      <c r="X113" s="79"/>
      <c r="Y113" s="79"/>
      <c r="Z113" s="79"/>
      <c r="AA113" s="319"/>
      <c r="AB113" s="389"/>
      <c r="AC113" s="357"/>
      <c r="AD113" s="357"/>
      <c r="AE113" s="357"/>
      <c r="AF113" s="357"/>
      <c r="AG113" s="357"/>
      <c r="AH113" s="357"/>
      <c r="AI113" s="314"/>
      <c r="AJ113" s="174">
        <f t="shared" si="20"/>
        <v>0</v>
      </c>
      <c r="AK113" s="116"/>
      <c r="AL113" s="1228"/>
      <c r="AM113" s="31"/>
      <c r="AN113" s="1248"/>
      <c r="AO113" s="13">
        <v>55</v>
      </c>
      <c r="AP113" s="74"/>
      <c r="AQ113" s="75"/>
    </row>
    <row r="114" spans="1:43" ht="25.5" hidden="1" x14ac:dyDescent="0.75">
      <c r="A114" s="1021"/>
      <c r="B114" s="76" t="s">
        <v>646</v>
      </c>
      <c r="C114" s="580" t="s">
        <v>178</v>
      </c>
      <c r="D114" s="135"/>
      <c r="E114" s="78"/>
      <c r="F114" s="78"/>
      <c r="G114" s="78"/>
      <c r="H114" s="78"/>
      <c r="I114" s="384"/>
      <c r="J114" s="238"/>
      <c r="K114" s="79"/>
      <c r="L114" s="79"/>
      <c r="M114" s="79"/>
      <c r="N114" s="79"/>
      <c r="O114" s="79"/>
      <c r="P114" s="79"/>
      <c r="Q114" s="79"/>
      <c r="R114" s="79"/>
      <c r="S114" s="79"/>
      <c r="T114" s="79"/>
      <c r="U114" s="79"/>
      <c r="V114" s="79"/>
      <c r="W114" s="79"/>
      <c r="X114" s="79"/>
      <c r="Y114" s="79"/>
      <c r="Z114" s="79"/>
      <c r="AA114" s="319"/>
      <c r="AB114" s="389"/>
      <c r="AC114" s="357"/>
      <c r="AD114" s="357"/>
      <c r="AE114" s="357"/>
      <c r="AF114" s="357"/>
      <c r="AG114" s="357"/>
      <c r="AH114" s="357"/>
      <c r="AI114" s="314"/>
      <c r="AJ114" s="174">
        <f t="shared" si="20"/>
        <v>0</v>
      </c>
      <c r="AK114" s="116"/>
      <c r="AL114" s="1228"/>
      <c r="AM114" s="31"/>
      <c r="AN114" s="1248"/>
      <c r="AO114" s="13">
        <v>56</v>
      </c>
      <c r="AP114" s="74"/>
      <c r="AQ114" s="75"/>
    </row>
    <row r="115" spans="1:43" ht="25.9" hidden="1" thickBot="1" x14ac:dyDescent="0.8">
      <c r="A115" s="1070"/>
      <c r="B115" s="118" t="s">
        <v>647</v>
      </c>
      <c r="C115" s="581" t="s">
        <v>179</v>
      </c>
      <c r="D115" s="119"/>
      <c r="E115" s="102"/>
      <c r="F115" s="102"/>
      <c r="G115" s="120"/>
      <c r="H115" s="120"/>
      <c r="I115" s="408"/>
      <c r="J115" s="250"/>
      <c r="K115" s="121"/>
      <c r="L115" s="121"/>
      <c r="M115" s="121"/>
      <c r="N115" s="121"/>
      <c r="O115" s="121"/>
      <c r="P115" s="121"/>
      <c r="Q115" s="121"/>
      <c r="R115" s="121"/>
      <c r="S115" s="121"/>
      <c r="T115" s="121"/>
      <c r="U115" s="121"/>
      <c r="V115" s="121"/>
      <c r="W115" s="121"/>
      <c r="X115" s="121"/>
      <c r="Y115" s="121"/>
      <c r="Z115" s="121"/>
      <c r="AA115" s="330"/>
      <c r="AB115" s="389"/>
      <c r="AC115" s="357"/>
      <c r="AD115" s="357"/>
      <c r="AE115" s="357"/>
      <c r="AF115" s="357"/>
      <c r="AG115" s="357"/>
      <c r="AH115" s="357"/>
      <c r="AI115" s="314"/>
      <c r="AJ115" s="193">
        <f>SUM(D115:AA115)</f>
        <v>0</v>
      </c>
      <c r="AK115" s="122"/>
      <c r="AL115" s="1228"/>
      <c r="AM115" s="123"/>
      <c r="AN115" s="1249"/>
      <c r="AO115" s="13">
        <v>57</v>
      </c>
      <c r="AP115" s="74"/>
      <c r="AQ115" s="75"/>
    </row>
    <row r="116" spans="1:43" ht="25.5" hidden="1" x14ac:dyDescent="0.75">
      <c r="A116" s="972" t="s">
        <v>1248</v>
      </c>
      <c r="B116" s="91" t="s">
        <v>158</v>
      </c>
      <c r="C116" s="580" t="s">
        <v>976</v>
      </c>
      <c r="D116" s="134"/>
      <c r="E116" s="99"/>
      <c r="F116" s="99"/>
      <c r="G116" s="99"/>
      <c r="H116" s="99"/>
      <c r="I116" s="377"/>
      <c r="J116" s="237"/>
      <c r="K116" s="94"/>
      <c r="L116" s="94"/>
      <c r="M116" s="94"/>
      <c r="N116" s="94"/>
      <c r="O116" s="94"/>
      <c r="P116" s="94"/>
      <c r="Q116" s="94"/>
      <c r="R116" s="94"/>
      <c r="S116" s="94"/>
      <c r="T116" s="94"/>
      <c r="U116" s="94"/>
      <c r="V116" s="94"/>
      <c r="W116" s="94"/>
      <c r="X116" s="94"/>
      <c r="Y116" s="94"/>
      <c r="Z116" s="94"/>
      <c r="AA116" s="322"/>
      <c r="AB116" s="389"/>
      <c r="AC116" s="357"/>
      <c r="AD116" s="357"/>
      <c r="AE116" s="357"/>
      <c r="AF116" s="357"/>
      <c r="AG116" s="357"/>
      <c r="AH116" s="357"/>
      <c r="AI116" s="314"/>
      <c r="AJ116" s="392"/>
      <c r="AK116" s="124" t="str">
        <f>CONCATENATE(IF(D117&gt;D116," * Tested Positive  for Age "&amp;D20&amp;" "&amp;D21&amp;" is more than Number Tested "&amp;CHAR(10),""),IF(E117&gt;E116," * Tested Positive  for Age "&amp;D20&amp;" "&amp;E21&amp;" is more than Number Tested "&amp;CHAR(10),""),IF(F117&gt;F116," * Tested Positive  for Age "&amp;F20&amp;" "&amp;F21&amp;" is more than Number Tested "&amp;CHAR(10),""),IF(G117&gt;G116," * Tested Positive  for Age "&amp;F20&amp;" "&amp;G21&amp;" is more than Number Tested "&amp;CHAR(10),""),IF(H117&gt;H116," * Tested Positive  for Age "&amp;H20&amp;" "&amp;H21&amp;" is more than Number Tested "&amp;CHAR(10),""),IF(I117&gt;I116," * Tested Positive  for Age "&amp;H20&amp;" "&amp;I21&amp;" is more than Number Tested "&amp;CHAR(10),""),IF(J117&gt;J116," * Tested Positive  for Age "&amp;J20&amp;" "&amp;J21&amp;" is more than Number Tested "&amp;CHAR(10),""),IF(K117&gt;K116," * Tested Positive  for Age "&amp;J20&amp;" "&amp;K21&amp;" is more than Number Tested "&amp;CHAR(10),""),IF(L117&gt;L116," * Tested Positive  for Age "&amp;L20&amp;" "&amp;L21&amp;" is more than Number Tested "&amp;CHAR(10),""),IF(M117&gt;M116," * Tested Positive  for Age "&amp;L20&amp;" "&amp;M21&amp;" is more than Number Tested "&amp;CHAR(10),""),IF(N117&gt;N116," * Tested Positive  for Age "&amp;N20&amp;" "&amp;N21&amp;" is more than Number Tested "&amp;CHAR(10),""),IF(O117&gt;O116," * Tested Positive  for Age "&amp;N20&amp;" "&amp;O21&amp;" is more than Number Tested "&amp;CHAR(10),""),IF(P117&gt;P116," * Tested Positive  for Age "&amp;P20&amp;" "&amp;P21&amp;" is more than Number Tested "&amp;CHAR(10),""),IF(Q117&gt;Q116," * Tested Positive  for Age "&amp;P20&amp;" "&amp;Q21&amp;" is more than Number Tested "&amp;CHAR(10),""),IF(R117&gt;R116," * Tested Positive  for Age "&amp;R20&amp;" "&amp;R21&amp;" is more than Number Tested "&amp;CHAR(10),""),IF(S117&gt;S116," * Tested Positive  for Age "&amp;R20&amp;" "&amp;S21&amp;" is more than Number Tested "&amp;CHAR(10),""),IF(T117&gt;T116," * Tested Positive  for Age "&amp;T20&amp;" "&amp;T21&amp;" is more than Number Tested "&amp;CHAR(10),""),IF(U117&gt;U116," * Tested Positive  for Age "&amp;T20&amp;" "&amp;U21&amp;" is more than Number Tested "&amp;CHAR(10),""),IF(V117&gt;V116," * Tested Positive  for Age "&amp;V20&amp;" "&amp;V21&amp;" is more than Number Tested "&amp;CHAR(10),""),IF(W117&gt;W116," * Tested Positive  for Age "&amp;V20&amp;" "&amp;W21&amp;" is more than Number Tested "&amp;CHAR(10),""),IF(X117&gt;X116," * Tested Positive  for Age "&amp;X20&amp;" "&amp;X21&amp;" is more than Number Tested "&amp;CHAR(10),""),IF(Y117&gt;Y116," * Tested Positive  for Age "&amp;X20&amp;" "&amp;Y21&amp;" is more than Number Tested "&amp;CHAR(10),""),IF(Z117&gt;Z116," * Tested Positive  for Age "&amp;Z20&amp;" "&amp;Z21&amp;" is more than Number Tested "&amp;CHAR(10),""),IF(AA117&gt;AA116," * Tested Positive  for Age "&amp;Z20&amp;" "&amp;AA21&amp;" is more than Number Tested "&amp;CHAR(10),""))</f>
        <v/>
      </c>
      <c r="AL116" s="1228"/>
      <c r="AM116" s="125"/>
      <c r="AN116" s="126"/>
      <c r="AO116" s="13">
        <v>58</v>
      </c>
      <c r="AP116" s="74"/>
      <c r="AQ116" s="75"/>
    </row>
    <row r="117" spans="1:43" ht="25.9" hidden="1" thickBot="1" x14ac:dyDescent="0.8">
      <c r="A117" s="974"/>
      <c r="B117" s="95" t="s">
        <v>150</v>
      </c>
      <c r="C117" s="581" t="s">
        <v>977</v>
      </c>
      <c r="D117" s="119"/>
      <c r="E117" s="102"/>
      <c r="F117" s="102"/>
      <c r="G117" s="102"/>
      <c r="H117" s="102"/>
      <c r="I117" s="378"/>
      <c r="J117" s="407"/>
      <c r="K117" s="106"/>
      <c r="L117" s="106"/>
      <c r="M117" s="106"/>
      <c r="N117" s="106"/>
      <c r="O117" s="106"/>
      <c r="P117" s="106"/>
      <c r="Q117" s="106"/>
      <c r="R117" s="106"/>
      <c r="S117" s="106"/>
      <c r="T117" s="106"/>
      <c r="U117" s="106"/>
      <c r="V117" s="106"/>
      <c r="W117" s="106"/>
      <c r="X117" s="106"/>
      <c r="Y117" s="106"/>
      <c r="Z117" s="106"/>
      <c r="AA117" s="328"/>
      <c r="AB117" s="390"/>
      <c r="AC117" s="391"/>
      <c r="AD117" s="391"/>
      <c r="AE117" s="391"/>
      <c r="AF117" s="391"/>
      <c r="AG117" s="391"/>
      <c r="AH117" s="391"/>
      <c r="AI117" s="315"/>
      <c r="AJ117" s="56"/>
      <c r="AK117" s="124"/>
      <c r="AL117" s="1228"/>
      <c r="AM117" s="125"/>
      <c r="AN117" s="126"/>
      <c r="AO117" s="13">
        <v>59</v>
      </c>
      <c r="AP117" s="74"/>
      <c r="AQ117" s="75"/>
    </row>
    <row r="118" spans="1:43" ht="25.5" hidden="1" x14ac:dyDescent="0.75">
      <c r="A118" s="972" t="s">
        <v>1245</v>
      </c>
      <c r="B118" s="91" t="s">
        <v>158</v>
      </c>
      <c r="C118" s="633" t="s">
        <v>1246</v>
      </c>
      <c r="D118" s="134"/>
      <c r="E118" s="99"/>
      <c r="F118" s="99"/>
      <c r="G118" s="99"/>
      <c r="H118" s="99"/>
      <c r="I118" s="377"/>
      <c r="J118" s="237"/>
      <c r="K118" s="94"/>
      <c r="L118" s="94"/>
      <c r="M118" s="94"/>
      <c r="N118" s="94"/>
      <c r="O118" s="94"/>
      <c r="P118" s="94"/>
      <c r="Q118" s="94"/>
      <c r="R118" s="94"/>
      <c r="S118" s="94"/>
      <c r="T118" s="94"/>
      <c r="U118" s="94"/>
      <c r="V118" s="94"/>
      <c r="W118" s="94"/>
      <c r="X118" s="94"/>
      <c r="Y118" s="94"/>
      <c r="Z118" s="94"/>
      <c r="AA118" s="322"/>
      <c r="AB118" s="389"/>
      <c r="AC118" s="357"/>
      <c r="AD118" s="357"/>
      <c r="AE118" s="357"/>
      <c r="AF118" s="357"/>
      <c r="AG118" s="357"/>
      <c r="AH118" s="357"/>
      <c r="AI118" s="314"/>
      <c r="AJ118" s="392"/>
      <c r="AK118" s="124" t="str">
        <f>CONCATENATE(IF(D119&gt;D118," * Tested Positive  for Age "&amp;D20&amp;" "&amp;D21&amp;" is more than Number Tested "&amp;CHAR(10),""),IF(E119&gt;E118," * Tested Positive  for Age "&amp;D20&amp;" "&amp;E21&amp;" is more than Number Tested "&amp;CHAR(10),""),IF(F119&gt;F118," * Tested Positive  for Age "&amp;F20&amp;" "&amp;F21&amp;" is more than Number Tested "&amp;CHAR(10),""),IF(G119&gt;G118," * Tested Positive  for Age "&amp;F20&amp;" "&amp;G21&amp;" is more than Number Tested "&amp;CHAR(10),""),IF(H119&gt;H118," * Tested Positive  for Age "&amp;H20&amp;" "&amp;H21&amp;" is more than Number Tested "&amp;CHAR(10),""),IF(I119&gt;I118," * Tested Positive  for Age "&amp;H20&amp;" "&amp;I21&amp;" is more than Number Tested "&amp;CHAR(10),""),IF(J119&gt;J118," * Tested Positive  for Age "&amp;J20&amp;" "&amp;J21&amp;" is more than Number Tested "&amp;CHAR(10),""),IF(K119&gt;K118," * Tested Positive  for Age "&amp;J20&amp;" "&amp;K21&amp;" is more than Number Tested "&amp;CHAR(10),""),IF(L119&gt;L118," * Tested Positive  for Age "&amp;L20&amp;" "&amp;L21&amp;" is more than Number Tested "&amp;CHAR(10),""),IF(M119&gt;M118," * Tested Positive  for Age "&amp;L20&amp;" "&amp;M21&amp;" is more than Number Tested "&amp;CHAR(10),""),IF(N119&gt;N118," * Tested Positive  for Age "&amp;N20&amp;" "&amp;N21&amp;" is more than Number Tested "&amp;CHAR(10),""),IF(O119&gt;O118," * Tested Positive  for Age "&amp;N20&amp;" "&amp;O21&amp;" is more than Number Tested "&amp;CHAR(10),""),IF(P119&gt;P118," * Tested Positive  for Age "&amp;P20&amp;" "&amp;P21&amp;" is more than Number Tested "&amp;CHAR(10),""),IF(Q119&gt;Q118," * Tested Positive  for Age "&amp;P20&amp;" "&amp;Q21&amp;" is more than Number Tested "&amp;CHAR(10),""),IF(R119&gt;R118," * Tested Positive  for Age "&amp;R20&amp;" "&amp;R21&amp;" is more than Number Tested "&amp;CHAR(10),""),IF(S119&gt;S118," * Tested Positive  for Age "&amp;R20&amp;" "&amp;S21&amp;" is more than Number Tested "&amp;CHAR(10),""),IF(T119&gt;T118," * Tested Positive  for Age "&amp;T20&amp;" "&amp;T21&amp;" is more than Number Tested "&amp;CHAR(10),""),IF(U119&gt;U118," * Tested Positive  for Age "&amp;T20&amp;" "&amp;U21&amp;" is more than Number Tested "&amp;CHAR(10),""),IF(V119&gt;V118," * Tested Positive  for Age "&amp;V20&amp;" "&amp;V21&amp;" is more than Number Tested "&amp;CHAR(10),""),IF(W119&gt;W118," * Tested Positive  for Age "&amp;V20&amp;" "&amp;W21&amp;" is more than Number Tested "&amp;CHAR(10),""),IF(X119&gt;X118," * Tested Positive  for Age "&amp;X20&amp;" "&amp;X21&amp;" is more than Number Tested "&amp;CHAR(10),""),IF(Y119&gt;Y118," * Tested Positive  for Age "&amp;X20&amp;" "&amp;Y21&amp;" is more than Number Tested "&amp;CHAR(10),""),IF(Z119&gt;Z118," * Tested Positive  for Age "&amp;Z20&amp;" "&amp;Z21&amp;" is more than Number Tested "&amp;CHAR(10),""),IF(AA119&gt;AA118," * Tested Positive  for Age "&amp;Z20&amp;" "&amp;AA21&amp;" is more than Number Tested "&amp;CHAR(10),""))</f>
        <v/>
      </c>
      <c r="AL118" s="1228"/>
      <c r="AM118" s="125"/>
      <c r="AN118" s="126"/>
      <c r="AO118" s="13">
        <v>58</v>
      </c>
      <c r="AP118" s="74"/>
      <c r="AQ118" s="75"/>
    </row>
    <row r="119" spans="1:43" ht="25.9" hidden="1" thickBot="1" x14ac:dyDescent="0.8">
      <c r="A119" s="974"/>
      <c r="B119" s="95" t="s">
        <v>150</v>
      </c>
      <c r="C119" s="634" t="s">
        <v>1247</v>
      </c>
      <c r="D119" s="119"/>
      <c r="E119" s="102"/>
      <c r="F119" s="102"/>
      <c r="G119" s="102"/>
      <c r="H119" s="102"/>
      <c r="I119" s="378"/>
      <c r="J119" s="407"/>
      <c r="K119" s="106"/>
      <c r="L119" s="106"/>
      <c r="M119" s="106"/>
      <c r="N119" s="106"/>
      <c r="O119" s="106"/>
      <c r="P119" s="106"/>
      <c r="Q119" s="106"/>
      <c r="R119" s="106"/>
      <c r="S119" s="106"/>
      <c r="T119" s="106"/>
      <c r="U119" s="106"/>
      <c r="V119" s="106"/>
      <c r="W119" s="106"/>
      <c r="X119" s="106"/>
      <c r="Y119" s="106"/>
      <c r="Z119" s="106"/>
      <c r="AA119" s="328"/>
      <c r="AB119" s="390"/>
      <c r="AC119" s="391"/>
      <c r="AD119" s="391"/>
      <c r="AE119" s="391"/>
      <c r="AF119" s="391"/>
      <c r="AG119" s="391"/>
      <c r="AH119" s="391"/>
      <c r="AI119" s="315"/>
      <c r="AJ119" s="56"/>
      <c r="AK119" s="124"/>
      <c r="AL119" s="1229"/>
      <c r="AM119" s="125"/>
      <c r="AN119" s="126"/>
      <c r="AO119" s="13">
        <v>59</v>
      </c>
      <c r="AP119" s="74"/>
      <c r="AQ119" s="75"/>
    </row>
    <row r="120" spans="1:43" ht="25.9" hidden="1" thickBot="1" x14ac:dyDescent="0.8">
      <c r="A120" s="1043" t="s">
        <v>1116</v>
      </c>
      <c r="B120" s="1044"/>
      <c r="C120" s="1044"/>
      <c r="D120" s="1044"/>
      <c r="E120" s="1044"/>
      <c r="F120" s="1044"/>
      <c r="G120" s="1044"/>
      <c r="H120" s="1044"/>
      <c r="I120" s="1044"/>
      <c r="J120" s="1044"/>
      <c r="K120" s="1044"/>
      <c r="L120" s="1044"/>
      <c r="M120" s="1044"/>
      <c r="N120" s="1044"/>
      <c r="O120" s="1044"/>
      <c r="P120" s="1044"/>
      <c r="Q120" s="1044"/>
      <c r="R120" s="1044"/>
      <c r="S120" s="1044"/>
      <c r="T120" s="1044"/>
      <c r="U120" s="1044"/>
      <c r="V120" s="1044"/>
      <c r="W120" s="1044"/>
      <c r="X120" s="1044"/>
      <c r="Y120" s="1044"/>
      <c r="Z120" s="1044"/>
      <c r="AA120" s="1044"/>
      <c r="AB120" s="1045"/>
      <c r="AC120" s="1045"/>
      <c r="AD120" s="1045"/>
      <c r="AE120" s="1045"/>
      <c r="AF120" s="1045"/>
      <c r="AG120" s="1045"/>
      <c r="AH120" s="1045"/>
      <c r="AI120" s="1045"/>
      <c r="AJ120" s="1044"/>
      <c r="AK120" s="1044"/>
      <c r="AL120" s="1044"/>
      <c r="AM120" s="1044"/>
      <c r="AN120" s="1046"/>
      <c r="AO120" s="13">
        <v>60</v>
      </c>
      <c r="AP120" s="74"/>
      <c r="AQ120" s="75"/>
    </row>
    <row r="121" spans="1:43" ht="26.25" hidden="1" customHeight="1" x14ac:dyDescent="0.75">
      <c r="A121" s="1039" t="s">
        <v>37</v>
      </c>
      <c r="B121" s="1041" t="s">
        <v>344</v>
      </c>
      <c r="C121" s="1049" t="s">
        <v>325</v>
      </c>
      <c r="D121" s="1266"/>
      <c r="E121" s="1267"/>
      <c r="F121" s="1267"/>
      <c r="G121" s="1267"/>
      <c r="H121" s="1267"/>
      <c r="I121" s="1268"/>
      <c r="J121" s="1013" t="s">
        <v>3</v>
      </c>
      <c r="K121" s="1057"/>
      <c r="L121" s="1057" t="s">
        <v>4</v>
      </c>
      <c r="M121" s="1057"/>
      <c r="N121" s="1057" t="s">
        <v>5</v>
      </c>
      <c r="O121" s="1057"/>
      <c r="P121" s="1057" t="s">
        <v>6</v>
      </c>
      <c r="Q121" s="1057"/>
      <c r="R121" s="1057" t="s">
        <v>7</v>
      </c>
      <c r="S121" s="1057"/>
      <c r="T121" s="1057" t="s">
        <v>8</v>
      </c>
      <c r="U121" s="1057"/>
      <c r="V121" s="1057" t="s">
        <v>23</v>
      </c>
      <c r="W121" s="1057"/>
      <c r="X121" s="1057" t="s">
        <v>24</v>
      </c>
      <c r="Y121" s="1057"/>
      <c r="Z121" s="1057" t="s">
        <v>9</v>
      </c>
      <c r="AA121" s="1012"/>
      <c r="AB121" s="1226"/>
      <c r="AC121" s="1014"/>
      <c r="AD121" s="1014"/>
      <c r="AE121" s="1014"/>
      <c r="AF121" s="1014"/>
      <c r="AG121" s="1014"/>
      <c r="AH121" s="1014"/>
      <c r="AI121" s="1015"/>
      <c r="AJ121" s="1194" t="s">
        <v>19</v>
      </c>
      <c r="AK121" s="1192" t="s">
        <v>378</v>
      </c>
      <c r="AL121" s="1183" t="s">
        <v>384</v>
      </c>
      <c r="AM121" s="1058" t="s">
        <v>385</v>
      </c>
      <c r="AN121" s="1047" t="s">
        <v>385</v>
      </c>
      <c r="AO121" s="13">
        <v>61</v>
      </c>
      <c r="AP121" s="74"/>
      <c r="AQ121" s="75"/>
    </row>
    <row r="122" spans="1:43" ht="27" hidden="1" customHeight="1" thickBot="1" x14ac:dyDescent="0.8">
      <c r="A122" s="1040"/>
      <c r="B122" s="1042"/>
      <c r="C122" s="1059"/>
      <c r="D122" s="1269"/>
      <c r="E122" s="1270"/>
      <c r="F122" s="1270"/>
      <c r="G122" s="1270"/>
      <c r="H122" s="1270"/>
      <c r="I122" s="1271"/>
      <c r="J122" s="296" t="s">
        <v>10</v>
      </c>
      <c r="K122" s="68" t="s">
        <v>11</v>
      </c>
      <c r="L122" s="68" t="s">
        <v>10</v>
      </c>
      <c r="M122" s="68" t="s">
        <v>11</v>
      </c>
      <c r="N122" s="68" t="s">
        <v>10</v>
      </c>
      <c r="O122" s="68" t="s">
        <v>11</v>
      </c>
      <c r="P122" s="68" t="s">
        <v>10</v>
      </c>
      <c r="Q122" s="68" t="s">
        <v>11</v>
      </c>
      <c r="R122" s="68" t="s">
        <v>10</v>
      </c>
      <c r="S122" s="68" t="s">
        <v>11</v>
      </c>
      <c r="T122" s="68" t="s">
        <v>10</v>
      </c>
      <c r="U122" s="68" t="s">
        <v>11</v>
      </c>
      <c r="V122" s="68" t="s">
        <v>10</v>
      </c>
      <c r="W122" s="68" t="s">
        <v>11</v>
      </c>
      <c r="X122" s="68" t="s">
        <v>10</v>
      </c>
      <c r="Y122" s="68" t="s">
        <v>11</v>
      </c>
      <c r="Z122" s="68" t="s">
        <v>10</v>
      </c>
      <c r="AA122" s="371" t="s">
        <v>11</v>
      </c>
      <c r="AB122" s="373"/>
      <c r="AC122" s="374"/>
      <c r="AD122" s="374"/>
      <c r="AE122" s="374"/>
      <c r="AF122" s="374"/>
      <c r="AG122" s="374"/>
      <c r="AH122" s="374"/>
      <c r="AI122" s="375"/>
      <c r="AJ122" s="1197"/>
      <c r="AK122" s="1193"/>
      <c r="AL122" s="1127"/>
      <c r="AM122" s="1058"/>
      <c r="AN122" s="1048"/>
      <c r="AO122" s="13">
        <v>62</v>
      </c>
      <c r="AP122" s="74"/>
      <c r="AQ122" s="75"/>
    </row>
    <row r="123" spans="1:43" ht="25.5" hidden="1" x14ac:dyDescent="0.75">
      <c r="A123" s="1217" t="s">
        <v>582</v>
      </c>
      <c r="B123" s="69" t="s">
        <v>648</v>
      </c>
      <c r="C123" s="603" t="s">
        <v>184</v>
      </c>
      <c r="D123" s="70"/>
      <c r="E123" s="71"/>
      <c r="F123" s="71"/>
      <c r="G123" s="71"/>
      <c r="H123" s="71"/>
      <c r="I123" s="71"/>
      <c r="J123" s="127"/>
      <c r="K123" s="127"/>
      <c r="L123" s="127"/>
      <c r="M123" s="127"/>
      <c r="N123" s="127"/>
      <c r="O123" s="127"/>
      <c r="P123" s="127"/>
      <c r="Q123" s="127"/>
      <c r="R123" s="127"/>
      <c r="S123" s="127"/>
      <c r="T123" s="127"/>
      <c r="U123" s="127"/>
      <c r="V123" s="127"/>
      <c r="W123" s="127"/>
      <c r="X123" s="127"/>
      <c r="Y123" s="127"/>
      <c r="Z123" s="127"/>
      <c r="AA123" s="331"/>
      <c r="AB123" s="389"/>
      <c r="AC123" s="357"/>
      <c r="AD123" s="357"/>
      <c r="AE123" s="357"/>
      <c r="AF123" s="357"/>
      <c r="AG123" s="357"/>
      <c r="AH123" s="357"/>
      <c r="AI123" s="314"/>
      <c r="AJ123" s="52">
        <f>SUM(D123:AA123)</f>
        <v>0</v>
      </c>
      <c r="AK123" s="128" t="str">
        <f>CONCATENATE(IF(D126&gt;D123," * Eligible for PrEP  for Age "&amp;D20&amp;" "&amp;D21&amp;" is more than Assessed for HIV risk"&amp;CHAR(10),""),IF(E126&gt;E123," * Eligible for PrEP  for Age "&amp;D20&amp;" "&amp;E21&amp;" is more than Assessed for HIV risk"&amp;CHAR(10),""),IF(F126&gt;F123," * Eligible for PrEP  for Age "&amp;F20&amp;" "&amp;F21&amp;" is more than Assessed for HIV risk"&amp;CHAR(10),""),IF(G126&gt;G123," * Eligible for PrEP  for Age "&amp;F20&amp;" "&amp;G21&amp;" is more than Assessed for HIV risk"&amp;CHAR(10),""),IF(H126&gt;H123," * Eligible for PrEP  for Age "&amp;H20&amp;" "&amp;H21&amp;" is more than Assessed for HIV risk"&amp;CHAR(10),""),IF(I126&gt;I123," * Eligible for PrEP  for Age "&amp;H20&amp;" "&amp;I21&amp;" is more than Assessed for HIV risk"&amp;CHAR(10),""),IF(J126&gt;J123," * Eligible for PrEP  for Age "&amp;J20&amp;" "&amp;J21&amp;" is more than Assessed for HIV risk"&amp;CHAR(10),""),IF(K126&gt;K123," * Eligible for PrEP  for Age "&amp;J20&amp;" "&amp;K21&amp;" is more than Assessed for HIV risk"&amp;CHAR(10),""),IF(L126&gt;L123," * Eligible for PrEP  for Age "&amp;L20&amp;" "&amp;L21&amp;" is more than Assessed for HIV risk"&amp;CHAR(10),""),IF(M126&gt;M123," * Eligible for PrEP  for Age "&amp;L20&amp;" "&amp;M21&amp;" is more than Assessed for HIV risk"&amp;CHAR(10),""),IF(N126&gt;N123," * Eligible for PrEP  for Age "&amp;N20&amp;" "&amp;N21&amp;" is more than Assessed for HIV risk"&amp;CHAR(10),""),IF(O126&gt;O123," * Eligible for PrEP  for Age "&amp;N20&amp;" "&amp;O21&amp;" is more than Assessed for HIV risk"&amp;CHAR(10),""),IF(P126&gt;P123," * Eligible for PrEP  for Age "&amp;P20&amp;" "&amp;P21&amp;" is more than Assessed for HIV risk"&amp;CHAR(10),""),IF(Q126&gt;Q123," * Eligible for PrEP  for Age "&amp;P20&amp;" "&amp;Q21&amp;" is more than Assessed for HIV risk"&amp;CHAR(10),""),IF(R126&gt;R123," * Eligible for PrEP  for Age "&amp;R20&amp;" "&amp;R21&amp;" is more than Assessed for HIV risk"&amp;CHAR(10),""),IF(S126&gt;S123," * Eligible for PrEP  for Age "&amp;R20&amp;" "&amp;S21&amp;" is more than Assessed for HIV risk"&amp;CHAR(10),""),IF(T126&gt;T123," * Eligible for PrEP  for Age "&amp;T20&amp;" "&amp;T21&amp;" is more than Assessed for HIV risk"&amp;CHAR(10),""),IF(U126&gt;U123," * Eligible for PrEP  for Age "&amp;T20&amp;" "&amp;U21&amp;" is more than Assessed for HIV risk"&amp;CHAR(10),""),IF(V126&gt;V123," * Eligible for PrEP  for Age "&amp;V20&amp;" "&amp;V21&amp;" is more than Assessed for HIV risk"&amp;CHAR(10),""),IF(W126&gt;W123," * Eligible for PrEP  for Age "&amp;V20&amp;" "&amp;W21&amp;" is more than Assessed for HIV risk"&amp;CHAR(10),""),IF(X126&gt;X123," * Eligible for PrEP  for Age "&amp;X20&amp;" "&amp;X21&amp;" is more than Assessed for HIV risk"&amp;CHAR(10),""),IF(Y126&gt;Y123," * Eligible for PrEP  for Age "&amp;X20&amp;" "&amp;Y21&amp;" is more than Assessed for HIV risk"&amp;CHAR(10),""),IF(Z126&gt;Z123," * Eligible for PrEP  for Age "&amp;Z20&amp;" "&amp;Z21&amp;" is more than Assessed for HIV risk"&amp;CHAR(10),""),IF(AA126&gt;AA123," * Eligible for PrEP  for Age "&amp;Z20&amp;" "&amp;AA21&amp;" is more than Assessed for HIV risk"&amp;CHAR(10),""))</f>
        <v/>
      </c>
      <c r="AL123" s="1227" t="str">
        <f>CONCATENATE(AK123,AK124,AK125,AK126,AK127,AK128,AK129,AK130,AK131,AK132,AK133,AK134,AK135,AK136,AK137,AK139,AK140,AK141,AK142,AK143,AK144,AK145,AK146,AK148,AK151,AK152,AK153,AK154,AK155,AK156,AK157,AK158,AK159,AK138,AK149,AK150,AK160,AK161)</f>
        <v/>
      </c>
      <c r="AM123" s="73"/>
      <c r="AN123" s="1247" t="str">
        <f>CONCATENATE(AM123,AM126,AM127,AM134,AM137,AM146,AM147,AM148,AM151,AM152,AM153,AM154,AM155,AM156,AM157,AM158,AM159)</f>
        <v/>
      </c>
      <c r="AO123" s="13">
        <v>63</v>
      </c>
      <c r="AP123" s="74"/>
      <c r="AQ123" s="75"/>
    </row>
    <row r="124" spans="1:43" ht="25.5" hidden="1" x14ac:dyDescent="0.75">
      <c r="A124" s="1029"/>
      <c r="B124" s="76" t="s">
        <v>557</v>
      </c>
      <c r="C124" s="633" t="s">
        <v>558</v>
      </c>
      <c r="D124" s="77"/>
      <c r="E124" s="78"/>
      <c r="F124" s="78"/>
      <c r="G124" s="78"/>
      <c r="H124" s="78"/>
      <c r="I124" s="78"/>
      <c r="J124" s="129"/>
      <c r="K124" s="129"/>
      <c r="L124" s="129"/>
      <c r="M124" s="129"/>
      <c r="N124" s="129"/>
      <c r="O124" s="129"/>
      <c r="P124" s="129"/>
      <c r="Q124" s="129"/>
      <c r="R124" s="129"/>
      <c r="S124" s="129"/>
      <c r="T124" s="129"/>
      <c r="U124" s="129"/>
      <c r="V124" s="129"/>
      <c r="W124" s="129"/>
      <c r="X124" s="129"/>
      <c r="Y124" s="129"/>
      <c r="Z124" s="129"/>
      <c r="AA124" s="332"/>
      <c r="AB124" s="389"/>
      <c r="AC124" s="357"/>
      <c r="AD124" s="357"/>
      <c r="AE124" s="357"/>
      <c r="AF124" s="357"/>
      <c r="AG124" s="357"/>
      <c r="AH124" s="357"/>
      <c r="AI124" s="314"/>
      <c r="AJ124" s="174">
        <f>SUM(J124:AA124)</f>
        <v>0</v>
      </c>
      <c r="AK124" s="30" t="str">
        <f>CONCATENATE(IF(D124&gt;D123," * Tested for Prep Initiation For age "&amp;$D$20&amp;" "&amp;$D$21&amp;" is more than Assessed for HIV risk"&amp;CHAR(10),""),IF(E124&gt;E123," * Tested for Prep Initiation For age "&amp;$D$20&amp;" "&amp;$E$21&amp;" is more than Assessed for HIV risk"&amp;CHAR(10),""),IF(F124&gt;F123," * Tested for Prep Initiation For age "&amp;$F$20&amp;" "&amp;$F$21&amp;" is more than Assessed for HIV risk"&amp;CHAR(10),""),IF(G124&gt;G123," * Tested for Prep Initiation For age "&amp;$F$20&amp;" "&amp;$G$21&amp;" is more than Assessed for HIV risk"&amp;CHAR(10),""),IF(H124&gt;H123," * Tested for Prep Initiation For age "&amp;$H$20&amp;" "&amp;$H$21&amp;" is more than Assessed for HIV risk"&amp;CHAR(10),""),IF(I124&gt;I123," * Tested for Prep Initiation For age "&amp;$H$20&amp;" "&amp;$I$21&amp;" is more than Assessed for HIV risk"&amp;CHAR(10),""),IF(J124&gt;J123," * Tested for Prep Initiation For age "&amp;$J$20&amp;" "&amp;$J$21&amp;" is more than Assessed for HIV risk"&amp;CHAR(10),""),IF(K124&gt;K123," * Tested for Prep Initiation For age "&amp;$J$20&amp;" "&amp;$K$21&amp;" is more than Assessed for HIV risk"&amp;CHAR(10),""),IF(L124&gt;L123," * Tested for Prep Initiation For age "&amp;$L$20&amp;" "&amp;$L$21&amp;" is more than Assessed for HIV risk"&amp;CHAR(10),""),IF(M124&gt;M123," * Tested for Prep Initiation For age "&amp;$L$20&amp;" "&amp;$M$21&amp;" is more than Assessed for HIV risk"&amp;CHAR(10),""),IF(N124&gt;N123," * Tested for Prep Initiation For age "&amp;$N$20&amp;" "&amp;$N$21&amp;" is more than Assessed for HIV risk"&amp;CHAR(10),""),IF(O124&gt;O123," * Tested for Prep Initiation For age "&amp;$N$20&amp;" "&amp;$O$21&amp;" is more than Assessed for HIV risk"&amp;CHAR(10),""),IF(P124&gt;P123," * Tested for Prep Initiation For age "&amp;$P$20&amp;" "&amp;$P$21&amp;" is more than Assessed for HIV risk"&amp;CHAR(10),""),IF(Q124&gt;Q123," * Tested for Prep Initiation For age "&amp;$P$20&amp;" "&amp;$Q$21&amp;" is more than Assessed for HIV risk"&amp;CHAR(10),""),IF(R124&gt;R123," * Tested for Prep Initiation For age "&amp;$R$20&amp;" "&amp;$R$21&amp;" is more than Assessed for HIV risk"&amp;CHAR(10),""),IF(S124&gt;S123," * Tested for Prep Initiation For age "&amp;$R$20&amp;" "&amp;$S$21&amp;" is more than Assessed for HIV risk"&amp;CHAR(10),""),IF(T124&gt;T123," * Tested for Prep Initiation For age "&amp;$T$20&amp;" "&amp;$T$21&amp;" is more than Assessed for HIV risk"&amp;CHAR(10),""),IF(U124&gt;U123," * Tested for Prep Initiation For age "&amp;$T$20&amp;" "&amp;$U$21&amp;" is more than Assessed for HIV risk"&amp;CHAR(10),""),IF(V124&gt;V123," * Tested for Prep Initiation For age "&amp;$V$20&amp;" "&amp;$V$21&amp;" is more than Assessed for HIV risk"&amp;CHAR(10),""),IF(W124&gt;W123," * Tested for Prep Initiation For age "&amp;$V$20&amp;" "&amp;$W$21&amp;" is more than Assessed for HIV risk"&amp;CHAR(10),""),IF(X124&gt;X123," * Tested for Prep Initiation For age "&amp;$X$20&amp;" "&amp;$X$21&amp;" is more than Assessed for HIV risk"&amp;CHAR(10),""),IF(Y124&gt;Y123," * Tested for Prep Initiation For age "&amp;$X$20&amp;" "&amp;$Y$21&amp;" is more than Assessed for HIV risk"&amp;CHAR(10),""),IF(Z124&gt;Z123," * Tested for Prep Initiation For age "&amp;$Z$20&amp;" "&amp;$Z$21&amp;" is more than Assessed for HIV risk"&amp;CHAR(10),""),IF(AA124&gt;AA123," * Tested for Prep Initiation For age "&amp;$Z$20&amp;" "&amp;$AA$21&amp;" is more than Assessed for HIV risk"&amp;CHAR(10),""))</f>
        <v/>
      </c>
      <c r="AL124" s="1228"/>
      <c r="AM124" s="31"/>
      <c r="AN124" s="1248"/>
      <c r="AO124" s="13">
        <v>64</v>
      </c>
      <c r="AP124" s="74"/>
      <c r="AQ124" s="75"/>
    </row>
    <row r="125" spans="1:43" ht="25.5" hidden="1" x14ac:dyDescent="0.75">
      <c r="A125" s="1029"/>
      <c r="B125" s="76" t="s">
        <v>649</v>
      </c>
      <c r="C125" s="633" t="s">
        <v>559</v>
      </c>
      <c r="D125" s="77"/>
      <c r="E125" s="78"/>
      <c r="F125" s="78"/>
      <c r="G125" s="78"/>
      <c r="H125" s="78"/>
      <c r="I125" s="78"/>
      <c r="J125" s="129"/>
      <c r="K125" s="129"/>
      <c r="L125" s="129"/>
      <c r="M125" s="129"/>
      <c r="N125" s="129"/>
      <c r="O125" s="129"/>
      <c r="P125" s="129"/>
      <c r="Q125" s="129"/>
      <c r="R125" s="129"/>
      <c r="S125" s="129"/>
      <c r="T125" s="129"/>
      <c r="U125" s="129"/>
      <c r="V125" s="129"/>
      <c r="W125" s="129"/>
      <c r="X125" s="129"/>
      <c r="Y125" s="129"/>
      <c r="Z125" s="129"/>
      <c r="AA125" s="332"/>
      <c r="AB125" s="389"/>
      <c r="AC125" s="357"/>
      <c r="AD125" s="357"/>
      <c r="AE125" s="357"/>
      <c r="AF125" s="357"/>
      <c r="AG125" s="357"/>
      <c r="AH125" s="357"/>
      <c r="AI125" s="314"/>
      <c r="AJ125" s="174">
        <f>SUM(J125:AA125)</f>
        <v>0</v>
      </c>
      <c r="AK125" s="130" t="str">
        <f>CONCATENATE(IF(D125&gt;D124," * screened for Prep initiation testing positive For age "&amp;$D$20&amp;" "&amp;$D$21&amp;" is more than HIV tested for PrEP initiation"&amp;CHAR(10),""),IF(E125&gt;E124," * screened for Prep initiation testing positive For age "&amp;$D$20&amp;" "&amp;$E$21&amp;" is more than HIV tested for PrEP initiation"&amp;CHAR(10),""),IF(F125&gt;F124," * screened for Prep initiation testing positive For age "&amp;$F$20&amp;" "&amp;$F$21&amp;" is more than HIV tested for PrEP initiation"&amp;CHAR(10),""),IF(G125&gt;G124," * screened for Prep initiation testing positive For age "&amp;$F$20&amp;" "&amp;$G$21&amp;" is more than HIV tested for PrEP initiation"&amp;CHAR(10),""),IF(H125&gt;H124," * screened for Prep initiation testing positive For age "&amp;$H$20&amp;" "&amp;$H$21&amp;" is more than HIV tested for PrEP initiation"&amp;CHAR(10),""),IF(I125&gt;I124," * screened for Prep initiation testing positive For age "&amp;$H$20&amp;" "&amp;$I$21&amp;" is more than HIV tested for PrEP initiation"&amp;CHAR(10),""),IF(J125&gt;J124," * screened for Prep initiation testing positive For age "&amp;$J$20&amp;" "&amp;$J$21&amp;" is more than HIV tested for PrEP initiation"&amp;CHAR(10),""),IF(K125&gt;K124," * screened for Prep initiation testing positive For age "&amp;$J$20&amp;" "&amp;$K$21&amp;" is more than HIV tested for PrEP initiation"&amp;CHAR(10),""),IF(L125&gt;L124," * screened for Prep initiation testing positive For age "&amp;$L$20&amp;" "&amp;$L$21&amp;" is more than HIV tested for PrEP initiation"&amp;CHAR(10),""),IF(M125&gt;M124," * screened for Prep initiation testing positive For age "&amp;$L$20&amp;" "&amp;$M$21&amp;" is more than HIV tested for PrEP initiation"&amp;CHAR(10),""),IF(N125&gt;N124," * screened for Prep initiation testing positive For age "&amp;$N$20&amp;" "&amp;$N$21&amp;" is more than HIV tested for PrEP initiation"&amp;CHAR(10),""),IF(O125&gt;O124," * screened for Prep initiation testing positive For age "&amp;$N$20&amp;" "&amp;$O$21&amp;" is more than HIV tested for PrEP initiation"&amp;CHAR(10),""),IF(P125&gt;P124," * screened for Prep initiation testing positive For age "&amp;$P$20&amp;" "&amp;$P$21&amp;" is more than HIV tested for PrEP initiation"&amp;CHAR(10),""),IF(Q125&gt;Q124," * screened for Prep initiation testing positive For age "&amp;$P$20&amp;" "&amp;$Q$21&amp;" is more than HIV tested for PrEP initiation"&amp;CHAR(10),""),IF(R125&gt;R124," * screened for Prep initiation testing positive For age "&amp;$R$20&amp;" "&amp;$R$21&amp;" is more than HIV tested for PrEP initiation"&amp;CHAR(10),""),IF(S125&gt;S124," * screened for Prep initiation testing positive For age "&amp;$R$20&amp;" "&amp;$S$21&amp;" is more than HIV tested for PrEP initiation"&amp;CHAR(10),""),IF(T125&gt;T124," * screened for Prep initiation testing positive For age "&amp;$T$20&amp;" "&amp;$T$21&amp;" is more than HIV tested for PrEP initiation"&amp;CHAR(10),""),IF(U125&gt;U124," * screened for Prep initiation testing positive For age "&amp;$T$20&amp;" "&amp;$U$21&amp;" is more than HIV tested for PrEP initiation"&amp;CHAR(10),""),IF(V125&gt;V124," * screened for Prep initiation testing positive For age "&amp;$V$20&amp;" "&amp;$V$21&amp;" is more than HIV tested for PrEP initiation"&amp;CHAR(10),""),IF(W125&gt;W124," * screened for Prep initiation testing positive For age "&amp;$V$20&amp;" "&amp;$W$21&amp;" is more than HIV tested for PrEP initiation"&amp;CHAR(10),""),IF(X125&gt;X124," * screened for Prep initiation testing positive For age "&amp;$X$20&amp;" "&amp;$X$21&amp;" is more than HIV tested for PrEP initiation"&amp;CHAR(10),""),IF(Y125&gt;Y124," * screened for Prep initiation testing positive For age "&amp;$X$20&amp;" "&amp;$Y$21&amp;" is more than HIV tested for PrEP initiation"&amp;CHAR(10),""),IF(Z125&gt;Z124," * screened for Prep initiation testing positive For age "&amp;$Z$20&amp;" "&amp;$Z$21&amp;" is more than HIV tested for PrEP initiation"&amp;CHAR(10),""),IF(AA125&gt;AA124," * screened for Prep initiation testing positive For age "&amp;$Z$20&amp;" "&amp;$AA$21&amp;" is more than HIV tested for PrEP initiation"&amp;CHAR(10),""))</f>
        <v/>
      </c>
      <c r="AL125" s="1228"/>
      <c r="AM125" s="31"/>
      <c r="AN125" s="1248"/>
      <c r="AO125" s="13">
        <v>65</v>
      </c>
      <c r="AP125" s="74"/>
      <c r="AQ125" s="75"/>
    </row>
    <row r="126" spans="1:43" ht="25.9" hidden="1" thickBot="1" x14ac:dyDescent="0.8">
      <c r="A126" s="1030"/>
      <c r="B126" s="87" t="s">
        <v>650</v>
      </c>
      <c r="C126" s="634" t="s">
        <v>185</v>
      </c>
      <c r="D126" s="103"/>
      <c r="E126" s="102"/>
      <c r="F126" s="102"/>
      <c r="G126" s="102"/>
      <c r="H126" s="102"/>
      <c r="I126" s="102"/>
      <c r="J126" s="89"/>
      <c r="K126" s="89"/>
      <c r="L126" s="89"/>
      <c r="M126" s="89"/>
      <c r="N126" s="89"/>
      <c r="O126" s="89"/>
      <c r="P126" s="89"/>
      <c r="Q126" s="89"/>
      <c r="R126" s="89"/>
      <c r="S126" s="89"/>
      <c r="T126" s="89"/>
      <c r="U126" s="89"/>
      <c r="V126" s="89"/>
      <c r="W126" s="89"/>
      <c r="X126" s="89"/>
      <c r="Y126" s="89"/>
      <c r="Z126" s="89"/>
      <c r="AA126" s="321"/>
      <c r="AB126" s="389"/>
      <c r="AC126" s="357"/>
      <c r="AD126" s="357"/>
      <c r="AE126" s="357"/>
      <c r="AF126" s="357"/>
      <c r="AG126" s="357"/>
      <c r="AH126" s="357"/>
      <c r="AI126" s="314"/>
      <c r="AJ126" s="193">
        <f t="shared" ref="AJ126:AJ161" si="21">SUM(D126:AA126)</f>
        <v>0</v>
      </c>
      <c r="AK126" s="130" t="str">
        <f>CONCATENATE(IF(D126&gt;(D124-D125)," * Eligible For Prep For age "&amp;$D$20&amp;" "&amp;$D$21&amp;" is more than Clients tested HIV Negative for Prep Initiation"&amp;CHAR(10),""),IF(E126&gt;(E124-E125)," * Eligible For Prep For age "&amp;$D$20&amp;" "&amp;$E$21&amp;" is more than Clients tested HIV Negative for Prep Initiation"&amp;CHAR(10),""),IF(F126&gt;(F124-F125)," * Eligible For Prep For age "&amp;$F$20&amp;" "&amp;$F$21&amp;" is more than Clients tested HIV Negative for Prep Initiation"&amp;CHAR(10),""),IF(G126&gt;(G124-G125)," * Eligible For Prep For age "&amp;$F$20&amp;" "&amp;$G$21&amp;" is more than Clients tested HIV Negative for Prep Initiation"&amp;CHAR(10),""),IF(H126&gt;(H124-H125)," * Eligible For Prep For age "&amp;$H$20&amp;" "&amp;$H$21&amp;" is more than Clients tested HIV Negative for Prep Initiation"&amp;CHAR(10),""),IF(I126&gt;(I124-I125)," * Eligible For Prep For age "&amp;$H$20&amp;" "&amp;$I$21&amp;" is more than Clients tested HIV Negative for Prep Initiation"&amp;CHAR(10),""),IF(J126&gt;(J124-J125)," * Eligible For Prep For age "&amp;$J$20&amp;" "&amp;$J$21&amp;" is more than Clients tested HIV Negative for Prep Initiation"&amp;CHAR(10),""),IF(K126&gt;(K124-K125)," * Eligible For Prep For age "&amp;$J$20&amp;" "&amp;$K$21&amp;" is more than Clients tested HIV Negative for Prep Initiation"&amp;CHAR(10),""),IF(L126&gt;(L124-L125)," * Eligible For Prep For age "&amp;$L$20&amp;" "&amp;$L$21&amp;" is more than Clients tested HIV Negative for Prep Initiation"&amp;CHAR(10),""),IF(M126&gt;(M124-M125)," * Eligible For Prep For age "&amp;$L$20&amp;" "&amp;$M$21&amp;" is more than Clients tested HIV Negative for Prep Initiation"&amp;CHAR(10),""),IF(N126&gt;(N124-N125)," * Eligible For Prep For age "&amp;$N$20&amp;" "&amp;$N$21&amp;" is more than Clients tested HIV Negative for Prep Initiation"&amp;CHAR(10),""),IF(O126&gt;(O124-O125)," * Eligible For Prep For age "&amp;$N$20&amp;" "&amp;$O$21&amp;" is more than Clients tested HIV Negative for Prep Initiation"&amp;CHAR(10),""),IF(P126&gt;(P124-P125)," * Eligible For Prep For age "&amp;$P$20&amp;" "&amp;$P$21&amp;" is more than Clients tested HIV Negative for Prep Initiation"&amp;CHAR(10),""),IF(Q126&gt;(Q124-Q125)," * Eligible For Prep For age "&amp;$P$20&amp;" "&amp;$Q$21&amp;" is more than Clients tested HIV Negative for Prep Initiation"&amp;CHAR(10),""),IF(R126&gt;(R124-R125)," * Eligible For Prep For age "&amp;$R$20&amp;" "&amp;$R$21&amp;" is more than Clients tested HIV Negative for Prep Initiation"&amp;CHAR(10),""),IF(S126&gt;(S124-S125)," * Eligible For Prep For age "&amp;$R$20&amp;" "&amp;$S$21&amp;" is more than Clients tested HIV Negative for Prep Initiation"&amp;CHAR(10),""),IF(T126&gt;(T124-T125)," * Eligible For Prep For age "&amp;$T$20&amp;" "&amp;$T$21&amp;" is more than Clients tested HIV Negative for Prep Initiation"&amp;CHAR(10),""),IF(U126&gt;(U124-U125)," * Eligible For Prep For age "&amp;$T$20&amp;" "&amp;$U$21&amp;" is more than Clients tested HIV Negative for Prep Initiation"&amp;CHAR(10),""),IF(V126&gt;(V124-V125)," * Eligible For Prep For age "&amp;$V$20&amp;" "&amp;$V$21&amp;" is more than Clients tested HIV Negative for Prep Initiation"&amp;CHAR(10),""),IF(W126&gt;(W124-W125)," * Eligible For Prep For age "&amp;$V$20&amp;" "&amp;$W$21&amp;" is more than Clients tested HIV Negative for Prep Initiation"&amp;CHAR(10),""),IF(X126&gt;(X124-X125)," * Eligible For Prep For age "&amp;$X$20&amp;" "&amp;$X$21&amp;" is more than Clients tested HIV Negative for Prep Initiation"&amp;CHAR(10),""),IF(Y126&gt;(Y124-Y125)," * Eligible For Prep For age "&amp;$X$20&amp;" "&amp;$Y$21&amp;" is more than Clients tested HIV Negative for Prep Initiation"&amp;CHAR(10),""),IF(Z126&gt;(Z124-Z125)," * Eligible For Prep For age "&amp;$Z$20&amp;" "&amp;$Z$21&amp;" is more than Clients tested HIV Negative for Prep Initiation"&amp;CHAR(10),""),IF(AA126&gt;(AA124-AA125)," * Eligible For Prep For age "&amp;$Z$20&amp;" "&amp;$AA$21&amp;" is more than Clients tested HIV Negative for Prep Initiation"&amp;CHAR(10),""))</f>
        <v/>
      </c>
      <c r="AL126" s="1228"/>
      <c r="AM126" s="31"/>
      <c r="AN126" s="1248"/>
      <c r="AO126" s="13">
        <v>66</v>
      </c>
      <c r="AP126" s="74"/>
      <c r="AQ126" s="75"/>
    </row>
    <row r="127" spans="1:43" ht="25.9" hidden="1" thickBot="1" x14ac:dyDescent="0.8">
      <c r="A127" s="658" t="s">
        <v>583</v>
      </c>
      <c r="B127" s="555" t="s">
        <v>634</v>
      </c>
      <c r="C127" s="575" t="s">
        <v>186</v>
      </c>
      <c r="D127" s="556"/>
      <c r="E127" s="483"/>
      <c r="F127" s="483"/>
      <c r="G127" s="483"/>
      <c r="H127" s="483"/>
      <c r="I127" s="483"/>
      <c r="J127" s="562">
        <f>SUM(J128:J136)</f>
        <v>0</v>
      </c>
      <c r="K127" s="562">
        <f t="shared" ref="K127:AA127" si="22">SUM(K128:K136)</f>
        <v>0</v>
      </c>
      <c r="L127" s="562">
        <f t="shared" si="22"/>
        <v>0</v>
      </c>
      <c r="M127" s="562">
        <f t="shared" si="22"/>
        <v>0</v>
      </c>
      <c r="N127" s="562">
        <f t="shared" si="22"/>
        <v>0</v>
      </c>
      <c r="O127" s="562">
        <f t="shared" si="22"/>
        <v>0</v>
      </c>
      <c r="P127" s="562">
        <f t="shared" si="22"/>
        <v>0</v>
      </c>
      <c r="Q127" s="562">
        <f t="shared" si="22"/>
        <v>0</v>
      </c>
      <c r="R127" s="562">
        <f t="shared" si="22"/>
        <v>0</v>
      </c>
      <c r="S127" s="562">
        <f t="shared" si="22"/>
        <v>0</v>
      </c>
      <c r="T127" s="562">
        <f t="shared" si="22"/>
        <v>0</v>
      </c>
      <c r="U127" s="562">
        <f t="shared" si="22"/>
        <v>0</v>
      </c>
      <c r="V127" s="562">
        <f t="shared" si="22"/>
        <v>0</v>
      </c>
      <c r="W127" s="562">
        <f t="shared" si="22"/>
        <v>0</v>
      </c>
      <c r="X127" s="562">
        <f t="shared" si="22"/>
        <v>0</v>
      </c>
      <c r="Y127" s="562">
        <f t="shared" si="22"/>
        <v>0</v>
      </c>
      <c r="Z127" s="562">
        <f t="shared" si="22"/>
        <v>0</v>
      </c>
      <c r="AA127" s="562">
        <f t="shared" si="22"/>
        <v>0</v>
      </c>
      <c r="AB127" s="389"/>
      <c r="AC127" s="357"/>
      <c r="AD127" s="357"/>
      <c r="AE127" s="357"/>
      <c r="AF127" s="357"/>
      <c r="AG127" s="357"/>
      <c r="AH127" s="357"/>
      <c r="AI127" s="314"/>
      <c r="AJ127" s="561">
        <f t="shared" ref="AJ127" si="23">SUM(AJ128:AJ136)</f>
        <v>0</v>
      </c>
      <c r="AK127" s="116" t="str">
        <f>CONCATENATE(IF(D127&gt;D126," * Initiated on Prep For age "&amp;$D$20&amp;" "&amp;$D$21&amp;" is more than Eligible for Prep initiation"&amp;CHAR(10),""),IF(E127&gt;E126," * Initiated on Prep For age "&amp;$D$20&amp;" "&amp;$E$21&amp;" is more than Eligible for Prep initiation"&amp;CHAR(10),""),IF(F127&gt;F126," * Initiated on Prep For age "&amp;$F$20&amp;" "&amp;$F$21&amp;" is more than Eligible for Prep initiation"&amp;CHAR(10),""),IF(G127&gt;G126," * Initiated on Prep For age "&amp;$F$20&amp;" "&amp;$G$21&amp;" is more than Eligible for Prep initiation"&amp;CHAR(10),""),IF(H127&gt;H126," * Initiated on Prep For age "&amp;$H$20&amp;" "&amp;$H$21&amp;" is more than Eligible for Prep initiation"&amp;CHAR(10),""),IF(I127&gt;I126," * Initiated on Prep For age "&amp;$H$20&amp;" "&amp;$I$21&amp;" is more than Eligible for Prep initiation"&amp;CHAR(10),""),IF(J127&gt;J126," * Initiated on Prep For age "&amp;$J$20&amp;" "&amp;$J$21&amp;" is more than Eligible for Prep initiation"&amp;CHAR(10),""),IF(K127&gt;K126," * Initiated on Prep For age "&amp;$J$20&amp;" "&amp;$K$21&amp;" is more than Eligible for Prep initiation"&amp;CHAR(10),""),IF(L127&gt;L126," * Initiated on Prep For age "&amp;$L$20&amp;" "&amp;$L$21&amp;" is more than Eligible for Prep initiation"&amp;CHAR(10),""),IF(M127&gt;M126," * Initiated on Prep For age "&amp;$L$20&amp;" "&amp;$M$21&amp;" is more than Eligible for Prep initiation"&amp;CHAR(10),""),IF(N127&gt;N126," * Initiated on Prep For age "&amp;$N$20&amp;" "&amp;$N$21&amp;" is more than Eligible for Prep initiation"&amp;CHAR(10),""),IF(O127&gt;O126," * Initiated on Prep For age "&amp;$N$20&amp;" "&amp;$O$21&amp;" is more than Eligible for Prep initiation"&amp;CHAR(10),""),IF(P127&gt;P126," * Initiated on Prep For age "&amp;$P$20&amp;" "&amp;$P$21&amp;" is more than Eligible for Prep initiation"&amp;CHAR(10),""),IF(Q127&gt;Q126," * Initiated on Prep For age "&amp;$P$20&amp;" "&amp;$Q$21&amp;" is more than Eligible for Prep initiation"&amp;CHAR(10),""),IF(R127&gt;R126," * Initiated on Prep For age "&amp;$R$20&amp;" "&amp;$R$21&amp;" is more than Eligible for Prep initiation"&amp;CHAR(10),""),IF(S127&gt;S126," * Initiated on Prep For age "&amp;$R$20&amp;" "&amp;$S$21&amp;" is more than Eligible for Prep initiation"&amp;CHAR(10),""),IF(T127&gt;T126," * Initiated on Prep For age "&amp;$T$20&amp;" "&amp;$T$21&amp;" is more than Eligible for Prep initiation"&amp;CHAR(10),""),IF(U127&gt;U126," * Initiated on Prep For age "&amp;$T$20&amp;" "&amp;$U$21&amp;" is more than Eligible for Prep initiation"&amp;CHAR(10),""),IF(V127&gt;V126," * Initiated on Prep For age "&amp;$V$20&amp;" "&amp;$V$21&amp;" is more than Eligible for Prep initiation"&amp;CHAR(10),""),IF(W127&gt;W126," * Initiated on Prep For age "&amp;$V$20&amp;" "&amp;$W$21&amp;" is more than Eligible for Prep initiation"&amp;CHAR(10),""),IF(X127&gt;X126," * Initiated on Prep For age "&amp;$X$20&amp;" "&amp;$X$21&amp;" is more than Eligible for Prep initiation"&amp;CHAR(10),""),IF(Y127&gt;Y126," * Initiated on Prep For age "&amp;$X$20&amp;" "&amp;$Y$21&amp;" is more than Eligible for Prep initiation"&amp;CHAR(10),""),IF(Z127&gt;Z126," * Initiated on Prep For age "&amp;$Z$20&amp;" "&amp;$Z$21&amp;" is more than Eligible for Prep initiation"&amp;CHAR(10),""),IF(AA127&gt;AA126," * Initiated on Prep For age "&amp;$Z$20&amp;" "&amp;$AA$21&amp;" is more than Eligible for Prep initiation"&amp;CHAR(10),""))</f>
        <v/>
      </c>
      <c r="AL127" s="1228"/>
      <c r="AM127" s="31"/>
      <c r="AN127" s="1248"/>
      <c r="AO127" s="13">
        <v>67</v>
      </c>
      <c r="AP127" s="74"/>
      <c r="AQ127" s="75"/>
    </row>
    <row r="128" spans="1:43" ht="25.5" hidden="1" customHeight="1" x14ac:dyDescent="0.75">
      <c r="A128" s="1230" t="s">
        <v>575</v>
      </c>
      <c r="B128" s="91" t="s">
        <v>1226</v>
      </c>
      <c r="C128" s="579" t="s">
        <v>1227</v>
      </c>
      <c r="D128" s="98"/>
      <c r="E128" s="99"/>
      <c r="F128" s="99"/>
      <c r="G128" s="99"/>
      <c r="H128" s="99"/>
      <c r="I128" s="99"/>
      <c r="J128" s="94"/>
      <c r="K128" s="94"/>
      <c r="L128" s="94"/>
      <c r="M128" s="94"/>
      <c r="N128" s="94"/>
      <c r="O128" s="94"/>
      <c r="P128" s="94"/>
      <c r="Q128" s="94"/>
      <c r="R128" s="94"/>
      <c r="S128" s="94"/>
      <c r="T128" s="94"/>
      <c r="U128" s="94"/>
      <c r="V128" s="94"/>
      <c r="W128" s="94"/>
      <c r="X128" s="94"/>
      <c r="Y128" s="94"/>
      <c r="Z128" s="94"/>
      <c r="AA128" s="523"/>
      <c r="AB128" s="389"/>
      <c r="AC128" s="357"/>
      <c r="AD128" s="357"/>
      <c r="AE128" s="357"/>
      <c r="AF128" s="357"/>
      <c r="AG128" s="357"/>
      <c r="AH128" s="357"/>
      <c r="AI128" s="314"/>
      <c r="AJ128" s="174">
        <f t="shared" ref="AJ128:AJ130" si="24">SUM(J128:AA128)</f>
        <v>0</v>
      </c>
      <c r="AK128" s="116"/>
      <c r="AL128" s="1228"/>
      <c r="AM128" s="31"/>
      <c r="AN128" s="1248"/>
      <c r="AO128" s="13">
        <v>68</v>
      </c>
      <c r="AP128" s="74"/>
      <c r="AQ128" s="75"/>
    </row>
    <row r="129" spans="1:43" ht="25.5" hidden="1" x14ac:dyDescent="0.75">
      <c r="A129" s="1231"/>
      <c r="B129" s="76" t="s">
        <v>388</v>
      </c>
      <c r="C129" s="580" t="s">
        <v>1228</v>
      </c>
      <c r="D129" s="77"/>
      <c r="E129" s="78"/>
      <c r="F129" s="78"/>
      <c r="G129" s="78"/>
      <c r="H129" s="78"/>
      <c r="I129" s="78"/>
      <c r="J129" s="79"/>
      <c r="K129" s="79"/>
      <c r="L129" s="79"/>
      <c r="M129" s="79"/>
      <c r="N129" s="79"/>
      <c r="O129" s="79"/>
      <c r="P129" s="79"/>
      <c r="Q129" s="79"/>
      <c r="R129" s="79"/>
      <c r="S129" s="79"/>
      <c r="T129" s="79"/>
      <c r="U129" s="79"/>
      <c r="V129" s="79"/>
      <c r="W129" s="79"/>
      <c r="X129" s="79"/>
      <c r="Y129" s="79"/>
      <c r="Z129" s="79"/>
      <c r="AA129" s="524"/>
      <c r="AB129" s="389"/>
      <c r="AC129" s="357"/>
      <c r="AD129" s="357"/>
      <c r="AE129" s="357"/>
      <c r="AF129" s="357"/>
      <c r="AG129" s="357"/>
      <c r="AH129" s="357"/>
      <c r="AI129" s="314"/>
      <c r="AJ129" s="174">
        <f t="shared" si="24"/>
        <v>0</v>
      </c>
      <c r="AK129" s="116"/>
      <c r="AL129" s="1228"/>
      <c r="AM129" s="31"/>
      <c r="AN129" s="1248"/>
      <c r="AO129" s="13">
        <v>69</v>
      </c>
      <c r="AP129" s="74"/>
      <c r="AQ129" s="75"/>
    </row>
    <row r="130" spans="1:43" ht="25.9" hidden="1" thickBot="1" x14ac:dyDescent="0.8">
      <c r="A130" s="1231"/>
      <c r="B130" s="76" t="s">
        <v>389</v>
      </c>
      <c r="C130" s="580" t="s">
        <v>1229</v>
      </c>
      <c r="D130" s="77"/>
      <c r="E130" s="78"/>
      <c r="F130" s="78"/>
      <c r="G130" s="78"/>
      <c r="H130" s="78"/>
      <c r="I130" s="78"/>
      <c r="J130" s="79"/>
      <c r="K130" s="78"/>
      <c r="L130" s="79"/>
      <c r="M130" s="78"/>
      <c r="N130" s="79"/>
      <c r="O130" s="78"/>
      <c r="P130" s="79"/>
      <c r="Q130" s="78"/>
      <c r="R130" s="79"/>
      <c r="S130" s="78"/>
      <c r="T130" s="79"/>
      <c r="U130" s="78"/>
      <c r="V130" s="79"/>
      <c r="W130" s="78"/>
      <c r="X130" s="79"/>
      <c r="Y130" s="78"/>
      <c r="Z130" s="79"/>
      <c r="AA130" s="78"/>
      <c r="AB130" s="389"/>
      <c r="AC130" s="357"/>
      <c r="AD130" s="357"/>
      <c r="AE130" s="357"/>
      <c r="AF130" s="357"/>
      <c r="AG130" s="357"/>
      <c r="AH130" s="357"/>
      <c r="AI130" s="314"/>
      <c r="AJ130" s="394">
        <f t="shared" si="24"/>
        <v>0</v>
      </c>
      <c r="AK130" s="116"/>
      <c r="AL130" s="1228"/>
      <c r="AM130" s="31"/>
      <c r="AN130" s="1248"/>
      <c r="AO130" s="13">
        <v>70</v>
      </c>
      <c r="AP130" s="74"/>
      <c r="AQ130" s="75"/>
    </row>
    <row r="131" spans="1:43" ht="25.9" hidden="1" thickBot="1" x14ac:dyDescent="0.8">
      <c r="A131" s="1231"/>
      <c r="B131" s="76" t="s">
        <v>390</v>
      </c>
      <c r="C131" s="580" t="s">
        <v>1230</v>
      </c>
      <c r="D131" s="77"/>
      <c r="E131" s="78"/>
      <c r="F131" s="78"/>
      <c r="G131" s="78"/>
      <c r="H131" s="78"/>
      <c r="I131" s="78"/>
      <c r="J131" s="78"/>
      <c r="K131" s="78"/>
      <c r="L131" s="78"/>
      <c r="M131" s="78"/>
      <c r="N131" s="78"/>
      <c r="O131" s="78"/>
      <c r="P131" s="78"/>
      <c r="Q131" s="78"/>
      <c r="R131" s="78"/>
      <c r="S131" s="78"/>
      <c r="T131" s="78"/>
      <c r="U131" s="78"/>
      <c r="V131" s="78"/>
      <c r="W131" s="78"/>
      <c r="X131" s="78"/>
      <c r="Y131" s="78"/>
      <c r="Z131" s="78"/>
      <c r="AA131" s="78"/>
      <c r="AB131" s="389"/>
      <c r="AC131" s="357"/>
      <c r="AD131" s="357"/>
      <c r="AE131" s="357"/>
      <c r="AF131" s="357"/>
      <c r="AG131" s="357"/>
      <c r="AH131" s="357"/>
      <c r="AI131" s="314"/>
      <c r="AJ131" s="844"/>
      <c r="AK131" s="116"/>
      <c r="AL131" s="1228"/>
      <c r="AM131" s="31"/>
      <c r="AN131" s="1248"/>
      <c r="AO131" s="13">
        <v>71</v>
      </c>
      <c r="AP131" s="74"/>
      <c r="AQ131" s="75"/>
    </row>
    <row r="132" spans="1:43" ht="25.5" hidden="1" x14ac:dyDescent="0.75">
      <c r="A132" s="1231"/>
      <c r="B132" s="76" t="s">
        <v>391</v>
      </c>
      <c r="C132" s="580" t="s">
        <v>1231</v>
      </c>
      <c r="D132" s="77"/>
      <c r="E132" s="78"/>
      <c r="F132" s="78"/>
      <c r="G132" s="78"/>
      <c r="H132" s="78"/>
      <c r="I132" s="78"/>
      <c r="J132" s="78"/>
      <c r="K132" s="79"/>
      <c r="L132" s="78"/>
      <c r="M132" s="79"/>
      <c r="N132" s="78"/>
      <c r="O132" s="79"/>
      <c r="P132" s="78"/>
      <c r="Q132" s="79"/>
      <c r="R132" s="78"/>
      <c r="S132" s="79"/>
      <c r="T132" s="78"/>
      <c r="U132" s="79"/>
      <c r="V132" s="78"/>
      <c r="W132" s="79"/>
      <c r="X132" s="78"/>
      <c r="Y132" s="79"/>
      <c r="Z132" s="78"/>
      <c r="AA132" s="524"/>
      <c r="AB132" s="389"/>
      <c r="AC132" s="357"/>
      <c r="AD132" s="357"/>
      <c r="AE132" s="357"/>
      <c r="AF132" s="357"/>
      <c r="AG132" s="357"/>
      <c r="AH132" s="357"/>
      <c r="AI132" s="314"/>
      <c r="AJ132" s="52">
        <f>SUM(J132:AA132)</f>
        <v>0</v>
      </c>
      <c r="AK132" s="116"/>
      <c r="AL132" s="1228"/>
      <c r="AM132" s="31"/>
      <c r="AN132" s="1248"/>
      <c r="AO132" s="13">
        <v>72</v>
      </c>
      <c r="AP132" s="74"/>
      <c r="AQ132" s="75"/>
    </row>
    <row r="133" spans="1:43" ht="25.9" hidden="1" thickBot="1" x14ac:dyDescent="0.8">
      <c r="A133" s="1231"/>
      <c r="B133" s="87" t="s">
        <v>1236</v>
      </c>
      <c r="C133" s="580" t="s">
        <v>1232</v>
      </c>
      <c r="D133" s="77"/>
      <c r="E133" s="78"/>
      <c r="F133" s="78"/>
      <c r="G133" s="78"/>
      <c r="H133" s="78"/>
      <c r="I133" s="78"/>
      <c r="J133" s="78"/>
      <c r="K133" s="79"/>
      <c r="L133" s="78"/>
      <c r="M133" s="79"/>
      <c r="N133" s="78"/>
      <c r="O133" s="79"/>
      <c r="P133" s="78"/>
      <c r="Q133" s="78"/>
      <c r="R133" s="78"/>
      <c r="S133" s="78"/>
      <c r="T133" s="78"/>
      <c r="U133" s="78"/>
      <c r="V133" s="78"/>
      <c r="W133" s="78"/>
      <c r="X133" s="78"/>
      <c r="Y133" s="78"/>
      <c r="Z133" s="78"/>
      <c r="AA133" s="78"/>
      <c r="AB133" s="389"/>
      <c r="AC133" s="357"/>
      <c r="AD133" s="357"/>
      <c r="AE133" s="357"/>
      <c r="AF133" s="357"/>
      <c r="AG133" s="357"/>
      <c r="AH133" s="357"/>
      <c r="AI133" s="314"/>
      <c r="AJ133" s="193">
        <f>SUM(J133:AA133)</f>
        <v>0</v>
      </c>
      <c r="AK133" s="116"/>
      <c r="AL133" s="1228"/>
      <c r="AM133" s="31"/>
      <c r="AN133" s="1248"/>
      <c r="AO133" s="13">
        <v>73</v>
      </c>
      <c r="AP133" s="74"/>
      <c r="AQ133" s="75"/>
    </row>
    <row r="134" spans="1:43" ht="25.5" hidden="1" customHeight="1" x14ac:dyDescent="0.75">
      <c r="A134" s="1231"/>
      <c r="B134" s="91" t="s">
        <v>1237</v>
      </c>
      <c r="C134" s="580" t="s">
        <v>1233</v>
      </c>
      <c r="D134" s="77"/>
      <c r="E134" s="78"/>
      <c r="F134" s="78"/>
      <c r="G134" s="78"/>
      <c r="H134" s="78"/>
      <c r="I134" s="78"/>
      <c r="J134" s="79"/>
      <c r="K134" s="78"/>
      <c r="L134" s="79"/>
      <c r="M134" s="78"/>
      <c r="N134" s="79"/>
      <c r="O134" s="78"/>
      <c r="P134" s="79"/>
      <c r="Q134" s="78"/>
      <c r="R134" s="79"/>
      <c r="S134" s="78"/>
      <c r="T134" s="79"/>
      <c r="U134" s="78"/>
      <c r="V134" s="79"/>
      <c r="W134" s="78"/>
      <c r="X134" s="79"/>
      <c r="Y134" s="78"/>
      <c r="Z134" s="79"/>
      <c r="AA134" s="78"/>
      <c r="AB134" s="389"/>
      <c r="AC134" s="357"/>
      <c r="AD134" s="357"/>
      <c r="AE134" s="357"/>
      <c r="AF134" s="357"/>
      <c r="AG134" s="357"/>
      <c r="AH134" s="357"/>
      <c r="AI134" s="314"/>
      <c r="AJ134" s="189">
        <f>SUM(J134:AA134)</f>
        <v>0</v>
      </c>
      <c r="AK134" s="130"/>
      <c r="AL134" s="1228"/>
      <c r="AM134" s="31"/>
      <c r="AN134" s="1248"/>
      <c r="AO134" s="13">
        <v>74</v>
      </c>
      <c r="AP134" s="74"/>
      <c r="AQ134" s="75"/>
    </row>
    <row r="135" spans="1:43" ht="25.5" hidden="1" x14ac:dyDescent="0.75">
      <c r="A135" s="1231"/>
      <c r="B135" s="76" t="s">
        <v>1238</v>
      </c>
      <c r="C135" s="580" t="s">
        <v>1234</v>
      </c>
      <c r="D135" s="77"/>
      <c r="E135" s="78"/>
      <c r="F135" s="78"/>
      <c r="G135" s="78"/>
      <c r="H135" s="78"/>
      <c r="I135" s="78"/>
      <c r="J135" s="78"/>
      <c r="K135" s="79"/>
      <c r="L135" s="78"/>
      <c r="M135" s="79"/>
      <c r="N135" s="78"/>
      <c r="O135" s="79"/>
      <c r="P135" s="78"/>
      <c r="Q135" s="79"/>
      <c r="R135" s="78"/>
      <c r="S135" s="79"/>
      <c r="T135" s="78"/>
      <c r="U135" s="79"/>
      <c r="V135" s="78"/>
      <c r="W135" s="79"/>
      <c r="X135" s="78"/>
      <c r="Y135" s="79"/>
      <c r="Z135" s="78"/>
      <c r="AA135" s="524"/>
      <c r="AB135" s="389"/>
      <c r="AC135" s="357"/>
      <c r="AD135" s="357"/>
      <c r="AE135" s="357"/>
      <c r="AF135" s="357"/>
      <c r="AG135" s="357"/>
      <c r="AH135" s="357"/>
      <c r="AI135" s="314"/>
      <c r="AJ135" s="174">
        <f>SUM(J135:AA135)</f>
        <v>0</v>
      </c>
      <c r="AK135" s="116"/>
      <c r="AL135" s="1228"/>
      <c r="AM135" s="31"/>
      <c r="AN135" s="1248"/>
      <c r="AO135" s="13">
        <v>75</v>
      </c>
      <c r="AP135" s="74"/>
      <c r="AQ135" s="75"/>
    </row>
    <row r="136" spans="1:43" ht="25.9" hidden="1" thickBot="1" x14ac:dyDescent="0.8">
      <c r="A136" s="1232"/>
      <c r="B136" s="87" t="s">
        <v>1239</v>
      </c>
      <c r="C136" s="581" t="s">
        <v>1235</v>
      </c>
      <c r="D136" s="103"/>
      <c r="E136" s="102"/>
      <c r="F136" s="102"/>
      <c r="G136" s="102"/>
      <c r="H136" s="102"/>
      <c r="I136" s="102"/>
      <c r="J136" s="78"/>
      <c r="K136" s="89"/>
      <c r="L136" s="78"/>
      <c r="M136" s="89"/>
      <c r="N136" s="78"/>
      <c r="O136" s="89"/>
      <c r="P136" s="78"/>
      <c r="Q136" s="89"/>
      <c r="R136" s="78"/>
      <c r="S136" s="89"/>
      <c r="T136" s="78"/>
      <c r="U136" s="89"/>
      <c r="V136" s="78"/>
      <c r="W136" s="89"/>
      <c r="X136" s="78"/>
      <c r="Y136" s="89"/>
      <c r="Z136" s="78"/>
      <c r="AA136" s="560"/>
      <c r="AB136" s="389"/>
      <c r="AC136" s="357"/>
      <c r="AD136" s="357"/>
      <c r="AE136" s="357"/>
      <c r="AF136" s="357"/>
      <c r="AG136" s="357"/>
      <c r="AH136" s="357"/>
      <c r="AI136" s="314"/>
      <c r="AJ136" s="174">
        <f t="shared" ref="AJ136:AJ138" si="25">SUM(J136:AA136)</f>
        <v>0</v>
      </c>
      <c r="AK136" s="116"/>
      <c r="AL136" s="1228"/>
      <c r="AM136" s="31"/>
      <c r="AN136" s="1248"/>
      <c r="AO136" s="13">
        <v>76</v>
      </c>
      <c r="AP136" s="74"/>
      <c r="AQ136" s="75"/>
    </row>
    <row r="137" spans="1:43" ht="27" hidden="1" customHeight="1" thickBot="1" x14ac:dyDescent="0.8">
      <c r="A137" s="557"/>
      <c r="B137" s="532" t="s">
        <v>651</v>
      </c>
      <c r="C137" s="590" t="s">
        <v>187</v>
      </c>
      <c r="D137" s="558"/>
      <c r="E137" s="527"/>
      <c r="F137" s="527"/>
      <c r="G137" s="527"/>
      <c r="H137" s="527"/>
      <c r="I137" s="527"/>
      <c r="J137" s="416"/>
      <c r="K137" s="416"/>
      <c r="L137" s="416"/>
      <c r="M137" s="416"/>
      <c r="N137" s="416"/>
      <c r="O137" s="416"/>
      <c r="P137" s="416"/>
      <c r="Q137" s="416"/>
      <c r="R137" s="416"/>
      <c r="S137" s="416"/>
      <c r="T137" s="416"/>
      <c r="U137" s="416"/>
      <c r="V137" s="416"/>
      <c r="W137" s="416"/>
      <c r="X137" s="416"/>
      <c r="Y137" s="416"/>
      <c r="Z137" s="416"/>
      <c r="AA137" s="559"/>
      <c r="AB137" s="389"/>
      <c r="AC137" s="357"/>
      <c r="AD137" s="357"/>
      <c r="AE137" s="357"/>
      <c r="AF137" s="357"/>
      <c r="AG137" s="357"/>
      <c r="AH137" s="357"/>
      <c r="AI137" s="314"/>
      <c r="AJ137" s="174">
        <f t="shared" si="25"/>
        <v>0</v>
      </c>
      <c r="AK137" s="30"/>
      <c r="AL137" s="1228"/>
      <c r="AM137" s="31"/>
      <c r="AN137" s="1248"/>
      <c r="AO137" s="13">
        <v>77</v>
      </c>
      <c r="AP137" s="74"/>
      <c r="AQ137" s="75"/>
    </row>
    <row r="138" spans="1:43" ht="102.4" hidden="1" thickBot="1" x14ac:dyDescent="0.8">
      <c r="A138" s="557" t="s">
        <v>1018</v>
      </c>
      <c r="B138" s="312" t="s">
        <v>1225</v>
      </c>
      <c r="C138" s="582" t="s">
        <v>1019</v>
      </c>
      <c r="D138" s="310"/>
      <c r="E138" s="311"/>
      <c r="F138" s="311"/>
      <c r="G138" s="311"/>
      <c r="H138" s="311"/>
      <c r="I138" s="311"/>
      <c r="J138" s="241"/>
      <c r="K138" s="241"/>
      <c r="L138" s="241"/>
      <c r="M138" s="241"/>
      <c r="N138" s="241"/>
      <c r="O138" s="241"/>
      <c r="P138" s="241"/>
      <c r="Q138" s="241"/>
      <c r="R138" s="241"/>
      <c r="S138" s="241"/>
      <c r="T138" s="241"/>
      <c r="U138" s="241"/>
      <c r="V138" s="241"/>
      <c r="W138" s="241"/>
      <c r="X138" s="241"/>
      <c r="Y138" s="241"/>
      <c r="Z138" s="241"/>
      <c r="AA138" s="334"/>
      <c r="AB138" s="389"/>
      <c r="AC138" s="357"/>
      <c r="AD138" s="357"/>
      <c r="AE138" s="357"/>
      <c r="AF138" s="357"/>
      <c r="AG138" s="357"/>
      <c r="AH138" s="357"/>
      <c r="AI138" s="314"/>
      <c r="AJ138" s="174">
        <f t="shared" si="25"/>
        <v>0</v>
      </c>
      <c r="AK138" s="30"/>
      <c r="AL138" s="1228"/>
      <c r="AM138" s="31"/>
      <c r="AN138" s="1248"/>
      <c r="AO138" s="13"/>
      <c r="AP138" s="74"/>
      <c r="AQ138" s="75"/>
    </row>
    <row r="139" spans="1:43" ht="53.25" hidden="1" customHeight="1" thickBot="1" x14ac:dyDescent="0.8">
      <c r="A139" s="659" t="s">
        <v>841</v>
      </c>
      <c r="B139" s="131" t="s">
        <v>1003</v>
      </c>
      <c r="C139" s="579" t="s">
        <v>563</v>
      </c>
      <c r="D139" s="98"/>
      <c r="E139" s="99"/>
      <c r="F139" s="99"/>
      <c r="G139" s="99"/>
      <c r="H139" s="99"/>
      <c r="I139" s="99"/>
      <c r="J139" s="132">
        <f>SUM(J140:J145)</f>
        <v>0</v>
      </c>
      <c r="K139" s="132">
        <f t="shared" ref="K139:AA139" si="26">SUM(K140:K145)</f>
        <v>0</v>
      </c>
      <c r="L139" s="132">
        <f t="shared" si="26"/>
        <v>0</v>
      </c>
      <c r="M139" s="132">
        <f t="shared" si="26"/>
        <v>0</v>
      </c>
      <c r="N139" s="132">
        <f t="shared" si="26"/>
        <v>0</v>
      </c>
      <c r="O139" s="132">
        <f t="shared" si="26"/>
        <v>0</v>
      </c>
      <c r="P139" s="132">
        <f t="shared" si="26"/>
        <v>0</v>
      </c>
      <c r="Q139" s="132">
        <f t="shared" si="26"/>
        <v>0</v>
      </c>
      <c r="R139" s="132">
        <f t="shared" si="26"/>
        <v>0</v>
      </c>
      <c r="S139" s="132">
        <f t="shared" si="26"/>
        <v>0</v>
      </c>
      <c r="T139" s="132">
        <f t="shared" si="26"/>
        <v>0</v>
      </c>
      <c r="U139" s="132">
        <f t="shared" si="26"/>
        <v>0</v>
      </c>
      <c r="V139" s="132">
        <f t="shared" si="26"/>
        <v>0</v>
      </c>
      <c r="W139" s="132">
        <f t="shared" si="26"/>
        <v>0</v>
      </c>
      <c r="X139" s="132">
        <f t="shared" si="26"/>
        <v>0</v>
      </c>
      <c r="Y139" s="132">
        <f t="shared" si="26"/>
        <v>0</v>
      </c>
      <c r="Z139" s="132">
        <f t="shared" si="26"/>
        <v>0</v>
      </c>
      <c r="AA139" s="333">
        <f t="shared" si="26"/>
        <v>0</v>
      </c>
      <c r="AB139" s="389"/>
      <c r="AC139" s="357"/>
      <c r="AD139" s="357"/>
      <c r="AE139" s="357"/>
      <c r="AF139" s="357"/>
      <c r="AG139" s="357"/>
      <c r="AH139" s="357"/>
      <c r="AI139" s="314"/>
      <c r="AJ139" s="393">
        <f>SUM(J139:AA139)</f>
        <v>0</v>
      </c>
      <c r="AK139" s="30"/>
      <c r="AL139" s="1228"/>
      <c r="AM139" s="31"/>
      <c r="AN139" s="1248"/>
      <c r="AO139" s="13">
        <v>78</v>
      </c>
      <c r="AP139" s="74"/>
      <c r="AQ139" s="75"/>
    </row>
    <row r="140" spans="1:43" ht="26.25" hidden="1" customHeight="1" x14ac:dyDescent="0.75">
      <c r="A140" s="1028" t="s">
        <v>574</v>
      </c>
      <c r="B140" s="76" t="s">
        <v>393</v>
      </c>
      <c r="C140" s="580" t="s">
        <v>584</v>
      </c>
      <c r="D140" s="77"/>
      <c r="E140" s="78"/>
      <c r="F140" s="78"/>
      <c r="G140" s="78"/>
      <c r="H140" s="78"/>
      <c r="I140" s="78"/>
      <c r="J140" s="79"/>
      <c r="K140" s="79"/>
      <c r="L140" s="79"/>
      <c r="M140" s="79"/>
      <c r="N140" s="79"/>
      <c r="O140" s="79"/>
      <c r="P140" s="79"/>
      <c r="Q140" s="79"/>
      <c r="R140" s="79"/>
      <c r="S140" s="79"/>
      <c r="T140" s="79"/>
      <c r="U140" s="79"/>
      <c r="V140" s="79"/>
      <c r="W140" s="79"/>
      <c r="X140" s="79"/>
      <c r="Y140" s="79"/>
      <c r="Z140" s="79"/>
      <c r="AA140" s="319"/>
      <c r="AB140" s="389"/>
      <c r="AC140" s="357"/>
      <c r="AD140" s="357"/>
      <c r="AE140" s="357"/>
      <c r="AF140" s="357"/>
      <c r="AG140" s="357"/>
      <c r="AH140" s="357"/>
      <c r="AI140" s="314"/>
      <c r="AJ140" s="174">
        <f>SUM(J140:AA140)</f>
        <v>0</v>
      </c>
      <c r="AK140" s="116"/>
      <c r="AL140" s="1228"/>
      <c r="AM140" s="31"/>
      <c r="AN140" s="1248"/>
      <c r="AO140" s="13">
        <v>79</v>
      </c>
      <c r="AP140" s="74"/>
      <c r="AQ140" s="75"/>
    </row>
    <row r="141" spans="1:43" ht="26.25" hidden="1" customHeight="1" x14ac:dyDescent="0.75">
      <c r="A141" s="1029"/>
      <c r="B141" s="76" t="s">
        <v>388</v>
      </c>
      <c r="C141" s="580" t="s">
        <v>585</v>
      </c>
      <c r="D141" s="77"/>
      <c r="E141" s="78"/>
      <c r="F141" s="78"/>
      <c r="G141" s="78"/>
      <c r="H141" s="78"/>
      <c r="I141" s="78"/>
      <c r="J141" s="79"/>
      <c r="K141" s="79"/>
      <c r="L141" s="79"/>
      <c r="M141" s="79"/>
      <c r="N141" s="79"/>
      <c r="O141" s="79"/>
      <c r="P141" s="79"/>
      <c r="Q141" s="79"/>
      <c r="R141" s="79"/>
      <c r="S141" s="79"/>
      <c r="T141" s="79"/>
      <c r="U141" s="79"/>
      <c r="V141" s="79"/>
      <c r="W141" s="79"/>
      <c r="X141" s="79"/>
      <c r="Y141" s="79"/>
      <c r="Z141" s="79"/>
      <c r="AA141" s="319"/>
      <c r="AB141" s="389"/>
      <c r="AC141" s="357"/>
      <c r="AD141" s="357"/>
      <c r="AE141" s="357"/>
      <c r="AF141" s="357"/>
      <c r="AG141" s="357"/>
      <c r="AH141" s="357"/>
      <c r="AI141" s="314"/>
      <c r="AJ141" s="174">
        <f>SUM(J141:AA141)</f>
        <v>0</v>
      </c>
      <c r="AK141" s="116"/>
      <c r="AL141" s="1228"/>
      <c r="AM141" s="31"/>
      <c r="AN141" s="1248"/>
      <c r="AO141" s="13">
        <v>80</v>
      </c>
      <c r="AP141" s="74"/>
      <c r="AQ141" s="75"/>
    </row>
    <row r="142" spans="1:43" ht="26.25" hidden="1" customHeight="1" x14ac:dyDescent="0.75">
      <c r="A142" s="1029"/>
      <c r="B142" s="76" t="s">
        <v>389</v>
      </c>
      <c r="C142" s="580" t="s">
        <v>586</v>
      </c>
      <c r="D142" s="77"/>
      <c r="E142" s="78"/>
      <c r="F142" s="78"/>
      <c r="G142" s="78"/>
      <c r="H142" s="78"/>
      <c r="I142" s="78"/>
      <c r="J142" s="79"/>
      <c r="K142" s="79"/>
      <c r="L142" s="79"/>
      <c r="M142" s="79"/>
      <c r="N142" s="79"/>
      <c r="O142" s="79"/>
      <c r="P142" s="79"/>
      <c r="Q142" s="79"/>
      <c r="R142" s="79"/>
      <c r="S142" s="79"/>
      <c r="T142" s="79"/>
      <c r="U142" s="79"/>
      <c r="V142" s="79"/>
      <c r="W142" s="79"/>
      <c r="X142" s="79"/>
      <c r="Y142" s="79"/>
      <c r="Z142" s="79"/>
      <c r="AA142" s="319"/>
      <c r="AB142" s="389"/>
      <c r="AC142" s="357"/>
      <c r="AD142" s="357"/>
      <c r="AE142" s="357"/>
      <c r="AF142" s="357"/>
      <c r="AG142" s="357"/>
      <c r="AH142" s="357"/>
      <c r="AI142" s="314"/>
      <c r="AJ142" s="174">
        <f t="shared" ref="AJ142:AJ145" si="27">SUM(J142:AA142)</f>
        <v>0</v>
      </c>
      <c r="AK142" s="116"/>
      <c r="AL142" s="1228"/>
      <c r="AM142" s="31"/>
      <c r="AN142" s="1248"/>
      <c r="AO142" s="13">
        <v>81</v>
      </c>
      <c r="AP142" s="74"/>
      <c r="AQ142" s="75"/>
    </row>
    <row r="143" spans="1:43" ht="26.25" hidden="1" customHeight="1" x14ac:dyDescent="0.75">
      <c r="A143" s="1029"/>
      <c r="B143" s="76" t="s">
        <v>390</v>
      </c>
      <c r="C143" s="580" t="s">
        <v>587</v>
      </c>
      <c r="D143" s="77"/>
      <c r="E143" s="78"/>
      <c r="F143" s="78"/>
      <c r="G143" s="78"/>
      <c r="H143" s="78"/>
      <c r="I143" s="78"/>
      <c r="J143" s="79"/>
      <c r="K143" s="79"/>
      <c r="L143" s="79"/>
      <c r="M143" s="79"/>
      <c r="N143" s="79"/>
      <c r="O143" s="79"/>
      <c r="P143" s="79"/>
      <c r="Q143" s="79"/>
      <c r="R143" s="79"/>
      <c r="S143" s="79"/>
      <c r="T143" s="79"/>
      <c r="U143" s="79"/>
      <c r="V143" s="79"/>
      <c r="W143" s="79"/>
      <c r="X143" s="79"/>
      <c r="Y143" s="79"/>
      <c r="Z143" s="79"/>
      <c r="AA143" s="319"/>
      <c r="AB143" s="389"/>
      <c r="AC143" s="357"/>
      <c r="AD143" s="357"/>
      <c r="AE143" s="357"/>
      <c r="AF143" s="357"/>
      <c r="AG143" s="357"/>
      <c r="AH143" s="357"/>
      <c r="AI143" s="314"/>
      <c r="AJ143" s="174">
        <f t="shared" si="27"/>
        <v>0</v>
      </c>
      <c r="AK143" s="116"/>
      <c r="AL143" s="1228"/>
      <c r="AM143" s="31"/>
      <c r="AN143" s="1248"/>
      <c r="AO143" s="13">
        <v>82</v>
      </c>
      <c r="AP143" s="74"/>
      <c r="AQ143" s="75"/>
    </row>
    <row r="144" spans="1:43" ht="26.25" hidden="1" customHeight="1" x14ac:dyDescent="0.75">
      <c r="A144" s="1029"/>
      <c r="B144" s="76" t="s">
        <v>391</v>
      </c>
      <c r="C144" s="580" t="s">
        <v>588</v>
      </c>
      <c r="D144" s="77"/>
      <c r="E144" s="78"/>
      <c r="F144" s="78"/>
      <c r="G144" s="78"/>
      <c r="H144" s="78"/>
      <c r="I144" s="78"/>
      <c r="J144" s="79"/>
      <c r="K144" s="79"/>
      <c r="L144" s="79"/>
      <c r="M144" s="79"/>
      <c r="N144" s="79"/>
      <c r="O144" s="79"/>
      <c r="P144" s="79"/>
      <c r="Q144" s="79"/>
      <c r="R144" s="79"/>
      <c r="S144" s="79"/>
      <c r="T144" s="79"/>
      <c r="U144" s="79"/>
      <c r="V144" s="79"/>
      <c r="W144" s="79"/>
      <c r="X144" s="79"/>
      <c r="Y144" s="79"/>
      <c r="Z144" s="79"/>
      <c r="AA144" s="319"/>
      <c r="AB144" s="389"/>
      <c r="AC144" s="357"/>
      <c r="AD144" s="357"/>
      <c r="AE144" s="357"/>
      <c r="AF144" s="357"/>
      <c r="AG144" s="357"/>
      <c r="AH144" s="357"/>
      <c r="AI144" s="314"/>
      <c r="AJ144" s="174">
        <f t="shared" si="27"/>
        <v>0</v>
      </c>
      <c r="AK144" s="116"/>
      <c r="AL144" s="1228"/>
      <c r="AM144" s="31"/>
      <c r="AN144" s="1248"/>
      <c r="AO144" s="13">
        <v>83</v>
      </c>
      <c r="AP144" s="74"/>
      <c r="AQ144" s="75"/>
    </row>
    <row r="145" spans="1:43" ht="27" hidden="1" customHeight="1" thickBot="1" x14ac:dyDescent="0.8">
      <c r="A145" s="1030"/>
      <c r="B145" s="87" t="s">
        <v>392</v>
      </c>
      <c r="C145" s="581" t="s">
        <v>589</v>
      </c>
      <c r="D145" s="133"/>
      <c r="E145" s="120"/>
      <c r="F145" s="120"/>
      <c r="G145" s="120"/>
      <c r="H145" s="120"/>
      <c r="I145" s="120"/>
      <c r="J145" s="121"/>
      <c r="K145" s="121"/>
      <c r="L145" s="121"/>
      <c r="M145" s="121"/>
      <c r="N145" s="121"/>
      <c r="O145" s="121"/>
      <c r="P145" s="121"/>
      <c r="Q145" s="121"/>
      <c r="R145" s="121"/>
      <c r="S145" s="121"/>
      <c r="T145" s="121"/>
      <c r="U145" s="121"/>
      <c r="V145" s="121"/>
      <c r="W145" s="121"/>
      <c r="X145" s="121"/>
      <c r="Y145" s="121"/>
      <c r="Z145" s="121"/>
      <c r="AA145" s="330"/>
      <c r="AB145" s="389"/>
      <c r="AC145" s="357"/>
      <c r="AD145" s="357"/>
      <c r="AE145" s="357"/>
      <c r="AF145" s="357"/>
      <c r="AG145" s="357"/>
      <c r="AH145" s="357"/>
      <c r="AI145" s="314"/>
      <c r="AJ145" s="394">
        <f t="shared" si="27"/>
        <v>0</v>
      </c>
      <c r="AK145" s="116"/>
      <c r="AL145" s="1228"/>
      <c r="AM145" s="31"/>
      <c r="AN145" s="1248"/>
      <c r="AO145" s="13">
        <v>84</v>
      </c>
      <c r="AP145" s="74"/>
      <c r="AQ145" s="75"/>
    </row>
    <row r="146" spans="1:43" ht="25.5" hidden="1" x14ac:dyDescent="0.75">
      <c r="A146" s="944" t="s">
        <v>1194</v>
      </c>
      <c r="B146" s="91" t="s">
        <v>1195</v>
      </c>
      <c r="C146" s="591" t="s">
        <v>189</v>
      </c>
      <c r="D146" s="134"/>
      <c r="E146" s="99"/>
      <c r="F146" s="99"/>
      <c r="G146" s="99"/>
      <c r="H146" s="99"/>
      <c r="I146" s="99"/>
      <c r="J146" s="94"/>
      <c r="K146" s="94"/>
      <c r="L146" s="94"/>
      <c r="M146" s="94"/>
      <c r="N146" s="94"/>
      <c r="O146" s="94"/>
      <c r="P146" s="94"/>
      <c r="Q146" s="94"/>
      <c r="R146" s="94"/>
      <c r="S146" s="94"/>
      <c r="T146" s="94"/>
      <c r="U146" s="94"/>
      <c r="V146" s="94"/>
      <c r="W146" s="94"/>
      <c r="X146" s="94"/>
      <c r="Y146" s="94"/>
      <c r="Z146" s="94"/>
      <c r="AA146" s="523"/>
      <c r="AB146" s="357"/>
      <c r="AC146" s="357"/>
      <c r="AD146" s="357"/>
      <c r="AE146" s="357"/>
      <c r="AF146" s="357"/>
      <c r="AG146" s="357"/>
      <c r="AH146" s="357"/>
      <c r="AI146" s="357"/>
      <c r="AJ146" s="409">
        <f t="shared" si="21"/>
        <v>0</v>
      </c>
      <c r="AK146" s="1196" t="str">
        <f>CONCATENATE(IF(D147&gt;D146," * F02-07 for Age "&amp;D20&amp;" "&amp;D21&amp;" is more than F02-06"&amp;CHAR(10),""),IF(E147&gt;E146," * F02-07 for Age "&amp;D20&amp;" "&amp;E21&amp;" is more than F02-06"&amp;CHAR(10),""),IF(F147&gt;F146," * F02-07 for Age "&amp;F20&amp;" "&amp;F21&amp;" is more than F02-06"&amp;CHAR(10),""),IF(G147&gt;G146," * F02-07 for Age "&amp;F20&amp;" "&amp;G21&amp;" is more than F02-06"&amp;CHAR(10),""),IF(H147&gt;H146," * F02-07 for Age "&amp;H20&amp;" "&amp;H21&amp;" is more than F02-06"&amp;CHAR(10),""),IF(I147&gt;I146," * F02-07 for Age "&amp;H20&amp;" "&amp;I21&amp;" is more than F02-06"&amp;CHAR(10),""),IF(J147&gt;J146," * F02-07 for Age "&amp;J20&amp;" "&amp;J21&amp;" is more than F02-06"&amp;CHAR(10),""),IF(K147&gt;K146," * F02-07 for Age "&amp;J20&amp;" "&amp;K21&amp;" is more than F02-06"&amp;CHAR(10),""),IF(L147&gt;L146," * F02-07 for Age "&amp;L20&amp;" "&amp;L21&amp;" is more than F02-06"&amp;CHAR(10),""),IF(M147&gt;M146," * F02-07 for Age "&amp;L20&amp;" "&amp;M21&amp;" is more than F02-06"&amp;CHAR(10),""),IF(N147&gt;N146," * F02-07 for Age "&amp;N20&amp;" "&amp;N21&amp;" is more than F02-06"&amp;CHAR(10),""),IF(O147&gt;O146," * F02-07 for Age "&amp;N20&amp;" "&amp;O21&amp;" is more than F02-06"&amp;CHAR(10),""),IF(P147&gt;P146," * F02-07 for Age "&amp;P20&amp;" "&amp;P21&amp;" is more than F02-06"&amp;CHAR(10),""),IF(Q147&gt;Q146," * F02-07 for Age "&amp;P20&amp;" "&amp;Q21&amp;" is more than F02-06"&amp;CHAR(10),""),IF(R147&gt;R146," * F02-07 for Age "&amp;R20&amp;" "&amp;R21&amp;" is more than F02-06"&amp;CHAR(10),""),IF(S147&gt;S146," * F02-07 for Age "&amp;R20&amp;" "&amp;S21&amp;" is more than F02-06"&amp;CHAR(10),""),IF(T147&gt;T146," * F02-07 for Age "&amp;T20&amp;" "&amp;T21&amp;" is more than F02-06"&amp;CHAR(10),""),IF(U147&gt;U146," * F02-07 for Age "&amp;T20&amp;" "&amp;U21&amp;" is more than F02-06"&amp;CHAR(10),""),IF(V147&gt;V146," * F02-07 for Age "&amp;V20&amp;" "&amp;V21&amp;" is more than F02-06"&amp;CHAR(10),""),IF(W147&gt;W146," * F02-07 for Age "&amp;V20&amp;" "&amp;W21&amp;" is more than F02-06"&amp;CHAR(10),""),IF(X147&gt;X146," * F02-07 for Age "&amp;X20&amp;" "&amp;X21&amp;" is more than F02-06"&amp;CHAR(10),""),IF(Y147&gt;Y146," * F02-07 for Age "&amp;X20&amp;" "&amp;Y21&amp;" is more than F02-06"&amp;CHAR(10),""),IF(Z147&gt;Z146," * F02-07 for Age "&amp;Z20&amp;" "&amp;Z21&amp;" is more than F02-06"&amp;CHAR(10),""),IF(AA147&gt;AA146," * F02-07 for Age "&amp;Z20&amp;" "&amp;AA21&amp;" is more than F02-06"&amp;CHAR(10),""),IF(AJ147&gt;AJ146," * Total F02-07 is more than Total F02-06"&amp;CHAR(10),""))</f>
        <v/>
      </c>
      <c r="AL146" s="1228"/>
      <c r="AM146" s="31"/>
      <c r="AN146" s="1248"/>
      <c r="AO146" s="13">
        <v>85</v>
      </c>
      <c r="AP146" s="74"/>
      <c r="AQ146" s="75"/>
    </row>
    <row r="147" spans="1:43" ht="25.9" hidden="1" thickBot="1" x14ac:dyDescent="0.8">
      <c r="A147" s="1021"/>
      <c r="B147" s="76" t="s">
        <v>1196</v>
      </c>
      <c r="C147" s="592" t="s">
        <v>190</v>
      </c>
      <c r="D147" s="135"/>
      <c r="E147" s="78"/>
      <c r="F147" s="78"/>
      <c r="G147" s="78"/>
      <c r="H147" s="78"/>
      <c r="I147" s="78"/>
      <c r="J147" s="79"/>
      <c r="K147" s="79"/>
      <c r="L147" s="79"/>
      <c r="M147" s="79"/>
      <c r="N147" s="79"/>
      <c r="O147" s="79"/>
      <c r="P147" s="79"/>
      <c r="Q147" s="79"/>
      <c r="R147" s="79"/>
      <c r="S147" s="79"/>
      <c r="T147" s="79"/>
      <c r="U147" s="79"/>
      <c r="V147" s="79"/>
      <c r="W147" s="79"/>
      <c r="X147" s="79"/>
      <c r="Y147" s="79"/>
      <c r="Z147" s="79"/>
      <c r="AA147" s="524"/>
      <c r="AB147" s="357"/>
      <c r="AC147" s="357"/>
      <c r="AD147" s="357"/>
      <c r="AE147" s="357"/>
      <c r="AF147" s="357"/>
      <c r="AG147" s="357"/>
      <c r="AH147" s="357"/>
      <c r="AI147" s="357"/>
      <c r="AJ147" s="619">
        <f t="shared" si="21"/>
        <v>0</v>
      </c>
      <c r="AK147" s="1196"/>
      <c r="AL147" s="1228"/>
      <c r="AM147" s="31"/>
      <c r="AN147" s="1248"/>
      <c r="AO147" s="13">
        <v>86</v>
      </c>
      <c r="AP147" s="74"/>
      <c r="AQ147" s="75"/>
    </row>
    <row r="148" spans="1:43" ht="27" hidden="1" customHeight="1" thickBot="1" x14ac:dyDescent="0.8">
      <c r="A148" s="945"/>
      <c r="B148" s="118" t="s">
        <v>652</v>
      </c>
      <c r="C148" s="593" t="s">
        <v>351</v>
      </c>
      <c r="D148" s="508"/>
      <c r="E148" s="120"/>
      <c r="F148" s="120"/>
      <c r="G148" s="120"/>
      <c r="H148" s="120"/>
      <c r="I148" s="120"/>
      <c r="J148" s="121"/>
      <c r="K148" s="121"/>
      <c r="L148" s="121"/>
      <c r="M148" s="121"/>
      <c r="N148" s="121"/>
      <c r="O148" s="121"/>
      <c r="P148" s="121"/>
      <c r="Q148" s="121"/>
      <c r="R148" s="121"/>
      <c r="S148" s="121"/>
      <c r="T148" s="121"/>
      <c r="U148" s="121"/>
      <c r="V148" s="121"/>
      <c r="W148" s="121"/>
      <c r="X148" s="121"/>
      <c r="Y148" s="121"/>
      <c r="Z148" s="121"/>
      <c r="AA148" s="525"/>
      <c r="AB148" s="357"/>
      <c r="AC148" s="357"/>
      <c r="AD148" s="357"/>
      <c r="AE148" s="357"/>
      <c r="AF148" s="357"/>
      <c r="AG148" s="357"/>
      <c r="AH148" s="357"/>
      <c r="AI148" s="357"/>
      <c r="AJ148" s="619">
        <f t="shared" si="21"/>
        <v>0</v>
      </c>
      <c r="AK148" s="116"/>
      <c r="AL148" s="1228"/>
      <c r="AM148" s="31"/>
      <c r="AN148" s="1248"/>
      <c r="AO148" s="13">
        <v>87</v>
      </c>
      <c r="AP148" s="74"/>
      <c r="AQ148" s="75"/>
    </row>
    <row r="149" spans="1:43" ht="25.5" hidden="1" x14ac:dyDescent="0.75">
      <c r="A149" s="946" t="s">
        <v>1221</v>
      </c>
      <c r="B149" s="529" t="s">
        <v>1219</v>
      </c>
      <c r="C149" s="594" t="s">
        <v>1222</v>
      </c>
      <c r="D149" s="134"/>
      <c r="E149" s="99"/>
      <c r="F149" s="99"/>
      <c r="G149" s="99"/>
      <c r="H149" s="99"/>
      <c r="I149" s="99"/>
      <c r="J149" s="99"/>
      <c r="K149" s="530"/>
      <c r="L149" s="99"/>
      <c r="M149" s="530"/>
      <c r="N149" s="99"/>
      <c r="O149" s="530"/>
      <c r="P149" s="99"/>
      <c r="Q149" s="530"/>
      <c r="R149" s="99"/>
      <c r="S149" s="530"/>
      <c r="T149" s="99"/>
      <c r="U149" s="530"/>
      <c r="V149" s="99"/>
      <c r="W149" s="530"/>
      <c r="X149" s="99"/>
      <c r="Y149" s="530"/>
      <c r="Z149" s="99"/>
      <c r="AA149" s="531"/>
      <c r="AB149" s="357"/>
      <c r="AC149" s="357"/>
      <c r="AD149" s="357"/>
      <c r="AE149" s="357"/>
      <c r="AF149" s="357"/>
      <c r="AG149" s="357"/>
      <c r="AH149" s="357"/>
      <c r="AI149" s="357"/>
      <c r="AJ149" s="619">
        <f t="shared" si="21"/>
        <v>0</v>
      </c>
      <c r="AK149" s="501"/>
      <c r="AL149" s="1228"/>
      <c r="AM149" s="31"/>
      <c r="AN149" s="1248"/>
      <c r="AO149" s="13"/>
      <c r="AP149" s="74"/>
      <c r="AQ149" s="75"/>
    </row>
    <row r="150" spans="1:43" ht="25.9" hidden="1" thickBot="1" x14ac:dyDescent="0.8">
      <c r="A150" s="974"/>
      <c r="B150" s="532" t="s">
        <v>1220</v>
      </c>
      <c r="C150" s="595" t="s">
        <v>1223</v>
      </c>
      <c r="D150" s="526"/>
      <c r="E150" s="527"/>
      <c r="F150" s="527"/>
      <c r="G150" s="527"/>
      <c r="H150" s="527"/>
      <c r="I150" s="527"/>
      <c r="J150" s="102"/>
      <c r="K150" s="416"/>
      <c r="L150" s="102"/>
      <c r="M150" s="416"/>
      <c r="N150" s="102"/>
      <c r="O150" s="416"/>
      <c r="P150" s="102"/>
      <c r="Q150" s="416"/>
      <c r="R150" s="102"/>
      <c r="S150" s="416"/>
      <c r="T150" s="102"/>
      <c r="U150" s="416"/>
      <c r="V150" s="102"/>
      <c r="W150" s="416"/>
      <c r="X150" s="102"/>
      <c r="Y150" s="416"/>
      <c r="Z150" s="102"/>
      <c r="AA150" s="528"/>
      <c r="AB150" s="357"/>
      <c r="AC150" s="357"/>
      <c r="AD150" s="357"/>
      <c r="AE150" s="357"/>
      <c r="AF150" s="357"/>
      <c r="AG150" s="357"/>
      <c r="AH150" s="357"/>
      <c r="AI150" s="357"/>
      <c r="AJ150" s="619">
        <f t="shared" si="21"/>
        <v>0</v>
      </c>
      <c r="AK150" s="501"/>
      <c r="AL150" s="1228"/>
      <c r="AM150" s="31"/>
      <c r="AN150" s="1248"/>
      <c r="AO150" s="13"/>
      <c r="AP150" s="74"/>
      <c r="AQ150" s="75"/>
    </row>
    <row r="151" spans="1:43" ht="27" hidden="1" customHeight="1" thickBot="1" x14ac:dyDescent="0.8">
      <c r="A151" s="944" t="s">
        <v>21</v>
      </c>
      <c r="B151" s="91" t="s">
        <v>653</v>
      </c>
      <c r="C151" s="579" t="s">
        <v>352</v>
      </c>
      <c r="D151" s="98"/>
      <c r="E151" s="99"/>
      <c r="F151" s="99"/>
      <c r="G151" s="99"/>
      <c r="H151" s="99"/>
      <c r="I151" s="99"/>
      <c r="J151" s="94"/>
      <c r="K151" s="94"/>
      <c r="L151" s="94"/>
      <c r="M151" s="94"/>
      <c r="N151" s="94"/>
      <c r="O151" s="94"/>
      <c r="P151" s="94"/>
      <c r="Q151" s="94"/>
      <c r="R151" s="94"/>
      <c r="S151" s="94"/>
      <c r="T151" s="94"/>
      <c r="U151" s="94"/>
      <c r="V151" s="94"/>
      <c r="W151" s="94"/>
      <c r="X151" s="94"/>
      <c r="Y151" s="94"/>
      <c r="Z151" s="94"/>
      <c r="AA151" s="322"/>
      <c r="AB151" s="389"/>
      <c r="AC151" s="357"/>
      <c r="AD151" s="357"/>
      <c r="AE151" s="357"/>
      <c r="AF151" s="357"/>
      <c r="AG151" s="357"/>
      <c r="AH151" s="357"/>
      <c r="AI151" s="357"/>
      <c r="AJ151" s="619">
        <f t="shared" si="21"/>
        <v>0</v>
      </c>
      <c r="AK151" s="116"/>
      <c r="AL151" s="1228"/>
      <c r="AM151" s="31"/>
      <c r="AN151" s="1248"/>
      <c r="AO151" s="13">
        <v>88</v>
      </c>
      <c r="AP151" s="74"/>
      <c r="AQ151" s="75"/>
    </row>
    <row r="152" spans="1:43" ht="27" hidden="1" customHeight="1" thickBot="1" x14ac:dyDescent="0.8">
      <c r="A152" s="1021"/>
      <c r="B152" s="76" t="s">
        <v>1004</v>
      </c>
      <c r="C152" s="580" t="s">
        <v>353</v>
      </c>
      <c r="D152" s="77"/>
      <c r="E152" s="78"/>
      <c r="F152" s="78"/>
      <c r="G152" s="78"/>
      <c r="H152" s="78"/>
      <c r="I152" s="78"/>
      <c r="J152" s="79"/>
      <c r="K152" s="79"/>
      <c r="L152" s="79"/>
      <c r="M152" s="79"/>
      <c r="N152" s="79"/>
      <c r="O152" s="79"/>
      <c r="P152" s="79"/>
      <c r="Q152" s="79"/>
      <c r="R152" s="79"/>
      <c r="S152" s="79"/>
      <c r="T152" s="79"/>
      <c r="U152" s="79"/>
      <c r="V152" s="79"/>
      <c r="W152" s="79"/>
      <c r="X152" s="79"/>
      <c r="Y152" s="79"/>
      <c r="Z152" s="79"/>
      <c r="AA152" s="319"/>
      <c r="AB152" s="389"/>
      <c r="AC152" s="357"/>
      <c r="AD152" s="357"/>
      <c r="AE152" s="357"/>
      <c r="AF152" s="357"/>
      <c r="AG152" s="357"/>
      <c r="AH152" s="357"/>
      <c r="AI152" s="357"/>
      <c r="AJ152" s="619">
        <f t="shared" si="21"/>
        <v>0</v>
      </c>
      <c r="AK152" s="116"/>
      <c r="AL152" s="1228"/>
      <c r="AM152" s="31"/>
      <c r="AN152" s="1248"/>
      <c r="AO152" s="13">
        <v>89</v>
      </c>
      <c r="AP152" s="74"/>
      <c r="AQ152" s="75"/>
    </row>
    <row r="153" spans="1:43" ht="27" hidden="1" customHeight="1" thickBot="1" x14ac:dyDescent="0.8">
      <c r="A153" s="1021"/>
      <c r="B153" s="76" t="s">
        <v>654</v>
      </c>
      <c r="C153" s="580" t="s">
        <v>192</v>
      </c>
      <c r="D153" s="77"/>
      <c r="E153" s="78"/>
      <c r="F153" s="78"/>
      <c r="G153" s="78"/>
      <c r="H153" s="78"/>
      <c r="I153" s="78"/>
      <c r="J153" s="79"/>
      <c r="K153" s="79"/>
      <c r="L153" s="79"/>
      <c r="M153" s="79"/>
      <c r="N153" s="79"/>
      <c r="O153" s="79"/>
      <c r="P153" s="79"/>
      <c r="Q153" s="79"/>
      <c r="R153" s="79"/>
      <c r="S153" s="79"/>
      <c r="T153" s="79"/>
      <c r="U153" s="79"/>
      <c r="V153" s="79"/>
      <c r="W153" s="79"/>
      <c r="X153" s="79"/>
      <c r="Y153" s="79"/>
      <c r="Z153" s="79"/>
      <c r="AA153" s="319"/>
      <c r="AB153" s="389"/>
      <c r="AC153" s="357"/>
      <c r="AD153" s="357"/>
      <c r="AE153" s="357"/>
      <c r="AF153" s="357"/>
      <c r="AG153" s="357"/>
      <c r="AH153" s="357"/>
      <c r="AI153" s="357"/>
      <c r="AJ153" s="619">
        <f t="shared" si="21"/>
        <v>0</v>
      </c>
      <c r="AK153" s="116"/>
      <c r="AL153" s="1228"/>
      <c r="AM153" s="31"/>
      <c r="AN153" s="1248"/>
      <c r="AO153" s="13">
        <v>90</v>
      </c>
      <c r="AP153" s="74"/>
      <c r="AQ153" s="75"/>
    </row>
    <row r="154" spans="1:43" ht="27" hidden="1" customHeight="1" thickBot="1" x14ac:dyDescent="0.8">
      <c r="A154" s="1021"/>
      <c r="B154" s="76" t="s">
        <v>655</v>
      </c>
      <c r="C154" s="580" t="s">
        <v>193</v>
      </c>
      <c r="D154" s="77"/>
      <c r="E154" s="78"/>
      <c r="F154" s="78"/>
      <c r="G154" s="78"/>
      <c r="H154" s="78"/>
      <c r="I154" s="78"/>
      <c r="J154" s="79"/>
      <c r="K154" s="79"/>
      <c r="L154" s="79"/>
      <c r="M154" s="79"/>
      <c r="N154" s="79"/>
      <c r="O154" s="79"/>
      <c r="P154" s="79"/>
      <c r="Q154" s="79"/>
      <c r="R154" s="79"/>
      <c r="S154" s="79"/>
      <c r="T154" s="79"/>
      <c r="U154" s="79"/>
      <c r="V154" s="79"/>
      <c r="W154" s="79"/>
      <c r="X154" s="79"/>
      <c r="Y154" s="79"/>
      <c r="Z154" s="79"/>
      <c r="AA154" s="319"/>
      <c r="AB154" s="389"/>
      <c r="AC154" s="357"/>
      <c r="AD154" s="357"/>
      <c r="AE154" s="357"/>
      <c r="AF154" s="357"/>
      <c r="AG154" s="357"/>
      <c r="AH154" s="357"/>
      <c r="AI154" s="357"/>
      <c r="AJ154" s="619">
        <f t="shared" si="21"/>
        <v>0</v>
      </c>
      <c r="AK154" s="116"/>
      <c r="AL154" s="1228"/>
      <c r="AM154" s="31"/>
      <c r="AN154" s="1248"/>
      <c r="AO154" s="13">
        <v>91</v>
      </c>
      <c r="AP154" s="74"/>
      <c r="AQ154" s="75"/>
    </row>
    <row r="155" spans="1:43" ht="27" hidden="1" customHeight="1" thickBot="1" x14ac:dyDescent="0.8">
      <c r="A155" s="1021"/>
      <c r="B155" s="76" t="s">
        <v>656</v>
      </c>
      <c r="C155" s="580" t="s">
        <v>194</v>
      </c>
      <c r="D155" s="77"/>
      <c r="E155" s="78"/>
      <c r="F155" s="78"/>
      <c r="G155" s="78"/>
      <c r="H155" s="78"/>
      <c r="I155" s="78"/>
      <c r="J155" s="79"/>
      <c r="K155" s="79"/>
      <c r="L155" s="79"/>
      <c r="M155" s="79"/>
      <c r="N155" s="79"/>
      <c r="O155" s="79"/>
      <c r="P155" s="79"/>
      <c r="Q155" s="79"/>
      <c r="R155" s="79"/>
      <c r="S155" s="79"/>
      <c r="T155" s="79"/>
      <c r="U155" s="79"/>
      <c r="V155" s="79"/>
      <c r="W155" s="79"/>
      <c r="X155" s="79"/>
      <c r="Y155" s="79"/>
      <c r="Z155" s="79"/>
      <c r="AA155" s="319"/>
      <c r="AB155" s="389"/>
      <c r="AC155" s="357"/>
      <c r="AD155" s="357"/>
      <c r="AE155" s="357"/>
      <c r="AF155" s="357"/>
      <c r="AG155" s="357"/>
      <c r="AH155" s="357"/>
      <c r="AI155" s="357"/>
      <c r="AJ155" s="619">
        <f t="shared" si="21"/>
        <v>0</v>
      </c>
      <c r="AK155" s="116"/>
      <c r="AL155" s="1228"/>
      <c r="AM155" s="31"/>
      <c r="AN155" s="1248"/>
      <c r="AO155" s="13">
        <v>92</v>
      </c>
      <c r="AP155" s="74"/>
      <c r="AQ155" s="75"/>
    </row>
    <row r="156" spans="1:43" ht="27" hidden="1" customHeight="1" thickBot="1" x14ac:dyDescent="0.8">
      <c r="A156" s="1021"/>
      <c r="B156" s="76" t="s">
        <v>657</v>
      </c>
      <c r="C156" s="580" t="s">
        <v>195</v>
      </c>
      <c r="D156" s="77"/>
      <c r="E156" s="78"/>
      <c r="F156" s="78"/>
      <c r="G156" s="78"/>
      <c r="H156" s="78"/>
      <c r="I156" s="78"/>
      <c r="J156" s="79"/>
      <c r="K156" s="79"/>
      <c r="L156" s="79"/>
      <c r="M156" s="79"/>
      <c r="N156" s="79"/>
      <c r="O156" s="79"/>
      <c r="P156" s="79"/>
      <c r="Q156" s="79"/>
      <c r="R156" s="79"/>
      <c r="S156" s="79"/>
      <c r="T156" s="79"/>
      <c r="U156" s="79"/>
      <c r="V156" s="79"/>
      <c r="W156" s="79"/>
      <c r="X156" s="79"/>
      <c r="Y156" s="79"/>
      <c r="Z156" s="79"/>
      <c r="AA156" s="319"/>
      <c r="AB156" s="389"/>
      <c r="AC156" s="357"/>
      <c r="AD156" s="357"/>
      <c r="AE156" s="357"/>
      <c r="AF156" s="357"/>
      <c r="AG156" s="357"/>
      <c r="AH156" s="357"/>
      <c r="AI156" s="357"/>
      <c r="AJ156" s="619">
        <f t="shared" si="21"/>
        <v>0</v>
      </c>
      <c r="AK156" s="116"/>
      <c r="AL156" s="1228"/>
      <c r="AM156" s="31"/>
      <c r="AN156" s="1248"/>
      <c r="AO156" s="13">
        <v>93</v>
      </c>
      <c r="AP156" s="74"/>
      <c r="AQ156" s="75"/>
    </row>
    <row r="157" spans="1:43" ht="27" hidden="1" customHeight="1" thickBot="1" x14ac:dyDescent="0.8">
      <c r="A157" s="1070"/>
      <c r="B157" s="87" t="s">
        <v>658</v>
      </c>
      <c r="C157" s="581" t="s">
        <v>196</v>
      </c>
      <c r="D157" s="103"/>
      <c r="E157" s="102"/>
      <c r="F157" s="102"/>
      <c r="G157" s="102"/>
      <c r="H157" s="102"/>
      <c r="I157" s="102"/>
      <c r="J157" s="89"/>
      <c r="K157" s="89"/>
      <c r="L157" s="89"/>
      <c r="M157" s="89"/>
      <c r="N157" s="89"/>
      <c r="O157" s="89"/>
      <c r="P157" s="89"/>
      <c r="Q157" s="89"/>
      <c r="R157" s="89"/>
      <c r="S157" s="89"/>
      <c r="T157" s="89"/>
      <c r="U157" s="89"/>
      <c r="V157" s="89"/>
      <c r="W157" s="89"/>
      <c r="X157" s="89"/>
      <c r="Y157" s="89"/>
      <c r="Z157" s="89"/>
      <c r="AA157" s="321"/>
      <c r="AB157" s="389"/>
      <c r="AC157" s="357"/>
      <c r="AD157" s="357"/>
      <c r="AE157" s="357"/>
      <c r="AF157" s="357"/>
      <c r="AG157" s="357"/>
      <c r="AH157" s="357"/>
      <c r="AI157" s="357"/>
      <c r="AJ157" s="619">
        <f t="shared" si="21"/>
        <v>0</v>
      </c>
      <c r="AK157" s="116"/>
      <c r="AL157" s="1228"/>
      <c r="AM157" s="31"/>
      <c r="AN157" s="1248"/>
      <c r="AO157" s="13">
        <v>94</v>
      </c>
      <c r="AP157" s="74"/>
      <c r="AQ157" s="75"/>
    </row>
    <row r="158" spans="1:43" ht="27" hidden="1" customHeight="1" thickBot="1" x14ac:dyDescent="0.8">
      <c r="A158" s="944" t="s">
        <v>114</v>
      </c>
      <c r="B158" s="136" t="s">
        <v>659</v>
      </c>
      <c r="C158" s="579" t="s">
        <v>354</v>
      </c>
      <c r="D158" s="98"/>
      <c r="E158" s="99"/>
      <c r="F158" s="99"/>
      <c r="G158" s="99"/>
      <c r="H158" s="99"/>
      <c r="I158" s="99"/>
      <c r="J158" s="99"/>
      <c r="K158" s="99"/>
      <c r="L158" s="99"/>
      <c r="M158" s="99"/>
      <c r="N158" s="99"/>
      <c r="O158" s="99"/>
      <c r="P158" s="99"/>
      <c r="Q158" s="99"/>
      <c r="R158" s="99"/>
      <c r="S158" s="99"/>
      <c r="T158" s="99"/>
      <c r="U158" s="99"/>
      <c r="V158" s="99"/>
      <c r="W158" s="99"/>
      <c r="X158" s="99"/>
      <c r="Y158" s="99"/>
      <c r="Z158" s="99"/>
      <c r="AA158" s="324"/>
      <c r="AB158" s="389"/>
      <c r="AC158" s="357"/>
      <c r="AD158" s="357"/>
      <c r="AE158" s="357"/>
      <c r="AF158" s="357"/>
      <c r="AG158" s="357"/>
      <c r="AH158" s="357"/>
      <c r="AI158" s="357"/>
      <c r="AJ158" s="619">
        <f t="shared" si="21"/>
        <v>0</v>
      </c>
      <c r="AK158" s="116"/>
      <c r="AL158" s="1228"/>
      <c r="AM158" s="31"/>
      <c r="AN158" s="1248"/>
      <c r="AO158" s="13">
        <v>95</v>
      </c>
      <c r="AP158" s="74"/>
      <c r="AQ158" s="75"/>
    </row>
    <row r="159" spans="1:43" ht="27" hidden="1" customHeight="1" thickBot="1" x14ac:dyDescent="0.8">
      <c r="A159" s="945"/>
      <c r="B159" s="137" t="s">
        <v>660</v>
      </c>
      <c r="C159" s="609" t="s">
        <v>355</v>
      </c>
      <c r="D159" s="133"/>
      <c r="E159" s="120"/>
      <c r="F159" s="120"/>
      <c r="G159" s="120"/>
      <c r="H159" s="120"/>
      <c r="I159" s="120"/>
      <c r="J159" s="120"/>
      <c r="K159" s="120"/>
      <c r="L159" s="120"/>
      <c r="M159" s="120"/>
      <c r="N159" s="120"/>
      <c r="O159" s="120"/>
      <c r="P159" s="120"/>
      <c r="Q159" s="120"/>
      <c r="R159" s="120"/>
      <c r="S159" s="120"/>
      <c r="T159" s="120"/>
      <c r="U159" s="120"/>
      <c r="V159" s="120"/>
      <c r="W159" s="120"/>
      <c r="X159" s="120"/>
      <c r="Y159" s="120"/>
      <c r="Z159" s="120"/>
      <c r="AA159" s="335"/>
      <c r="AB159" s="390"/>
      <c r="AC159" s="391"/>
      <c r="AD159" s="391"/>
      <c r="AE159" s="391"/>
      <c r="AF159" s="391"/>
      <c r="AG159" s="391"/>
      <c r="AH159" s="391"/>
      <c r="AI159" s="391"/>
      <c r="AJ159" s="619">
        <f t="shared" si="21"/>
        <v>0</v>
      </c>
      <c r="AK159" s="122"/>
      <c r="AL159" s="1228"/>
      <c r="AM159" s="123"/>
      <c r="AN159" s="1249"/>
      <c r="AO159" s="13">
        <v>96</v>
      </c>
      <c r="AP159" s="74"/>
      <c r="AQ159" s="75"/>
    </row>
    <row r="160" spans="1:43" ht="25.5" hidden="1" x14ac:dyDescent="0.75">
      <c r="A160" s="946" t="s">
        <v>1266</v>
      </c>
      <c r="B160" s="866" t="s">
        <v>391</v>
      </c>
      <c r="C160" s="839" t="s">
        <v>1267</v>
      </c>
      <c r="D160" s="676"/>
      <c r="E160" s="676"/>
      <c r="F160" s="676"/>
      <c r="G160" s="676"/>
      <c r="H160" s="676"/>
      <c r="I160" s="676"/>
      <c r="J160" s="676"/>
      <c r="K160" s="677"/>
      <c r="L160" s="676"/>
      <c r="M160" s="677"/>
      <c r="N160" s="676"/>
      <c r="O160" s="677"/>
      <c r="P160" s="676"/>
      <c r="Q160" s="677"/>
      <c r="R160" s="676"/>
      <c r="S160" s="677"/>
      <c r="T160" s="676"/>
      <c r="U160" s="677"/>
      <c r="V160" s="676"/>
      <c r="W160" s="677"/>
      <c r="X160" s="676"/>
      <c r="Y160" s="677"/>
      <c r="Z160" s="676"/>
      <c r="AA160" s="678"/>
      <c r="AB160" s="357"/>
      <c r="AC160" s="357"/>
      <c r="AD160" s="357"/>
      <c r="AE160" s="357"/>
      <c r="AF160" s="357"/>
      <c r="AG160" s="357"/>
      <c r="AH160" s="357"/>
      <c r="AI160" s="357"/>
      <c r="AJ160" s="845">
        <f t="shared" si="21"/>
        <v>0</v>
      </c>
      <c r="AK160" s="849"/>
      <c r="AL160" s="1228"/>
      <c r="AM160" s="125"/>
      <c r="AN160" s="126"/>
      <c r="AO160" s="13"/>
      <c r="AP160" s="74"/>
      <c r="AQ160" s="75"/>
    </row>
    <row r="161" spans="1:43" ht="25.9" hidden="1" thickBot="1" x14ac:dyDescent="0.8">
      <c r="A161" s="974"/>
      <c r="B161" s="532" t="s">
        <v>389</v>
      </c>
      <c r="C161" s="840" t="s">
        <v>1268</v>
      </c>
      <c r="D161" s="679"/>
      <c r="E161" s="679"/>
      <c r="F161" s="679"/>
      <c r="G161" s="679"/>
      <c r="H161" s="679"/>
      <c r="I161" s="679"/>
      <c r="J161" s="680"/>
      <c r="K161" s="679"/>
      <c r="L161" s="680"/>
      <c r="M161" s="679"/>
      <c r="N161" s="680"/>
      <c r="O161" s="679"/>
      <c r="P161" s="680"/>
      <c r="Q161" s="679"/>
      <c r="R161" s="680"/>
      <c r="S161" s="679"/>
      <c r="T161" s="680"/>
      <c r="U161" s="679"/>
      <c r="V161" s="680"/>
      <c r="W161" s="679"/>
      <c r="X161" s="680"/>
      <c r="Y161" s="679"/>
      <c r="Z161" s="680"/>
      <c r="AA161" s="681"/>
      <c r="AB161" s="357"/>
      <c r="AC161" s="357"/>
      <c r="AD161" s="357"/>
      <c r="AE161" s="357"/>
      <c r="AF161" s="357"/>
      <c r="AG161" s="357"/>
      <c r="AH161" s="357"/>
      <c r="AI161" s="357"/>
      <c r="AJ161" s="846">
        <f t="shared" si="21"/>
        <v>0</v>
      </c>
      <c r="AK161" s="849"/>
      <c r="AL161" s="1229"/>
      <c r="AM161" s="125"/>
      <c r="AN161" s="126"/>
      <c r="AO161" s="13"/>
      <c r="AP161" s="74"/>
      <c r="AQ161" s="75"/>
    </row>
    <row r="162" spans="1:43" ht="32.65" hidden="1" customHeight="1" thickBot="1" x14ac:dyDescent="0.8">
      <c r="A162" s="1043" t="s">
        <v>1319</v>
      </c>
      <c r="B162" s="1044"/>
      <c r="C162" s="1077"/>
      <c r="D162" s="1077"/>
      <c r="E162" s="1077"/>
      <c r="F162" s="1077"/>
      <c r="G162" s="1077"/>
      <c r="H162" s="1077"/>
      <c r="I162" s="1077"/>
      <c r="J162" s="1077"/>
      <c r="K162" s="1077"/>
      <c r="L162" s="1077"/>
      <c r="M162" s="1077"/>
      <c r="N162" s="1077"/>
      <c r="O162" s="1077"/>
      <c r="P162" s="1077"/>
      <c r="Q162" s="1077"/>
      <c r="R162" s="1077"/>
      <c r="S162" s="1077"/>
      <c r="T162" s="1077"/>
      <c r="U162" s="1077"/>
      <c r="V162" s="1077"/>
      <c r="W162" s="1077"/>
      <c r="X162" s="1077"/>
      <c r="Y162" s="1077"/>
      <c r="Z162" s="1077"/>
      <c r="AA162" s="1077"/>
      <c r="AB162" s="1045"/>
      <c r="AC162" s="1045"/>
      <c r="AD162" s="1045"/>
      <c r="AE162" s="1045"/>
      <c r="AF162" s="1045"/>
      <c r="AG162" s="1045"/>
      <c r="AH162" s="1045"/>
      <c r="AI162" s="1045"/>
      <c r="AJ162" s="1044"/>
      <c r="AK162" s="1077"/>
      <c r="AL162" s="1044"/>
      <c r="AM162" s="1044"/>
      <c r="AN162" s="1046"/>
      <c r="AO162" s="13">
        <v>97</v>
      </c>
      <c r="AP162" s="74"/>
      <c r="AQ162" s="75"/>
    </row>
    <row r="163" spans="1:43" ht="26.25" hidden="1" customHeight="1" x14ac:dyDescent="0.75">
      <c r="A163" s="1039" t="s">
        <v>37</v>
      </c>
      <c r="B163" s="1041" t="s">
        <v>344</v>
      </c>
      <c r="C163" s="1049" t="s">
        <v>325</v>
      </c>
      <c r="D163" s="1057" t="s">
        <v>0</v>
      </c>
      <c r="E163" s="1057"/>
      <c r="F163" s="1057" t="s">
        <v>1</v>
      </c>
      <c r="G163" s="1057"/>
      <c r="H163" s="1057" t="s">
        <v>2</v>
      </c>
      <c r="I163" s="1057"/>
      <c r="J163" s="1057" t="s">
        <v>3</v>
      </c>
      <c r="K163" s="1057"/>
      <c r="L163" s="1057" t="s">
        <v>4</v>
      </c>
      <c r="M163" s="1057"/>
      <c r="N163" s="1057" t="s">
        <v>5</v>
      </c>
      <c r="O163" s="1057"/>
      <c r="P163" s="1057" t="s">
        <v>6</v>
      </c>
      <c r="Q163" s="1057"/>
      <c r="R163" s="1057" t="s">
        <v>7</v>
      </c>
      <c r="S163" s="1057"/>
      <c r="T163" s="1057" t="s">
        <v>8</v>
      </c>
      <c r="U163" s="1057"/>
      <c r="V163" s="1057" t="s">
        <v>23</v>
      </c>
      <c r="W163" s="1057"/>
      <c r="X163" s="1057" t="s">
        <v>24</v>
      </c>
      <c r="Y163" s="1057"/>
      <c r="Z163" s="1057" t="s">
        <v>9</v>
      </c>
      <c r="AA163" s="1012"/>
      <c r="AB163" s="1226"/>
      <c r="AC163" s="1014"/>
      <c r="AD163" s="1014"/>
      <c r="AE163" s="1014"/>
      <c r="AF163" s="1014"/>
      <c r="AG163" s="1014"/>
      <c r="AH163" s="1014"/>
      <c r="AI163" s="1015"/>
      <c r="AJ163" s="1194" t="s">
        <v>19</v>
      </c>
      <c r="AK163" s="1192" t="s">
        <v>378</v>
      </c>
      <c r="AL163" s="1183" t="s">
        <v>384</v>
      </c>
      <c r="AM163" s="1058" t="s">
        <v>385</v>
      </c>
      <c r="AN163" s="1047" t="s">
        <v>385</v>
      </c>
      <c r="AO163" s="13">
        <v>98</v>
      </c>
      <c r="AP163" s="74"/>
      <c r="AQ163" s="75"/>
    </row>
    <row r="164" spans="1:43" ht="27" hidden="1" customHeight="1" thickBot="1" x14ac:dyDescent="0.8">
      <c r="A164" s="1040"/>
      <c r="B164" s="1042"/>
      <c r="C164" s="1059"/>
      <c r="D164" s="68" t="s">
        <v>10</v>
      </c>
      <c r="E164" s="68" t="s">
        <v>11</v>
      </c>
      <c r="F164" s="68" t="s">
        <v>10</v>
      </c>
      <c r="G164" s="68" t="s">
        <v>11</v>
      </c>
      <c r="H164" s="68" t="s">
        <v>10</v>
      </c>
      <c r="I164" s="68" t="s">
        <v>11</v>
      </c>
      <c r="J164" s="68" t="s">
        <v>10</v>
      </c>
      <c r="K164" s="68" t="s">
        <v>11</v>
      </c>
      <c r="L164" s="68" t="s">
        <v>10</v>
      </c>
      <c r="M164" s="68" t="s">
        <v>11</v>
      </c>
      <c r="N164" s="68" t="s">
        <v>10</v>
      </c>
      <c r="O164" s="68" t="s">
        <v>11</v>
      </c>
      <c r="P164" s="68" t="s">
        <v>10</v>
      </c>
      <c r="Q164" s="68" t="s">
        <v>11</v>
      </c>
      <c r="R164" s="68" t="s">
        <v>10</v>
      </c>
      <c r="S164" s="68" t="s">
        <v>11</v>
      </c>
      <c r="T164" s="68" t="s">
        <v>10</v>
      </c>
      <c r="U164" s="68" t="s">
        <v>11</v>
      </c>
      <c r="V164" s="68" t="s">
        <v>10</v>
      </c>
      <c r="W164" s="68" t="s">
        <v>11</v>
      </c>
      <c r="X164" s="68" t="s">
        <v>10</v>
      </c>
      <c r="Y164" s="68" t="s">
        <v>11</v>
      </c>
      <c r="Z164" s="68" t="s">
        <v>10</v>
      </c>
      <c r="AA164" s="371" t="s">
        <v>11</v>
      </c>
      <c r="AB164" s="373"/>
      <c r="AC164" s="374"/>
      <c r="AD164" s="374"/>
      <c r="AE164" s="374"/>
      <c r="AF164" s="374"/>
      <c r="AG164" s="374"/>
      <c r="AH164" s="374"/>
      <c r="AI164" s="375"/>
      <c r="AJ164" s="1197"/>
      <c r="AK164" s="1193"/>
      <c r="AL164" s="1127"/>
      <c r="AM164" s="1058"/>
      <c r="AN164" s="1048"/>
      <c r="AO164" s="13">
        <v>99</v>
      </c>
      <c r="AP164" s="74"/>
      <c r="AQ164" s="75"/>
    </row>
    <row r="165" spans="1:43" ht="33.4" hidden="1" customHeight="1" thickBot="1" x14ac:dyDescent="0.8">
      <c r="A165" s="1043" t="s">
        <v>1312</v>
      </c>
      <c r="B165" s="1044"/>
      <c r="C165" s="1077"/>
      <c r="D165" s="1077"/>
      <c r="E165" s="1077"/>
      <c r="F165" s="1077"/>
      <c r="G165" s="1077"/>
      <c r="H165" s="1077"/>
      <c r="I165" s="1077"/>
      <c r="J165" s="1077"/>
      <c r="K165" s="1077"/>
      <c r="L165" s="1077"/>
      <c r="M165" s="1077"/>
      <c r="N165" s="1077"/>
      <c r="O165" s="1077"/>
      <c r="P165" s="1077"/>
      <c r="Q165" s="1077"/>
      <c r="R165" s="1077"/>
      <c r="S165" s="1077"/>
      <c r="T165" s="1077"/>
      <c r="U165" s="1077"/>
      <c r="V165" s="1077"/>
      <c r="W165" s="1077"/>
      <c r="X165" s="1077"/>
      <c r="Y165" s="1077"/>
      <c r="Z165" s="1077"/>
      <c r="AA165" s="1077"/>
      <c r="AB165" s="1045"/>
      <c r="AC165" s="1045"/>
      <c r="AD165" s="1045"/>
      <c r="AE165" s="1045"/>
      <c r="AF165" s="1045"/>
      <c r="AG165" s="1045"/>
      <c r="AH165" s="1045"/>
      <c r="AI165" s="1045"/>
      <c r="AJ165" s="1044"/>
      <c r="AK165" s="1077"/>
      <c r="AL165" s="1044"/>
      <c r="AM165" s="1044"/>
      <c r="AN165" s="1046"/>
      <c r="AO165" s="13">
        <v>97</v>
      </c>
      <c r="AP165" s="74"/>
      <c r="AQ165" s="75"/>
    </row>
    <row r="166" spans="1:43" s="61" customFormat="1" ht="38.35" hidden="1" customHeight="1" thickBot="1" x14ac:dyDescent="0.8">
      <c r="A166" s="853" t="s">
        <v>1271</v>
      </c>
      <c r="B166" s="652" t="s">
        <v>1271</v>
      </c>
      <c r="C166" s="603" t="s">
        <v>1276</v>
      </c>
      <c r="D166" s="138"/>
      <c r="E166" s="72"/>
      <c r="F166" s="72"/>
      <c r="G166" s="72"/>
      <c r="H166" s="72"/>
      <c r="I166" s="72"/>
      <c r="J166" s="72"/>
      <c r="K166" s="72"/>
      <c r="L166" s="72"/>
      <c r="M166" s="72"/>
      <c r="N166" s="72"/>
      <c r="O166" s="72"/>
      <c r="P166" s="72"/>
      <c r="Q166" s="72"/>
      <c r="R166" s="72"/>
      <c r="S166" s="72"/>
      <c r="T166" s="72"/>
      <c r="U166" s="72"/>
      <c r="V166" s="72"/>
      <c r="W166" s="72"/>
      <c r="X166" s="72"/>
      <c r="Y166" s="72"/>
      <c r="Z166" s="72"/>
      <c r="AA166" s="318"/>
      <c r="AB166" s="389"/>
      <c r="AC166" s="357"/>
      <c r="AD166" s="357"/>
      <c r="AE166" s="357"/>
      <c r="AF166" s="357"/>
      <c r="AG166" s="357"/>
      <c r="AH166" s="357"/>
      <c r="AI166" s="314"/>
      <c r="AJ166" s="52">
        <f>SUM(D166:AA166)</f>
        <v>0</v>
      </c>
      <c r="AK166" s="139"/>
      <c r="AL166" s="1103" t="str">
        <f>CONCATENATE(AK167,AK168,AK169,AK170,AK171,AK172,AK173,AK174,AK175,AK176,AK177,AK178,AK166)</f>
        <v/>
      </c>
      <c r="AM166" s="140"/>
      <c r="AN166" s="610"/>
      <c r="AO166" s="13">
        <v>100</v>
      </c>
      <c r="AP166" s="80"/>
      <c r="AQ166" s="75"/>
    </row>
    <row r="167" spans="1:43" s="61" customFormat="1" ht="38.35" hidden="1" customHeight="1" x14ac:dyDescent="0.75">
      <c r="A167" s="1291" t="s">
        <v>1284</v>
      </c>
      <c r="B167" s="69" t="s">
        <v>1286</v>
      </c>
      <c r="C167" s="579" t="s">
        <v>210</v>
      </c>
      <c r="D167" s="138"/>
      <c r="E167" s="72"/>
      <c r="F167" s="72"/>
      <c r="G167" s="72"/>
      <c r="H167" s="72"/>
      <c r="I167" s="72"/>
      <c r="J167" s="72"/>
      <c r="K167" s="72"/>
      <c r="L167" s="72"/>
      <c r="M167" s="72"/>
      <c r="N167" s="72"/>
      <c r="O167" s="72"/>
      <c r="P167" s="72"/>
      <c r="Q167" s="72"/>
      <c r="R167" s="72"/>
      <c r="S167" s="72"/>
      <c r="T167" s="72"/>
      <c r="U167" s="72"/>
      <c r="V167" s="72"/>
      <c r="W167" s="72"/>
      <c r="X167" s="72"/>
      <c r="Y167" s="72"/>
      <c r="Z167" s="72"/>
      <c r="AA167" s="318"/>
      <c r="AB167" s="389"/>
      <c r="AC167" s="357"/>
      <c r="AD167" s="357"/>
      <c r="AE167" s="357"/>
      <c r="AF167" s="357"/>
      <c r="AG167" s="357"/>
      <c r="AH167" s="357"/>
      <c r="AI167" s="314"/>
      <c r="AJ167" s="52">
        <f>SUM(D167:AA167)</f>
        <v>0</v>
      </c>
      <c r="AK167" s="139" t="str">
        <f>CONCATENATE(IF(D167&lt;&gt;SUM(D169,D171,D173,D175,D177)," *  Iniated On IPT New ON ART for Age "&amp;D20&amp;" "&amp;D21&amp;" is not equal to the sum of  Completed IPT New on ART+ Discontinued New on ART + LTFU New on ART + Died New on ART + Transferred Out New on ART)"&amp;CHAR(10),""),IF(E167&lt;&gt;SUM(E169,E171,E173,E175,E177)," *  Iniated On IPT New ON ART for Age "&amp;D20&amp;" "&amp;E21&amp;" is not equal to the sum of F03-03+F03-05+F03-07+F03-09+F03-11"&amp;CHAR(10),""),IF(F167&lt;&gt;SUM(F169,F171,F173,F175,F177)," *  Iniated On IPT New ON ART for Age "&amp;F20&amp;" "&amp;F21&amp;" is not equal to the sum of  Completed IPT New on ART+ Discontinued New on ART + LTFU New on ART + Died New on ART + Transferred Out New on ART)"&amp;CHAR(10),""),IF(G167&lt;&gt;SUM(G169,G171,G173,G175,G177)," *  Iniated On IPT New ON ART for Age "&amp;F20&amp;" "&amp;G21&amp;" is not equal to the sum of F03-03+F03-05+F03-07+F03-09+F03-11"&amp;CHAR(10),""),IF(H167&lt;&gt;SUM(H169,H171,H173,H175,H177)," *  Iniated On IPT New ON ART for Age "&amp;H20&amp;" "&amp;H21&amp;" is not equal to the sum of  Completed IPT New on ART+ Discontinued New on ART + LTFU New on ART + Died New on ART + Transferred Out New on ART)"&amp;CHAR(10),""),IF(I167&lt;&gt;SUM(I169,I171,I173,I175,I177)," *  Iniated On IPT New ON ART for Age "&amp;H20&amp;" "&amp;I21&amp;" is not equal to the sum of F03-03+F03-05+F03-07+F03-09+F03-11"&amp;CHAR(10),""),IF(J167&lt;&gt;SUM(J169,J171,J173,J175,J177)," *  Iniated On IPT New ON ART for Age "&amp;J20&amp;" "&amp;J21&amp;" is not equal to the sum of  Completed IPT New on ART+ Discontinued New on ART + LTFU New on ART + Died New on ART + Transferred Out New on ART)"&amp;CHAR(10),""),IF(K167&lt;&gt;SUM(K169,K171,K173,K175,K177)," *  Iniated On IPT New ON ART for Age "&amp;J20&amp;" "&amp;K21&amp;" is not equal to the sum of F03-03+F03-05+F03-07+F03-09+F03-11"&amp;CHAR(10),""),IF(L167&lt;&gt;SUM(L169,L171,L173,L175,L177)," *  Iniated On IPT New ON ART for Age "&amp;L20&amp;" "&amp;L21&amp;" is not equal to the sum of  Completed IPT New on ART+ Discontinued New on ART + LTFU New on ART + Died New on ART + Transferred Out New on ART)"&amp;CHAR(10),""),IF(M167&lt;&gt;SUM(M169,M171,M173,M175,M177)," *  Iniated On IPT New ON ART for Age "&amp;L20&amp;" "&amp;M21&amp;" is not equal to the sum of F03-03+F03-05+F03-07+F03-09+F03-11"&amp;CHAR(10),""),IF(N167&lt;&gt;SUM(N169,N171,N173,N175,N177)," *  Iniated On IPT New ON ART for Age "&amp;N20&amp;" "&amp;N21&amp;" is not equal to the sum of  Completed IPT New on ART+ Discontinued New on ART + LTFU New on ART + Died New on ART + Transferred Out New on ART)"&amp;CHAR(10),""),IF(O167&lt;&gt;SUM(O169,O171,O173,O175,O177)," *  Iniated On IPT New ON ART for Age "&amp;N20&amp;" "&amp;O21&amp;" is not equal to the sum of F03-03+F03-05+F03-07+F03-09+F03-11"&amp;CHAR(10),""),IF(P167&lt;&gt;SUM(P169,P171,P173,P175,P177)," *  Iniated On IPT New ON ART for Age "&amp;P20&amp;" "&amp;P21&amp;" is not equal to the sum of  Completed IPT New on ART+ Discontinued New on ART + LTFU New on ART + Died New on ART + Transferred Out New on ART)"&amp;CHAR(10),""),IF(Q167&lt;&gt;SUM(Q169,Q171,Q173,Q175,Q177)," *  Iniated On IPT New ON ART for Age "&amp;P20&amp;" "&amp;Q21&amp;" is not equal to the sum of F03-03+F03-05+F03-07+F03-09+F03-11"&amp;CHAR(10),""),IF(R167&lt;&gt;SUM(R169,R171,R173,R175,R177)," *  Iniated On IPT New ON ART for Age "&amp;R20&amp;" "&amp;R21&amp;" is not equal to the sum of  Completed IPT New on ART+ Discontinued New on ART + LTFU New on ART + Died New on ART + Transferred Out New on ART)"&amp;CHAR(10),""),IF(S167&lt;&gt;SUM(S169,S171,S173,S175,S177)," *  Iniated On IPT New ON ART for Age "&amp;R20&amp;" "&amp;S21&amp;" is not equal to the sum of F03-03+F03-05+F03-07+F03-09+F03-11"&amp;CHAR(10),""),IF(T167&lt;&gt;SUM(T169,T171,T173,T175,T177)," *  Iniated On IPT New ON ART for Age "&amp;T20&amp;" "&amp;T21&amp;" is not equal to the sum of  Completed IPT New on ART+ Discontinued New on ART + LTFU New on ART + Died New on ART + Transferred Out New on ART)"&amp;CHAR(10),""),IF(U167&lt;&gt;SUM(U169,U171,U173,U175,U177)," *  Iniated On IPT New ON ART for Age "&amp;T20&amp;" "&amp;U21&amp;" is not equal to the sum of F03-03+F03-05+F03-07+F03-09+F03-11"&amp;CHAR(10),""),IF(V167&lt;&gt;SUM(V169,V171,V173,V175,V177)," *  Iniated On IPT New ON ART for Age "&amp;V20&amp;" "&amp;V21&amp;" is not equal to the sum of  Completed IPT New on ART+ Discontinued New on ART + LTFU New on ART + Died New on ART + Transferred Out New on ART)"&amp;CHAR(10),""),IF(W167&lt;&gt;SUM(W169,W171,W173,W175,W177)," *  Iniated On IPT New ON ART for Age "&amp;V20&amp;" "&amp;W21&amp;" is not equal to the sum of F03-03+F03-05+F03-07+F03-09+F03-11"&amp;CHAR(10),""),IF(X167&lt;&gt;SUM(X169,X171,X173,X175,X177)," *  Iniated On IPT New ON ART for Age "&amp;X20&amp;" "&amp;X21&amp;" is not equal to the sum of  Completed IPT New on ART+ Discontinued New on ART + LTFU New on ART + Died New on ART + Transferred Out New on ART)"&amp;CHAR(10),""),IF(Y167&lt;&gt;SUM(Y169,Y171,Y173,Y175,Y177)," *  Iniated On IPT New ON ART for Age "&amp;X20&amp;" "&amp;Y21&amp;" is not equal to the sum of F03-03+F03-05+F03-07+F03-09+F03-11"&amp;CHAR(10),""),IF(Z167&lt;&gt;SUM(Z169,Z171,Z173,Z175,Z177)," *  Iniated On IPT New ON ART for Age "&amp;Z20&amp;" "&amp;Z21&amp;" is not equal to the sum of  Completed IPT New on ART+ Discontinued New on ART + LTFU New on ART + Died New on ART + Transferred Out New on ART)"&amp;CHAR(10),""),IF(AA167&lt;&gt;SUM(AA169,AA171,AA173,AA175,AA177)," *  Iniated On IPT New ON ART for Age "&amp;Z20&amp;" "&amp;AA21&amp;" is not equal to the sum of  Completed IPT New on ART+ Discontinued New on ART + LTFU New on ART + Died New on ART + Transferred Out New on ART)"&amp;CHAR(10),""))</f>
        <v/>
      </c>
      <c r="AL167" s="1088"/>
      <c r="AM167" s="140"/>
      <c r="AN167" s="1247" t="str">
        <f>CONCATENATE(AM167,AM168,AM169,AM170,AM171,AM172,AM173,AM174,AM175,AM176,AM177,AM178)</f>
        <v/>
      </c>
      <c r="AO167" s="13">
        <v>100</v>
      </c>
      <c r="AP167" s="80"/>
      <c r="AQ167" s="75"/>
    </row>
    <row r="168" spans="1:43" s="61" customFormat="1" ht="38.35" hidden="1" customHeight="1" thickBot="1" x14ac:dyDescent="0.8">
      <c r="A168" s="1282"/>
      <c r="B168" s="87" t="s">
        <v>1287</v>
      </c>
      <c r="C168" s="581" t="s">
        <v>211</v>
      </c>
      <c r="D168" s="141"/>
      <c r="E168" s="89"/>
      <c r="F168" s="89"/>
      <c r="G168" s="89"/>
      <c r="H168" s="89"/>
      <c r="I168" s="89"/>
      <c r="J168" s="89"/>
      <c r="K168" s="89"/>
      <c r="L168" s="89"/>
      <c r="M168" s="89"/>
      <c r="N168" s="89"/>
      <c r="O168" s="89"/>
      <c r="P168" s="89"/>
      <c r="Q168" s="89"/>
      <c r="R168" s="89"/>
      <c r="S168" s="89"/>
      <c r="T168" s="89"/>
      <c r="U168" s="89"/>
      <c r="V168" s="89"/>
      <c r="W168" s="89"/>
      <c r="X168" s="89"/>
      <c r="Y168" s="89"/>
      <c r="Z168" s="89"/>
      <c r="AA168" s="321"/>
      <c r="AB168" s="389"/>
      <c r="AC168" s="357"/>
      <c r="AD168" s="357"/>
      <c r="AE168" s="357"/>
      <c r="AF168" s="357"/>
      <c r="AG168" s="357"/>
      <c r="AH168" s="357"/>
      <c r="AI168" s="314"/>
      <c r="AJ168" s="193">
        <f t="shared" ref="AJ168:AJ178" si="28">SUM(D168:AA168)</f>
        <v>0</v>
      </c>
      <c r="AK168" s="116" t="str">
        <f>CONCATENATE(IF(D168&lt;&gt;SUM(D170,D172,D174,D176,D178)," * F03-02 for Age "&amp;D20&amp;" "&amp;D21&amp;" is not equal to the sum of (F03-04+F03-06+F03-08+F03-10+F03-12)"&amp;CHAR(10),""),IF(E168&lt;&gt;SUM(E170,E172,E174,E176,E178)," * F03-02 for Age "&amp;D20&amp;" "&amp;E21&amp;" is not equal to the sum of F03-04+F03-06+F03-08+F03-10+F03-12"&amp;CHAR(10),""),IF(F168&lt;&gt;SUM(F170,F172,F174,F176,F178)," * F03-02 for Age "&amp;F20&amp;" "&amp;F21&amp;" is not equal to the sum of (F03-04+F03-06+F03-08+F03-10+F03-12)"&amp;CHAR(10),""),IF(G168&lt;&gt;SUM(G170,G172,G174,G176,G178)," * F03-02 for Age "&amp;F20&amp;" "&amp;G21&amp;" is not equal to the sum of F03-04+F03-06+F03-08+F03-10+F03-12"&amp;CHAR(10),""),IF(H168&lt;&gt;SUM(H170,H172,H174,H176,H178)," * F03-02 for Age "&amp;H20&amp;" "&amp;H21&amp;" is not equal to the sum of (F03-04+F03-06+F03-08+F03-10+F03-12)"&amp;CHAR(10),""),IF(I168&lt;&gt;SUM(I170,I172,I174,I176,I178)," * F03-02 for Age "&amp;H20&amp;" "&amp;I21&amp;" is not equal to the sum of F03-04+F03-06+F03-08+F03-10+F03-12"&amp;CHAR(10),""),IF(J168&lt;&gt;SUM(J170,J172,J174,J176,J178)," * F03-02 for Age "&amp;J20&amp;" "&amp;J21&amp;" is not equal to the sum of (F03-04+F03-06+F03-08+F03-10+F03-12)"&amp;CHAR(10),""),IF(K168&lt;&gt;SUM(K170,K172,K174,K176,K178)," * F03-02 for Age "&amp;J20&amp;" "&amp;K21&amp;" is not equal to the sum of F03-04+F03-06+F03-08+F03-10+F03-12"&amp;CHAR(10),""),IF(L168&lt;&gt;SUM(L170,L172,L174,L176,L178)," * F03-02 for Age "&amp;L20&amp;" "&amp;L21&amp;" is not equal to the sum of (F03-04+F03-06+F03-08+F03-10+F03-12)"&amp;CHAR(10),""),IF(M168&lt;&gt;SUM(M170,M172,M174,M176,M178)," * F03-02 for Age "&amp;L20&amp;" "&amp;M21&amp;" is not equal to the sum of F03-04+F03-06+F03-08+F03-10+F03-12"&amp;CHAR(10),""),IF(N168&lt;&gt;SUM(N170,N172,N174,N176,N178)," * F03-02 for Age "&amp;N20&amp;" "&amp;N21&amp;" is not equal to the sum of (F03-04+F03-06+F03-08+F03-10+F03-12)"&amp;CHAR(10),""),IF(O168&lt;&gt;SUM(O170,O172,O174,O176,O178)," * F03-02 for Age "&amp;N20&amp;" "&amp;O21&amp;" is not equal to the sum of F03-04+F03-06+F03-08+F03-10+F03-12"&amp;CHAR(10),""),IF(P168&lt;&gt;SUM(P170,P172,P174,P176,P178)," * F03-02 for Age "&amp;P20&amp;" "&amp;P21&amp;" is not equal to the sum of (F03-04+F03-06+F03-08+F03-10+F03-12)"&amp;CHAR(10),""),IF(Q168&lt;&gt;SUM(Q170,Q172,Q174,Q176,Q178)," * F03-02 for Age "&amp;P20&amp;" "&amp;Q21&amp;" is not equal to the sum of F03-04+F03-06+F03-08+F03-10+F03-12"&amp;CHAR(10),""),IF(R168&lt;&gt;SUM(R170,R172,R174,R176,R178)," * F03-02 for Age "&amp;R20&amp;" "&amp;R21&amp;" is not equal to the sum of (F03-04+F03-06+F03-08+F03-10+F03-12)"&amp;CHAR(10),""),IF(S168&lt;&gt;SUM(S170,S172,S174,S176,S178)," * F03-02 for Age "&amp;R20&amp;" "&amp;S21&amp;" is not equal to the sum of F03-04+F03-06+F03-08+F03-10+F03-12"&amp;CHAR(10),""),IF(T168&lt;&gt;SUM(T170,T172,T174,T176,T178)," * F03-02 for Age "&amp;T20&amp;" "&amp;T21&amp;" is not equal to the sum of (F03-04+F03-06+F03-08+F03-10+F03-12)"&amp;CHAR(10),""),IF(U168&lt;&gt;SUM(U170,U172,U174,U176,U178)," * F03-02 for Age "&amp;T20&amp;" "&amp;U21&amp;" is not equal to the sum of F03-04+F03-06+F03-08+F03-10+F03-12"&amp;CHAR(10),""),IF(V168&lt;&gt;SUM(V170,V172,V174,V176,V178)," * F03-02 for Age "&amp;V20&amp;" "&amp;V21&amp;" is not equal to the sum of (F03-04+F03-06+F03-08+F03-10+F03-12)"&amp;CHAR(10),""),IF(W168&lt;&gt;SUM(W170,W172,W174,W176,W178)," * F03-02 for Age "&amp;V20&amp;" "&amp;W21&amp;" is not equal to the sum of F03-04+F03-06+F03-08+F03-10+F03-12"&amp;CHAR(10),""),IF(X168&lt;&gt;SUM(X170,X172,X174,X176,X178)," * F03-02 for Age "&amp;X20&amp;" "&amp;X21&amp;" is not equal to the sum of (F03-04+F03-06+F03-08+F03-10+F03-12)"&amp;CHAR(10),""),IF(Y168&lt;&gt;SUM(Y170,Y172,Y174,Y176,Y178)," * F03-02 for Age "&amp;X20&amp;" "&amp;Y21&amp;" is not equal to the sum of F03-04+F03-06+F03-08+F03-10+F03-12"&amp;CHAR(10),""),IF(Z168&lt;&gt;SUM(Z170,Z172,Z174,Z176,Z178)," * F03-02 for Age "&amp;Z20&amp;" "&amp;Z21&amp;" is not equal to the sum of (F03-04+F03-06+F03-08+F03-10+F03-12)"&amp;CHAR(10),""),IF(AA168&lt;&gt;SUM(AA170,AA172,AA174,AA176,AA178)," * F03-02 for Age "&amp;Z20&amp;" "&amp;AA21&amp;" is not equal to the sum of (F03-04+F03-06+F03-08+F03-10+F03-12)"&amp;CHAR(10),""))</f>
        <v/>
      </c>
      <c r="AL168" s="1088"/>
      <c r="AM168" s="60"/>
      <c r="AN168" s="1248"/>
      <c r="AO168" s="13">
        <v>101</v>
      </c>
      <c r="AP168" s="80"/>
      <c r="AQ168" s="75"/>
    </row>
    <row r="169" spans="1:43" ht="38.35" hidden="1" customHeight="1" x14ac:dyDescent="0.75">
      <c r="A169" s="1281" t="s">
        <v>1285</v>
      </c>
      <c r="B169" s="91" t="s">
        <v>1288</v>
      </c>
      <c r="C169" s="579" t="s">
        <v>212</v>
      </c>
      <c r="D169" s="142"/>
      <c r="E169" s="143"/>
      <c r="F169" s="143"/>
      <c r="G169" s="143"/>
      <c r="H169" s="143"/>
      <c r="I169" s="143"/>
      <c r="J169" s="143"/>
      <c r="K169" s="143"/>
      <c r="L169" s="143"/>
      <c r="M169" s="143"/>
      <c r="N169" s="143"/>
      <c r="O169" s="143"/>
      <c r="P169" s="143"/>
      <c r="Q169" s="143"/>
      <c r="R169" s="143"/>
      <c r="S169" s="143"/>
      <c r="T169" s="143"/>
      <c r="U169" s="143"/>
      <c r="V169" s="143"/>
      <c r="W169" s="143"/>
      <c r="X169" s="143"/>
      <c r="Y169" s="143"/>
      <c r="Z169" s="143"/>
      <c r="AA169" s="336"/>
      <c r="AB169" s="389"/>
      <c r="AC169" s="357"/>
      <c r="AD169" s="357"/>
      <c r="AE169" s="357"/>
      <c r="AF169" s="357"/>
      <c r="AG169" s="357"/>
      <c r="AH169" s="357"/>
      <c r="AI169" s="314"/>
      <c r="AJ169" s="189">
        <f t="shared" si="28"/>
        <v>0</v>
      </c>
      <c r="AK169" s="116" t="str">
        <f>CONCATENATE(IF(D169&gt;D167," * F03-03 for Age "&amp;D20&amp;" "&amp;D21&amp;" is more than F03-01"&amp;CHAR(10),""),IF(E169&gt;E167," * F03-03 for Age "&amp;D20&amp;" "&amp;E21&amp;" is more than F03-01"&amp;CHAR(10),""),IF(F169&gt;F167," * F03-03 for Age "&amp;F20&amp;" "&amp;F21&amp;" is more than F03-01"&amp;CHAR(10),""),IF(G169&gt;G167," * F03-03 for Age "&amp;F20&amp;" "&amp;G21&amp;" is more than F03-01"&amp;CHAR(10),""),IF(H169&gt;H167," * F03-03 for Age "&amp;H20&amp;" "&amp;H21&amp;" is more than F03-01"&amp;CHAR(10),""),IF(I169&gt;I167," * F03-03 for Age "&amp;H20&amp;" "&amp;I21&amp;" is more than F03-01"&amp;CHAR(10),""),IF(J169&gt;J167," * F03-03 for Age "&amp;J20&amp;" "&amp;J21&amp;" is more than F03-01"&amp;CHAR(10),""),IF(K169&gt;K167," * F03-03 for Age "&amp;J20&amp;" "&amp;K21&amp;" is more than F03-01"&amp;CHAR(10),""),IF(L169&gt;L167," * F03-03 for Age "&amp;L20&amp;" "&amp;L21&amp;" is more than F03-01"&amp;CHAR(10),""),IF(M169&gt;M167," * F03-03 for Age "&amp;L20&amp;" "&amp;M21&amp;" is more than F03-01"&amp;CHAR(10),""),IF(N169&gt;N167," * F03-03 for Age "&amp;N20&amp;" "&amp;N21&amp;" is more than F03-01"&amp;CHAR(10),""),IF(O169&gt;O167," * F03-03 for Age "&amp;N20&amp;" "&amp;O21&amp;" is more than F03-01"&amp;CHAR(10),""),IF(P169&gt;P167," * F03-03 for Age "&amp;P20&amp;" "&amp;P21&amp;" is more than F03-01"&amp;CHAR(10),""),IF(Q169&gt;Q167," * F03-03 for Age "&amp;P20&amp;" "&amp;Q21&amp;" is more than F03-01"&amp;CHAR(10),""),IF(R169&gt;R167," * F03-03 for Age "&amp;R20&amp;" "&amp;R21&amp;" is more than F03-01"&amp;CHAR(10),""),IF(S169&gt;S167," * F03-03 for Age "&amp;R20&amp;" "&amp;S21&amp;" is more than F03-01"&amp;CHAR(10),""),IF(T169&gt;T167," * F03-03 for Age "&amp;T20&amp;" "&amp;T21&amp;" is more than F03-01"&amp;CHAR(10),""),IF(U169&gt;U167," * F03-03 for Age "&amp;T20&amp;" "&amp;U21&amp;" is more than F03-01"&amp;CHAR(10),""),IF(V169&gt;V167," * F03-03 for Age "&amp;V20&amp;" "&amp;V21&amp;" is more than F03-01"&amp;CHAR(10),""),IF(W169&gt;W167," * F03-03 for Age "&amp;V20&amp;" "&amp;W21&amp;" is more than F03-01"&amp;CHAR(10),""),IF(X169&gt;X167," * F03-03 for Age "&amp;X20&amp;" "&amp;X21&amp;" is more than F03-01"&amp;CHAR(10),""),IF(Y169&gt;Y167," * F03-03 for Age "&amp;X20&amp;" "&amp;Y21&amp;" is more than F03-01"&amp;CHAR(10),""),IF(Z169&gt;Z167," * F03-03 for Age "&amp;Z20&amp;" "&amp;Z21&amp;" is more than F03-01"&amp;CHAR(10),""),IF(AA169&gt;AA167," * F03-03 for Age "&amp;Z20&amp;" "&amp;AA21&amp;" is more than F03-01"&amp;CHAR(10),""))</f>
        <v/>
      </c>
      <c r="AL169" s="1088"/>
      <c r="AM169" s="31"/>
      <c r="AN169" s="1248"/>
      <c r="AO169" s="13">
        <v>102</v>
      </c>
      <c r="AP169" s="74"/>
      <c r="AQ169" s="75"/>
    </row>
    <row r="170" spans="1:43" ht="38.35" hidden="1" customHeight="1" thickBot="1" x14ac:dyDescent="0.8">
      <c r="A170" s="1282"/>
      <c r="B170" s="87" t="s">
        <v>1287</v>
      </c>
      <c r="C170" s="581" t="s">
        <v>213</v>
      </c>
      <c r="D170" s="144"/>
      <c r="E170" s="145"/>
      <c r="F170" s="145"/>
      <c r="G170" s="145"/>
      <c r="H170" s="145"/>
      <c r="I170" s="145"/>
      <c r="J170" s="145"/>
      <c r="K170" s="145"/>
      <c r="L170" s="145"/>
      <c r="M170" s="145"/>
      <c r="N170" s="145"/>
      <c r="O170" s="145"/>
      <c r="P170" s="145"/>
      <c r="Q170" s="145"/>
      <c r="R170" s="145"/>
      <c r="S170" s="145"/>
      <c r="T170" s="145"/>
      <c r="U170" s="145"/>
      <c r="V170" s="145"/>
      <c r="W170" s="145"/>
      <c r="X170" s="145"/>
      <c r="Y170" s="145"/>
      <c r="Z170" s="145"/>
      <c r="AA170" s="337"/>
      <c r="AB170" s="389"/>
      <c r="AC170" s="357"/>
      <c r="AD170" s="357"/>
      <c r="AE170" s="357"/>
      <c r="AF170" s="357"/>
      <c r="AG170" s="357"/>
      <c r="AH170" s="357"/>
      <c r="AI170" s="314"/>
      <c r="AJ170" s="193">
        <f t="shared" si="28"/>
        <v>0</v>
      </c>
      <c r="AK170" s="116" t="str">
        <f>CONCATENATE(IF(D170&gt;D168," * F03-04 for Age "&amp;D20&amp;" "&amp;D21&amp;" is more than F03-02"&amp;CHAR(10),""),IF(E170&gt;E168," * F03-04 for Age "&amp;D20&amp;" "&amp;E21&amp;" is more than F03-02"&amp;CHAR(10),""),IF(F170&gt;F168," * F03-04 for Age "&amp;F20&amp;" "&amp;F21&amp;" is more than F03-02"&amp;CHAR(10),""),IF(G170&gt;G168," * F03-04 for Age "&amp;F20&amp;" "&amp;G21&amp;" is more than F03-02"&amp;CHAR(10),""),IF(H170&gt;H168," * F03-04 for Age "&amp;H20&amp;" "&amp;H21&amp;" is more than F03-02"&amp;CHAR(10),""),IF(I170&gt;I168," * F03-04 for Age "&amp;H20&amp;" "&amp;I21&amp;" is more than F03-02"&amp;CHAR(10),""),IF(J170&gt;J168," * F03-04 for Age "&amp;J20&amp;" "&amp;J21&amp;" is more than F03-02"&amp;CHAR(10),""),IF(K170&gt;K168," * F03-04 for Age "&amp;J20&amp;" "&amp;K21&amp;" is more than F03-02"&amp;CHAR(10),""),IF(L170&gt;L168," * F03-04 for Age "&amp;L20&amp;" "&amp;L21&amp;" is more than F03-02"&amp;CHAR(10),""),IF(M170&gt;M168," * F03-04 for Age "&amp;L20&amp;" "&amp;M21&amp;" is more than F03-02"&amp;CHAR(10),""),IF(N170&gt;N168," * F03-04 for Age "&amp;N20&amp;" "&amp;N21&amp;" is more than F03-02"&amp;CHAR(10),""),IF(O170&gt;O168," * F03-04 for Age "&amp;N20&amp;" "&amp;O21&amp;" is more than F03-02"&amp;CHAR(10),""),IF(P170&gt;P168," * F03-04 for Age "&amp;P20&amp;" "&amp;P21&amp;" is more than F03-02"&amp;CHAR(10),""),IF(Q170&gt;Q168," * F03-04 for Age "&amp;P20&amp;" "&amp;Q21&amp;" is more than F03-02"&amp;CHAR(10),""),IF(R170&gt;R168," * F03-04 for Age "&amp;R20&amp;" "&amp;R21&amp;" is more than F03-02"&amp;CHAR(10),""),IF(S170&gt;S168," * F03-04 for Age "&amp;R20&amp;" "&amp;S21&amp;" is more than F03-02"&amp;CHAR(10),""),IF(T170&gt;T168," * F03-04 for Age "&amp;T20&amp;" "&amp;T21&amp;" is more than F03-02"&amp;CHAR(10),""),IF(U170&gt;U168," * F03-04 for Age "&amp;T20&amp;" "&amp;U21&amp;" is more than F03-02"&amp;CHAR(10),""),IF(V170&gt;V168," * F03-04 for Age "&amp;V20&amp;" "&amp;V21&amp;" is more than F03-02"&amp;CHAR(10),""),IF(W170&gt;W168," * F03-04 for Age "&amp;V20&amp;" "&amp;W21&amp;" is more than F03-02"&amp;CHAR(10),""),IF(X170&gt;X168," * F03-04 for Age "&amp;X20&amp;" "&amp;X21&amp;" is more than F03-02"&amp;CHAR(10),""),IF(Y170&gt;Y168," * F03-04 for Age "&amp;X20&amp;" "&amp;Y21&amp;" is more than F03-02"&amp;CHAR(10),""),IF(Z170&gt;Z168," * F03-04 for Age "&amp;Z20&amp;" "&amp;Z21&amp;" is more than F03-02"&amp;CHAR(10),""),IF(AA170&gt;AA168," * F03-04 for Age "&amp;Z20&amp;" "&amp;AA21&amp;" is more than F03-02"&amp;CHAR(10),""),IF(AJ170&gt;AJ168," * Total F03-04 is more than Total F03-02"&amp;CHAR(10),""))</f>
        <v/>
      </c>
      <c r="AL170" s="1088"/>
      <c r="AM170" s="31"/>
      <c r="AN170" s="1248"/>
      <c r="AO170" s="13">
        <v>103</v>
      </c>
      <c r="AP170" s="74"/>
      <c r="AQ170" s="75"/>
    </row>
    <row r="171" spans="1:43" s="14" customFormat="1" ht="38.35" hidden="1" customHeight="1" x14ac:dyDescent="0.75">
      <c r="A171" s="1243" t="s">
        <v>1308</v>
      </c>
      <c r="B171" s="146" t="s">
        <v>661</v>
      </c>
      <c r="C171" s="596" t="s">
        <v>214</v>
      </c>
      <c r="D171" s="147"/>
      <c r="E171" s="148"/>
      <c r="F171" s="148"/>
      <c r="G171" s="148"/>
      <c r="H171" s="148"/>
      <c r="I171" s="148"/>
      <c r="J171" s="148"/>
      <c r="K171" s="148"/>
      <c r="L171" s="148"/>
      <c r="M171" s="148"/>
      <c r="N171" s="148"/>
      <c r="O171" s="148"/>
      <c r="P171" s="148"/>
      <c r="Q171" s="148"/>
      <c r="R171" s="148"/>
      <c r="S171" s="148"/>
      <c r="T171" s="148"/>
      <c r="U171" s="148"/>
      <c r="V171" s="148"/>
      <c r="W171" s="148"/>
      <c r="X171" s="148"/>
      <c r="Y171" s="148"/>
      <c r="Z171" s="148"/>
      <c r="AA171" s="338"/>
      <c r="AB171" s="389"/>
      <c r="AC171" s="357"/>
      <c r="AD171" s="357"/>
      <c r="AE171" s="357"/>
      <c r="AF171" s="357"/>
      <c r="AG171" s="357"/>
      <c r="AH171" s="357"/>
      <c r="AI171" s="314"/>
      <c r="AJ171" s="189">
        <f t="shared" si="28"/>
        <v>0</v>
      </c>
      <c r="AK171" s="116" t="str">
        <f>CONCATENATE(IF(D341&lt;SUM(D167,D168)," * Total Initiated on IPT for Age "&amp;D20&amp;" "&amp;D21&amp;" is More than Current ON ART "&amp;CHAR(10),""),IF(E341&lt;SUM(E167,E168)," * Total Initiated on IPT for Age "&amp;D20&amp;" "&amp;E21&amp;" is More than Current ON ART"&amp;CHAR(10),""),IF(F341&lt;SUM(F167,F168)," * Total Initiated on IPT for Age "&amp;F20&amp;" "&amp;F21&amp;" is More than Current ON ART "&amp;CHAR(10),""),IF(G341&lt;SUM(G167,G168)," * Total Initiated on IPT for Age "&amp;F20&amp;" "&amp;G21&amp;" is More than Current ON ART"&amp;CHAR(10),""),IF(H341&lt;SUM(H167,H168)," * Total Initiated on IPT for Age "&amp;H20&amp;" "&amp;H21&amp;" is More than Current ON ART "&amp;CHAR(10),""),IF(I341&lt;SUM(I167,I168)," * Total Initiated on IPT for Age "&amp;H20&amp;" "&amp;I21&amp;" is More than Current ON ART"&amp;CHAR(10),""),IF(J341&lt;SUM(J167,J168)," * Total Initiated on IPT for Age "&amp;J20&amp;" "&amp;J21&amp;" is More than Current ON ART "&amp;CHAR(10),""),IF(K341&lt;SUM(K167,K168)," * Total Initiated on IPT for Age "&amp;J20&amp;" "&amp;K21&amp;" is More than Current ON ART"&amp;CHAR(10),""),IF(L341&lt;SUM(L167,L168)," * Total Initiated on IPT for Age "&amp;L20&amp;" "&amp;L21&amp;" is More than Current ON ART "&amp;CHAR(10),""),IF(M341&lt;SUM(M167,M168)," * Total Initiated on IPT for Age "&amp;L20&amp;" "&amp;M21&amp;" is More than Current ON ART"&amp;CHAR(10),""),IF(N341&lt;SUM(N167,N168)," * Total Initiated on IPT for Age "&amp;N20&amp;" "&amp;N21&amp;" is More than Current ON ART "&amp;CHAR(10),""),IF(O341&lt;SUM(O167,O168)," * Total Initiated on IPT for Age "&amp;N20&amp;" "&amp;O21&amp;" is More than Current ON ART"&amp;CHAR(10),""),IF(P341&lt;SUM(P167,P168)," * Total Initiated on IPT for Age "&amp;P20&amp;" "&amp;P21&amp;" is More than Current ON ART "&amp;CHAR(10),""),IF(Q341&lt;SUM(Q167,Q168)," * Total Initiated on IPT for Age "&amp;P20&amp;" "&amp;Q21&amp;" is More than Current ON ART"&amp;CHAR(10),""),IF(R341&lt;SUM(R167,R168)," * Total Initiated on IPT for Age "&amp;R20&amp;" "&amp;R21&amp;" is More than Current ON ART "&amp;CHAR(10),""),IF(S341&lt;SUM(S167,S168)," * Total Initiated on IPT for Age "&amp;R20&amp;" "&amp;S21&amp;" is More than Current ON ART"&amp;CHAR(10),""),IF(T341&lt;SUM(T167,T168)," * Total Initiated on IPT for Age "&amp;T20&amp;" "&amp;T21&amp;" is More than Current ON ART "&amp;CHAR(10),""),IF(U341&lt;SUM(U167,U168)," * Total Initiated on IPT for Age "&amp;T20&amp;" "&amp;U21&amp;" is More than Current ON ART"&amp;CHAR(10),""),IF(V341&lt;SUM(V167,V168)," * Total Initiated on IPT for Age "&amp;V20&amp;" "&amp;V21&amp;" is More than Current ON ART "&amp;CHAR(10),""),IF(W341&lt;SUM(W167,W168)," * Total Initiated on IPT for Age "&amp;V20&amp;" "&amp;W21&amp;" is More than Current ON ART"&amp;CHAR(10),""),IF(X341&lt;SUM(X167,X168)," * Total Initiated on IPT for Age "&amp;X20&amp;" "&amp;X21&amp;" is More than Current ON ART "&amp;CHAR(10),""),IF(Y341&lt;SUM(Y167,Y168)," * Total Initiated on IPT for Age "&amp;X20&amp;" "&amp;Y21&amp;" is More than Current ON ART"&amp;CHAR(10),""),IF(Z341&lt;SUM(Z167,Z168)," * Total Initiated on IPT for Age "&amp;Z20&amp;" "&amp;Z21&amp;" is More than Current ON ART "&amp;CHAR(10),""),IF(AA341&lt;SUM(AA167,AA168)," * Total Initiated on IPT for Age "&amp;Z20&amp;" "&amp;AA21&amp;" is More than Current ON ART "&amp;CHAR(10),""))</f>
        <v/>
      </c>
      <c r="AL171" s="1088"/>
      <c r="AM171" s="31"/>
      <c r="AN171" s="1248"/>
      <c r="AO171" s="13">
        <v>104</v>
      </c>
      <c r="AP171" s="74"/>
      <c r="AQ171" s="149"/>
    </row>
    <row r="172" spans="1:43" s="14" customFormat="1" ht="38.35" hidden="1" customHeight="1" thickBot="1" x14ac:dyDescent="0.8">
      <c r="A172" s="1244"/>
      <c r="B172" s="150" t="s">
        <v>662</v>
      </c>
      <c r="C172" s="597" t="s">
        <v>215</v>
      </c>
      <c r="D172" s="151"/>
      <c r="E172" s="152"/>
      <c r="F172" s="152"/>
      <c r="G172" s="152"/>
      <c r="H172" s="152"/>
      <c r="I172" s="152"/>
      <c r="J172" s="152"/>
      <c r="K172" s="152"/>
      <c r="L172" s="152"/>
      <c r="M172" s="152"/>
      <c r="N172" s="152"/>
      <c r="O172" s="152"/>
      <c r="P172" s="152"/>
      <c r="Q172" s="152"/>
      <c r="R172" s="152"/>
      <c r="S172" s="152"/>
      <c r="T172" s="152"/>
      <c r="U172" s="152"/>
      <c r="V172" s="152"/>
      <c r="W172" s="152"/>
      <c r="X172" s="152"/>
      <c r="Y172" s="152"/>
      <c r="Z172" s="152"/>
      <c r="AA172" s="339"/>
      <c r="AB172" s="389"/>
      <c r="AC172" s="357"/>
      <c r="AD172" s="357"/>
      <c r="AE172" s="357"/>
      <c r="AF172" s="357"/>
      <c r="AG172" s="357"/>
      <c r="AH172" s="357"/>
      <c r="AI172" s="314"/>
      <c r="AJ172" s="193">
        <f t="shared" si="28"/>
        <v>0</v>
      </c>
      <c r="AK172" s="116"/>
      <c r="AL172" s="1088"/>
      <c r="AM172" s="31"/>
      <c r="AN172" s="1248"/>
      <c r="AO172" s="13">
        <v>105</v>
      </c>
      <c r="AP172" s="74"/>
      <c r="AQ172" s="149"/>
    </row>
    <row r="173" spans="1:43" s="14" customFormat="1" ht="38.35" hidden="1" customHeight="1" x14ac:dyDescent="0.75">
      <c r="A173" s="1243" t="s">
        <v>1307</v>
      </c>
      <c r="B173" s="146" t="s">
        <v>661</v>
      </c>
      <c r="C173" s="596" t="s">
        <v>216</v>
      </c>
      <c r="D173" s="147"/>
      <c r="E173" s="148"/>
      <c r="F173" s="148"/>
      <c r="G173" s="148"/>
      <c r="H173" s="148"/>
      <c r="I173" s="148"/>
      <c r="J173" s="148"/>
      <c r="K173" s="148"/>
      <c r="L173" s="148"/>
      <c r="M173" s="148"/>
      <c r="N173" s="148"/>
      <c r="O173" s="148"/>
      <c r="P173" s="148"/>
      <c r="Q173" s="148"/>
      <c r="R173" s="148"/>
      <c r="S173" s="148"/>
      <c r="T173" s="148"/>
      <c r="U173" s="148"/>
      <c r="V173" s="148"/>
      <c r="W173" s="148"/>
      <c r="X173" s="148"/>
      <c r="Y173" s="148"/>
      <c r="Z173" s="148"/>
      <c r="AA173" s="338"/>
      <c r="AB173" s="389"/>
      <c r="AC173" s="357"/>
      <c r="AD173" s="357"/>
      <c r="AE173" s="357"/>
      <c r="AF173" s="357"/>
      <c r="AG173" s="357"/>
      <c r="AH173" s="357"/>
      <c r="AI173" s="314"/>
      <c r="AJ173" s="189">
        <f t="shared" si="28"/>
        <v>0</v>
      </c>
      <c r="AK173" s="116"/>
      <c r="AL173" s="1088"/>
      <c r="AM173" s="31"/>
      <c r="AN173" s="1248"/>
      <c r="AO173" s="13">
        <v>106</v>
      </c>
      <c r="AP173" s="74"/>
      <c r="AQ173" s="149"/>
    </row>
    <row r="174" spans="1:43" s="14" customFormat="1" ht="38.35" hidden="1" customHeight="1" thickBot="1" x14ac:dyDescent="0.8">
      <c r="A174" s="1244"/>
      <c r="B174" s="150" t="s">
        <v>662</v>
      </c>
      <c r="C174" s="597" t="s">
        <v>217</v>
      </c>
      <c r="D174" s="151"/>
      <c r="E174" s="152"/>
      <c r="F174" s="152"/>
      <c r="G174" s="152"/>
      <c r="H174" s="152"/>
      <c r="I174" s="152"/>
      <c r="J174" s="152"/>
      <c r="K174" s="152"/>
      <c r="L174" s="152"/>
      <c r="M174" s="152"/>
      <c r="N174" s="152"/>
      <c r="O174" s="152"/>
      <c r="P174" s="152"/>
      <c r="Q174" s="152"/>
      <c r="R174" s="152"/>
      <c r="S174" s="152"/>
      <c r="T174" s="152"/>
      <c r="U174" s="152"/>
      <c r="V174" s="152"/>
      <c r="W174" s="152"/>
      <c r="X174" s="152"/>
      <c r="Y174" s="152"/>
      <c r="Z174" s="152"/>
      <c r="AA174" s="339"/>
      <c r="AB174" s="389"/>
      <c r="AC174" s="357"/>
      <c r="AD174" s="357"/>
      <c r="AE174" s="357"/>
      <c r="AF174" s="357"/>
      <c r="AG174" s="357"/>
      <c r="AH174" s="357"/>
      <c r="AI174" s="314"/>
      <c r="AJ174" s="193">
        <f t="shared" si="28"/>
        <v>0</v>
      </c>
      <c r="AK174" s="116"/>
      <c r="AL174" s="1088"/>
      <c r="AM174" s="31"/>
      <c r="AN174" s="1248"/>
      <c r="AO174" s="13">
        <v>107</v>
      </c>
      <c r="AP174" s="74"/>
      <c r="AQ174" s="149"/>
    </row>
    <row r="175" spans="1:43" s="14" customFormat="1" ht="38.35" hidden="1" customHeight="1" x14ac:dyDescent="0.75">
      <c r="A175" s="1243" t="s">
        <v>1309</v>
      </c>
      <c r="B175" s="146" t="s">
        <v>661</v>
      </c>
      <c r="C175" s="596" t="s">
        <v>218</v>
      </c>
      <c r="D175" s="147"/>
      <c r="E175" s="148"/>
      <c r="F175" s="148"/>
      <c r="G175" s="148"/>
      <c r="H175" s="148"/>
      <c r="I175" s="148"/>
      <c r="J175" s="148"/>
      <c r="K175" s="148"/>
      <c r="L175" s="148"/>
      <c r="M175" s="148"/>
      <c r="N175" s="148"/>
      <c r="O175" s="148"/>
      <c r="P175" s="148"/>
      <c r="Q175" s="148"/>
      <c r="R175" s="148"/>
      <c r="S175" s="148"/>
      <c r="T175" s="148"/>
      <c r="U175" s="148"/>
      <c r="V175" s="148"/>
      <c r="W175" s="148"/>
      <c r="X175" s="148"/>
      <c r="Y175" s="148"/>
      <c r="Z175" s="148"/>
      <c r="AA175" s="338"/>
      <c r="AB175" s="389"/>
      <c r="AC175" s="357"/>
      <c r="AD175" s="357"/>
      <c r="AE175" s="357"/>
      <c r="AF175" s="357"/>
      <c r="AG175" s="357"/>
      <c r="AH175" s="357"/>
      <c r="AI175" s="314"/>
      <c r="AJ175" s="189">
        <f t="shared" si="28"/>
        <v>0</v>
      </c>
      <c r="AK175" s="116"/>
      <c r="AL175" s="1088"/>
      <c r="AM175" s="31"/>
      <c r="AN175" s="1248"/>
      <c r="AO175" s="13">
        <v>108</v>
      </c>
      <c r="AP175" s="74"/>
      <c r="AQ175" s="149"/>
    </row>
    <row r="176" spans="1:43" s="14" customFormat="1" ht="38.35" hidden="1" customHeight="1" thickBot="1" x14ac:dyDescent="0.8">
      <c r="A176" s="1244"/>
      <c r="B176" s="150" t="s">
        <v>662</v>
      </c>
      <c r="C176" s="597" t="s">
        <v>219</v>
      </c>
      <c r="D176" s="151"/>
      <c r="E176" s="152"/>
      <c r="F176" s="152"/>
      <c r="G176" s="152"/>
      <c r="H176" s="152"/>
      <c r="I176" s="152"/>
      <c r="J176" s="152"/>
      <c r="K176" s="152"/>
      <c r="L176" s="152"/>
      <c r="M176" s="152"/>
      <c r="N176" s="152"/>
      <c r="O176" s="152"/>
      <c r="P176" s="152"/>
      <c r="Q176" s="152"/>
      <c r="R176" s="152"/>
      <c r="S176" s="152"/>
      <c r="T176" s="152"/>
      <c r="U176" s="152"/>
      <c r="V176" s="152"/>
      <c r="W176" s="152"/>
      <c r="X176" s="152"/>
      <c r="Y176" s="152"/>
      <c r="Z176" s="152"/>
      <c r="AA176" s="339"/>
      <c r="AB176" s="389"/>
      <c r="AC176" s="357"/>
      <c r="AD176" s="357"/>
      <c r="AE176" s="357"/>
      <c r="AF176" s="357"/>
      <c r="AG176" s="357"/>
      <c r="AH176" s="357"/>
      <c r="AI176" s="314"/>
      <c r="AJ176" s="193">
        <f t="shared" si="28"/>
        <v>0</v>
      </c>
      <c r="AK176" s="116"/>
      <c r="AL176" s="1088"/>
      <c r="AM176" s="31"/>
      <c r="AN176" s="1248"/>
      <c r="AO176" s="13">
        <v>109</v>
      </c>
      <c r="AP176" s="74"/>
      <c r="AQ176" s="149"/>
    </row>
    <row r="177" spans="1:43" s="14" customFormat="1" ht="38.35" hidden="1" customHeight="1" x14ac:dyDescent="0.75">
      <c r="A177" s="1243" t="s">
        <v>32</v>
      </c>
      <c r="B177" s="153" t="s">
        <v>661</v>
      </c>
      <c r="C177" s="598" t="s">
        <v>220</v>
      </c>
      <c r="D177" s="154"/>
      <c r="E177" s="127"/>
      <c r="F177" s="127"/>
      <c r="G177" s="127"/>
      <c r="H177" s="127"/>
      <c r="I177" s="127"/>
      <c r="J177" s="127"/>
      <c r="K177" s="127"/>
      <c r="L177" s="127"/>
      <c r="M177" s="127"/>
      <c r="N177" s="127"/>
      <c r="O177" s="127"/>
      <c r="P177" s="127"/>
      <c r="Q177" s="127"/>
      <c r="R177" s="127"/>
      <c r="S177" s="127"/>
      <c r="T177" s="127"/>
      <c r="U177" s="127"/>
      <c r="V177" s="127"/>
      <c r="W177" s="127"/>
      <c r="X177" s="127"/>
      <c r="Y177" s="127"/>
      <c r="Z177" s="127"/>
      <c r="AA177" s="331"/>
      <c r="AB177" s="389"/>
      <c r="AC177" s="357"/>
      <c r="AD177" s="357"/>
      <c r="AE177" s="357"/>
      <c r="AF177" s="357"/>
      <c r="AG177" s="357"/>
      <c r="AH177" s="357"/>
      <c r="AI177" s="314"/>
      <c r="AJ177" s="52">
        <f t="shared" si="28"/>
        <v>0</v>
      </c>
      <c r="AK177" s="116"/>
      <c r="AL177" s="1088"/>
      <c r="AM177" s="31"/>
      <c r="AN177" s="1248"/>
      <c r="AO177" s="13">
        <v>110</v>
      </c>
      <c r="AP177" s="74"/>
      <c r="AQ177" s="149"/>
    </row>
    <row r="178" spans="1:43" s="14" customFormat="1" ht="38.35" hidden="1" customHeight="1" thickBot="1" x14ac:dyDescent="0.8">
      <c r="A178" s="1284"/>
      <c r="B178" s="155" t="s">
        <v>662</v>
      </c>
      <c r="C178" s="856" t="s">
        <v>221</v>
      </c>
      <c r="D178" s="156"/>
      <c r="E178" s="157"/>
      <c r="F178" s="157"/>
      <c r="G178" s="157"/>
      <c r="H178" s="157"/>
      <c r="I178" s="157"/>
      <c r="J178" s="157"/>
      <c r="K178" s="157"/>
      <c r="L178" s="157"/>
      <c r="M178" s="157"/>
      <c r="N178" s="157"/>
      <c r="O178" s="157"/>
      <c r="P178" s="157"/>
      <c r="Q178" s="157"/>
      <c r="R178" s="157"/>
      <c r="S178" s="157"/>
      <c r="T178" s="157"/>
      <c r="U178" s="157"/>
      <c r="V178" s="157"/>
      <c r="W178" s="157"/>
      <c r="X178" s="157"/>
      <c r="Y178" s="157"/>
      <c r="Z178" s="157"/>
      <c r="AA178" s="340"/>
      <c r="AB178" s="389"/>
      <c r="AC178" s="357"/>
      <c r="AD178" s="357"/>
      <c r="AE178" s="357"/>
      <c r="AF178" s="357"/>
      <c r="AG178" s="357"/>
      <c r="AH178" s="357"/>
      <c r="AI178" s="314"/>
      <c r="AJ178" s="394">
        <f t="shared" si="28"/>
        <v>0</v>
      </c>
      <c r="AK178" s="122"/>
      <c r="AL178" s="1089"/>
      <c r="AM178" s="123"/>
      <c r="AN178" s="1249"/>
      <c r="AO178" s="13">
        <v>111</v>
      </c>
      <c r="AP178" s="74"/>
      <c r="AQ178" s="149"/>
    </row>
    <row r="179" spans="1:43" ht="34.5" hidden="1" customHeight="1" thickBot="1" x14ac:dyDescent="0.8">
      <c r="A179" s="1178" t="s">
        <v>1318</v>
      </c>
      <c r="B179" s="1179"/>
      <c r="C179" s="1077"/>
      <c r="D179" s="1077"/>
      <c r="E179" s="1077"/>
      <c r="F179" s="1077"/>
      <c r="G179" s="1077"/>
      <c r="H179" s="1077"/>
      <c r="I179" s="1077"/>
      <c r="J179" s="1077"/>
      <c r="K179" s="1077"/>
      <c r="L179" s="1077"/>
      <c r="M179" s="1077"/>
      <c r="N179" s="1077"/>
      <c r="O179" s="1077"/>
      <c r="P179" s="1077"/>
      <c r="Q179" s="1077"/>
      <c r="R179" s="1077"/>
      <c r="S179" s="1077"/>
      <c r="T179" s="1077"/>
      <c r="U179" s="1077"/>
      <c r="V179" s="1077"/>
      <c r="W179" s="1077"/>
      <c r="X179" s="1077"/>
      <c r="Y179" s="1077"/>
      <c r="Z179" s="1077"/>
      <c r="AA179" s="1077"/>
      <c r="AB179" s="1045"/>
      <c r="AC179" s="1045"/>
      <c r="AD179" s="1045"/>
      <c r="AE179" s="1045"/>
      <c r="AF179" s="1045"/>
      <c r="AG179" s="1045"/>
      <c r="AH179" s="1045"/>
      <c r="AI179" s="1045"/>
      <c r="AJ179" s="1044"/>
      <c r="AK179" s="1077"/>
      <c r="AL179" s="1044"/>
      <c r="AM179" s="1044"/>
      <c r="AN179" s="1046"/>
      <c r="AO179" s="13">
        <v>97</v>
      </c>
      <c r="AP179" s="74"/>
      <c r="AQ179" s="75"/>
    </row>
    <row r="180" spans="1:43" s="61" customFormat="1" ht="67.150000000000006" hidden="1" customHeight="1" thickBot="1" x14ac:dyDescent="0.8">
      <c r="A180" s="899" t="s">
        <v>1315</v>
      </c>
      <c r="B180" s="518" t="s">
        <v>1283</v>
      </c>
      <c r="C180" s="860" t="s">
        <v>1313</v>
      </c>
      <c r="D180" s="141"/>
      <c r="E180" s="89"/>
      <c r="F180" s="89"/>
      <c r="G180" s="89"/>
      <c r="H180" s="89"/>
      <c r="I180" s="89"/>
      <c r="J180" s="89"/>
      <c r="K180" s="89"/>
      <c r="L180" s="89"/>
      <c r="M180" s="89"/>
      <c r="N180" s="89"/>
      <c r="O180" s="89"/>
      <c r="P180" s="89"/>
      <c r="Q180" s="89"/>
      <c r="R180" s="89"/>
      <c r="S180" s="89"/>
      <c r="T180" s="89"/>
      <c r="U180" s="89"/>
      <c r="V180" s="89"/>
      <c r="W180" s="89"/>
      <c r="X180" s="89"/>
      <c r="Y180" s="89"/>
      <c r="Z180" s="89"/>
      <c r="AA180" s="321"/>
      <c r="AB180" s="389"/>
      <c r="AC180" s="357"/>
      <c r="AD180" s="357"/>
      <c r="AE180" s="357"/>
      <c r="AF180" s="357"/>
      <c r="AG180" s="357"/>
      <c r="AH180" s="357"/>
      <c r="AI180" s="314"/>
      <c r="AJ180" s="193">
        <f t="shared" ref="AJ180" si="29">SUM(D180:AA180)</f>
        <v>0</v>
      </c>
      <c r="AK180" s="855"/>
      <c r="AL180" s="1103" t="str">
        <f>CONCATENATE(AK180,AK181,AK182,AK183,AK184,AK185,AK186,AK187,AK188,AK189,AK190,AK191,AK192)</f>
        <v/>
      </c>
      <c r="AM180" s="60"/>
      <c r="AN180" s="854"/>
      <c r="AO180" s="13">
        <v>101</v>
      </c>
      <c r="AP180" s="80"/>
      <c r="AQ180" s="75"/>
    </row>
    <row r="181" spans="1:43" s="61" customFormat="1" ht="45.4" hidden="1" customHeight="1" x14ac:dyDescent="0.75">
      <c r="A181" s="1281" t="s">
        <v>1289</v>
      </c>
      <c r="B181" s="861" t="s">
        <v>1273</v>
      </c>
      <c r="C181" s="603" t="s">
        <v>1291</v>
      </c>
      <c r="D181" s="237"/>
      <c r="E181" s="94"/>
      <c r="F181" s="94"/>
      <c r="G181" s="94"/>
      <c r="H181" s="94"/>
      <c r="I181" s="94"/>
      <c r="J181" s="94"/>
      <c r="K181" s="94"/>
      <c r="L181" s="94"/>
      <c r="M181" s="94"/>
      <c r="N181" s="94"/>
      <c r="O181" s="94"/>
      <c r="P181" s="94"/>
      <c r="Q181" s="94"/>
      <c r="R181" s="94"/>
      <c r="S181" s="94"/>
      <c r="T181" s="94"/>
      <c r="U181" s="94"/>
      <c r="V181" s="94"/>
      <c r="W181" s="94"/>
      <c r="X181" s="94"/>
      <c r="Y181" s="94"/>
      <c r="Z181" s="94"/>
      <c r="AA181" s="322"/>
      <c r="AB181" s="387"/>
      <c r="AC181" s="388"/>
      <c r="AD181" s="388"/>
      <c r="AE181" s="388"/>
      <c r="AF181" s="388"/>
      <c r="AG181" s="388"/>
      <c r="AH181" s="388"/>
      <c r="AI181" s="317"/>
      <c r="AJ181" s="189">
        <f>SUM(D181:AA181)</f>
        <v>0</v>
      </c>
      <c r="AK181" s="139" t="str">
        <f>CONCATENATE(IF(D183&gt;D181," * Completed Other Forms Of TPT for Age "&amp;D32&amp;" "&amp;D33&amp;" is more than Initiated on  Other Forms of TPT"&amp;CHAR(10),""),IF(E183&gt;E181," * Completed Other Forms Of TPT for Age "&amp;D32&amp;" "&amp;E33&amp;" is more than Initiated on  Other Forms of TPT"&amp;CHAR(10),""),IF(F183&gt;F181," * Completed Other Forms Of TPT for Age "&amp;F32&amp;" "&amp;F33&amp;" is more than Initiated on  Other Forms of TPT"&amp;CHAR(10),""),IF(G183&gt;G181," * Completed Other Forms Of TPT for Age "&amp;F32&amp;" "&amp;G33&amp;" is more than Initiated on  Other Forms of TPT"&amp;CHAR(10),""),IF(H183&gt;H181," * Completed Other Forms Of TPT for Age "&amp;H32&amp;" "&amp;H33&amp;" is more than Initiated on  Other Forms of TPT"&amp;CHAR(10),""),IF(I183&gt;I181," * Completed Other Forms Of TPT for Age "&amp;H32&amp;" "&amp;I33&amp;" is more than Initiated on  Other Forms of TPT"&amp;CHAR(10),""),IF(J183&gt;J181," * Completed Other Forms Of TPT for Age "&amp;J32&amp;" "&amp;J33&amp;" is more than Initiated on  Other Forms of TPT"&amp;CHAR(10),""),IF(K183&gt;K181," * Completed Other Forms Of TPT for Age "&amp;J32&amp;" "&amp;K33&amp;" is more than Initiated on  Other Forms of TPT"&amp;CHAR(10),""),IF(L183&gt;L181," * Completed Other Forms Of TPT for Age "&amp;L32&amp;" "&amp;L33&amp;" is more than Initiated on  Other Forms of TPT"&amp;CHAR(10),""),IF(M183&gt;M181," * Completed Other Forms Of TPT for Age "&amp;L32&amp;" "&amp;M33&amp;" is more than Initiated on  Other Forms of TPT"&amp;CHAR(10),""),IF(N183&gt;N181," * Completed Other Forms Of TPT for Age "&amp;N32&amp;" "&amp;N33&amp;" is more than Initiated on  Other Forms of TPT"&amp;CHAR(10),""),IF(O183&gt;O181," * Completed Other Forms Of TPT for Age "&amp;N32&amp;" "&amp;O33&amp;" is more than Initiated on  Other Forms of TPT"&amp;CHAR(10),""),IF(P183&gt;P181," * Completed Other Forms Of TPT for Age "&amp;P32&amp;" "&amp;P33&amp;" is more than Initiated on  Other Forms of TPT"&amp;CHAR(10),""),IF(Q183&gt;Q181," * Completed Other Forms Of TPT for Age "&amp;P32&amp;" "&amp;Q33&amp;" is more than Initiated on  Other Forms of TPT"&amp;CHAR(10),""),IF(R183&gt;R181," * Completed Other Forms Of TPT for Age "&amp;R32&amp;" "&amp;R33&amp;" is more than Initiated on  Other Forms of TPT"&amp;CHAR(10),""),IF(S183&gt;S181," * Completed Other Forms Of TPT for Age "&amp;R32&amp;" "&amp;S33&amp;" is more than Initiated on  Other Forms of TPT"&amp;CHAR(10),""),IF(T183&gt;T181," * Completed Other Forms Of TPT for Age "&amp;T32&amp;" "&amp;T33&amp;" is more than Initiated on  Other Forms of TPT"&amp;CHAR(10),""),IF(U183&gt;U181," * Completed Other Forms Of TPT for Age "&amp;T32&amp;" "&amp;U33&amp;" is more than Initiated on  Other Forms of TPT"&amp;CHAR(10),""),IF(V183&gt;V181," * Completed Other Forms Of TPT for Age "&amp;V32&amp;" "&amp;V33&amp;" is more than Initiated on  Other Forms of TPT"&amp;CHAR(10),""),IF(W183&gt;W181," * Completed Other Forms Of TPT for Age "&amp;V32&amp;" "&amp;W33&amp;" is more than Initiated on  Other Forms of TPT"&amp;CHAR(10),""),IF(X183&gt;X181," * Completed Other Forms Of TPT for Age "&amp;X32&amp;" "&amp;X33&amp;" is more than Initiated on  Other Forms of TPT"&amp;CHAR(10),""),IF(Y183&gt;Y181," * Completed Other Forms Of TPT for Age "&amp;X32&amp;" "&amp;Y33&amp;" is more than Initiated on  Other Forms of TPT"&amp;CHAR(10),""),IF(Z183&gt;Z181," * Completed Other Forms Of TPT for Age "&amp;Z32&amp;" "&amp;Z33&amp;" is more than Initiated on  Other Forms of TPT"&amp;CHAR(10),""),IF(AA183&gt;AA181," * Completed Other Forms Of TPT for Age "&amp;Z32&amp;" "&amp;AA33&amp;" is more than Initiated on  Other Forms of TPT"&amp;CHAR(10),""))</f>
        <v/>
      </c>
      <c r="AL181" s="1088"/>
      <c r="AM181" s="140"/>
      <c r="AN181" s="126"/>
      <c r="AO181" s="13">
        <v>100</v>
      </c>
      <c r="AP181" s="80"/>
      <c r="AQ181" s="75"/>
    </row>
    <row r="182" spans="1:43" s="61" customFormat="1" ht="46.5" hidden="1" customHeight="1" thickBot="1" x14ac:dyDescent="0.8">
      <c r="A182" s="1282"/>
      <c r="B182" s="862" t="s">
        <v>1274</v>
      </c>
      <c r="C182" s="634" t="s">
        <v>1292</v>
      </c>
      <c r="D182" s="141"/>
      <c r="E182" s="89"/>
      <c r="F182" s="89"/>
      <c r="G182" s="89"/>
      <c r="H182" s="89"/>
      <c r="I182" s="89"/>
      <c r="J182" s="89"/>
      <c r="K182" s="89"/>
      <c r="L182" s="89"/>
      <c r="M182" s="89"/>
      <c r="N182" s="89"/>
      <c r="O182" s="89"/>
      <c r="P182" s="89"/>
      <c r="Q182" s="89"/>
      <c r="R182" s="89"/>
      <c r="S182" s="89"/>
      <c r="T182" s="89"/>
      <c r="U182" s="89"/>
      <c r="V182" s="89"/>
      <c r="W182" s="89"/>
      <c r="X182" s="89"/>
      <c r="Y182" s="89"/>
      <c r="Z182" s="89"/>
      <c r="AA182" s="321"/>
      <c r="AB182" s="390"/>
      <c r="AC182" s="391"/>
      <c r="AD182" s="391"/>
      <c r="AE182" s="391"/>
      <c r="AF182" s="391"/>
      <c r="AG182" s="391"/>
      <c r="AH182" s="391"/>
      <c r="AI182" s="315"/>
      <c r="AJ182" s="193">
        <f t="shared" ref="AJ182:AJ192" si="30">SUM(D182:AA182)</f>
        <v>0</v>
      </c>
      <c r="AK182" s="855"/>
      <c r="AL182" s="1088"/>
      <c r="AM182" s="60"/>
      <c r="AN182" s="126"/>
      <c r="AO182" s="13">
        <v>101</v>
      </c>
      <c r="AP182" s="80"/>
      <c r="AQ182" s="75"/>
    </row>
    <row r="183" spans="1:43" ht="46.5" hidden="1" customHeight="1" x14ac:dyDescent="0.75">
      <c r="A183" s="1283" t="s">
        <v>1290</v>
      </c>
      <c r="B183" s="69" t="s">
        <v>1275</v>
      </c>
      <c r="C183" s="809" t="s">
        <v>1293</v>
      </c>
      <c r="D183" s="198"/>
      <c r="E183" s="857"/>
      <c r="F183" s="857"/>
      <c r="G183" s="857"/>
      <c r="H183" s="857"/>
      <c r="I183" s="857"/>
      <c r="J183" s="857"/>
      <c r="K183" s="857"/>
      <c r="L183" s="857"/>
      <c r="M183" s="857"/>
      <c r="N183" s="857"/>
      <c r="O183" s="857"/>
      <c r="P183" s="857"/>
      <c r="Q183" s="857"/>
      <c r="R183" s="857"/>
      <c r="S183" s="857"/>
      <c r="T183" s="857"/>
      <c r="U183" s="857"/>
      <c r="V183" s="857"/>
      <c r="W183" s="857"/>
      <c r="X183" s="857"/>
      <c r="Y183" s="857"/>
      <c r="Z183" s="857"/>
      <c r="AA183" s="858"/>
      <c r="AB183" s="389"/>
      <c r="AC183" s="357"/>
      <c r="AD183" s="357"/>
      <c r="AE183" s="357"/>
      <c r="AF183" s="357"/>
      <c r="AG183" s="357"/>
      <c r="AH183" s="357"/>
      <c r="AI183" s="314"/>
      <c r="AJ183" s="52">
        <f t="shared" si="30"/>
        <v>0</v>
      </c>
      <c r="AK183" s="855" t="str">
        <f>CONCATENATE(IF(D183&gt;D181," * F03-03 for Age "&amp;D36&amp;" "&amp;D37&amp;" is more than F03-01"&amp;CHAR(10),""),IF(E183&gt;E181," * F03-03 for Age "&amp;D36&amp;" "&amp;E37&amp;" is more than F03-01"&amp;CHAR(10),""),IF(F183&gt;F181," * F03-03 for Age "&amp;F36&amp;" "&amp;F37&amp;" is more than F03-01"&amp;CHAR(10),""),IF(G183&gt;G181," * F03-03 for Age "&amp;F36&amp;" "&amp;G37&amp;" is more than F03-01"&amp;CHAR(10),""),IF(H183&gt;H181," * F03-03 for Age "&amp;H36&amp;" "&amp;H37&amp;" is more than F03-01"&amp;CHAR(10),""),IF(I183&gt;I181," * F03-03 for Age "&amp;H36&amp;" "&amp;I37&amp;" is more than F03-01"&amp;CHAR(10),""),IF(J183&gt;J181," * F03-03 for Age "&amp;J36&amp;" "&amp;J37&amp;" is more than F03-01"&amp;CHAR(10),""),IF(K183&gt;K181," * F03-03 for Age "&amp;J36&amp;" "&amp;K37&amp;" is more than F03-01"&amp;CHAR(10),""),IF(L183&gt;L181," * F03-03 for Age "&amp;L36&amp;" "&amp;L37&amp;" is more than F03-01"&amp;CHAR(10),""),IF(M183&gt;M181," * F03-03 for Age "&amp;L36&amp;" "&amp;M37&amp;" is more than F03-01"&amp;CHAR(10),""),IF(N183&gt;N181," * F03-03 for Age "&amp;N36&amp;" "&amp;N37&amp;" is more than F03-01"&amp;CHAR(10),""),IF(O183&gt;O181," * F03-03 for Age "&amp;N36&amp;" "&amp;O37&amp;" is more than F03-01"&amp;CHAR(10),""),IF(P183&gt;P181," * F03-03 for Age "&amp;P36&amp;" "&amp;P37&amp;" is more than F03-01"&amp;CHAR(10),""),IF(Q183&gt;Q181," * F03-03 for Age "&amp;P36&amp;" "&amp;Q37&amp;" is more than F03-01"&amp;CHAR(10),""),IF(R183&gt;R181," * F03-03 for Age "&amp;R36&amp;" "&amp;R37&amp;" is more than F03-01"&amp;CHAR(10),""),IF(S183&gt;S181," * F03-03 for Age "&amp;R36&amp;" "&amp;S37&amp;" is more than F03-01"&amp;CHAR(10),""),IF(T183&gt;T181," * F03-03 for Age "&amp;T36&amp;" "&amp;T37&amp;" is more than F03-01"&amp;CHAR(10),""),IF(U183&gt;U181," * F03-03 for Age "&amp;T36&amp;" "&amp;U37&amp;" is more than F03-01"&amp;CHAR(10),""),IF(V183&gt;V181," * F03-03 for Age "&amp;V36&amp;" "&amp;V37&amp;" is more than F03-01"&amp;CHAR(10),""),IF(W183&gt;W181," * F03-03 for Age "&amp;V36&amp;" "&amp;W37&amp;" is more than F03-01"&amp;CHAR(10),""),IF(X183&gt;X181," * F03-03 for Age "&amp;X36&amp;" "&amp;X37&amp;" is more than F03-01"&amp;CHAR(10),""),IF(Y183&gt;Y181," * F03-03 for Age "&amp;X36&amp;" "&amp;Y37&amp;" is more than F03-01"&amp;CHAR(10),""),IF(Z183&gt;Z181," * F03-03 for Age "&amp;Z36&amp;" "&amp;Z37&amp;" is more than F03-01"&amp;CHAR(10),""),IF(AA183&gt;AA181," * F03-03 for Age "&amp;Z36&amp;" "&amp;AA37&amp;" is more than F03-01"&amp;CHAR(10),""))</f>
        <v/>
      </c>
      <c r="AL183" s="1088"/>
      <c r="AM183" s="31"/>
      <c r="AN183" s="126"/>
      <c r="AO183" s="13">
        <v>102</v>
      </c>
      <c r="AP183" s="74"/>
      <c r="AQ183" s="75"/>
    </row>
    <row r="184" spans="1:43" ht="40.9" hidden="1" customHeight="1" thickBot="1" x14ac:dyDescent="0.8">
      <c r="A184" s="1282"/>
      <c r="B184" s="87" t="s">
        <v>1274</v>
      </c>
      <c r="C184" s="634" t="s">
        <v>1294</v>
      </c>
      <c r="D184" s="144"/>
      <c r="E184" s="145"/>
      <c r="F184" s="145"/>
      <c r="G184" s="145"/>
      <c r="H184" s="145"/>
      <c r="I184" s="145"/>
      <c r="J184" s="145"/>
      <c r="K184" s="145"/>
      <c r="L184" s="145"/>
      <c r="M184" s="145"/>
      <c r="N184" s="145"/>
      <c r="O184" s="145"/>
      <c r="P184" s="145"/>
      <c r="Q184" s="145"/>
      <c r="R184" s="145"/>
      <c r="S184" s="145"/>
      <c r="T184" s="145"/>
      <c r="U184" s="145"/>
      <c r="V184" s="145"/>
      <c r="W184" s="145"/>
      <c r="X184" s="145"/>
      <c r="Y184" s="145"/>
      <c r="Z184" s="145"/>
      <c r="AA184" s="337"/>
      <c r="AB184" s="389"/>
      <c r="AC184" s="357"/>
      <c r="AD184" s="357"/>
      <c r="AE184" s="357"/>
      <c r="AF184" s="357"/>
      <c r="AG184" s="357"/>
      <c r="AH184" s="357"/>
      <c r="AI184" s="314"/>
      <c r="AJ184" s="193">
        <f t="shared" si="30"/>
        <v>0</v>
      </c>
      <c r="AK184" s="855" t="str">
        <f>CONCATENATE(IF(D184&gt;D182," * Already On ART Completed IPT for Age "&amp;D36&amp;" "&amp;D37&amp;" is more than Already On ART Initiated on Other Forms of  IPT"&amp;CHAR(10),""),IF(E184&gt;E182," * Already On ART Completed IPT for Age "&amp;D36&amp;" "&amp;E37&amp;" is more than Already On ART Initiated on Other Forms of  IPT"&amp;CHAR(10),""),IF(F184&gt;F182," * Already On ART Completed IPT for Age "&amp;F36&amp;" "&amp;F37&amp;" is more than Already On ART Initiated on Other Forms of  IPT"&amp;CHAR(10),""),IF(G184&gt;G182," * Already On ART Completed IPT for Age "&amp;F36&amp;" "&amp;G37&amp;" is more than Already On ART Initiated on Other Forms of  IPT"&amp;CHAR(10),""),IF(H184&gt;H182," * Already On ART Completed IPT for Age "&amp;H36&amp;" "&amp;H37&amp;" is more than Already On ART Initiated on Other Forms of  IPT"&amp;CHAR(10),""),IF(I184&gt;I182," * Already On ART Completed IPT for Age "&amp;H36&amp;" "&amp;I37&amp;" is more than Already On ART Initiated on Other Forms of  IPT"&amp;CHAR(10),""),IF(J184&gt;J182," * Already On ART Completed IPT for Age "&amp;J36&amp;" "&amp;J37&amp;" is more than Already On ART Initiated on Other Forms of  IPT"&amp;CHAR(10),""),IF(K184&gt;K182," * Already On ART Completed IPT for Age "&amp;J36&amp;" "&amp;K37&amp;" is more than Already On ART Initiated on Other Forms of  IPT"&amp;CHAR(10),""),IF(L184&gt;L182," * Already On ART Completed IPT for Age "&amp;L36&amp;" "&amp;L37&amp;" is more than Already On ART Initiated on Other Forms of  IPT"&amp;CHAR(10),""),IF(M184&gt;M182," * Already On ART Completed IPT for Age "&amp;L36&amp;" "&amp;M37&amp;" is more than Already On ART Initiated on Other Forms of  IPT"&amp;CHAR(10),""),IF(N184&gt;N182," * Already On ART Completed IPT for Age "&amp;N36&amp;" "&amp;N37&amp;" is more than Already On ART Initiated on Other Forms of  IPT"&amp;CHAR(10),""),IF(O184&gt;O182," * Already On ART Completed IPT for Age "&amp;N36&amp;" "&amp;O37&amp;" is more than Already On ART Initiated on Other Forms of  IPT"&amp;CHAR(10),""),IF(P184&gt;P182," * Already On ART Completed IPT for Age "&amp;P36&amp;" "&amp;P37&amp;" is more than Already On ART Initiated on Other Forms of  IPT"&amp;CHAR(10),""),IF(Q184&gt;Q182," * Already On ART Completed IPT for Age "&amp;P36&amp;" "&amp;Q37&amp;" is more than Already On ART Initiated on Other Forms of  IPT"&amp;CHAR(10),""),IF(R184&gt;R182," * Already On ART Completed IPT for Age "&amp;R36&amp;" "&amp;R37&amp;" is more than Already On ART Initiated on Other Forms of  IPT"&amp;CHAR(10),""),IF(S184&gt;S182," * Already On ART Completed IPT for Age "&amp;R36&amp;" "&amp;S37&amp;" is more than Already On ART Initiated on Other Forms of  IPT"&amp;CHAR(10),""),IF(T184&gt;T182," * Already On ART Completed IPT for Age "&amp;T36&amp;" "&amp;T37&amp;" is more than Already On ART Initiated on Other Forms of  IPT"&amp;CHAR(10),""),IF(U184&gt;U182," * Already On ART Completed IPT for Age "&amp;T36&amp;" "&amp;U37&amp;" is more than Already On ART Initiated on Other Forms of  IPT"&amp;CHAR(10),""),IF(V184&gt;V182," * Already On ART Completed IPT for Age "&amp;V36&amp;" "&amp;V37&amp;" is more than Already On ART Initiated on Other Forms of  IPT"&amp;CHAR(10),""),IF(W184&gt;W182," * Already On ART Completed IPT for Age "&amp;V36&amp;" "&amp;W37&amp;" is more than Already On ART Initiated on Other Forms of  IPT"&amp;CHAR(10),""),IF(X184&gt;X182," * Already On ART Completed IPT for Age "&amp;X36&amp;" "&amp;X37&amp;" is more than Already On ART Initiated on Other Forms of  IPT"&amp;CHAR(10),""),IF(Y184&gt;Y182," * Already On ART Completed IPT for Age "&amp;X36&amp;" "&amp;Y37&amp;" is more than Already On ART Initiated on Other Forms of  IPT"&amp;CHAR(10),""),IF(Z184&gt;Z182," * Already On ART Completed IPT for Age "&amp;Z36&amp;" "&amp;Z37&amp;" is more than Already On ART Initiated on Other Forms of  IPT"&amp;CHAR(10),""),IF(AA184&gt;AA182," * Already On ART Completed IPT for Age "&amp;Z36&amp;" "&amp;AA37&amp;" is more than Already On ART Initiated on Other Forms of  IPT"&amp;CHAR(10),""))</f>
        <v/>
      </c>
      <c r="AL184" s="1088"/>
      <c r="AM184" s="31"/>
      <c r="AN184" s="126"/>
      <c r="AO184" s="13">
        <v>103</v>
      </c>
      <c r="AP184" s="74"/>
      <c r="AQ184" s="75"/>
    </row>
    <row r="185" spans="1:43" s="14" customFormat="1" ht="44.75" hidden="1" customHeight="1" x14ac:dyDescent="0.75">
      <c r="A185" s="1243" t="s">
        <v>1304</v>
      </c>
      <c r="B185" s="146" t="s">
        <v>661</v>
      </c>
      <c r="C185" s="603" t="s">
        <v>1295</v>
      </c>
      <c r="D185" s="147"/>
      <c r="E185" s="148"/>
      <c r="F185" s="148"/>
      <c r="G185" s="148"/>
      <c r="H185" s="148"/>
      <c r="I185" s="148"/>
      <c r="J185" s="148"/>
      <c r="K185" s="148"/>
      <c r="L185" s="148"/>
      <c r="M185" s="148"/>
      <c r="N185" s="148"/>
      <c r="O185" s="148"/>
      <c r="P185" s="148"/>
      <c r="Q185" s="148"/>
      <c r="R185" s="148"/>
      <c r="S185" s="148"/>
      <c r="T185" s="148"/>
      <c r="U185" s="148"/>
      <c r="V185" s="148"/>
      <c r="W185" s="148"/>
      <c r="X185" s="148"/>
      <c r="Y185" s="148"/>
      <c r="Z185" s="148"/>
      <c r="AA185" s="338"/>
      <c r="AB185" s="389"/>
      <c r="AC185" s="357"/>
      <c r="AD185" s="357"/>
      <c r="AE185" s="357"/>
      <c r="AF185" s="357"/>
      <c r="AG185" s="357"/>
      <c r="AH185" s="357"/>
      <c r="AI185" s="314"/>
      <c r="AJ185" s="189">
        <f t="shared" si="30"/>
        <v>0</v>
      </c>
      <c r="AK185" s="855" t="str">
        <f>CONCATENATE(IF(D181&lt;&gt;SUM(D183,D185,D187,D189,D191)," * No. Initiated on other forms of TPT 3 Months Ago while New on ART  for Age "&amp;D20&amp;" "&amp;D21&amp;" is not equal to the sum of (No. completed other forms of TPT, New on ART+No. discontinued +No. Lost to Follow up  +No. died  +No. transferred out after initiation on other forms of TPT  )"&amp;CHAR(10),""),IF(E181&lt;&gt;SUM(E183,E185,E187,E189,E191)," * No. Initiated on other forms of TPT 3 Months Ago while New on ART  for Age "&amp;D20&amp;" "&amp;E21&amp;" is not equal to the sum of No. completed other forms of TPT, New on ART+No. discontinued +No. Lost to Follow up  +No. died  +No. transferred out after initiation on other forms of TPT  "&amp;CHAR(10),""),IF(F181&lt;&gt;SUM(F183,F185,F187,F189,F191)," * No. Initiated on other forms of TPT 3 Months Ago while New on ART  for Age "&amp;F20&amp;" "&amp;F21&amp;" is not equal to the sum of (No. completed other forms of TPT, New on ART+No. discontinued +No. Lost to Follow up  +No. died  +No. transferred out after initiation on other forms of TPT  )"&amp;CHAR(10),""),IF(G181&lt;&gt;SUM(G183,G185,G187,G189,G191)," * No. Initiated on other forms of TPT 3 Months Ago while New on ART  for Age "&amp;F20&amp;" "&amp;G21&amp;" is not equal to the sum of No. completed other forms of TPT, New on ART+No. discontinued +No. Lost to Follow up  +No. died  +No. transferred out after initiation on other forms of TPT  "&amp;CHAR(10),""),IF(H181&lt;&gt;SUM(H183,H185,H187,H189,H191)," * No. Initiated on other forms of TPT 3 Months Ago while New on ART  for Age "&amp;H20&amp;" "&amp;H21&amp;" is not equal to the sum of (No. completed other forms of TPT, New on ART+No. discontinued +No. Lost to Follow up  +No. died  +No. transferred out after initiation on other forms of TPT  )"&amp;CHAR(10),""),IF(I181&lt;&gt;SUM(I183,I185,I187,I189,I191)," * No. Initiated on other forms of TPT 3 Months Ago while New on ART  for Age "&amp;H20&amp;" "&amp;I21&amp;" is not equal to the sum of No. completed other forms of TPT, New on ART+No. discontinued +No. Lost to Follow up  +No. died  +No. transferred out after initiation on other forms of TPT  "&amp;CHAR(10),""),IF(J181&lt;&gt;SUM(J183,J185,J187,J189,J191)," * No. Initiated on other forms of TPT 3 Months Ago while New on ART  for Age "&amp;J20&amp;" "&amp;J21&amp;" is not equal to the sum of (No. completed other forms of TPT, New on ART+No. discontinued +No. Lost to Follow up  +No. died  +No. transferred out after initiation on other forms of TPT  )"&amp;CHAR(10),""),IF(K181&lt;&gt;SUM(K183,K185,K187,K189,K191)," * No. Initiated on other forms of TPT 3 Months Ago while New on ART  for Age "&amp;J20&amp;" "&amp;K21&amp;" is not equal to the sum of No. completed other forms of TPT, New on ART+No. discontinued +No. Lost to Follow up  +No. died  +No. transferred out after initiation on other forms of TPT  "&amp;CHAR(10),""),IF(L181&lt;&gt;SUM(L183,L185,L187,L189,L191)," * No. Initiated on other forms of TPT 3 Months Ago while New on ART  for Age "&amp;L20&amp;" "&amp;L21&amp;" is not equal to the sum of (No. completed other forms of TPT, New on ART+No. discontinued +No. Lost to Follow up  +No. died  +No. transferred out after initiation on other forms of TPT  )"&amp;CHAR(10),""),IF(M181&lt;&gt;SUM(M183,M185,M187,M189,M191)," * No. Initiated on other forms of TPT 3 Months Ago while New on ART  for Age "&amp;L20&amp;" "&amp;M21&amp;" is not equal to the sum of No. completed other forms of TPT, New on ART+No. discontinued +No. Lost to Follow up  +No. died  +No. transferred out after initiation on other forms of TPT  "&amp;CHAR(10),""),IF(N181&lt;&gt;SUM(N183,N185,N187,N189,N191)," * No. Initiated on other forms of TPT 3 Months Ago while New on ART  for Age "&amp;N20&amp;" "&amp;N21&amp;" is not equal to the sum of (No. completed other forms of TPT, New on ART+No. discontinued +No. Lost to Follow up  +No. died  +No. transferred out after initiation on other forms of TPT  )"&amp;CHAR(10),""),IF(O181&lt;&gt;SUM(O183,O185,O187,O189,O191)," * No. Initiated on other forms of TPT 3 Months Ago while New on ART  for Age "&amp;N20&amp;" "&amp;O21&amp;" is not equal to the sum of No. completed other forms of TPT, New on ART+No. discontinued +No. Lost to Follow up  +No. died  +No. transferred out after initiation on other forms of TPT  "&amp;CHAR(10),""),IF(P181&lt;&gt;SUM(P183,P185,P187,P189,P191)," * No. Initiated on other forms of TPT 3 Months Ago while New on ART  for Age "&amp;P20&amp;" "&amp;P21&amp;" is not equal to the sum of (No. completed other forms of TPT, New on ART+No. discontinued +No. Lost to Follow up  +No. died  +No. transferred out after initiation on other forms of TPT  )"&amp;CHAR(10),""),IF(Q181&lt;&gt;SUM(Q183,Q185,Q187,Q189,Q191)," * No. Initiated on other forms of TPT 3 Months Ago while New on ART  for Age "&amp;P20&amp;" "&amp;Q21&amp;" is not equal to the sum of No. completed other forms of TPT, New on ART+No. discontinued +No. Lost to Follow up  +No. died  +No. transferred out after initiation on other forms of TPT  "&amp;CHAR(10),""),IF(R181&lt;&gt;SUM(R183,R185,R187,R189,R191)," * No. Initiated on other forms of TPT 3 Months Ago while New on ART  for Age "&amp;R20&amp;" "&amp;R21&amp;" is not equal to the sum of (No. completed other forms of TPT, New on ART+No. discontinued +No. Lost to Follow up  +No. died  +No. transferred out after initiation on other forms of TPT  )"&amp;CHAR(10),""),IF(S181&lt;&gt;SUM(S183,S185,S187,S189,S191)," * No. Initiated on other forms of TPT 3 Months Ago while New on ART  for Age "&amp;R20&amp;" "&amp;S21&amp;" is not equal to the sum of No. completed other forms of TPT, New on ART+No. discontinued +No. Lost to Follow up  +No. died  +No. transferred out after initiation on other forms of TPT  "&amp;CHAR(10),""),IF(T181&lt;&gt;SUM(T183,T185,T187,T189,T191)," * No. Initiated on other forms of TPT 3 Months Ago while New on ART  for Age "&amp;T20&amp;" "&amp;T21&amp;" is not equal to the sum of (No. completed other forms of TPT, New on ART+No. discontinued +No. Lost to Follow up  +No. died  +No. transferred out after initiation on other forms of TPT  )"&amp;CHAR(10),""),IF(U181&lt;&gt;SUM(U183,U185,U187,U189,U191)," * No. Initiated on other forms of TPT 3 Months Ago while New on ART  for Age "&amp;T20&amp;" "&amp;U21&amp;" is not equal to the sum of No. completed other forms of TPT, New on ART+No. discontinued +No. Lost to Follow up  +No. died  +No. transferred out after initiation on other forms of TPT  "&amp;CHAR(10),""),IF(V181&lt;&gt;SUM(V183,V185,V187,V189,V191)," * No. Initiated on other forms of TPT 3 Months Ago while New on ART  for Age "&amp;V20&amp;" "&amp;V21&amp;" is not equal to the sum of (No. completed other forms of TPT, New on ART+No. discontinued +No. Lost to Follow up  +No. died  +No. transferred out after initiation on other forms of TPT  )"&amp;CHAR(10),""),IF(W181&lt;&gt;SUM(W183,W185,W187,W189,W191)," * No. Initiated on other forms of TPT 3 Months Ago while New on ART  for Age "&amp;V20&amp;" "&amp;W21&amp;" is not equal to the sum of No. completed other forms of TPT, New on ART+No. discontinued +No. Lost to Follow up  +No. died  +No. transferred out after initiation on other forms of TPT  "&amp;CHAR(10),""),IF(X181&lt;&gt;SUM(X183,X185,X187,X189,X191)," * No. Initiated on other forms of TPT 3 Months Ago while New on ART  for Age "&amp;X20&amp;" "&amp;X21&amp;" is not equal to the sum of (No. completed other forms of TPT, New on ART+No. discontinued +No. Lost to Follow up  +No. died  +No. transferred out after initiation on other forms of TPT  )"&amp;CHAR(10),""),IF(Y181&lt;&gt;SUM(Y183,Y185,Y187,Y189,Y191)," * No. Initiated on other forms of TPT 3 Months Ago while New on ART  for Age "&amp;X20&amp;" "&amp;Y21&amp;" is not equal to the sum of No. completed other forms of TPT, New on ART+No. discontinued +No. Lost to Follow up  +No. died  +No. transferred out after initiation on other forms of TPT  "&amp;CHAR(10),""),IF(Z181&lt;&gt;SUM(Z183,Z185,Z187,Z189,Z191)," * No. Initiated on other forms of TPT 3 Months Ago while New on ART  for Age "&amp;Z20&amp;" "&amp;Z21&amp;" is not equal to the sum of (No. completed other forms of TPT, New on ART+No. discontinued +No. Lost to Follow up  +No. died  +No. transferred out after initiation on other forms of TPT  )"&amp;CHAR(10),""),IF(AA181&lt;&gt;SUM(AA183,AA185,AA187,AA189,AA191)," * No. Initiated on other forms of TPT 3 Months Ago while New on ART  for Age "&amp;Z20&amp;" "&amp;AA21&amp;" is not equal to the sum of (No. completed other forms of TPT, New on ART+No. discontinued +No. Lost to Follow up  +No. died  +No. transferred out after initiation on other forms of TPT  )"&amp;CHAR(10),""))</f>
        <v/>
      </c>
      <c r="AL185" s="1088"/>
      <c r="AM185" s="31"/>
      <c r="AN185" s="126"/>
      <c r="AO185" s="13">
        <v>104</v>
      </c>
      <c r="AP185" s="74"/>
      <c r="AQ185" s="149"/>
    </row>
    <row r="186" spans="1:43" s="14" customFormat="1" ht="44.75" hidden="1" customHeight="1" thickBot="1" x14ac:dyDescent="0.8">
      <c r="A186" s="1244"/>
      <c r="B186" s="150" t="s">
        <v>662</v>
      </c>
      <c r="C186" s="634" t="s">
        <v>1296</v>
      </c>
      <c r="D186" s="151"/>
      <c r="E186" s="152"/>
      <c r="F186" s="152"/>
      <c r="G186" s="152"/>
      <c r="H186" s="152"/>
      <c r="I186" s="152"/>
      <c r="J186" s="152"/>
      <c r="K186" s="152"/>
      <c r="L186" s="152"/>
      <c r="M186" s="152"/>
      <c r="N186" s="152"/>
      <c r="O186" s="152"/>
      <c r="P186" s="152"/>
      <c r="Q186" s="152"/>
      <c r="R186" s="152"/>
      <c r="S186" s="152"/>
      <c r="T186" s="152"/>
      <c r="U186" s="152"/>
      <c r="V186" s="152"/>
      <c r="W186" s="152"/>
      <c r="X186" s="152"/>
      <c r="Y186" s="152"/>
      <c r="Z186" s="152"/>
      <c r="AA186" s="339"/>
      <c r="AB186" s="389"/>
      <c r="AC186" s="357"/>
      <c r="AD186" s="357"/>
      <c r="AE186" s="357"/>
      <c r="AF186" s="357"/>
      <c r="AG186" s="357"/>
      <c r="AH186" s="357"/>
      <c r="AI186" s="314"/>
      <c r="AJ186" s="193">
        <f t="shared" si="30"/>
        <v>0</v>
      </c>
      <c r="AK186" s="855" t="str">
        <f>CONCATENATE(IF(D182&lt;&gt;SUM(D184,D186,D188,D190,D192)," * No. Initiated on other forms of TPT 3 Months Ago Already on ART  for Age "&amp;D20&amp;" "&amp;D21&amp;" is not equal to the sum of (No. completed other forms of TPT, Already on ART+No. discontinued +No. Lost to Follow up  +No. died  +No. transferred out after initiation on other forms of TPT  )"&amp;CHAR(10),""),IF(E182&lt;&gt;SUM(E184,E186,E188,E190,E192)," * No. Initiated on other forms of TPT 3 Months Ago Already on ART  for Age "&amp;D20&amp;" "&amp;E21&amp;" is not equal to the sum of No. completed other forms of TPT, Already on ART+No. discontinued +No. Lost to Follow up  +No. died  +No. transferred out after initiation on other forms of TPT  "&amp;CHAR(10),""),IF(F182&lt;&gt;SUM(F184,F186,F188,F190,F192)," * No. Initiated on other forms of TPT 3 Months Ago Already on ART  for Age "&amp;F20&amp;" "&amp;F21&amp;" is not equal to the sum of (No. completed other forms of TPT, Already on ART+No. discontinued +No. Lost to Follow up  +No. died  +No. transferred out after initiation on other forms of TPT  )"&amp;CHAR(10),""),IF(G182&lt;&gt;SUM(G184,G186,G188,G190,G192)," * No. Initiated on other forms of TPT 3 Months Ago Already on ART  for Age "&amp;F20&amp;" "&amp;G21&amp;" is not equal to the sum of No. completed other forms of TPT, Already on ART+No. discontinued +No. Lost to Follow up  +No. died  +No. transferred out after initiation on other forms of TPT  "&amp;CHAR(10),""),IF(H182&lt;&gt;SUM(H184,H186,H188,H190,H192)," * No. Initiated on other forms of TPT 3 Months Ago Already on ART  for Age "&amp;H20&amp;" "&amp;H21&amp;" is not equal to the sum of (No. completed other forms of TPT, Already on ART+No. discontinued +No. Lost to Follow up  +No. died  +No. transferred out after initiation on other forms of TPT  )"&amp;CHAR(10),""),IF(I182&lt;&gt;SUM(I184,I186,I188,I190,I192)," * No. Initiated on other forms of TPT 3 Months Ago Already on ART  for Age "&amp;H20&amp;" "&amp;I21&amp;" is not equal to the sum of No. completed other forms of TPT, Already on ART+No. discontinued +No. Lost to Follow up  +No. died  +No. transferred out after initiation on other forms of TPT  "&amp;CHAR(10),""),IF(J182&lt;&gt;SUM(J184,J186,J188,J190,J192)," * No. Initiated on other forms of TPT 3 Months Ago Already on ART  for Age "&amp;J20&amp;" "&amp;J21&amp;" is not equal to the sum of (No. completed other forms of TPT, Already on ART+No. discontinued +No. Lost to Follow up  +No. died  +No. transferred out after initiation on other forms of TPT  )"&amp;CHAR(10),""),IF(K182&lt;&gt;SUM(K184,K186,K188,K190,K192)," * No. Initiated on other forms of TPT 3 Months Ago Already on ART  for Age "&amp;J20&amp;" "&amp;K21&amp;" is not equal to the sum of No. completed other forms of TPT, Already on ART+No. discontinued +No. Lost to Follow up  +No. died  +No. transferred out after initiation on other forms of TPT  "&amp;CHAR(10),""),IF(L182&lt;&gt;SUM(L184,L186,L188,L190,L192)," * No. Initiated on other forms of TPT 3 Months Ago Already on ART  for Age "&amp;L20&amp;" "&amp;L21&amp;" is not equal to the sum of (No. completed other forms of TPT, Already on ART+No. discontinued +No. Lost to Follow up  +No. died  +No. transferred out after initiation on other forms of TPT  )"&amp;CHAR(10),""),IF(M182&lt;&gt;SUM(M184,M186,M188,M190,M192)," * No. Initiated on other forms of TPT 3 Months Ago Already on ART  for Age "&amp;L20&amp;" "&amp;M21&amp;" is not equal to the sum of No. completed other forms of TPT, Already on ART+No. discontinued +No. Lost to Follow up  +No. died  +No. transferred out after initiation on other forms of TPT  "&amp;CHAR(10),""),IF(N182&lt;&gt;SUM(N184,N186,N188,N190,N192)," * No. Initiated on other forms of TPT 3 Months Ago Already on ART  for Age "&amp;N20&amp;" "&amp;N21&amp;" is not equal to the sum of (No. completed other forms of TPT, Already on ART+No. discontinued +No. Lost to Follow up  +No. died  +No. transferred out after initiation on other forms of TPT  )"&amp;CHAR(10),""),IF(O182&lt;&gt;SUM(O184,O186,O188,O190,O192)," * No. Initiated on other forms of TPT 3 Months Ago Already on ART  for Age "&amp;N20&amp;" "&amp;O21&amp;" is not equal to the sum of No. completed other forms of TPT, Already on ART+No. discontinued +No. Lost to Follow up  +No. died  +No. transferred out after initiation on other forms of TPT  "&amp;CHAR(10),""),IF(P182&lt;&gt;SUM(P184,P186,P188,P190,P192)," * No. Initiated on other forms of TPT 3 Months Ago Already on ART  for Age "&amp;P20&amp;" "&amp;P21&amp;" is not equal to the sum of (No. completed other forms of TPT, Already on ART+No. discontinued +No. Lost to Follow up  +No. died  +No. transferred out after initiation on other forms of TPT  )"&amp;CHAR(10),""),IF(Q182&lt;&gt;SUM(Q184,Q186,Q188,Q190,Q192)," * No. Initiated on other forms of TPT 3 Months Ago Already on ART  for Age "&amp;P20&amp;" "&amp;Q21&amp;" is not equal to the sum of No. completed other forms of TPT, Already on ART+No. discontinued +No. Lost to Follow up  +No. died  +No. transferred out after initiation on other forms of TPT  "&amp;CHAR(10),""),IF(R182&lt;&gt;SUM(R184,R186,R188,R190,R192)," * No. Initiated on other forms of TPT 3 Months Ago Already on ART  for Age "&amp;R20&amp;" "&amp;R21&amp;" is not equal to the sum of (No. completed other forms of TPT, Already on ART+No. discontinued +No. Lost to Follow up  +No. died  +No. transferred out after initiation on other forms of TPT  )"&amp;CHAR(10),""),IF(S182&lt;&gt;SUM(S184,S186,S188,S190,S192)," * No. Initiated on other forms of TPT 3 Months Ago Already on ART  for Age "&amp;R20&amp;" "&amp;S21&amp;" is not equal to the sum of No. completed other forms of TPT, Already on ART+No. discontinued +No. Lost to Follow up  +No. died  +No. transferred out after initiation on other forms of TPT  "&amp;CHAR(10),""),IF(T182&lt;&gt;SUM(T184,T186,T188,T190,T192)," * No. Initiated on other forms of TPT 3 Months Ago Already on ART  for Age "&amp;T20&amp;" "&amp;T21&amp;" is not equal to the sum of (No. completed other forms of TPT, Already on ART+No. discontinued +No. Lost to Follow up  +No. died  +No. transferred out after initiation on other forms of TPT  )"&amp;CHAR(10),""),IF(U182&lt;&gt;SUM(U184,U186,U188,U190,U192)," * No. Initiated on other forms of TPT 3 Months Ago Already on ART  for Age "&amp;T20&amp;" "&amp;U21&amp;" is not equal to the sum of No. completed other forms of TPT, Already on ART+No. discontinued +No. Lost to Follow up  +No. died  +No. transferred out after initiation on other forms of TPT  "&amp;CHAR(10),""),IF(V182&lt;&gt;SUM(V184,V186,V188,V190,V192)," * No. Initiated on other forms of TPT 3 Months Ago Already on ART  for Age "&amp;V20&amp;" "&amp;V21&amp;" is not equal to the sum of (No. completed other forms of TPT, Already on ART+No. discontinued +No. Lost to Follow up  +No. died  +No. transferred out after initiation on other forms of TPT  )"&amp;CHAR(10),""),IF(W182&lt;&gt;SUM(W184,W186,W188,W190,W192)," * No. Initiated on other forms of TPT 3 Months Ago Already on ART  for Age "&amp;V20&amp;" "&amp;W21&amp;" is not equal to the sum of No. completed other forms of TPT, Already on ART+No. discontinued +No. Lost to Follow up  +No. died  +No. transferred out after initiation on other forms of TPT  "&amp;CHAR(10),""),IF(X182&lt;&gt;SUM(X184,X186,X188,X190,X192)," * No. Initiated on other forms of TPT 3 Months Ago Already on ART  for Age "&amp;X20&amp;" "&amp;X21&amp;" is not equal to the sum of (No. completed other forms of TPT, Already on ART+No. discontinued +No. Lost to Follow up  +No. died  +No. transferred out after initiation on other forms of TPT  )"&amp;CHAR(10),""),IF(Y182&lt;&gt;SUM(Y184,Y186,Y188,Y190,Y192)," * No. Initiated on other forms of TPT 3 Months Ago Already on ART  for Age "&amp;X20&amp;" "&amp;Y21&amp;" is not equal to the sum of No. completed other forms of TPT, Already on ART+No. discontinued +No. Lost to Follow up  +No. died  +No. transferred out after initiation on other forms of TPT  "&amp;CHAR(10),""),IF(Z182&lt;&gt;SUM(Z184,Z186,Z188,Z190,Z192)," * No. Initiated on other forms of TPT 3 Months Ago Already on ART  for Age "&amp;Z20&amp;" "&amp;Z21&amp;" is not equal to the sum of (No. completed other forms of TPT, Already on ART+No. discontinued +No. Lost to Follow up  +No. died  +No. transferred out after initiation on other forms of TPT  )"&amp;CHAR(10),""),IF(AA182&lt;&gt;SUM(AA184,AA186,AA188,AA190,AA192)," * No. Initiated on other forms of TPT 3 Months Ago Already on ART  for Age "&amp;Z20&amp;" "&amp;AA21&amp;" is not equal to the sum of (No. completed other forms of TPT, Already on ART+No. discontinued +No. Lost to Follow up  +No. died  +No. transferred out after initiation on other forms of TPT  )"&amp;CHAR(10),""))</f>
        <v/>
      </c>
      <c r="AL186" s="1088"/>
      <c r="AM186" s="31"/>
      <c r="AN186" s="126"/>
      <c r="AO186" s="13">
        <v>105</v>
      </c>
      <c r="AP186" s="74"/>
      <c r="AQ186" s="149"/>
    </row>
    <row r="187" spans="1:43" s="14" customFormat="1" ht="44.75" hidden="1" customHeight="1" x14ac:dyDescent="0.75">
      <c r="A187" s="1243" t="s">
        <v>1303</v>
      </c>
      <c r="B187" s="146" t="s">
        <v>661</v>
      </c>
      <c r="C187" s="603" t="s">
        <v>1297</v>
      </c>
      <c r="D187" s="147"/>
      <c r="E187" s="148"/>
      <c r="F187" s="148"/>
      <c r="G187" s="148"/>
      <c r="H187" s="148"/>
      <c r="I187" s="148"/>
      <c r="J187" s="148"/>
      <c r="K187" s="148"/>
      <c r="L187" s="148"/>
      <c r="M187" s="148"/>
      <c r="N187" s="148"/>
      <c r="O187" s="148"/>
      <c r="P187" s="148"/>
      <c r="Q187" s="148"/>
      <c r="R187" s="148"/>
      <c r="S187" s="148"/>
      <c r="T187" s="148"/>
      <c r="U187" s="148"/>
      <c r="V187" s="148"/>
      <c r="W187" s="148"/>
      <c r="X187" s="148"/>
      <c r="Y187" s="148"/>
      <c r="Z187" s="148"/>
      <c r="AA187" s="338"/>
      <c r="AB187" s="389"/>
      <c r="AC187" s="357"/>
      <c r="AD187" s="357"/>
      <c r="AE187" s="357"/>
      <c r="AF187" s="357"/>
      <c r="AG187" s="357"/>
      <c r="AH187" s="357"/>
      <c r="AI187" s="314"/>
      <c r="AJ187" s="189">
        <f t="shared" si="30"/>
        <v>0</v>
      </c>
      <c r="AK187" s="855"/>
      <c r="AL187" s="1088"/>
      <c r="AM187" s="31"/>
      <c r="AN187" s="126"/>
      <c r="AO187" s="13">
        <v>106</v>
      </c>
      <c r="AP187" s="74"/>
      <c r="AQ187" s="149"/>
    </row>
    <row r="188" spans="1:43" s="14" customFormat="1" ht="44.75" hidden="1" customHeight="1" thickBot="1" x14ac:dyDescent="0.8">
      <c r="A188" s="1244"/>
      <c r="B188" s="150" t="s">
        <v>662</v>
      </c>
      <c r="C188" s="634" t="s">
        <v>1298</v>
      </c>
      <c r="D188" s="151"/>
      <c r="E188" s="152"/>
      <c r="F188" s="152"/>
      <c r="G188" s="152"/>
      <c r="H188" s="152"/>
      <c r="I188" s="152"/>
      <c r="J188" s="152"/>
      <c r="K188" s="152"/>
      <c r="L188" s="152"/>
      <c r="M188" s="152"/>
      <c r="N188" s="152"/>
      <c r="O188" s="152"/>
      <c r="P188" s="152"/>
      <c r="Q188" s="152"/>
      <c r="R188" s="152"/>
      <c r="S188" s="152"/>
      <c r="T188" s="152"/>
      <c r="U188" s="152"/>
      <c r="V188" s="152"/>
      <c r="W188" s="152"/>
      <c r="X188" s="152"/>
      <c r="Y188" s="152"/>
      <c r="Z188" s="152"/>
      <c r="AA188" s="339"/>
      <c r="AB188" s="389"/>
      <c r="AC188" s="357"/>
      <c r="AD188" s="357"/>
      <c r="AE188" s="357"/>
      <c r="AF188" s="357"/>
      <c r="AG188" s="357"/>
      <c r="AH188" s="357"/>
      <c r="AI188" s="314"/>
      <c r="AJ188" s="193">
        <f t="shared" si="30"/>
        <v>0</v>
      </c>
      <c r="AK188" s="855"/>
      <c r="AL188" s="1088"/>
      <c r="AM188" s="31"/>
      <c r="AN188" s="126"/>
      <c r="AO188" s="13">
        <v>107</v>
      </c>
      <c r="AP188" s="74"/>
      <c r="AQ188" s="149"/>
    </row>
    <row r="189" spans="1:43" s="14" customFormat="1" ht="44.75" hidden="1" customHeight="1" x14ac:dyDescent="0.75">
      <c r="A189" s="1243" t="s">
        <v>1305</v>
      </c>
      <c r="B189" s="146" t="s">
        <v>661</v>
      </c>
      <c r="C189" s="603" t="s">
        <v>1299</v>
      </c>
      <c r="D189" s="147"/>
      <c r="E189" s="148"/>
      <c r="F189" s="148"/>
      <c r="G189" s="148"/>
      <c r="H189" s="148"/>
      <c r="I189" s="148"/>
      <c r="J189" s="148"/>
      <c r="K189" s="148"/>
      <c r="L189" s="148"/>
      <c r="M189" s="148"/>
      <c r="N189" s="148"/>
      <c r="O189" s="148"/>
      <c r="P189" s="148"/>
      <c r="Q189" s="148"/>
      <c r="R189" s="148"/>
      <c r="S189" s="148"/>
      <c r="T189" s="148"/>
      <c r="U189" s="148"/>
      <c r="V189" s="148"/>
      <c r="W189" s="148"/>
      <c r="X189" s="148"/>
      <c r="Y189" s="148"/>
      <c r="Z189" s="148"/>
      <c r="AA189" s="338"/>
      <c r="AB189" s="389"/>
      <c r="AC189" s="357"/>
      <c r="AD189" s="357"/>
      <c r="AE189" s="357"/>
      <c r="AF189" s="357"/>
      <c r="AG189" s="357"/>
      <c r="AH189" s="357"/>
      <c r="AI189" s="314"/>
      <c r="AJ189" s="189">
        <f t="shared" si="30"/>
        <v>0</v>
      </c>
      <c r="AK189" s="855"/>
      <c r="AL189" s="1088"/>
      <c r="AM189" s="31"/>
      <c r="AN189" s="126"/>
      <c r="AO189" s="13">
        <v>108</v>
      </c>
      <c r="AP189" s="74"/>
      <c r="AQ189" s="149"/>
    </row>
    <row r="190" spans="1:43" s="14" customFormat="1" ht="44.75" hidden="1" customHeight="1" thickBot="1" x14ac:dyDescent="0.8">
      <c r="A190" s="1244"/>
      <c r="B190" s="150" t="s">
        <v>662</v>
      </c>
      <c r="C190" s="634" t="s">
        <v>1300</v>
      </c>
      <c r="D190" s="151"/>
      <c r="E190" s="152"/>
      <c r="F190" s="152"/>
      <c r="G190" s="152"/>
      <c r="H190" s="152"/>
      <c r="I190" s="152"/>
      <c r="J190" s="152"/>
      <c r="K190" s="152"/>
      <c r="L190" s="152"/>
      <c r="M190" s="152"/>
      <c r="N190" s="152"/>
      <c r="O190" s="152"/>
      <c r="P190" s="152"/>
      <c r="Q190" s="152"/>
      <c r="R190" s="152"/>
      <c r="S190" s="152"/>
      <c r="T190" s="152"/>
      <c r="U190" s="152"/>
      <c r="V190" s="152"/>
      <c r="W190" s="152"/>
      <c r="X190" s="152"/>
      <c r="Y190" s="152"/>
      <c r="Z190" s="152"/>
      <c r="AA190" s="339"/>
      <c r="AB190" s="389"/>
      <c r="AC190" s="357"/>
      <c r="AD190" s="357"/>
      <c r="AE190" s="357"/>
      <c r="AF190" s="357"/>
      <c r="AG190" s="357"/>
      <c r="AH190" s="357"/>
      <c r="AI190" s="314"/>
      <c r="AJ190" s="193">
        <f t="shared" si="30"/>
        <v>0</v>
      </c>
      <c r="AK190" s="855"/>
      <c r="AL190" s="1088"/>
      <c r="AM190" s="31"/>
      <c r="AN190" s="126"/>
      <c r="AO190" s="13">
        <v>109</v>
      </c>
      <c r="AP190" s="74"/>
      <c r="AQ190" s="149"/>
    </row>
    <row r="191" spans="1:43" s="14" customFormat="1" ht="44.75" hidden="1" customHeight="1" x14ac:dyDescent="0.75">
      <c r="A191" s="1243" t="s">
        <v>1306</v>
      </c>
      <c r="B191" s="153" t="s">
        <v>661</v>
      </c>
      <c r="C191" s="809" t="s">
        <v>1301</v>
      </c>
      <c r="D191" s="154"/>
      <c r="E191" s="127"/>
      <c r="F191" s="127"/>
      <c r="G191" s="127"/>
      <c r="H191" s="127"/>
      <c r="I191" s="127"/>
      <c r="J191" s="127"/>
      <c r="K191" s="127"/>
      <c r="L191" s="127"/>
      <c r="M191" s="127"/>
      <c r="N191" s="127"/>
      <c r="O191" s="127"/>
      <c r="P191" s="127"/>
      <c r="Q191" s="127"/>
      <c r="R191" s="127"/>
      <c r="S191" s="127"/>
      <c r="T191" s="127"/>
      <c r="U191" s="127"/>
      <c r="V191" s="127"/>
      <c r="W191" s="127"/>
      <c r="X191" s="127"/>
      <c r="Y191" s="127"/>
      <c r="Z191" s="127"/>
      <c r="AA191" s="331"/>
      <c r="AB191" s="389"/>
      <c r="AC191" s="357"/>
      <c r="AD191" s="357"/>
      <c r="AE191" s="357"/>
      <c r="AF191" s="357"/>
      <c r="AG191" s="357"/>
      <c r="AH191" s="357"/>
      <c r="AI191" s="314"/>
      <c r="AJ191" s="52">
        <f t="shared" si="30"/>
        <v>0</v>
      </c>
      <c r="AK191" s="855"/>
      <c r="AL191" s="1088"/>
      <c r="AM191" s="31"/>
      <c r="AN191" s="126"/>
      <c r="AO191" s="13">
        <v>110</v>
      </c>
      <c r="AP191" s="74"/>
      <c r="AQ191" s="149"/>
    </row>
    <row r="192" spans="1:43" s="14" customFormat="1" ht="44.75" hidden="1" customHeight="1" thickBot="1" x14ac:dyDescent="0.8">
      <c r="A192" s="1284"/>
      <c r="B192" s="155" t="s">
        <v>662</v>
      </c>
      <c r="C192" s="859" t="s">
        <v>1302</v>
      </c>
      <c r="D192" s="156"/>
      <c r="E192" s="157"/>
      <c r="F192" s="157"/>
      <c r="G192" s="157"/>
      <c r="H192" s="157"/>
      <c r="I192" s="157"/>
      <c r="J192" s="157"/>
      <c r="K192" s="157"/>
      <c r="L192" s="157"/>
      <c r="M192" s="157"/>
      <c r="N192" s="157"/>
      <c r="O192" s="157"/>
      <c r="P192" s="157"/>
      <c r="Q192" s="157"/>
      <c r="R192" s="157"/>
      <c r="S192" s="157"/>
      <c r="T192" s="157"/>
      <c r="U192" s="157"/>
      <c r="V192" s="157"/>
      <c r="W192" s="157"/>
      <c r="X192" s="157"/>
      <c r="Y192" s="157"/>
      <c r="Z192" s="157"/>
      <c r="AA192" s="340"/>
      <c r="AB192" s="389"/>
      <c r="AC192" s="357"/>
      <c r="AD192" s="357"/>
      <c r="AE192" s="357"/>
      <c r="AF192" s="357"/>
      <c r="AG192" s="357"/>
      <c r="AH192" s="357"/>
      <c r="AI192" s="314"/>
      <c r="AJ192" s="394">
        <f t="shared" si="30"/>
        <v>0</v>
      </c>
      <c r="AK192" s="122"/>
      <c r="AL192" s="1089"/>
      <c r="AM192" s="123"/>
      <c r="AN192" s="126"/>
      <c r="AO192" s="13">
        <v>111</v>
      </c>
      <c r="AP192" s="74"/>
      <c r="AQ192" s="149"/>
    </row>
    <row r="193" spans="1:43" ht="25.9" thickBot="1" x14ac:dyDescent="0.8">
      <c r="A193" s="1043" t="s">
        <v>125</v>
      </c>
      <c r="B193" s="1044"/>
      <c r="C193" s="1044"/>
      <c r="D193" s="1179"/>
      <c r="E193" s="1179"/>
      <c r="F193" s="1179"/>
      <c r="G193" s="1179"/>
      <c r="H193" s="1179"/>
      <c r="I193" s="1179"/>
      <c r="J193" s="1179"/>
      <c r="K193" s="1179"/>
      <c r="L193" s="1179"/>
      <c r="M193" s="1179"/>
      <c r="N193" s="1179"/>
      <c r="O193" s="1179"/>
      <c r="P193" s="1179"/>
      <c r="Q193" s="1179"/>
      <c r="R193" s="1179"/>
      <c r="S193" s="1179"/>
      <c r="T193" s="1179"/>
      <c r="U193" s="1179"/>
      <c r="V193" s="1179"/>
      <c r="W193" s="1179"/>
      <c r="X193" s="1179"/>
      <c r="Y193" s="1179"/>
      <c r="Z193" s="1179"/>
      <c r="AA193" s="1179"/>
      <c r="AB193" s="1045"/>
      <c r="AC193" s="1045"/>
      <c r="AD193" s="1045"/>
      <c r="AE193" s="1045"/>
      <c r="AF193" s="1045"/>
      <c r="AG193" s="1045"/>
      <c r="AH193" s="1045"/>
      <c r="AI193" s="1045"/>
      <c r="AJ193" s="1044"/>
      <c r="AK193" s="1044"/>
      <c r="AL193" s="1044"/>
      <c r="AM193" s="1044"/>
      <c r="AN193" s="1046"/>
      <c r="AO193" s="13">
        <v>112</v>
      </c>
      <c r="AP193" s="74"/>
      <c r="AQ193" s="75"/>
    </row>
    <row r="194" spans="1:43" ht="26.25" customHeight="1" x14ac:dyDescent="0.75">
      <c r="A194" s="1039" t="s">
        <v>37</v>
      </c>
      <c r="B194" s="1198" t="s">
        <v>344</v>
      </c>
      <c r="C194" s="1210" t="s">
        <v>325</v>
      </c>
      <c r="D194" s="1261"/>
      <c r="E194" s="1262"/>
      <c r="F194" s="1262"/>
      <c r="G194" s="1262"/>
      <c r="H194" s="1262"/>
      <c r="I194" s="1262"/>
      <c r="J194" s="1262"/>
      <c r="K194" s="1262"/>
      <c r="L194" s="1215" t="s">
        <v>4</v>
      </c>
      <c r="M194" s="1057"/>
      <c r="N194" s="1057" t="s">
        <v>5</v>
      </c>
      <c r="O194" s="1057"/>
      <c r="P194" s="1057" t="s">
        <v>6</v>
      </c>
      <c r="Q194" s="1057"/>
      <c r="R194" s="1057" t="s">
        <v>7</v>
      </c>
      <c r="S194" s="1057"/>
      <c r="T194" s="1057" t="s">
        <v>8</v>
      </c>
      <c r="U194" s="1057"/>
      <c r="V194" s="1057" t="s">
        <v>23</v>
      </c>
      <c r="W194" s="1057"/>
      <c r="X194" s="1057" t="s">
        <v>24</v>
      </c>
      <c r="Y194" s="1057"/>
      <c r="Z194" s="1057" t="s">
        <v>9</v>
      </c>
      <c r="AA194" s="1012"/>
      <c r="AB194" s="1012" t="s">
        <v>1020</v>
      </c>
      <c r="AC194" s="1013"/>
      <c r="AD194" s="1012" t="s">
        <v>1021</v>
      </c>
      <c r="AE194" s="1013"/>
      <c r="AF194" s="1012" t="s">
        <v>1022</v>
      </c>
      <c r="AG194" s="1013"/>
      <c r="AH194" s="1012" t="s">
        <v>1022</v>
      </c>
      <c r="AI194" s="1016"/>
      <c r="AJ194" s="1194" t="s">
        <v>19</v>
      </c>
      <c r="AK194" s="1192" t="s">
        <v>378</v>
      </c>
      <c r="AL194" s="1183" t="s">
        <v>384</v>
      </c>
      <c r="AM194" s="1058" t="s">
        <v>385</v>
      </c>
      <c r="AN194" s="1047" t="s">
        <v>385</v>
      </c>
      <c r="AO194" s="13">
        <v>113</v>
      </c>
      <c r="AP194" s="74"/>
      <c r="AQ194" s="75"/>
    </row>
    <row r="195" spans="1:43" ht="27" customHeight="1" thickBot="1" x14ac:dyDescent="0.8">
      <c r="A195" s="1040"/>
      <c r="B195" s="1199"/>
      <c r="C195" s="1211"/>
      <c r="D195" s="1263"/>
      <c r="E195" s="1264"/>
      <c r="F195" s="1264"/>
      <c r="G195" s="1264"/>
      <c r="H195" s="1264"/>
      <c r="I195" s="1264"/>
      <c r="J195" s="1264"/>
      <c r="K195" s="1264"/>
      <c r="L195" s="630" t="s">
        <v>10</v>
      </c>
      <c r="M195" s="68" t="s">
        <v>11</v>
      </c>
      <c r="N195" s="68" t="s">
        <v>10</v>
      </c>
      <c r="O195" s="68" t="s">
        <v>11</v>
      </c>
      <c r="P195" s="68" t="s">
        <v>10</v>
      </c>
      <c r="Q195" s="68" t="s">
        <v>11</v>
      </c>
      <c r="R195" s="68" t="s">
        <v>10</v>
      </c>
      <c r="S195" s="68" t="s">
        <v>11</v>
      </c>
      <c r="T195" s="68" t="s">
        <v>10</v>
      </c>
      <c r="U195" s="68" t="s">
        <v>11</v>
      </c>
      <c r="V195" s="68" t="s">
        <v>10</v>
      </c>
      <c r="W195" s="68" t="s">
        <v>11</v>
      </c>
      <c r="X195" s="68" t="s">
        <v>10</v>
      </c>
      <c r="Y195" s="68" t="s">
        <v>11</v>
      </c>
      <c r="Z195" s="68" t="s">
        <v>10</v>
      </c>
      <c r="AA195" s="371" t="s">
        <v>11</v>
      </c>
      <c r="AB195" s="68" t="s">
        <v>10</v>
      </c>
      <c r="AC195" s="68" t="s">
        <v>11</v>
      </c>
      <c r="AD195" s="68" t="s">
        <v>10</v>
      </c>
      <c r="AE195" s="68" t="s">
        <v>11</v>
      </c>
      <c r="AF195" s="68" t="s">
        <v>10</v>
      </c>
      <c r="AG195" s="68" t="s">
        <v>11</v>
      </c>
      <c r="AH195" s="68" t="s">
        <v>10</v>
      </c>
      <c r="AI195" s="631" t="s">
        <v>11</v>
      </c>
      <c r="AJ195" s="1197"/>
      <c r="AK195" s="1193"/>
      <c r="AL195" s="1127"/>
      <c r="AM195" s="1058"/>
      <c r="AN195" s="1048"/>
      <c r="AO195" s="13">
        <v>114</v>
      </c>
      <c r="AP195" s="74"/>
      <c r="AQ195" s="75"/>
    </row>
    <row r="196" spans="1:43" ht="25.5" x14ac:dyDescent="0.75">
      <c r="A196" s="1190" t="s">
        <v>33</v>
      </c>
      <c r="B196" s="69" t="s">
        <v>663</v>
      </c>
      <c r="C196" s="599" t="s">
        <v>356</v>
      </c>
      <c r="D196" s="70"/>
      <c r="E196" s="71"/>
      <c r="F196" s="71"/>
      <c r="G196" s="71"/>
      <c r="H196" s="71"/>
      <c r="I196" s="71"/>
      <c r="J196" s="71"/>
      <c r="K196" s="71"/>
      <c r="L196" s="71"/>
      <c r="M196" s="72"/>
      <c r="N196" s="71"/>
      <c r="O196" s="72"/>
      <c r="P196" s="71"/>
      <c r="Q196" s="72"/>
      <c r="R196" s="71"/>
      <c r="S196" s="72"/>
      <c r="T196" s="71"/>
      <c r="U196" s="72"/>
      <c r="V196" s="71"/>
      <c r="W196" s="72"/>
      <c r="X196" s="159"/>
      <c r="Y196" s="72"/>
      <c r="Z196" s="620"/>
      <c r="AA196" s="629">
        <f>SUM(AC196,AE196,AG196,AI196)</f>
        <v>0</v>
      </c>
      <c r="AB196" s="624"/>
      <c r="AC196" s="318"/>
      <c r="AD196" s="159"/>
      <c r="AE196" s="318"/>
      <c r="AF196" s="159"/>
      <c r="AG196" s="318"/>
      <c r="AH196" s="159"/>
      <c r="AI196" s="318"/>
      <c r="AJ196" s="52">
        <f>SUM(D196:AA196)</f>
        <v>0</v>
      </c>
      <c r="AK196" s="139"/>
      <c r="AL196" s="1212" t="str">
        <f>CONCATENATE(AK196,AK197,AK198,AK201,AK202,AK203,AK204,AK205,AK206,AK209,AK210,AK211,AK212,AK213,AK214,AK217,AK218,AK219,AK199,AK200,AK207,AK208,AK215,AK216)</f>
        <v/>
      </c>
      <c r="AM196" s="73"/>
      <c r="AN196" s="1247" t="str">
        <f>CONCATENATE(AM196,AM197,AM198,AM201,AM202,AM203,AM204,AM205,AM206,AM209,AM210,AM211,AM212,AM213,AM214,AM217,AM218,AM219)</f>
        <v/>
      </c>
      <c r="AO196" s="13">
        <v>115</v>
      </c>
      <c r="AP196" s="74"/>
      <c r="AQ196" s="75"/>
    </row>
    <row r="197" spans="1:43" ht="25.5" x14ac:dyDescent="0.75">
      <c r="A197" s="1021"/>
      <c r="B197" s="76" t="s">
        <v>150</v>
      </c>
      <c r="C197" s="580" t="s">
        <v>222</v>
      </c>
      <c r="D197" s="77"/>
      <c r="E197" s="78"/>
      <c r="F197" s="78"/>
      <c r="G197" s="78"/>
      <c r="H197" s="78"/>
      <c r="I197" s="78"/>
      <c r="J197" s="78"/>
      <c r="K197" s="78"/>
      <c r="L197" s="78"/>
      <c r="M197" s="79"/>
      <c r="N197" s="78"/>
      <c r="O197" s="79"/>
      <c r="P197" s="78"/>
      <c r="Q197" s="79"/>
      <c r="R197" s="78"/>
      <c r="S197" s="79"/>
      <c r="T197" s="78"/>
      <c r="U197" s="79"/>
      <c r="V197" s="78"/>
      <c r="W197" s="79"/>
      <c r="X197" s="160"/>
      <c r="Y197" s="79"/>
      <c r="Z197" s="621"/>
      <c r="AA197" s="628">
        <f t="shared" ref="AA197:AA219" si="31">SUM(AC197,AE197,AG197,AI197)</f>
        <v>0</v>
      </c>
      <c r="AB197" s="625"/>
      <c r="AC197" s="319"/>
      <c r="AD197" s="160"/>
      <c r="AE197" s="319"/>
      <c r="AF197" s="160"/>
      <c r="AG197" s="319"/>
      <c r="AH197" s="160"/>
      <c r="AI197" s="319"/>
      <c r="AJ197" s="174">
        <f t="shared" ref="AJ197:AJ219" si="32">SUM(D197:AA197)</f>
        <v>0</v>
      </c>
      <c r="AK197" s="116" t="str">
        <f>CONCATENATE(IF(D199&lt;SUM(D200,D201,D202,D203)," * First Time Screening , Total CXCA Screening positive for Age "&amp;D20&amp;" "&amp;D21&amp;" should be greater than or equal to  the sum of (Cryotherapy , Leep , Thermocoagulation and Reffered for treatment)"&amp;CHAR(10),""),IF(E199&lt;SUM(E200,E201,E202,E203)," * First Time Screening , Total CXCA Screening positive for Age "&amp;D20&amp;" "&amp;E21&amp;" should be greater than or equal to  the sum of (Cryotherapy , Leep , Thermocoagulation and Reffered for treatment)"&amp;CHAR(10),""),IF(F199&lt;SUM(F200,F201,F202,F203)," * First Time Screening , Total CXCA Screening positive for Age "&amp;F20&amp;" "&amp;F21&amp;" should be greater than or equal to  the sum of (Cryotherapy , Leep , Thermocoagulation and Reffered for treatment)"&amp;CHAR(10),""),IF(G199&lt;SUM(G200,G201,G202,G203)," * First Time Screening , Total CXCA Screening positive for Age "&amp;F20&amp;" "&amp;G21&amp;" should be greater than or equal to  the sum of (Cryotherapy , Leep , Thermocoagulation and Reffered for treatment)"&amp;CHAR(10),""),IF(H199&lt;SUM(H200,H201,H202,H203)," * First Time Screening , Total CXCA Screening positive for Age "&amp;H20&amp;" "&amp;H21&amp;" should be greater than or equal to  the sum of (Cryotherapy , Leep , Thermocoagulation and Reffered for treatment)"&amp;CHAR(10),""),IF(I199&lt;SUM(I200,I201,I202,I203)," * First Time Screening , Total CXCA Screening positive for Age "&amp;H20&amp;" "&amp;I21&amp;" should be greater than or equal to  the sum of (Cryotherapy , Leep , Thermocoagulation and Reffered for treatment)"&amp;CHAR(10),""),IF(J199&lt;SUM(J200,J201,J202,J203)," * First Time Screening , Total CXCA Screening positive for Age "&amp;J20&amp;" "&amp;J21&amp;" should be greater than or equal to  the sum of (Cryotherapy , Leep , Thermocoagulation and Reffered for treatment)"&amp;CHAR(10),""),IF(K199&lt;SUM(K200,K201,K202,K203)," * First Time Screening , Total CXCA Screening positive for Age "&amp;J20&amp;" "&amp;K21&amp;" should be greater than or equal to  the sum of (Cryotherapy , Leep , Thermocoagulation and Reffered for treatment)"&amp;CHAR(10),""),IF(L199&lt;SUM(L200,L201,L202,L203)," * First Time Screening , Total CXCA Screening positive for Age "&amp;L20&amp;" "&amp;L21&amp;" should be greater than or equal to  the sum of (Cryotherapy , Leep , Thermocoagulation and Reffered for treatment)"&amp;CHAR(10),""),IF(M199&lt;SUM(M200,M201,M202,M203)," * First Time Screening , Total CXCA Screening positive for Age "&amp;L20&amp;" "&amp;M21&amp;" should be greater than or equal to  the sum of (Cryotherapy , Leep , Thermocoagulation and Reffered for treatment)"&amp;CHAR(10),""),IF(N199&lt;SUM(N200,N201,N202,N203)," * First Time Screening , Total CXCA Screening positive for Age "&amp;N20&amp;" "&amp;N21&amp;" should be greater than or equal to  the sum of (Cryotherapy , Leep , Thermocoagulation and Reffered for treatment)"&amp;CHAR(10),""),IF(O199&lt;SUM(O200,O201,O202,O203)," * First Time Screening , Total CXCA Screening positive for Age "&amp;N20&amp;" "&amp;O21&amp;" should be greater than or equal to  the sum of (Cryotherapy , Leep , Thermocoagulation and Reffered for treatment)"&amp;CHAR(10),""),IF(P199&lt;SUM(P200,P201,P202,P203)," * First Time Screening , Total CXCA Screening positive for Age "&amp;P20&amp;" "&amp;P21&amp;" should be greater than or equal to  the sum of (Cryotherapy , Leep , Thermocoagulation and Reffered for treatment)"&amp;CHAR(10),""),IF(Q199&lt;SUM(Q200,Q201,Q202,Q203)," * First Time Screening , Total CXCA Screening positive for Age "&amp;P20&amp;" "&amp;Q21&amp;" should be greater than or equal to  the sum of (Cryotherapy , Leep , Thermocoagulation and Reffered for treatment)"&amp;CHAR(10),""),IF(R199&lt;SUM(R200,R201,R202,R203)," * First Time Screening , Total CXCA Screening positive for Age "&amp;R20&amp;" "&amp;R21&amp;" should be greater than or equal to  the sum of (Cryotherapy , Leep , Thermocoagulation and Reffered for treatment)"&amp;CHAR(10),""),IF(S199&lt;SUM(S200,S201,S202,S203)," * First Time Screening , Total CXCA Screening positive for Age "&amp;R20&amp;" "&amp;S21&amp;" should be greater than or equal to  the sum of (Cryotherapy , Leep , Thermocoagulation and Reffered for treatment)"&amp;CHAR(10),""),IF(T199&lt;SUM(T200,T201,T202,T203)," * First Time Screening , Total CXCA Screening positive for Age "&amp;T20&amp;" "&amp;T21&amp;" should be greater than or equal to  the sum of (Cryotherapy , Leep , Thermocoagulation and Reffered for treatment)"&amp;CHAR(10),""),IF(U199&lt;SUM(U200,U201,U202,U203)," * First Time Screening , Total CXCA Screening positive for Age "&amp;T20&amp;" "&amp;U21&amp;" should be greater than or equal to  the sum of (Cryotherapy , Leep , Thermocoagulation and Reffered for treatment)"&amp;CHAR(10),""),IF(V199&lt;SUM(V200,V201,V202,V203)," * First Time Screening , Total CXCA Screening positive for Age "&amp;V20&amp;" "&amp;V21&amp;" should be greater than or equal to  the sum of (Cryotherapy , Leep , Thermocoagulation and Reffered for treatment)"&amp;CHAR(10),""),IF(W199&lt;SUM(W200,W201,W202,W203)," * First Time Screening , Total CXCA Screening positive for Age "&amp;V20&amp;" "&amp;W21&amp;" should be greater than or equal to  the sum of (Cryotherapy , Leep , Thermocoagulation and Reffered for treatment)"&amp;CHAR(10),""),IF(X199&lt;SUM(X200,X201,X202,X203)," * First Time Screening , Total CXCA Screening positive for Age "&amp;X20&amp;" "&amp;X21&amp;" should be greater than or equal to  the sum of (Cryotherapy , Leep , Thermocoagulation and Reffered for treatment)"&amp;CHAR(10),""),IF(Y199&lt;SUM(Y200,Y201,Y202,Y203)," * First Time Screening , Total CXCA Screening positive for Age "&amp;X20&amp;" "&amp;Y21&amp;" should be greater than or equal to  the sum of (Cryotherapy , Leep , Thermocoagulation and Reffered for treatment)"&amp;CHAR(10),""),IF(Z199&lt;SUM(Z200,Z201,Z202,Z203)," * First Time Screening , Total CXCA Screening positive for Age "&amp;Z20&amp;" "&amp;Z21&amp;" should be greater than or equal to  the sum of (Cryotherapy , Leep , Thermocoagulation and Reffered for treatment)"&amp;CHAR(10),""),IF(AA199&lt;SUM(AA200,AA201,AA202,AA203)," * First Time Screening , Total CXCA Screening positive for Age "&amp;Z20&amp;" "&amp;AA21&amp;" should be greater than or equal to  the sum of (Cryotherapy , Leep , Thermocoagulation and Reffered for treatment)"&amp;CHAR(10),""))</f>
        <v/>
      </c>
      <c r="AL197" s="1213"/>
      <c r="AM197" s="31"/>
      <c r="AN197" s="1248"/>
      <c r="AO197" s="13">
        <v>116</v>
      </c>
      <c r="AP197" s="74"/>
      <c r="AQ197" s="75"/>
    </row>
    <row r="198" spans="1:43" ht="25.5" x14ac:dyDescent="0.75">
      <c r="A198" s="1021"/>
      <c r="B198" s="76" t="s">
        <v>664</v>
      </c>
      <c r="C198" s="580" t="s">
        <v>357</v>
      </c>
      <c r="D198" s="77"/>
      <c r="E198" s="78"/>
      <c r="F198" s="78"/>
      <c r="G198" s="78"/>
      <c r="H198" s="78"/>
      <c r="I198" s="78"/>
      <c r="J198" s="78"/>
      <c r="K198" s="78"/>
      <c r="L198" s="78"/>
      <c r="M198" s="79"/>
      <c r="N198" s="78"/>
      <c r="O198" s="79"/>
      <c r="P198" s="78"/>
      <c r="Q198" s="79"/>
      <c r="R198" s="78"/>
      <c r="S198" s="79"/>
      <c r="T198" s="78"/>
      <c r="U198" s="79"/>
      <c r="V198" s="78"/>
      <c r="W198" s="79"/>
      <c r="X198" s="160"/>
      <c r="Y198" s="79"/>
      <c r="Z198" s="621"/>
      <c r="AA198" s="628">
        <f t="shared" si="31"/>
        <v>0</v>
      </c>
      <c r="AB198" s="625"/>
      <c r="AC198" s="319"/>
      <c r="AD198" s="160"/>
      <c r="AE198" s="319"/>
      <c r="AF198" s="160"/>
      <c r="AG198" s="319"/>
      <c r="AH198" s="160"/>
      <c r="AI198" s="319"/>
      <c r="AJ198" s="174">
        <f t="shared" si="32"/>
        <v>0</v>
      </c>
      <c r="AK198" s="116"/>
      <c r="AL198" s="1213"/>
      <c r="AM198" s="31"/>
      <c r="AN198" s="1248"/>
      <c r="AO198" s="13">
        <v>117</v>
      </c>
      <c r="AP198" s="74"/>
      <c r="AQ198" s="75"/>
    </row>
    <row r="199" spans="1:43" ht="25.5" x14ac:dyDescent="0.75">
      <c r="A199" s="1021"/>
      <c r="B199" s="161" t="s">
        <v>857</v>
      </c>
      <c r="C199" s="580" t="s">
        <v>858</v>
      </c>
      <c r="D199" s="77"/>
      <c r="E199" s="78"/>
      <c r="F199" s="78"/>
      <c r="G199" s="78"/>
      <c r="H199" s="78"/>
      <c r="I199" s="78"/>
      <c r="J199" s="78"/>
      <c r="K199" s="78"/>
      <c r="L199" s="78"/>
      <c r="M199" s="162">
        <f>M198+M197</f>
        <v>0</v>
      </c>
      <c r="N199" s="163"/>
      <c r="O199" s="162">
        <f>O198+O197</f>
        <v>0</v>
      </c>
      <c r="P199" s="78"/>
      <c r="Q199" s="162">
        <f>Q198+Q197</f>
        <v>0</v>
      </c>
      <c r="R199" s="78"/>
      <c r="S199" s="162">
        <f>S198+S197</f>
        <v>0</v>
      </c>
      <c r="T199" s="78"/>
      <c r="U199" s="162">
        <f>U198+U197</f>
        <v>0</v>
      </c>
      <c r="V199" s="78"/>
      <c r="W199" s="162">
        <f>W198+W197</f>
        <v>0</v>
      </c>
      <c r="X199" s="160"/>
      <c r="Y199" s="162">
        <f>Y198+Y197</f>
        <v>0</v>
      </c>
      <c r="Z199" s="621"/>
      <c r="AA199" s="628">
        <f t="shared" si="31"/>
        <v>0</v>
      </c>
      <c r="AB199" s="625"/>
      <c r="AC199" s="341">
        <f>AC198+AC197</f>
        <v>0</v>
      </c>
      <c r="AD199" s="160"/>
      <c r="AE199" s="341">
        <f>AE198+AE197</f>
        <v>0</v>
      </c>
      <c r="AF199" s="160"/>
      <c r="AG199" s="341">
        <f>AG198+AG197</f>
        <v>0</v>
      </c>
      <c r="AH199" s="160"/>
      <c r="AI199" s="341">
        <f>AI198+AI197</f>
        <v>0</v>
      </c>
      <c r="AJ199" s="174">
        <f t="shared" si="32"/>
        <v>0</v>
      </c>
      <c r="AK199" s="116"/>
      <c r="AL199" s="1213"/>
      <c r="AM199" s="31"/>
      <c r="AN199" s="1248"/>
      <c r="AO199" s="13">
        <v>118</v>
      </c>
      <c r="AP199" s="74"/>
      <c r="AQ199" s="75"/>
    </row>
    <row r="200" spans="1:43" ht="25.5" x14ac:dyDescent="0.75">
      <c r="A200" s="1021"/>
      <c r="B200" s="164" t="s">
        <v>1316</v>
      </c>
      <c r="C200" s="580" t="s">
        <v>990</v>
      </c>
      <c r="D200" s="77"/>
      <c r="E200" s="78"/>
      <c r="F200" s="78"/>
      <c r="G200" s="78"/>
      <c r="H200" s="78"/>
      <c r="I200" s="78"/>
      <c r="J200" s="78"/>
      <c r="K200" s="78"/>
      <c r="L200" s="78"/>
      <c r="M200" s="165"/>
      <c r="N200" s="163"/>
      <c r="O200" s="165"/>
      <c r="P200" s="78"/>
      <c r="Q200" s="165"/>
      <c r="R200" s="78"/>
      <c r="S200" s="165"/>
      <c r="T200" s="78"/>
      <c r="U200" s="165"/>
      <c r="V200" s="78"/>
      <c r="W200" s="165"/>
      <c r="X200" s="160"/>
      <c r="Y200" s="165"/>
      <c r="Z200" s="621"/>
      <c r="AA200" s="628">
        <f t="shared" si="31"/>
        <v>0</v>
      </c>
      <c r="AB200" s="625"/>
      <c r="AC200" s="342"/>
      <c r="AD200" s="160"/>
      <c r="AE200" s="342"/>
      <c r="AF200" s="160"/>
      <c r="AG200" s="342"/>
      <c r="AH200" s="160"/>
      <c r="AI200" s="342"/>
      <c r="AJ200" s="174"/>
      <c r="AK200" s="116"/>
      <c r="AL200" s="1213"/>
      <c r="AM200" s="31"/>
      <c r="AN200" s="1248"/>
      <c r="AO200" s="13">
        <v>119</v>
      </c>
      <c r="AP200" s="74"/>
      <c r="AQ200" s="75"/>
    </row>
    <row r="201" spans="1:43" ht="25.5" x14ac:dyDescent="0.75">
      <c r="A201" s="1021"/>
      <c r="B201" s="76" t="s">
        <v>665</v>
      </c>
      <c r="C201" s="580" t="s">
        <v>227</v>
      </c>
      <c r="D201" s="77"/>
      <c r="E201" s="78"/>
      <c r="F201" s="78"/>
      <c r="G201" s="78"/>
      <c r="H201" s="78"/>
      <c r="I201" s="78"/>
      <c r="J201" s="78"/>
      <c r="K201" s="78"/>
      <c r="L201" s="78"/>
      <c r="M201" s="79"/>
      <c r="N201" s="78"/>
      <c r="O201" s="79"/>
      <c r="P201" s="78"/>
      <c r="Q201" s="79"/>
      <c r="R201" s="78"/>
      <c r="S201" s="79"/>
      <c r="T201" s="78"/>
      <c r="U201" s="79"/>
      <c r="V201" s="78"/>
      <c r="W201" s="79"/>
      <c r="X201" s="160"/>
      <c r="Y201" s="79"/>
      <c r="Z201" s="621"/>
      <c r="AA201" s="628">
        <f t="shared" si="31"/>
        <v>0</v>
      </c>
      <c r="AB201" s="625"/>
      <c r="AC201" s="319"/>
      <c r="AD201" s="160"/>
      <c r="AE201" s="319"/>
      <c r="AF201" s="160"/>
      <c r="AG201" s="319"/>
      <c r="AH201" s="160"/>
      <c r="AI201" s="319"/>
      <c r="AJ201" s="174">
        <f t="shared" si="32"/>
        <v>0</v>
      </c>
      <c r="AK201" s="116"/>
      <c r="AL201" s="1213"/>
      <c r="AM201" s="31"/>
      <c r="AN201" s="1248"/>
      <c r="AO201" s="13">
        <v>120</v>
      </c>
      <c r="AP201" s="74"/>
      <c r="AQ201" s="75"/>
    </row>
    <row r="202" spans="1:43" ht="25.5" x14ac:dyDescent="0.75">
      <c r="A202" s="1021"/>
      <c r="B202" s="76" t="s">
        <v>666</v>
      </c>
      <c r="C202" s="580" t="s">
        <v>228</v>
      </c>
      <c r="D202" s="77"/>
      <c r="E202" s="78"/>
      <c r="F202" s="78"/>
      <c r="G202" s="78"/>
      <c r="H202" s="78"/>
      <c r="I202" s="78"/>
      <c r="J202" s="78"/>
      <c r="K202" s="78"/>
      <c r="L202" s="78"/>
      <c r="M202" s="79"/>
      <c r="N202" s="78"/>
      <c r="O202" s="79"/>
      <c r="P202" s="78"/>
      <c r="Q202" s="79"/>
      <c r="R202" s="78"/>
      <c r="S202" s="79"/>
      <c r="T202" s="78"/>
      <c r="U202" s="79"/>
      <c r="V202" s="78"/>
      <c r="W202" s="79"/>
      <c r="X202" s="160"/>
      <c r="Y202" s="79"/>
      <c r="Z202" s="621"/>
      <c r="AA202" s="628">
        <f t="shared" si="31"/>
        <v>0</v>
      </c>
      <c r="AB202" s="625"/>
      <c r="AC202" s="319"/>
      <c r="AD202" s="160"/>
      <c r="AE202" s="319"/>
      <c r="AF202" s="160"/>
      <c r="AG202" s="319"/>
      <c r="AH202" s="160"/>
      <c r="AI202" s="319"/>
      <c r="AJ202" s="174">
        <f t="shared" si="32"/>
        <v>0</v>
      </c>
      <c r="AK202" s="116"/>
      <c r="AL202" s="1213"/>
      <c r="AM202" s="31"/>
      <c r="AN202" s="1248"/>
      <c r="AO202" s="13">
        <v>121</v>
      </c>
      <c r="AP202" s="74"/>
      <c r="AQ202" s="75"/>
    </row>
    <row r="203" spans="1:43" ht="25.9" thickBot="1" x14ac:dyDescent="0.8">
      <c r="A203" s="1070"/>
      <c r="B203" s="87" t="s">
        <v>667</v>
      </c>
      <c r="C203" s="581" t="s">
        <v>229</v>
      </c>
      <c r="D203" s="103"/>
      <c r="E203" s="102"/>
      <c r="F203" s="102"/>
      <c r="G203" s="102"/>
      <c r="H203" s="102"/>
      <c r="I203" s="102"/>
      <c r="J203" s="102"/>
      <c r="K203" s="102"/>
      <c r="L203" s="102"/>
      <c r="M203" s="89"/>
      <c r="N203" s="102"/>
      <c r="O203" s="89"/>
      <c r="P203" s="102"/>
      <c r="Q203" s="89"/>
      <c r="R203" s="102"/>
      <c r="S203" s="89"/>
      <c r="T203" s="102"/>
      <c r="U203" s="89"/>
      <c r="V203" s="102"/>
      <c r="W203" s="89"/>
      <c r="X203" s="166"/>
      <c r="Y203" s="89"/>
      <c r="Z203" s="622"/>
      <c r="AA203" s="628">
        <f t="shared" si="31"/>
        <v>0</v>
      </c>
      <c r="AB203" s="626"/>
      <c r="AC203" s="321"/>
      <c r="AD203" s="166"/>
      <c r="AE203" s="321"/>
      <c r="AF203" s="166"/>
      <c r="AG203" s="321"/>
      <c r="AH203" s="166"/>
      <c r="AI203" s="321"/>
      <c r="AJ203" s="193">
        <f t="shared" si="32"/>
        <v>0</v>
      </c>
      <c r="AK203" s="116"/>
      <c r="AL203" s="1213"/>
      <c r="AM203" s="31"/>
      <c r="AN203" s="1248"/>
      <c r="AO203" s="13">
        <v>122</v>
      </c>
      <c r="AP203" s="74"/>
      <c r="AQ203" s="75"/>
    </row>
    <row r="204" spans="1:43" ht="25.5" x14ac:dyDescent="0.75">
      <c r="A204" s="944" t="s">
        <v>466</v>
      </c>
      <c r="B204" s="91" t="s">
        <v>663</v>
      </c>
      <c r="C204" s="579" t="s">
        <v>358</v>
      </c>
      <c r="D204" s="98"/>
      <c r="E204" s="99"/>
      <c r="F204" s="99"/>
      <c r="G204" s="99"/>
      <c r="H204" s="99"/>
      <c r="I204" s="99"/>
      <c r="J204" s="99"/>
      <c r="K204" s="99"/>
      <c r="L204" s="99"/>
      <c r="M204" s="94"/>
      <c r="N204" s="99"/>
      <c r="O204" s="94"/>
      <c r="P204" s="99"/>
      <c r="Q204" s="94"/>
      <c r="R204" s="99"/>
      <c r="S204" s="94"/>
      <c r="T204" s="99"/>
      <c r="U204" s="94"/>
      <c r="V204" s="99"/>
      <c r="W204" s="94"/>
      <c r="X204" s="167"/>
      <c r="Y204" s="94"/>
      <c r="Z204" s="623"/>
      <c r="AA204" s="628">
        <f t="shared" si="31"/>
        <v>0</v>
      </c>
      <c r="AB204" s="627"/>
      <c r="AC204" s="322"/>
      <c r="AD204" s="167"/>
      <c r="AE204" s="322"/>
      <c r="AF204" s="167"/>
      <c r="AG204" s="322"/>
      <c r="AH204" s="167"/>
      <c r="AI204" s="322"/>
      <c r="AJ204" s="189">
        <f t="shared" si="32"/>
        <v>0</v>
      </c>
      <c r="AK204" s="116"/>
      <c r="AL204" s="1213"/>
      <c r="AM204" s="31"/>
      <c r="AN204" s="1248"/>
      <c r="AO204" s="13">
        <v>123</v>
      </c>
      <c r="AP204" s="74"/>
      <c r="AQ204" s="75"/>
    </row>
    <row r="205" spans="1:43" ht="25.5" x14ac:dyDescent="0.75">
      <c r="A205" s="1021"/>
      <c r="B205" s="76" t="s">
        <v>150</v>
      </c>
      <c r="C205" s="580" t="s">
        <v>359</v>
      </c>
      <c r="D205" s="77"/>
      <c r="E205" s="78"/>
      <c r="F205" s="78"/>
      <c r="G205" s="78"/>
      <c r="H205" s="78"/>
      <c r="I205" s="78"/>
      <c r="J205" s="78"/>
      <c r="K205" s="78"/>
      <c r="L205" s="78"/>
      <c r="M205" s="79"/>
      <c r="N205" s="78"/>
      <c r="O205" s="79"/>
      <c r="P205" s="78"/>
      <c r="Q205" s="79"/>
      <c r="R205" s="78"/>
      <c r="S205" s="79"/>
      <c r="T205" s="78"/>
      <c r="U205" s="79"/>
      <c r="V205" s="78"/>
      <c r="W205" s="79"/>
      <c r="X205" s="160"/>
      <c r="Y205" s="79"/>
      <c r="Z205" s="621"/>
      <c r="AA205" s="628">
        <f t="shared" si="31"/>
        <v>0</v>
      </c>
      <c r="AB205" s="625"/>
      <c r="AC205" s="319"/>
      <c r="AD205" s="160"/>
      <c r="AE205" s="319"/>
      <c r="AF205" s="160"/>
      <c r="AG205" s="319"/>
      <c r="AH205" s="160"/>
      <c r="AI205" s="319"/>
      <c r="AJ205" s="174">
        <f t="shared" si="32"/>
        <v>0</v>
      </c>
      <c r="AK205" s="569" t="str">
        <f>CONCATENATE(IF(D207&lt;SUM(D208,D209,D210,D211)," * Rescreened and treatment , Total CXCA Screening positive for Age "&amp;D28&amp;" "&amp;D29&amp;" should be greater than or equal to  the sum of (Cryotherapy , Leep , Thermocoagulation and Reffered for treatment)"&amp;CHAR(10),""),IF(E207&lt;SUM(E208,E209,E210,E211)," * Rescreened and treatment , Total CXCA Screening positive for Age "&amp;D28&amp;" "&amp;E29&amp;" should be greater than or equal to  the sum of (Cryotherapy , Leep , Thermocoagulation and Reffered for treatment)"&amp;CHAR(10),""),IF(F207&lt;SUM(F208,F209,F210,F211)," * Rescreened and treatment , Total CXCA Screening positive for Age "&amp;F28&amp;" "&amp;F29&amp;" should be greater than or equal to  the sum of (Cryotherapy , Leep , Thermocoagulation and Reffered for treatment)"&amp;CHAR(10),""),IF(G207&lt;SUM(G208,G209,G210,G211)," * Rescreened and treatment , Total CXCA Screening positive for Age "&amp;F28&amp;" "&amp;G29&amp;" should be greater than or equal to  the sum of (Cryotherapy , Leep , Thermocoagulation and Reffered for treatment)"&amp;CHAR(10),""),IF(H207&lt;SUM(H208,H209,H210,H211)," * Rescreened and treatment , Total CXCA Screening positive for Age "&amp;H28&amp;" "&amp;H29&amp;" should be greater than or equal to  the sum of (Cryotherapy , Leep , Thermocoagulation and Reffered for treatment)"&amp;CHAR(10),""),IF(I207&lt;SUM(I208,I209,I210,I211)," * Rescreened and treatment , Total CXCA Screening positive for Age "&amp;H28&amp;" "&amp;I29&amp;" should be greater than or equal to  the sum of (Cryotherapy , Leep , Thermocoagulation and Reffered for treatment)"&amp;CHAR(10),""),IF(J207&lt;SUM(J208,J209,J210,J211)," * Rescreened and treatment , Total CXCA Screening positive for Age "&amp;J28&amp;" "&amp;J29&amp;" should be greater than or equal to  the sum of (Cryotherapy , Leep , Thermocoagulation and Reffered for treatment)"&amp;CHAR(10),""),IF(K207&lt;SUM(K208,K209,K210,K211)," * Rescreened and treatment , Total CXCA Screening positive for Age "&amp;J28&amp;" "&amp;K29&amp;" should be greater than or equal to  the sum of (Cryotherapy , Leep , Thermocoagulation and Reffered for treatment)"&amp;CHAR(10),""),IF(L207&lt;SUM(L208,L209,L210,L211)," * Rescreened and treatment , Total CXCA Screening positive for Age "&amp;L28&amp;" "&amp;L29&amp;" should be greater than or equal to  the sum of (Cryotherapy , Leep , Thermocoagulation and Reffered for treatment)"&amp;CHAR(10),""),IF(M207&lt;SUM(M208,M209,M210,M211)," * Rescreened and treatment , Total CXCA Screening positive for Age "&amp;L28&amp;" "&amp;M29&amp;" should be greater than or equal to  the sum of (Cryotherapy , Leep , Thermocoagulation and Reffered for treatment)"&amp;CHAR(10),""),IF(N207&lt;SUM(N208,N209,N210,N211)," * Rescreened and treatment , Total CXCA Screening positive for Age "&amp;N28&amp;" "&amp;N29&amp;" should be greater than or equal to  the sum of (Cryotherapy , Leep , Thermocoagulation and Reffered for treatment)"&amp;CHAR(10),""),IF(O207&lt;SUM(O208,O209,O210,O211)," * Rescreened and treatment , Total CXCA Screening positive for Age "&amp;N28&amp;" "&amp;O29&amp;" should be greater than or equal to  the sum of (Cryotherapy , Leep , Thermocoagulation and Reffered for treatment)"&amp;CHAR(10),""),IF(P207&lt;SUM(P208,P209,P210,P211)," * Rescreened and treatment , Total CXCA Screening positive for Age "&amp;P28&amp;" "&amp;P29&amp;" should be greater than or equal to  the sum of (Cryotherapy , Leep , Thermocoagulation and Reffered for treatment)"&amp;CHAR(10),""),IF(Q207&lt;SUM(Q208,Q209,Q210,Q211)," * Rescreened and treatment , Total CXCA Screening positive for Age "&amp;P28&amp;" "&amp;Q29&amp;" should be greater than or equal to  the sum of (Cryotherapy , Leep , Thermocoagulation and Reffered for treatment)"&amp;CHAR(10),""),IF(R207&lt;SUM(R208,R209,R210,R211)," * Rescreened and treatment , Total CXCA Screening positive for Age "&amp;R28&amp;" "&amp;R29&amp;" should be greater than or equal to  the sum of (Cryotherapy , Leep , Thermocoagulation and Reffered for treatment)"&amp;CHAR(10),""),IF(S207&lt;SUM(S208,S209,S210,S211)," * Rescreened and treatment , Total CXCA Screening positive for Age "&amp;R28&amp;" "&amp;S29&amp;" should be greater than or equal to  the sum of (Cryotherapy , Leep , Thermocoagulation and Reffered for treatment)"&amp;CHAR(10),""),IF(T207&lt;SUM(T208,T209,T210,T211)," * Rescreened and treatment , Total CXCA Screening positive for Age "&amp;T28&amp;" "&amp;T29&amp;" should be greater than or equal to  the sum of (Cryotherapy , Leep , Thermocoagulation and Reffered for treatment)"&amp;CHAR(10),""),IF(U207&lt;SUM(U208,U209,U210,U211)," * Rescreened and treatment , Total CXCA Screening positive for Age "&amp;T28&amp;" "&amp;U29&amp;" should be greater than or equal to  the sum of (Cryotherapy , Leep , Thermocoagulation and Reffered for treatment)"&amp;CHAR(10),""),IF(V207&lt;SUM(V208,V209,V210,V211)," * Rescreened and treatment , Total CXCA Screening positive for Age "&amp;V28&amp;" "&amp;V29&amp;" should be greater than or equal to  the sum of (Cryotherapy , Leep , Thermocoagulation and Reffered for treatment)"&amp;CHAR(10),""),IF(W207&lt;SUM(W208,W209,W210,W211)," * Rescreened and treatment , Total CXCA Screening positive for Age "&amp;V28&amp;" "&amp;W29&amp;" should be greater than or equal to  the sum of (Cryotherapy , Leep , Thermocoagulation and Reffered for treatment)"&amp;CHAR(10),""),IF(X207&lt;SUM(X208,X209,X210,X211)," * Rescreened and treatment , Total CXCA Screening positive for Age "&amp;X28&amp;" "&amp;X29&amp;" should be greater than or equal to  the sum of (Cryotherapy , Leep , Thermocoagulation and Reffered for treatment)"&amp;CHAR(10),""),IF(Y207&lt;SUM(Y208,Y209,Y210,Y211)," * Rescreened and treatment , Total CXCA Screening positive for Age "&amp;X28&amp;" "&amp;Y29&amp;" should be greater than or equal to  the sum of (Cryotherapy , Leep , Thermocoagulation and Reffered for treatment)"&amp;CHAR(10),""),IF(Z207&lt;SUM(Z208,Z209,Z210,Z211)," * Rescreened and treatment , Total CXCA Screening positive for Age "&amp;Z28&amp;" "&amp;Z29&amp;" should be greater than or equal to  the sum of (Cryotherapy , Leep , Thermocoagulation and Reffered for treatment)"&amp;CHAR(10),""),IF(AA207&lt;SUM(AA208,AA209,AA210,AA211)," * Rescreened and treatment , Total CXCA Screening positive for Age "&amp;Z28&amp;" "&amp;AA29&amp;" should be greater than or equal to  the sum of (Cryotherapy , Leep , Thermocoagulation and Reffered for treatment)"&amp;CHAR(10),""))</f>
        <v/>
      </c>
      <c r="AL205" s="1213"/>
      <c r="AM205" s="31"/>
      <c r="AN205" s="1248"/>
      <c r="AO205" s="13">
        <v>124</v>
      </c>
      <c r="AP205" s="74"/>
      <c r="AQ205" s="75"/>
    </row>
    <row r="206" spans="1:43" ht="25.5" x14ac:dyDescent="0.75">
      <c r="A206" s="1021"/>
      <c r="B206" s="76" t="s">
        <v>664</v>
      </c>
      <c r="C206" s="580" t="s">
        <v>237</v>
      </c>
      <c r="D206" s="77"/>
      <c r="E206" s="78"/>
      <c r="F206" s="78"/>
      <c r="G206" s="78"/>
      <c r="H206" s="78"/>
      <c r="I206" s="78"/>
      <c r="J206" s="78"/>
      <c r="K206" s="78"/>
      <c r="L206" s="78"/>
      <c r="M206" s="79"/>
      <c r="N206" s="78"/>
      <c r="O206" s="79"/>
      <c r="P206" s="78"/>
      <c r="Q206" s="79"/>
      <c r="R206" s="78"/>
      <c r="S206" s="79"/>
      <c r="T206" s="78"/>
      <c r="U206" s="79"/>
      <c r="V206" s="78"/>
      <c r="W206" s="79"/>
      <c r="X206" s="160"/>
      <c r="Y206" s="79"/>
      <c r="Z206" s="621"/>
      <c r="AA206" s="628">
        <f t="shared" si="31"/>
        <v>0</v>
      </c>
      <c r="AB206" s="625"/>
      <c r="AC206" s="319"/>
      <c r="AD206" s="160"/>
      <c r="AE206" s="319"/>
      <c r="AF206" s="160"/>
      <c r="AG206" s="319"/>
      <c r="AH206" s="160"/>
      <c r="AI206" s="319"/>
      <c r="AJ206" s="174">
        <f t="shared" si="32"/>
        <v>0</v>
      </c>
      <c r="AK206" s="116"/>
      <c r="AL206" s="1213"/>
      <c r="AM206" s="31"/>
      <c r="AN206" s="1248"/>
      <c r="AO206" s="13">
        <v>125</v>
      </c>
      <c r="AP206" s="74"/>
      <c r="AQ206" s="75"/>
    </row>
    <row r="207" spans="1:43" ht="25.5" x14ac:dyDescent="0.75">
      <c r="A207" s="1021"/>
      <c r="B207" s="161" t="s">
        <v>857</v>
      </c>
      <c r="C207" s="580" t="s">
        <v>859</v>
      </c>
      <c r="D207" s="77"/>
      <c r="E207" s="78"/>
      <c r="F207" s="78"/>
      <c r="G207" s="78"/>
      <c r="H207" s="78"/>
      <c r="I207" s="78"/>
      <c r="J207" s="78"/>
      <c r="K207" s="78"/>
      <c r="L207" s="78"/>
      <c r="M207" s="162">
        <f>M206+M205</f>
        <v>0</v>
      </c>
      <c r="N207" s="163"/>
      <c r="O207" s="162">
        <f>O206+O205</f>
        <v>0</v>
      </c>
      <c r="P207" s="78"/>
      <c r="Q207" s="162">
        <f>Q206+Q205</f>
        <v>0</v>
      </c>
      <c r="R207" s="78"/>
      <c r="S207" s="162">
        <f>S206+S205</f>
        <v>0</v>
      </c>
      <c r="T207" s="78"/>
      <c r="U207" s="162">
        <f>U206+U205</f>
        <v>0</v>
      </c>
      <c r="V207" s="78"/>
      <c r="W207" s="162">
        <f>W206+W205</f>
        <v>0</v>
      </c>
      <c r="X207" s="160"/>
      <c r="Y207" s="162">
        <f>Y206+Y205</f>
        <v>0</v>
      </c>
      <c r="Z207" s="621"/>
      <c r="AA207" s="628">
        <f t="shared" si="31"/>
        <v>0</v>
      </c>
      <c r="AB207" s="625"/>
      <c r="AC207" s="341">
        <f>AC206+AC205</f>
        <v>0</v>
      </c>
      <c r="AD207" s="160"/>
      <c r="AE207" s="341">
        <f>AE206+AE205</f>
        <v>0</v>
      </c>
      <c r="AF207" s="160"/>
      <c r="AG207" s="341">
        <f>AG206+AG205</f>
        <v>0</v>
      </c>
      <c r="AH207" s="160"/>
      <c r="AI207" s="341">
        <f>AI206+AI205</f>
        <v>0</v>
      </c>
      <c r="AJ207" s="174">
        <f t="shared" si="32"/>
        <v>0</v>
      </c>
      <c r="AK207" s="116"/>
      <c r="AL207" s="1213"/>
      <c r="AM207" s="31"/>
      <c r="AN207" s="1248"/>
      <c r="AO207" s="13">
        <v>126</v>
      </c>
      <c r="AP207" s="74"/>
      <c r="AQ207" s="75"/>
    </row>
    <row r="208" spans="1:43" ht="25.5" x14ac:dyDescent="0.75">
      <c r="A208" s="1021"/>
      <c r="B208" s="164" t="s">
        <v>1316</v>
      </c>
      <c r="C208" s="580" t="s">
        <v>992</v>
      </c>
      <c r="D208" s="77"/>
      <c r="E208" s="78"/>
      <c r="F208" s="78"/>
      <c r="G208" s="78"/>
      <c r="H208" s="78"/>
      <c r="I208" s="78"/>
      <c r="J208" s="78"/>
      <c r="K208" s="78"/>
      <c r="L208" s="78"/>
      <c r="M208" s="165"/>
      <c r="N208" s="163"/>
      <c r="O208" s="165"/>
      <c r="P208" s="78"/>
      <c r="Q208" s="165"/>
      <c r="R208" s="78"/>
      <c r="S208" s="165"/>
      <c r="T208" s="78"/>
      <c r="U208" s="165"/>
      <c r="V208" s="78"/>
      <c r="W208" s="165"/>
      <c r="X208" s="160"/>
      <c r="Y208" s="165"/>
      <c r="Z208" s="621"/>
      <c r="AA208" s="628">
        <f t="shared" si="31"/>
        <v>0</v>
      </c>
      <c r="AB208" s="625"/>
      <c r="AC208" s="342"/>
      <c r="AD208" s="160"/>
      <c r="AE208" s="342"/>
      <c r="AF208" s="160"/>
      <c r="AG208" s="342"/>
      <c r="AH208" s="160"/>
      <c r="AI208" s="342"/>
      <c r="AJ208" s="174"/>
      <c r="AK208" s="116"/>
      <c r="AL208" s="1213"/>
      <c r="AM208" s="31"/>
      <c r="AN208" s="1248"/>
      <c r="AO208" s="13">
        <v>127</v>
      </c>
      <c r="AP208" s="74"/>
      <c r="AQ208" s="75"/>
    </row>
    <row r="209" spans="1:43" ht="25.5" x14ac:dyDescent="0.75">
      <c r="A209" s="1021"/>
      <c r="B209" s="76" t="s">
        <v>665</v>
      </c>
      <c r="C209" s="580" t="s">
        <v>238</v>
      </c>
      <c r="D209" s="77"/>
      <c r="E209" s="78"/>
      <c r="F209" s="78"/>
      <c r="G209" s="78"/>
      <c r="H209" s="78"/>
      <c r="I209" s="78"/>
      <c r="J209" s="78"/>
      <c r="K209" s="78"/>
      <c r="L209" s="78"/>
      <c r="M209" s="79"/>
      <c r="N209" s="78"/>
      <c r="O209" s="79"/>
      <c r="P209" s="78"/>
      <c r="Q209" s="79"/>
      <c r="R209" s="78"/>
      <c r="S209" s="79"/>
      <c r="T209" s="78"/>
      <c r="U209" s="79"/>
      <c r="V209" s="78"/>
      <c r="W209" s="79"/>
      <c r="X209" s="160"/>
      <c r="Y209" s="79"/>
      <c r="Z209" s="621"/>
      <c r="AA209" s="628">
        <f t="shared" si="31"/>
        <v>0</v>
      </c>
      <c r="AB209" s="625"/>
      <c r="AC209" s="319"/>
      <c r="AD209" s="160"/>
      <c r="AE209" s="319"/>
      <c r="AF209" s="160"/>
      <c r="AG209" s="319"/>
      <c r="AH209" s="160"/>
      <c r="AI209" s="319"/>
      <c r="AJ209" s="174">
        <f t="shared" si="32"/>
        <v>0</v>
      </c>
      <c r="AK209" s="116"/>
      <c r="AL209" s="1213"/>
      <c r="AM209" s="31"/>
      <c r="AN209" s="1248"/>
      <c r="AO209" s="13">
        <v>128</v>
      </c>
      <c r="AP209" s="74"/>
      <c r="AQ209" s="75"/>
    </row>
    <row r="210" spans="1:43" ht="25.5" x14ac:dyDescent="0.75">
      <c r="A210" s="1021"/>
      <c r="B210" s="76" t="s">
        <v>666</v>
      </c>
      <c r="C210" s="580" t="s">
        <v>360</v>
      </c>
      <c r="D210" s="77"/>
      <c r="E210" s="78"/>
      <c r="F210" s="78"/>
      <c r="G210" s="78"/>
      <c r="H210" s="78"/>
      <c r="I210" s="78"/>
      <c r="J210" s="78"/>
      <c r="K210" s="78"/>
      <c r="L210" s="78"/>
      <c r="M210" s="79"/>
      <c r="N210" s="78"/>
      <c r="O210" s="79"/>
      <c r="P210" s="78"/>
      <c r="Q210" s="79"/>
      <c r="R210" s="78"/>
      <c r="S210" s="79"/>
      <c r="T210" s="78"/>
      <c r="U210" s="79"/>
      <c r="V210" s="78"/>
      <c r="W210" s="79"/>
      <c r="X210" s="160"/>
      <c r="Y210" s="79"/>
      <c r="Z210" s="621"/>
      <c r="AA210" s="628">
        <f t="shared" si="31"/>
        <v>0</v>
      </c>
      <c r="AB210" s="625"/>
      <c r="AC210" s="319"/>
      <c r="AD210" s="160"/>
      <c r="AE210" s="319"/>
      <c r="AF210" s="160"/>
      <c r="AG210" s="319"/>
      <c r="AH210" s="160"/>
      <c r="AI210" s="319"/>
      <c r="AJ210" s="174">
        <f t="shared" si="32"/>
        <v>0</v>
      </c>
      <c r="AK210" s="116"/>
      <c r="AL210" s="1213"/>
      <c r="AM210" s="31"/>
      <c r="AN210" s="1248"/>
      <c r="AO210" s="13">
        <v>129</v>
      </c>
      <c r="AP210" s="74"/>
      <c r="AQ210" s="75"/>
    </row>
    <row r="211" spans="1:43" ht="25.9" thickBot="1" x14ac:dyDescent="0.8">
      <c r="A211" s="1070"/>
      <c r="B211" s="87" t="s">
        <v>667</v>
      </c>
      <c r="C211" s="581" t="s">
        <v>240</v>
      </c>
      <c r="D211" s="103"/>
      <c r="E211" s="102"/>
      <c r="F211" s="102"/>
      <c r="G211" s="102"/>
      <c r="H211" s="102"/>
      <c r="I211" s="102"/>
      <c r="J211" s="102"/>
      <c r="K211" s="102"/>
      <c r="L211" s="102"/>
      <c r="M211" s="89"/>
      <c r="N211" s="102"/>
      <c r="O211" s="89"/>
      <c r="P211" s="102"/>
      <c r="Q211" s="89"/>
      <c r="R211" s="102"/>
      <c r="S211" s="89"/>
      <c r="T211" s="102"/>
      <c r="U211" s="89"/>
      <c r="V211" s="102"/>
      <c r="W211" s="89"/>
      <c r="X211" s="166"/>
      <c r="Y211" s="89"/>
      <c r="Z211" s="622"/>
      <c r="AA211" s="628">
        <f t="shared" si="31"/>
        <v>0</v>
      </c>
      <c r="AB211" s="626"/>
      <c r="AC211" s="321"/>
      <c r="AD211" s="166"/>
      <c r="AE211" s="321"/>
      <c r="AF211" s="166"/>
      <c r="AG211" s="321"/>
      <c r="AH211" s="166"/>
      <c r="AI211" s="321"/>
      <c r="AJ211" s="193">
        <f t="shared" si="32"/>
        <v>0</v>
      </c>
      <c r="AK211" s="116"/>
      <c r="AL211" s="1213"/>
      <c r="AM211" s="31"/>
      <c r="AN211" s="1248"/>
      <c r="AO211" s="13">
        <v>130</v>
      </c>
      <c r="AP211" s="74"/>
      <c r="AQ211" s="75"/>
    </row>
    <row r="212" spans="1:43" ht="25.5" x14ac:dyDescent="0.75">
      <c r="A212" s="944" t="s">
        <v>25</v>
      </c>
      <c r="B212" s="91" t="s">
        <v>663</v>
      </c>
      <c r="C212" s="579" t="s">
        <v>361</v>
      </c>
      <c r="D212" s="98"/>
      <c r="E212" s="99"/>
      <c r="F212" s="99"/>
      <c r="G212" s="99"/>
      <c r="H212" s="99"/>
      <c r="I212" s="99"/>
      <c r="J212" s="99"/>
      <c r="K212" s="99"/>
      <c r="L212" s="99"/>
      <c r="M212" s="94"/>
      <c r="N212" s="99"/>
      <c r="O212" s="94"/>
      <c r="P212" s="99"/>
      <c r="Q212" s="94"/>
      <c r="R212" s="99"/>
      <c r="S212" s="94"/>
      <c r="T212" s="99"/>
      <c r="U212" s="94"/>
      <c r="V212" s="99"/>
      <c r="W212" s="94"/>
      <c r="X212" s="167"/>
      <c r="Y212" s="94"/>
      <c r="Z212" s="623"/>
      <c r="AA212" s="628">
        <f t="shared" si="31"/>
        <v>0</v>
      </c>
      <c r="AB212" s="627"/>
      <c r="AC212" s="322"/>
      <c r="AD212" s="167"/>
      <c r="AE212" s="322"/>
      <c r="AF212" s="167"/>
      <c r="AG212" s="322"/>
      <c r="AH212" s="167"/>
      <c r="AI212" s="322"/>
      <c r="AJ212" s="189">
        <f t="shared" si="32"/>
        <v>0</v>
      </c>
      <c r="AK212" s="116"/>
      <c r="AL212" s="1213"/>
      <c r="AM212" s="31"/>
      <c r="AN212" s="1248"/>
      <c r="AO212" s="13">
        <v>131</v>
      </c>
      <c r="AP212" s="74"/>
      <c r="AQ212" s="75"/>
    </row>
    <row r="213" spans="1:43" ht="25.5" x14ac:dyDescent="0.75">
      <c r="A213" s="1021"/>
      <c r="B213" s="76" t="s">
        <v>150</v>
      </c>
      <c r="C213" s="580" t="s">
        <v>362</v>
      </c>
      <c r="D213" s="77"/>
      <c r="E213" s="78"/>
      <c r="F213" s="78"/>
      <c r="G213" s="78"/>
      <c r="H213" s="78"/>
      <c r="I213" s="78"/>
      <c r="J213" s="78"/>
      <c r="K213" s="78"/>
      <c r="L213" s="78"/>
      <c r="M213" s="79"/>
      <c r="N213" s="78"/>
      <c r="O213" s="79"/>
      <c r="P213" s="78"/>
      <c r="Q213" s="79"/>
      <c r="R213" s="78"/>
      <c r="S213" s="79"/>
      <c r="T213" s="78"/>
      <c r="U213" s="79"/>
      <c r="V213" s="78"/>
      <c r="W213" s="79"/>
      <c r="X213" s="160"/>
      <c r="Y213" s="79"/>
      <c r="Z213" s="621"/>
      <c r="AA213" s="628">
        <f t="shared" si="31"/>
        <v>0</v>
      </c>
      <c r="AB213" s="625"/>
      <c r="AC213" s="319"/>
      <c r="AD213" s="160"/>
      <c r="AE213" s="319"/>
      <c r="AF213" s="160"/>
      <c r="AG213" s="319"/>
      <c r="AH213" s="160"/>
      <c r="AI213" s="319"/>
      <c r="AJ213" s="174">
        <f t="shared" si="32"/>
        <v>0</v>
      </c>
      <c r="AK213" s="569" t="str">
        <f>CONCATENATE(IF(D215&lt;SUM(D216,D217,D218,D219)," * Post Treatment Follow up, Total CXCA Screening positive for Age "&amp;D37&amp;" "&amp;D38&amp;" should be greater than or equal to  the sum of (Cryotherapy , Leep , Thermocoagulation and Reffered for treatment)"&amp;CHAR(10),""),IF(E215&lt;SUM(E216,E217,E218,E219)," * Post Treatment Follow up, Total CXCA Screening positive for Age "&amp;D37&amp;" "&amp;E38&amp;" should be greater than or equal to  the sum of (Cryotherapy , Leep , Thermocoagulation and Reffered for treatment)"&amp;CHAR(10),""),IF(F215&lt;SUM(F216,F217,F218,F219)," * Post Treatment Follow up, Total CXCA Screening positive for Age "&amp;F37&amp;" "&amp;F38&amp;" should be greater than or equal to  the sum of (Cryotherapy , Leep , Thermocoagulation and Reffered for treatment)"&amp;CHAR(10),""),IF(G215&lt;SUM(G216,G217,G218,G219)," * Post Treatment Follow up, Total CXCA Screening positive for Age "&amp;F37&amp;" "&amp;G38&amp;" should be greater than or equal to  the sum of (Cryotherapy , Leep , Thermocoagulation and Reffered for treatment)"&amp;CHAR(10),""),IF(H215&lt;SUM(H216,H217,H218,H219)," * Post Treatment Follow up, Total CXCA Screening positive for Age "&amp;H37&amp;" "&amp;H38&amp;" should be greater than or equal to  the sum of (Cryotherapy , Leep , Thermocoagulation and Reffered for treatment)"&amp;CHAR(10),""),IF(I215&lt;SUM(I216,I217,I218,I219)," * Post Treatment Follow up, Total CXCA Screening positive for Age "&amp;H37&amp;" "&amp;I38&amp;" should be greater than or equal to  the sum of (Cryotherapy , Leep , Thermocoagulation and Reffered for treatment)"&amp;CHAR(10),""),IF(J215&lt;SUM(J216,J217,J218,J219)," * Post Treatment Follow up, Total CXCA Screening positive for Age "&amp;J37&amp;" "&amp;J38&amp;" should be greater than or equal to  the sum of (Cryotherapy , Leep , Thermocoagulation and Reffered for treatment)"&amp;CHAR(10),""),IF(K215&lt;SUM(K216,K217,K218,K219)," * Post Treatment Follow up, Total CXCA Screening positive for Age "&amp;J37&amp;" "&amp;K38&amp;" should be greater than or equal to  the sum of (Cryotherapy , Leep , Thermocoagulation and Reffered for treatment)"&amp;CHAR(10),""),IF(L215&lt;SUM(L216,L217,L218,L219)," * Post Treatment Follow up, Total CXCA Screening positive for Age "&amp;L37&amp;" "&amp;L38&amp;" should be greater than or equal to  the sum of (Cryotherapy , Leep , Thermocoagulation and Reffered for treatment)"&amp;CHAR(10),""),IF(M215&lt;SUM(M216,M217,M218,M219)," * Post Treatment Follow up, Total CXCA Screening positive for Age "&amp;L37&amp;" "&amp;M38&amp;" should be greater than or equal to  the sum of (Cryotherapy , Leep , Thermocoagulation and Reffered for treatment)"&amp;CHAR(10),""),IF(N215&lt;SUM(N216,N217,N218,N219)," * Post Treatment Follow up, Total CXCA Screening positive for Age "&amp;N37&amp;" "&amp;N38&amp;" should be greater than or equal to  the sum of (Cryotherapy , Leep , Thermocoagulation and Reffered for treatment)"&amp;CHAR(10),""),IF(O215&lt;SUM(O216,O217,O218,O219)," * Post Treatment Follow up, Total CXCA Screening positive for Age "&amp;N37&amp;" "&amp;O38&amp;" should be greater than or equal to  the sum of (Cryotherapy , Leep , Thermocoagulation and Reffered for treatment)"&amp;CHAR(10),""),IF(P215&lt;SUM(P216,P217,P218,P219)," * Post Treatment Follow up, Total CXCA Screening positive for Age "&amp;P37&amp;" "&amp;P38&amp;" should be greater than or equal to  the sum of (Cryotherapy , Leep , Thermocoagulation and Reffered for treatment)"&amp;CHAR(10),""),IF(Q215&lt;SUM(Q216,Q217,Q218,Q219)," * Post Treatment Follow up, Total CXCA Screening positive for Age "&amp;P37&amp;" "&amp;Q38&amp;" should be greater than or equal to  the sum of (Cryotherapy , Leep , Thermocoagulation and Reffered for treatment)"&amp;CHAR(10),""),IF(R215&lt;SUM(R216,R217,R218,R219)," * Post Treatment Follow up, Total CXCA Screening positive for Age "&amp;R37&amp;" "&amp;R38&amp;" should be greater than or equal to  the sum of (Cryotherapy , Leep , Thermocoagulation and Reffered for treatment)"&amp;CHAR(10),""),IF(S215&lt;SUM(S216,S217,S218,S219)," * Post Treatment Follow up, Total CXCA Screening positive for Age "&amp;R37&amp;" "&amp;S38&amp;" should be greater than or equal to  the sum of (Cryotherapy , Leep , Thermocoagulation and Reffered for treatment)"&amp;CHAR(10),""),IF(T215&lt;SUM(T216,T217,T218,T219)," * Post Treatment Follow up, Total CXCA Screening positive for Age "&amp;T37&amp;" "&amp;T38&amp;" should be greater than or equal to  the sum of (Cryotherapy , Leep , Thermocoagulation and Reffered for treatment)"&amp;CHAR(10),""),IF(U215&lt;SUM(U216,U217,U218,U219)," * Post Treatment Follow up, Total CXCA Screening positive for Age "&amp;T37&amp;" "&amp;U38&amp;" should be greater than or equal to  the sum of (Cryotherapy , Leep , Thermocoagulation and Reffered for treatment)"&amp;CHAR(10),""),IF(V215&lt;SUM(V216,V217,V218,V219)," * Post Treatment Follow up, Total CXCA Screening positive for Age "&amp;V37&amp;" "&amp;V38&amp;" should be greater than or equal to  the sum of (Cryotherapy , Leep , Thermocoagulation and Reffered for treatment)"&amp;CHAR(10),""),IF(W215&lt;SUM(W216,W217,W218,W219)," * Post Treatment Follow up, Total CXCA Screening positive for Age "&amp;V37&amp;" "&amp;W38&amp;" should be greater than or equal to  the sum of (Cryotherapy , Leep , Thermocoagulation and Reffered for treatment)"&amp;CHAR(10),""),IF(X215&lt;SUM(X216,X217,X218,X219)," * Post Treatment Follow up, Total CXCA Screening positive for Age "&amp;X37&amp;" "&amp;X38&amp;" should be greater than or equal to  the sum of (Cryotherapy , Leep , Thermocoagulation and Reffered for treatment)"&amp;CHAR(10),""),IF(Y215&lt;SUM(Y216,Y217,Y218,Y219)," * Post Treatment Follow up, Total CXCA Screening positive for Age "&amp;X37&amp;" "&amp;Y38&amp;" should be greater than or equal to  the sum of (Cryotherapy , Leep , Thermocoagulation and Reffered for treatment)"&amp;CHAR(10),""),IF(Z215&lt;SUM(Z216,Z217,Z218,Z219)," * Post Treatment Follow up, Total CXCA Screening positive for Age "&amp;Z37&amp;" "&amp;Z38&amp;" should be greater than or equal to  the sum of (Cryotherapy , Leep , Thermocoagulation and Reffered for treatment)"&amp;CHAR(10),""),IF(AA215&lt;SUM(AA216,AA217,AA218,AA219)," * Post Treatment Follow up, Total CXCA Screening positive for Age "&amp;Z37&amp;" "&amp;AA38&amp;" should be greater than or equal to  the sum of (Cryotherapy , Leep , Thermocoagulation and Reffered for treatment)"&amp;CHAR(10),""))</f>
        <v/>
      </c>
      <c r="AL213" s="1213"/>
      <c r="AM213" s="31"/>
      <c r="AN213" s="1248"/>
      <c r="AO213" s="13">
        <v>132</v>
      </c>
      <c r="AP213" s="74"/>
      <c r="AQ213" s="75"/>
    </row>
    <row r="214" spans="1:43" ht="25.5" x14ac:dyDescent="0.75">
      <c r="A214" s="1021"/>
      <c r="B214" s="76" t="s">
        <v>664</v>
      </c>
      <c r="C214" s="580" t="s">
        <v>363</v>
      </c>
      <c r="D214" s="77"/>
      <c r="E214" s="78"/>
      <c r="F214" s="78"/>
      <c r="G214" s="78"/>
      <c r="H214" s="78"/>
      <c r="I214" s="78"/>
      <c r="J214" s="78"/>
      <c r="K214" s="78"/>
      <c r="L214" s="78"/>
      <c r="M214" s="79"/>
      <c r="N214" s="78"/>
      <c r="O214" s="79"/>
      <c r="P214" s="78"/>
      <c r="Q214" s="79"/>
      <c r="R214" s="78"/>
      <c r="S214" s="79"/>
      <c r="T214" s="78"/>
      <c r="U214" s="79"/>
      <c r="V214" s="78"/>
      <c r="W214" s="79"/>
      <c r="X214" s="160"/>
      <c r="Y214" s="79"/>
      <c r="Z214" s="621"/>
      <c r="AA214" s="628">
        <f t="shared" si="31"/>
        <v>0</v>
      </c>
      <c r="AB214" s="625"/>
      <c r="AC214" s="319"/>
      <c r="AD214" s="160"/>
      <c r="AE214" s="319"/>
      <c r="AF214" s="160"/>
      <c r="AG214" s="319"/>
      <c r="AH214" s="160"/>
      <c r="AI214" s="319"/>
      <c r="AJ214" s="174">
        <f t="shared" si="32"/>
        <v>0</v>
      </c>
      <c r="AK214" s="116"/>
      <c r="AL214" s="1213"/>
      <c r="AM214" s="31"/>
      <c r="AN214" s="1248"/>
      <c r="AO214" s="13">
        <v>133</v>
      </c>
      <c r="AP214" s="74"/>
      <c r="AQ214" s="75"/>
    </row>
    <row r="215" spans="1:43" ht="25.5" x14ac:dyDescent="0.75">
      <c r="A215" s="1021"/>
      <c r="B215" s="161" t="s">
        <v>857</v>
      </c>
      <c r="C215" s="580" t="s">
        <v>860</v>
      </c>
      <c r="D215" s="77"/>
      <c r="E215" s="78"/>
      <c r="F215" s="78"/>
      <c r="G215" s="78"/>
      <c r="H215" s="78"/>
      <c r="I215" s="78"/>
      <c r="J215" s="78"/>
      <c r="K215" s="78"/>
      <c r="L215" s="78"/>
      <c r="M215" s="162">
        <f>M214+M213</f>
        <v>0</v>
      </c>
      <c r="N215" s="163"/>
      <c r="O215" s="162">
        <f>O214+O213</f>
        <v>0</v>
      </c>
      <c r="P215" s="78"/>
      <c r="Q215" s="162">
        <f>Q214+Q213</f>
        <v>0</v>
      </c>
      <c r="R215" s="78"/>
      <c r="S215" s="162">
        <f>S214+S213</f>
        <v>0</v>
      </c>
      <c r="T215" s="78"/>
      <c r="U215" s="162">
        <f>U214+U213</f>
        <v>0</v>
      </c>
      <c r="V215" s="78"/>
      <c r="W215" s="162">
        <f>W214+W213</f>
        <v>0</v>
      </c>
      <c r="X215" s="160"/>
      <c r="Y215" s="162">
        <f>Y214+Y213</f>
        <v>0</v>
      </c>
      <c r="Z215" s="621"/>
      <c r="AA215" s="628">
        <f t="shared" si="31"/>
        <v>0</v>
      </c>
      <c r="AB215" s="625"/>
      <c r="AC215" s="341">
        <f>AC214+AC213</f>
        <v>0</v>
      </c>
      <c r="AD215" s="160"/>
      <c r="AE215" s="341">
        <f>AE214+AE213</f>
        <v>0</v>
      </c>
      <c r="AF215" s="160"/>
      <c r="AG215" s="341">
        <f>AG214+AG213</f>
        <v>0</v>
      </c>
      <c r="AH215" s="160"/>
      <c r="AI215" s="341">
        <f>AI214+AI213</f>
        <v>0</v>
      </c>
      <c r="AJ215" s="174">
        <f t="shared" si="32"/>
        <v>0</v>
      </c>
      <c r="AK215" s="116"/>
      <c r="AL215" s="1213"/>
      <c r="AM215" s="31"/>
      <c r="AN215" s="1248"/>
      <c r="AO215" s="13">
        <v>134</v>
      </c>
      <c r="AP215" s="74"/>
      <c r="AQ215" s="75"/>
    </row>
    <row r="216" spans="1:43" ht="25.5" x14ac:dyDescent="0.75">
      <c r="A216" s="1021"/>
      <c r="B216" s="164" t="s">
        <v>1316</v>
      </c>
      <c r="C216" s="580" t="s">
        <v>991</v>
      </c>
      <c r="D216" s="77"/>
      <c r="E216" s="78"/>
      <c r="F216" s="78"/>
      <c r="G216" s="78"/>
      <c r="H216" s="78"/>
      <c r="I216" s="78"/>
      <c r="J216" s="78"/>
      <c r="K216" s="78"/>
      <c r="L216" s="78"/>
      <c r="M216" s="165"/>
      <c r="N216" s="163"/>
      <c r="O216" s="165"/>
      <c r="P216" s="78"/>
      <c r="Q216" s="165"/>
      <c r="R216" s="78"/>
      <c r="S216" s="165"/>
      <c r="T216" s="78"/>
      <c r="U216" s="165"/>
      <c r="V216" s="78"/>
      <c r="W216" s="165"/>
      <c r="X216" s="160"/>
      <c r="Y216" s="165"/>
      <c r="Z216" s="621"/>
      <c r="AA216" s="628">
        <f t="shared" si="31"/>
        <v>0</v>
      </c>
      <c r="AB216" s="625"/>
      <c r="AC216" s="342"/>
      <c r="AD216" s="160"/>
      <c r="AE216" s="342"/>
      <c r="AF216" s="160"/>
      <c r="AG216" s="342"/>
      <c r="AH216" s="160"/>
      <c r="AI216" s="342"/>
      <c r="AJ216" s="174"/>
      <c r="AK216" s="116"/>
      <c r="AL216" s="1213"/>
      <c r="AM216" s="31"/>
      <c r="AN216" s="1248"/>
      <c r="AO216" s="13">
        <v>135</v>
      </c>
      <c r="AP216" s="74"/>
      <c r="AQ216" s="75"/>
    </row>
    <row r="217" spans="1:43" ht="25.5" x14ac:dyDescent="0.75">
      <c r="A217" s="1021"/>
      <c r="B217" s="76" t="s">
        <v>665</v>
      </c>
      <c r="C217" s="580" t="s">
        <v>248</v>
      </c>
      <c r="D217" s="77"/>
      <c r="E217" s="78"/>
      <c r="F217" s="78"/>
      <c r="G217" s="78"/>
      <c r="H217" s="78"/>
      <c r="I217" s="78"/>
      <c r="J217" s="78"/>
      <c r="K217" s="78"/>
      <c r="L217" s="78"/>
      <c r="M217" s="79"/>
      <c r="N217" s="78"/>
      <c r="O217" s="79"/>
      <c r="P217" s="78"/>
      <c r="Q217" s="79"/>
      <c r="R217" s="78"/>
      <c r="S217" s="79"/>
      <c r="T217" s="78"/>
      <c r="U217" s="79"/>
      <c r="V217" s="78"/>
      <c r="W217" s="79"/>
      <c r="X217" s="160"/>
      <c r="Y217" s="79"/>
      <c r="Z217" s="621"/>
      <c r="AA217" s="628">
        <f t="shared" si="31"/>
        <v>0</v>
      </c>
      <c r="AB217" s="625"/>
      <c r="AC217" s="319"/>
      <c r="AD217" s="160"/>
      <c r="AE217" s="319"/>
      <c r="AF217" s="160"/>
      <c r="AG217" s="319"/>
      <c r="AH217" s="160"/>
      <c r="AI217" s="319"/>
      <c r="AJ217" s="174">
        <f t="shared" si="32"/>
        <v>0</v>
      </c>
      <c r="AK217" s="116"/>
      <c r="AL217" s="1213"/>
      <c r="AM217" s="31"/>
      <c r="AN217" s="1248"/>
      <c r="AO217" s="13">
        <v>136</v>
      </c>
      <c r="AP217" s="74"/>
      <c r="AQ217" s="75"/>
    </row>
    <row r="218" spans="1:43" ht="25.5" x14ac:dyDescent="0.75">
      <c r="A218" s="1021"/>
      <c r="B218" s="76" t="s">
        <v>666</v>
      </c>
      <c r="C218" s="580" t="s">
        <v>364</v>
      </c>
      <c r="D218" s="77"/>
      <c r="E218" s="78"/>
      <c r="F218" s="78"/>
      <c r="G218" s="78"/>
      <c r="H218" s="78"/>
      <c r="I218" s="78"/>
      <c r="J218" s="78"/>
      <c r="K218" s="78"/>
      <c r="L218" s="78"/>
      <c r="M218" s="79"/>
      <c r="N218" s="78"/>
      <c r="O218" s="79"/>
      <c r="P218" s="78"/>
      <c r="Q218" s="79"/>
      <c r="R218" s="78"/>
      <c r="S218" s="79"/>
      <c r="T218" s="78"/>
      <c r="U218" s="79"/>
      <c r="V218" s="78"/>
      <c r="W218" s="79"/>
      <c r="X218" s="160"/>
      <c r="Y218" s="79"/>
      <c r="Z218" s="621"/>
      <c r="AA218" s="628">
        <f t="shared" si="31"/>
        <v>0</v>
      </c>
      <c r="AB218" s="625"/>
      <c r="AC218" s="319"/>
      <c r="AD218" s="160"/>
      <c r="AE218" s="319"/>
      <c r="AF218" s="160"/>
      <c r="AG218" s="319"/>
      <c r="AH218" s="160"/>
      <c r="AI218" s="319"/>
      <c r="AJ218" s="174">
        <f t="shared" si="32"/>
        <v>0</v>
      </c>
      <c r="AK218" s="116"/>
      <c r="AL218" s="1213"/>
      <c r="AM218" s="31"/>
      <c r="AN218" s="1248"/>
      <c r="AO218" s="13">
        <v>137</v>
      </c>
      <c r="AP218" s="74"/>
      <c r="AQ218" s="75"/>
    </row>
    <row r="219" spans="1:43" ht="25.9" thickBot="1" x14ac:dyDescent="0.8">
      <c r="A219" s="945"/>
      <c r="B219" s="118" t="s">
        <v>667</v>
      </c>
      <c r="C219" s="581" t="s">
        <v>365</v>
      </c>
      <c r="D219" s="133"/>
      <c r="E219" s="120"/>
      <c r="F219" s="120"/>
      <c r="G219" s="120"/>
      <c r="H219" s="120"/>
      <c r="I219" s="120"/>
      <c r="J219" s="120"/>
      <c r="K219" s="120"/>
      <c r="L219" s="120"/>
      <c r="M219" s="89"/>
      <c r="N219" s="102"/>
      <c r="O219" s="89"/>
      <c r="P219" s="102"/>
      <c r="Q219" s="89"/>
      <c r="R219" s="102"/>
      <c r="S219" s="89"/>
      <c r="T219" s="102"/>
      <c r="U219" s="89"/>
      <c r="V219" s="102"/>
      <c r="W219" s="89"/>
      <c r="X219" s="166"/>
      <c r="Y219" s="89"/>
      <c r="Z219" s="622"/>
      <c r="AA219" s="628">
        <f t="shared" si="31"/>
        <v>0</v>
      </c>
      <c r="AB219" s="626"/>
      <c r="AC219" s="321"/>
      <c r="AD219" s="166"/>
      <c r="AE219" s="321"/>
      <c r="AF219" s="166"/>
      <c r="AG219" s="321"/>
      <c r="AH219" s="166"/>
      <c r="AI219" s="321"/>
      <c r="AJ219" s="394">
        <f t="shared" si="32"/>
        <v>0</v>
      </c>
      <c r="AK219" s="122"/>
      <c r="AL219" s="1214"/>
      <c r="AM219" s="123"/>
      <c r="AN219" s="1249"/>
      <c r="AO219" s="13">
        <v>138</v>
      </c>
      <c r="AP219" s="74"/>
      <c r="AQ219" s="75"/>
    </row>
    <row r="220" spans="1:43" ht="25.9" hidden="1" thickBot="1" x14ac:dyDescent="0.8">
      <c r="A220" s="1178" t="s">
        <v>126</v>
      </c>
      <c r="B220" s="1044"/>
      <c r="C220" s="1044"/>
      <c r="D220" s="1044"/>
      <c r="E220" s="1044"/>
      <c r="F220" s="1044"/>
      <c r="G220" s="1044"/>
      <c r="H220" s="1044"/>
      <c r="I220" s="1044"/>
      <c r="J220" s="1044"/>
      <c r="K220" s="1044"/>
      <c r="L220" s="1044"/>
      <c r="M220" s="1044"/>
      <c r="N220" s="1044"/>
      <c r="O220" s="1044"/>
      <c r="P220" s="1044"/>
      <c r="Q220" s="1044"/>
      <c r="R220" s="1044"/>
      <c r="S220" s="1044"/>
      <c r="T220" s="1044"/>
      <c r="U220" s="1044"/>
      <c r="V220" s="1044"/>
      <c r="W220" s="1044"/>
      <c r="X220" s="1044"/>
      <c r="Y220" s="1044"/>
      <c r="Z220" s="1044"/>
      <c r="AA220" s="1077"/>
      <c r="AB220" s="1045"/>
      <c r="AC220" s="1045"/>
      <c r="AD220" s="1045"/>
      <c r="AE220" s="1045"/>
      <c r="AF220" s="1045"/>
      <c r="AG220" s="1045"/>
      <c r="AH220" s="1045"/>
      <c r="AI220" s="1045"/>
      <c r="AJ220" s="1044"/>
      <c r="AK220" s="1044"/>
      <c r="AL220" s="1044"/>
      <c r="AM220" s="1044"/>
      <c r="AN220" s="1046"/>
      <c r="AO220" s="13">
        <v>139</v>
      </c>
      <c r="AP220" s="74"/>
      <c r="AQ220" s="75"/>
    </row>
    <row r="221" spans="1:43" ht="26.25" hidden="1" customHeight="1" x14ac:dyDescent="0.75">
      <c r="A221" s="1039" t="s">
        <v>37</v>
      </c>
      <c r="B221" s="1117" t="s">
        <v>344</v>
      </c>
      <c r="C221" s="1049" t="s">
        <v>325</v>
      </c>
      <c r="D221" s="1057" t="s">
        <v>0</v>
      </c>
      <c r="E221" s="1057"/>
      <c r="F221" s="1057" t="s">
        <v>1</v>
      </c>
      <c r="G221" s="1057"/>
      <c r="H221" s="1057" t="s">
        <v>2</v>
      </c>
      <c r="I221" s="1057"/>
      <c r="J221" s="1057" t="s">
        <v>3</v>
      </c>
      <c r="K221" s="1057"/>
      <c r="L221" s="1057" t="s">
        <v>4</v>
      </c>
      <c r="M221" s="1057"/>
      <c r="N221" s="1057" t="s">
        <v>5</v>
      </c>
      <c r="O221" s="1057"/>
      <c r="P221" s="1057" t="s">
        <v>6</v>
      </c>
      <c r="Q221" s="1057"/>
      <c r="R221" s="1057" t="s">
        <v>7</v>
      </c>
      <c r="S221" s="1057"/>
      <c r="T221" s="1057" t="s">
        <v>8</v>
      </c>
      <c r="U221" s="1057"/>
      <c r="V221" s="1057" t="s">
        <v>23</v>
      </c>
      <c r="W221" s="1057"/>
      <c r="X221" s="1057" t="s">
        <v>24</v>
      </c>
      <c r="Y221" s="1057"/>
      <c r="Z221" s="1057" t="s">
        <v>9</v>
      </c>
      <c r="AA221" s="1012"/>
      <c r="AB221" s="1226"/>
      <c r="AC221" s="1014"/>
      <c r="AD221" s="1014"/>
      <c r="AE221" s="1014"/>
      <c r="AF221" s="1014"/>
      <c r="AG221" s="1014"/>
      <c r="AH221" s="1014"/>
      <c r="AI221" s="1015"/>
      <c r="AJ221" s="1194" t="s">
        <v>19</v>
      </c>
      <c r="AK221" s="1192" t="s">
        <v>378</v>
      </c>
      <c r="AL221" s="1183" t="s">
        <v>384</v>
      </c>
      <c r="AM221" s="1058" t="s">
        <v>385</v>
      </c>
      <c r="AN221" s="1047" t="s">
        <v>385</v>
      </c>
      <c r="AO221" s="13">
        <v>140</v>
      </c>
      <c r="AP221" s="74"/>
      <c r="AQ221" s="75"/>
    </row>
    <row r="222" spans="1:43" ht="27" hidden="1" customHeight="1" thickBot="1" x14ac:dyDescent="0.8">
      <c r="A222" s="1040"/>
      <c r="B222" s="1118"/>
      <c r="C222" s="1050"/>
      <c r="D222" s="295" t="s">
        <v>10</v>
      </c>
      <c r="E222" s="295" t="s">
        <v>11</v>
      </c>
      <c r="F222" s="295" t="s">
        <v>10</v>
      </c>
      <c r="G222" s="295" t="s">
        <v>11</v>
      </c>
      <c r="H222" s="295" t="s">
        <v>10</v>
      </c>
      <c r="I222" s="295" t="s">
        <v>11</v>
      </c>
      <c r="J222" s="295" t="s">
        <v>10</v>
      </c>
      <c r="K222" s="295" t="s">
        <v>11</v>
      </c>
      <c r="L222" s="295" t="s">
        <v>10</v>
      </c>
      <c r="M222" s="295" t="s">
        <v>11</v>
      </c>
      <c r="N222" s="295" t="s">
        <v>10</v>
      </c>
      <c r="O222" s="295" t="s">
        <v>11</v>
      </c>
      <c r="P222" s="295" t="s">
        <v>10</v>
      </c>
      <c r="Q222" s="295" t="s">
        <v>11</v>
      </c>
      <c r="R222" s="295" t="s">
        <v>10</v>
      </c>
      <c r="S222" s="295" t="s">
        <v>11</v>
      </c>
      <c r="T222" s="295" t="s">
        <v>10</v>
      </c>
      <c r="U222" s="295" t="s">
        <v>11</v>
      </c>
      <c r="V222" s="295" t="s">
        <v>10</v>
      </c>
      <c r="W222" s="295" t="s">
        <v>11</v>
      </c>
      <c r="X222" s="295" t="s">
        <v>10</v>
      </c>
      <c r="Y222" s="295" t="s">
        <v>11</v>
      </c>
      <c r="Z222" s="295" t="s">
        <v>10</v>
      </c>
      <c r="AA222" s="506" t="s">
        <v>11</v>
      </c>
      <c r="AB222" s="373"/>
      <c r="AC222" s="374"/>
      <c r="AD222" s="374"/>
      <c r="AE222" s="374"/>
      <c r="AF222" s="374"/>
      <c r="AG222" s="374"/>
      <c r="AH222" s="374"/>
      <c r="AI222" s="375"/>
      <c r="AJ222" s="1195"/>
      <c r="AK222" s="1193"/>
      <c r="AL222" s="1127"/>
      <c r="AM222" s="1058"/>
      <c r="AN222" s="1048"/>
      <c r="AO222" s="13">
        <v>141</v>
      </c>
      <c r="AP222" s="74"/>
      <c r="AQ222" s="75"/>
    </row>
    <row r="223" spans="1:43" ht="30.75" hidden="1" customHeight="1" x14ac:dyDescent="0.75">
      <c r="A223" s="973" t="s">
        <v>950</v>
      </c>
      <c r="B223" s="168" t="s">
        <v>668</v>
      </c>
      <c r="C223" s="578" t="s">
        <v>517</v>
      </c>
      <c r="D223" s="169">
        <f t="shared" ref="D223:AA223" si="33">D8</f>
        <v>0</v>
      </c>
      <c r="E223" s="169">
        <f t="shared" si="33"/>
        <v>0</v>
      </c>
      <c r="F223" s="169">
        <f t="shared" si="33"/>
        <v>0</v>
      </c>
      <c r="G223" s="169">
        <f t="shared" si="33"/>
        <v>0</v>
      </c>
      <c r="H223" s="169">
        <f t="shared" si="33"/>
        <v>0</v>
      </c>
      <c r="I223" s="169">
        <f t="shared" si="33"/>
        <v>0</v>
      </c>
      <c r="J223" s="169">
        <f t="shared" si="33"/>
        <v>0</v>
      </c>
      <c r="K223" s="169">
        <f t="shared" si="33"/>
        <v>0</v>
      </c>
      <c r="L223" s="169">
        <f t="shared" si="33"/>
        <v>0</v>
      </c>
      <c r="M223" s="169">
        <f t="shared" si="33"/>
        <v>0</v>
      </c>
      <c r="N223" s="169">
        <f t="shared" si="33"/>
        <v>0</v>
      </c>
      <c r="O223" s="169">
        <f t="shared" si="33"/>
        <v>0</v>
      </c>
      <c r="P223" s="169">
        <f t="shared" si="33"/>
        <v>0</v>
      </c>
      <c r="Q223" s="169">
        <f t="shared" si="33"/>
        <v>0</v>
      </c>
      <c r="R223" s="169">
        <f t="shared" si="33"/>
        <v>0</v>
      </c>
      <c r="S223" s="169">
        <f t="shared" si="33"/>
        <v>0</v>
      </c>
      <c r="T223" s="169">
        <f t="shared" si="33"/>
        <v>0</v>
      </c>
      <c r="U223" s="169">
        <f t="shared" si="33"/>
        <v>0</v>
      </c>
      <c r="V223" s="169">
        <f t="shared" si="33"/>
        <v>0</v>
      </c>
      <c r="W223" s="169">
        <f t="shared" si="33"/>
        <v>0</v>
      </c>
      <c r="X223" s="169">
        <f t="shared" si="33"/>
        <v>0</v>
      </c>
      <c r="Y223" s="169">
        <f t="shared" si="33"/>
        <v>0</v>
      </c>
      <c r="Z223" s="169">
        <f t="shared" si="33"/>
        <v>0</v>
      </c>
      <c r="AA223" s="169">
        <f t="shared" si="33"/>
        <v>0</v>
      </c>
      <c r="AB223" s="507"/>
      <c r="AC223" s="507"/>
      <c r="AD223" s="507"/>
      <c r="AE223" s="507"/>
      <c r="AF223" s="507"/>
      <c r="AG223" s="507"/>
      <c r="AH223" s="507"/>
      <c r="AI223" s="507"/>
      <c r="AJ223" s="169">
        <f>AJ8</f>
        <v>0</v>
      </c>
      <c r="AK223" s="30" t="str">
        <f>CONCATENATE(IF(D224&gt;D223," * No Screened for GBV "&amp;$D$20&amp;" "&amp;$D$21&amp;" is more than Clients Seen at OPD"&amp;CHAR(10),""),IF(E224&gt;E223," * No Screened For GBV "&amp;$D$20&amp;" "&amp;$E$21&amp;" is more than Clients Seen at OPD"&amp;CHAR(10),""),IF(F224&gt;F223," * No Screened For GBV "&amp;$F$20&amp;" "&amp;$F$21&amp;" is more than Clients Seen at OPD"&amp;CHAR(10),""),IF(G224&gt;G223," * No Screened For GBV "&amp;$F$20&amp;" "&amp;$G$21&amp;" is more than Clients Seen at OPD"&amp;CHAR(10),""),IF(H224&gt;H223," * No Screened For GBV "&amp;$H$20&amp;" "&amp;$H$21&amp;" is more than Clients Seen at OPD"&amp;CHAR(10),""),IF(I224&gt;I223," * No Screened For GBV "&amp;$H$20&amp;" "&amp;$I$21&amp;" is more than Clients Seen at OPD"&amp;CHAR(10),""),IF(J224&gt;J223," * No Screened For GBV "&amp;$J$20&amp;" "&amp;$J$21&amp;" is more than Clients Seen at OPD"&amp;CHAR(10),""),IF(K224&gt;K223," * No Screened For GBV "&amp;$J$20&amp;" "&amp;$K$21&amp;" is more than Clients Seen at OPD"&amp;CHAR(10),""),IF(L224&gt;L223," * No Screened For GBV "&amp;$L$20&amp;" "&amp;$L$21&amp;" is more than Clients Seen at OPD"&amp;CHAR(10),""),IF(M224&gt;M223," * No Screened For GBV "&amp;$L$20&amp;" "&amp;$M$21&amp;" is more than Clients Seen at OPD"&amp;CHAR(10),""),IF(N224&gt;N223," * No Screened For GBV "&amp;$N$20&amp;" "&amp;$N$21&amp;" is more than Clients Seen at OPD"&amp;CHAR(10),""),IF(O224&gt;O223," * No Screened For GBV "&amp;$N$20&amp;" "&amp;$O$21&amp;" is more than Clients Seen at OPD"&amp;CHAR(10),""),IF(P224&gt;P223," * No Screened For GBV "&amp;$P$20&amp;" "&amp;$P$21&amp;" is more than Clients Seen at OPD"&amp;CHAR(10),""),IF(Q224&gt;Q223," * No Screened For GBV "&amp;$P$20&amp;" "&amp;$Q$21&amp;" is more than Clients Seen at OPD"&amp;CHAR(10),""),IF(R224&gt;R223," * No Screened For GBV "&amp;$R$20&amp;" "&amp;$R$21&amp;" is more than Clients Seen at OPD"&amp;CHAR(10),""),IF(S224&gt;S223," * No Screened For GBV "&amp;$R$20&amp;" "&amp;$S$21&amp;" is more than Clients Seen at OPD"&amp;CHAR(10),""),IF(T224&gt;T223," * No Screened For GBV "&amp;$T$20&amp;" "&amp;$T$21&amp;" is more than Clients Seen at OPD"&amp;CHAR(10),""),IF(U224&gt;U223," * No Screened For GBV "&amp;$T$20&amp;" "&amp;$U$21&amp;" is more than Clients Seen at OPD"&amp;CHAR(10),""),IF(V224&gt;V223," * No Screened For GBV "&amp;$V$20&amp;" "&amp;$V$21&amp;" is more than Clients Seen at OPD"&amp;CHAR(10),""),IF(W224&gt;W223," * No Screened For GBV "&amp;$V$20&amp;" "&amp;$W$21&amp;" is more than Clients Seen at OPD"&amp;CHAR(10),""),IF(X224&gt;X223," * No Screened For GBV "&amp;$X$20&amp;" "&amp;$X$21&amp;" is more than Clients Seen at OPD"&amp;CHAR(10),""),IF(Y224&gt;Y223," * No Screened For GBV "&amp;$X$20&amp;" "&amp;$Y$21&amp;" is more than Clients Seen at OPD"&amp;CHAR(10),""),IF(Z224&gt;Z223," * No Screened For GBV "&amp;$Z$20&amp;" "&amp;$Z$21&amp;" is more than Clients Seen at OPD"&amp;CHAR(10),""),IF(AA224&gt;AA223," * No Screened For GBV "&amp;$Z$20&amp;" "&amp;$AA$21&amp;" is more than Clients Seen at OPD"&amp;CHAR(10),""))</f>
        <v/>
      </c>
      <c r="AL223" s="1227" t="str">
        <f>CONCATENATE(AK223,AK224,AK225,AK226,AK227,AK228,AK229,AK230,AK231)</f>
        <v/>
      </c>
      <c r="AM223" s="73"/>
      <c r="AN223" s="1288" t="str">
        <f>CONCATENATE(AM223,AM260,AM261,AM262,AM263,AM264,AM265,AM266,AM267,AM268,AM269,AM270,AM271,AM272,AM273)</f>
        <v/>
      </c>
      <c r="AO223" s="13">
        <v>142</v>
      </c>
      <c r="AP223" s="74"/>
      <c r="AQ223" s="75"/>
    </row>
    <row r="224" spans="1:43" ht="25.9" hidden="1" thickBot="1" x14ac:dyDescent="0.8">
      <c r="A224" s="973"/>
      <c r="B224" s="170" t="s">
        <v>905</v>
      </c>
      <c r="C224" s="576" t="s">
        <v>518</v>
      </c>
      <c r="D224" s="171"/>
      <c r="E224" s="171"/>
      <c r="F224" s="171"/>
      <c r="G224" s="171"/>
      <c r="H224" s="171"/>
      <c r="I224" s="171"/>
      <c r="J224" s="171"/>
      <c r="K224" s="171"/>
      <c r="L224" s="171"/>
      <c r="M224" s="171"/>
      <c r="N224" s="171"/>
      <c r="O224" s="171"/>
      <c r="P224" s="171"/>
      <c r="Q224" s="171"/>
      <c r="R224" s="171"/>
      <c r="S224" s="171"/>
      <c r="T224" s="171"/>
      <c r="U224" s="171"/>
      <c r="V224" s="171"/>
      <c r="W224" s="171"/>
      <c r="X224" s="171"/>
      <c r="Y224" s="171"/>
      <c r="Z224" s="171"/>
      <c r="AA224" s="171"/>
      <c r="AB224" s="343"/>
      <c r="AC224" s="343"/>
      <c r="AD224" s="343"/>
      <c r="AE224" s="343"/>
      <c r="AF224" s="343"/>
      <c r="AG224" s="343"/>
      <c r="AH224" s="343"/>
      <c r="AI224" s="343"/>
      <c r="AJ224" s="29">
        <f>SUM(D224:AA224)</f>
        <v>0</v>
      </c>
      <c r="AK224" s="130"/>
      <c r="AL224" s="1228"/>
      <c r="AM224" s="31"/>
      <c r="AN224" s="1289"/>
      <c r="AO224" s="13">
        <v>143</v>
      </c>
      <c r="AP224" s="74"/>
      <c r="AQ224" s="75"/>
    </row>
    <row r="225" spans="1:43" ht="25.9" hidden="1" thickBot="1" x14ac:dyDescent="0.8">
      <c r="A225" s="973"/>
      <c r="B225" s="172" t="s">
        <v>909</v>
      </c>
      <c r="C225" s="576" t="s">
        <v>870</v>
      </c>
      <c r="D225" s="173">
        <f>D226+D228+D230+D231</f>
        <v>0</v>
      </c>
      <c r="E225" s="173">
        <f t="shared" ref="E225:AA225" si="34">E226+E228+E230+E231</f>
        <v>0</v>
      </c>
      <c r="F225" s="173">
        <f t="shared" si="34"/>
        <v>0</v>
      </c>
      <c r="G225" s="173">
        <f t="shared" si="34"/>
        <v>0</v>
      </c>
      <c r="H225" s="173">
        <f t="shared" si="34"/>
        <v>0</v>
      </c>
      <c r="I225" s="173">
        <f t="shared" si="34"/>
        <v>0</v>
      </c>
      <c r="J225" s="173">
        <f t="shared" si="34"/>
        <v>0</v>
      </c>
      <c r="K225" s="173">
        <f t="shared" si="34"/>
        <v>0</v>
      </c>
      <c r="L225" s="173">
        <f t="shared" si="34"/>
        <v>0</v>
      </c>
      <c r="M225" s="173">
        <f t="shared" si="34"/>
        <v>0</v>
      </c>
      <c r="N225" s="173">
        <f t="shared" si="34"/>
        <v>0</v>
      </c>
      <c r="O225" s="173">
        <f t="shared" si="34"/>
        <v>0</v>
      </c>
      <c r="P225" s="173">
        <f t="shared" si="34"/>
        <v>0</v>
      </c>
      <c r="Q225" s="173">
        <f t="shared" si="34"/>
        <v>0</v>
      </c>
      <c r="R225" s="173">
        <f t="shared" si="34"/>
        <v>0</v>
      </c>
      <c r="S225" s="173">
        <f t="shared" si="34"/>
        <v>0</v>
      </c>
      <c r="T225" s="173">
        <f t="shared" si="34"/>
        <v>0</v>
      </c>
      <c r="U225" s="173">
        <f t="shared" si="34"/>
        <v>0</v>
      </c>
      <c r="V225" s="173">
        <f t="shared" si="34"/>
        <v>0</v>
      </c>
      <c r="W225" s="173">
        <f t="shared" si="34"/>
        <v>0</v>
      </c>
      <c r="X225" s="173">
        <f t="shared" si="34"/>
        <v>0</v>
      </c>
      <c r="Y225" s="173">
        <f t="shared" si="34"/>
        <v>0</v>
      </c>
      <c r="Z225" s="173">
        <f t="shared" si="34"/>
        <v>0</v>
      </c>
      <c r="AA225" s="173">
        <f t="shared" si="34"/>
        <v>0</v>
      </c>
      <c r="AB225" s="344"/>
      <c r="AC225" s="344"/>
      <c r="AD225" s="344"/>
      <c r="AE225" s="344"/>
      <c r="AF225" s="344"/>
      <c r="AG225" s="344"/>
      <c r="AH225" s="344"/>
      <c r="AI225" s="344"/>
      <c r="AJ225" s="174">
        <f t="shared" ref="AJ225:AJ231" si="35">SUM(D225:AA225)</f>
        <v>0</v>
      </c>
      <c r="AK225" s="130"/>
      <c r="AL225" s="1228"/>
      <c r="AM225" s="31"/>
      <c r="AN225" s="1289"/>
      <c r="AO225" s="13">
        <v>144</v>
      </c>
      <c r="AP225" s="74"/>
      <c r="AQ225" s="75"/>
    </row>
    <row r="226" spans="1:43" ht="25.9" hidden="1" thickBot="1" x14ac:dyDescent="0.8">
      <c r="A226" s="973"/>
      <c r="B226" s="170" t="s">
        <v>861</v>
      </c>
      <c r="C226" s="576" t="s">
        <v>871</v>
      </c>
      <c r="D226" s="175"/>
      <c r="E226" s="175"/>
      <c r="F226" s="175"/>
      <c r="G226" s="175"/>
      <c r="H226" s="175"/>
      <c r="I226" s="175"/>
      <c r="J226" s="175"/>
      <c r="K226" s="175"/>
      <c r="L226" s="175"/>
      <c r="M226" s="175"/>
      <c r="N226" s="175"/>
      <c r="O226" s="175"/>
      <c r="P226" s="175"/>
      <c r="Q226" s="175"/>
      <c r="R226" s="175"/>
      <c r="S226" s="175"/>
      <c r="T226" s="175"/>
      <c r="U226" s="175"/>
      <c r="V226" s="175"/>
      <c r="W226" s="175"/>
      <c r="X226" s="175"/>
      <c r="Y226" s="175"/>
      <c r="Z226" s="175"/>
      <c r="AA226" s="175"/>
      <c r="AB226" s="345"/>
      <c r="AC226" s="345"/>
      <c r="AD226" s="345"/>
      <c r="AE226" s="345"/>
      <c r="AF226" s="345"/>
      <c r="AG226" s="345"/>
      <c r="AH226" s="345"/>
      <c r="AI226" s="345"/>
      <c r="AJ226" s="29">
        <f t="shared" si="35"/>
        <v>0</v>
      </c>
      <c r="AK226" s="30" t="str">
        <f>CONCATENATE(IF(D227&gt;D226," * OPD Sexual Violence Initiated Pep "&amp;$D$20&amp;" "&amp;$D$21&amp;" is more than OPD Sexual Violence Rape Survivors"&amp;CHAR(10),""),IF(E227&gt;E226," * OPD Sexual Violence Initiated Pep "&amp;$D$20&amp;" "&amp;$E$21&amp;" is more than OPD Sexual Violence Rape Survivors"&amp;CHAR(10),""),IF(F227&gt;F226," * OPD Sexual Violence Initiated Pep "&amp;$F$20&amp;" "&amp;$F$21&amp;" is more than OPD Sexual Violence Rape Survivors"&amp;CHAR(10),""),IF(G227&gt;G226," * OPD Sexual Violence Initiated Pep "&amp;$F$20&amp;" "&amp;$G$21&amp;" is more than OPD Sexual Violence Rape Survivors"&amp;CHAR(10),""),IF(H227&gt;H226," * OPD Sexual Violence Initiated Pep "&amp;$H$20&amp;" "&amp;$H$21&amp;" is more than OPD Sexual Violence Rape Survivors"&amp;CHAR(10),""),IF(I227&gt;I226," * OPD Sexual Violence Initiated Pep "&amp;$H$20&amp;" "&amp;$I$21&amp;" is more than OPD Sexual Violence Rape Survivors"&amp;CHAR(10),""),IF(J227&gt;J226," * OPD Sexual Violence Initiated Pep "&amp;$J$20&amp;" "&amp;$J$21&amp;" is more than OPD Sexual Violence Rape Survivors"&amp;CHAR(10),""),IF(K227&gt;K226," * OPD Sexual Violence Initiated Pep "&amp;$J$20&amp;" "&amp;$K$21&amp;" is more than OPD Sexual Violence Rape Survivors"&amp;CHAR(10),""),IF(L227&gt;L226," * OPD Sexual Violence Initiated Pep "&amp;$L$20&amp;" "&amp;$L$21&amp;" is more than OPD Sexual Violence Rape Survivors"&amp;CHAR(10),""),IF(M227&gt;M226," * OPD Sexual Violence Initiated Pep "&amp;$L$20&amp;" "&amp;$M$21&amp;" is more than OPD Sexual Violence Rape Survivors"&amp;CHAR(10),""),IF(N227&gt;N226," * OPD Sexual Violence Initiated Pep "&amp;$N$20&amp;" "&amp;$N$21&amp;" is more than OPD Sexual Violence Rape Survivors"&amp;CHAR(10),""),IF(O227&gt;O226," * OPD Sexual Violence Initiated Pep "&amp;$N$20&amp;" "&amp;$O$21&amp;" is more than OPD Sexual Violence Rape Survivors"&amp;CHAR(10),""),IF(P227&gt;P226," * OPD Sexual Violence Initiated Pep "&amp;$P$20&amp;" "&amp;$P$21&amp;" is more than OPD Sexual Violence Rape Survivors"&amp;CHAR(10),""),IF(Q227&gt;Q226," * OPD Sexual Violence Initiated Pep "&amp;$P$20&amp;" "&amp;$Q$21&amp;" is more than OPD Sexual Violence Rape Survivors"&amp;CHAR(10),""),IF(R227&gt;R226," * OPD Sexual Violence Initiated Pep "&amp;$R$20&amp;" "&amp;$R$21&amp;" is more than OPD Sexual Violence Rape Survivors"&amp;CHAR(10),""),IF(S227&gt;S226," * OPD Sexual Violence Initiated Pep "&amp;$R$20&amp;" "&amp;$S$21&amp;" is more than OPD Sexual Violence Rape Survivors"&amp;CHAR(10),""),IF(T227&gt;T226," * OPD Sexual Violence Initiated Pep "&amp;$T$20&amp;" "&amp;$T$21&amp;" is more than OPD Sexual Violence Rape Survivors"&amp;CHAR(10),""),IF(U227&gt;U226," * OPD Sexual Violence Initiated Pep "&amp;$T$20&amp;" "&amp;$U$21&amp;" is more than OPD Sexual Violence Rape Survivors"&amp;CHAR(10),""),IF(V227&gt;V226," * OPD Sexual Violence Initiated Pep "&amp;$V$20&amp;" "&amp;$V$21&amp;" is more than OPD Sexual Violence Rape Survivors"&amp;CHAR(10),""),IF(W227&gt;W226," * OPD Sexual Violence Initiated Pep "&amp;$V$20&amp;" "&amp;$W$21&amp;" is more than OPD Sexual Violence Rape Survivors"&amp;CHAR(10),""),IF(X227&gt;X226," * OPD Sexual Violence Initiated Pep "&amp;$X$20&amp;" "&amp;$X$21&amp;" is more than OPD Sexual Violence Rape Survivors"&amp;CHAR(10),""),IF(Y227&gt;Y226," * OPD Sexual Violence Initiated Pep "&amp;$X$20&amp;" "&amp;$Y$21&amp;" is more than OPD Sexual Violence Rape Survivors"&amp;CHAR(10),""),IF(Z227&gt;Z226," * OPD Sexual Violence Initiated Pep "&amp;$Z$20&amp;" "&amp;$Z$21&amp;" is more than OPD Sexual Violence Rape Survivors"&amp;CHAR(10),""),IF(AA227&gt;AA226," * OPD Sexual Violence Initiated Pep "&amp;$Z$20&amp;" "&amp;$AA$21&amp;" is more than OPD Sexual Violence Rape Survivors"&amp;CHAR(10),""))</f>
        <v/>
      </c>
      <c r="AL226" s="1228"/>
      <c r="AM226" s="31"/>
      <c r="AN226" s="1289"/>
      <c r="AO226" s="13">
        <v>145</v>
      </c>
      <c r="AP226" s="74"/>
      <c r="AQ226" s="75"/>
    </row>
    <row r="227" spans="1:43" ht="25.9" hidden="1" thickBot="1" x14ac:dyDescent="0.8">
      <c r="A227" s="973"/>
      <c r="B227" s="170" t="s">
        <v>862</v>
      </c>
      <c r="C227" s="576" t="s">
        <v>872</v>
      </c>
      <c r="D227" s="176"/>
      <c r="E227" s="176"/>
      <c r="F227" s="176"/>
      <c r="G227" s="176"/>
      <c r="H227" s="176"/>
      <c r="I227" s="176"/>
      <c r="J227" s="176"/>
      <c r="K227" s="176"/>
      <c r="L227" s="176"/>
      <c r="M227" s="176"/>
      <c r="N227" s="176"/>
      <c r="O227" s="176"/>
      <c r="P227" s="176"/>
      <c r="Q227" s="176"/>
      <c r="R227" s="176"/>
      <c r="S227" s="176"/>
      <c r="T227" s="176"/>
      <c r="U227" s="176"/>
      <c r="V227" s="176"/>
      <c r="W227" s="176"/>
      <c r="X227" s="176"/>
      <c r="Y227" s="176"/>
      <c r="Z227" s="176"/>
      <c r="AA227" s="176"/>
      <c r="AB227" s="345"/>
      <c r="AC227" s="345"/>
      <c r="AD227" s="345"/>
      <c r="AE227" s="345"/>
      <c r="AF227" s="345"/>
      <c r="AG227" s="345"/>
      <c r="AH227" s="345"/>
      <c r="AI227" s="345"/>
      <c r="AJ227" s="29">
        <f t="shared" si="35"/>
        <v>0</v>
      </c>
      <c r="AK227" s="130"/>
      <c r="AL227" s="1228"/>
      <c r="AM227" s="31"/>
      <c r="AN227" s="1289"/>
      <c r="AO227" s="13">
        <v>146</v>
      </c>
      <c r="AP227" s="74"/>
      <c r="AQ227" s="75"/>
    </row>
    <row r="228" spans="1:43" ht="25.9" hidden="1" thickBot="1" x14ac:dyDescent="0.8">
      <c r="A228" s="973"/>
      <c r="B228" s="170" t="s">
        <v>863</v>
      </c>
      <c r="C228" s="576" t="s">
        <v>873</v>
      </c>
      <c r="D228" s="175"/>
      <c r="E228" s="175"/>
      <c r="F228" s="175"/>
      <c r="G228" s="175"/>
      <c r="H228" s="175"/>
      <c r="I228" s="175"/>
      <c r="J228" s="175"/>
      <c r="K228" s="175"/>
      <c r="L228" s="175"/>
      <c r="M228" s="175"/>
      <c r="N228" s="175"/>
      <c r="O228" s="175"/>
      <c r="P228" s="175"/>
      <c r="Q228" s="175"/>
      <c r="R228" s="175"/>
      <c r="S228" s="175"/>
      <c r="T228" s="175"/>
      <c r="U228" s="175"/>
      <c r="V228" s="175"/>
      <c r="W228" s="175"/>
      <c r="X228" s="175"/>
      <c r="Y228" s="175"/>
      <c r="Z228" s="175"/>
      <c r="AA228" s="175"/>
      <c r="AB228" s="345"/>
      <c r="AC228" s="345"/>
      <c r="AD228" s="345"/>
      <c r="AE228" s="345"/>
      <c r="AF228" s="345"/>
      <c r="AG228" s="345"/>
      <c r="AH228" s="345"/>
      <c r="AI228" s="345"/>
      <c r="AJ228" s="29">
        <f t="shared" si="35"/>
        <v>0</v>
      </c>
      <c r="AK228" s="30" t="str">
        <f>CONCATENATE(IF(D229&gt;D228," * OPD  Physical Violence Initiated Pep "&amp;$D$20&amp;" "&amp;$D$21&amp;" is more than OPD Physical Violence Rape Survivors"&amp;CHAR(10),""),IF(E229&gt;E228," * OPD  Physical Violence Initiated Pep "&amp;$D$20&amp;" "&amp;$E$21&amp;" is more than OPD Physical Violence Rape Survivors"&amp;CHAR(10),""),IF(F229&gt;F228," * OPD  Physical Violence Initiated Pep "&amp;$F$20&amp;" "&amp;$F$21&amp;" is more than OPD Physical Violence Rape Survivors"&amp;CHAR(10),""),IF(G229&gt;G228," * OPD  Physical Violence Initiated Pep "&amp;$F$20&amp;" "&amp;$G$21&amp;" is more than OPD Physical Violence Rape Survivors"&amp;CHAR(10),""),IF(H229&gt;H228," * OPD  Physical Violence Initiated Pep "&amp;$H$20&amp;" "&amp;$H$21&amp;" is more than OPD Physical Violence Rape Survivors"&amp;CHAR(10),""),IF(I229&gt;I228," * OPD  Physical Violence Initiated Pep "&amp;$H$20&amp;" "&amp;$I$21&amp;" is more than OPD Physical Violence Rape Survivors"&amp;CHAR(10),""),IF(J229&gt;J228," * OPD  Physical Violence Initiated Pep "&amp;$J$20&amp;" "&amp;$J$21&amp;" is more than OPD Physical Violence Rape Survivors"&amp;CHAR(10),""),IF(K229&gt;K228," * OPD  Physical Violence Initiated Pep "&amp;$J$20&amp;" "&amp;$K$21&amp;" is more than OPD Physical Violence Rape Survivors"&amp;CHAR(10),""),IF(L229&gt;L228," * OPD  Physical Violence Initiated Pep "&amp;$L$20&amp;" "&amp;$L$21&amp;" is more than OPD Physical Violence Rape Survivors"&amp;CHAR(10),""),IF(M229&gt;M228," * OPD  Physical Violence Initiated Pep "&amp;$L$20&amp;" "&amp;$M$21&amp;" is more than OPD Physical Violence Rape Survivors"&amp;CHAR(10),""),IF(N229&gt;N228," * OPD  Physical Violence Initiated Pep "&amp;$N$20&amp;" "&amp;$N$21&amp;" is more than OPD Physical Violence Rape Survivors"&amp;CHAR(10),""),IF(O229&gt;O228," * OPD  Physical Violence Initiated Pep "&amp;$N$20&amp;" "&amp;$O$21&amp;" is more than OPD Physical Violence Rape Survivors"&amp;CHAR(10),""),IF(P229&gt;P228," * OPD  Physical Violence Initiated Pep "&amp;$P$20&amp;" "&amp;$P$21&amp;" is more than OPD Physical Violence Rape Survivors"&amp;CHAR(10),""),IF(Q229&gt;Q228," * OPD  Physical Violence Initiated Pep "&amp;$P$20&amp;" "&amp;$Q$21&amp;" is more than OPD Physical Violence Rape Survivors"&amp;CHAR(10),""),IF(R229&gt;R228," * OPD  Physical Violence Initiated Pep "&amp;$R$20&amp;" "&amp;$R$21&amp;" is more than OPD Physical Violence Rape Survivors"&amp;CHAR(10),""),IF(S229&gt;S228," * OPD  Physical Violence Initiated Pep "&amp;$R$20&amp;" "&amp;$S$21&amp;" is more than OPD Physical Violence Rape Survivors"&amp;CHAR(10),""),IF(T229&gt;T228," * OPD  Physical Violence Initiated Pep "&amp;$T$20&amp;" "&amp;$T$21&amp;" is more than OPD Physical Violence Rape Survivors"&amp;CHAR(10),""),IF(U229&gt;U228," * OPD  Physical Violence Initiated Pep "&amp;$T$20&amp;" "&amp;$U$21&amp;" is more than OPD Physical Violence Rape Survivors"&amp;CHAR(10),""),IF(V229&gt;V228," * OPD  Physical Violence Initiated Pep "&amp;$V$20&amp;" "&amp;$V$21&amp;" is more than OPD Physical Violence Rape Survivors"&amp;CHAR(10),""),IF(W229&gt;W228," * OPD  Physical Violence Initiated Pep "&amp;$V$20&amp;" "&amp;$W$21&amp;" is more than OPD Physical Violence Rape Survivors"&amp;CHAR(10),""),IF(X229&gt;X228," * OPD  Physical Violence Initiated Pep "&amp;$X$20&amp;" "&amp;$X$21&amp;" is more than OPD Physical Violence Rape Survivors"&amp;CHAR(10),""),IF(Y229&gt;Y228," * OPD  Physical Violence Initiated Pep "&amp;$X$20&amp;" "&amp;$Y$21&amp;" is more than OPD Physical Violence Rape Survivors"&amp;CHAR(10),""),IF(Z229&gt;Z228," * OPD  Physical Violence Initiated Pep "&amp;$Z$20&amp;" "&amp;$Z$21&amp;" is more than OPD Physical Violence Rape Survivors"&amp;CHAR(10),""),IF(AA229&gt;AA228," * OPD  Physical Violence Initiated Pep "&amp;$Z$20&amp;" "&amp;$AA$21&amp;" is more than OPD Physical Violence Rape Survivors"&amp;CHAR(10),""))</f>
        <v/>
      </c>
      <c r="AL228" s="1228"/>
      <c r="AM228" s="31"/>
      <c r="AN228" s="1289"/>
      <c r="AO228" s="13">
        <v>147</v>
      </c>
      <c r="AP228" s="74"/>
      <c r="AQ228" s="75"/>
    </row>
    <row r="229" spans="1:43" ht="25.9" hidden="1" thickBot="1" x14ac:dyDescent="0.8">
      <c r="A229" s="973"/>
      <c r="B229" s="170" t="s">
        <v>864</v>
      </c>
      <c r="C229" s="576" t="s">
        <v>874</v>
      </c>
      <c r="D229" s="176"/>
      <c r="E229" s="176"/>
      <c r="F229" s="176"/>
      <c r="G229" s="176"/>
      <c r="H229" s="176"/>
      <c r="I229" s="176"/>
      <c r="J229" s="176"/>
      <c r="K229" s="176"/>
      <c r="L229" s="176"/>
      <c r="M229" s="176"/>
      <c r="N229" s="176"/>
      <c r="O229" s="176"/>
      <c r="P229" s="176"/>
      <c r="Q229" s="176"/>
      <c r="R229" s="176"/>
      <c r="S229" s="176"/>
      <c r="T229" s="176"/>
      <c r="U229" s="176"/>
      <c r="V229" s="176"/>
      <c r="W229" s="176"/>
      <c r="X229" s="176"/>
      <c r="Y229" s="176"/>
      <c r="Z229" s="176"/>
      <c r="AA229" s="176"/>
      <c r="AB229" s="345"/>
      <c r="AC229" s="345"/>
      <c r="AD229" s="345"/>
      <c r="AE229" s="345"/>
      <c r="AF229" s="345"/>
      <c r="AG229" s="345"/>
      <c r="AH229" s="345"/>
      <c r="AI229" s="345"/>
      <c r="AJ229" s="29">
        <f t="shared" si="35"/>
        <v>0</v>
      </c>
      <c r="AK229" s="130"/>
      <c r="AL229" s="1228"/>
      <c r="AM229" s="31"/>
      <c r="AN229" s="1289"/>
      <c r="AO229" s="13">
        <v>148</v>
      </c>
      <c r="AP229" s="74"/>
      <c r="AQ229" s="75"/>
    </row>
    <row r="230" spans="1:43" ht="25.9" hidden="1" thickBot="1" x14ac:dyDescent="0.8">
      <c r="A230" s="973"/>
      <c r="B230" s="170" t="s">
        <v>865</v>
      </c>
      <c r="C230" s="576" t="s">
        <v>875</v>
      </c>
      <c r="D230" s="177"/>
      <c r="E230" s="176"/>
      <c r="F230" s="176"/>
      <c r="G230" s="176"/>
      <c r="H230" s="176"/>
      <c r="I230" s="176"/>
      <c r="J230" s="176"/>
      <c r="K230" s="176"/>
      <c r="L230" s="176"/>
      <c r="M230" s="176"/>
      <c r="N230" s="176"/>
      <c r="O230" s="176"/>
      <c r="P230" s="176"/>
      <c r="Q230" s="176"/>
      <c r="R230" s="176"/>
      <c r="S230" s="176"/>
      <c r="T230" s="176"/>
      <c r="U230" s="176"/>
      <c r="V230" s="176"/>
      <c r="W230" s="176"/>
      <c r="X230" s="176"/>
      <c r="Y230" s="176"/>
      <c r="Z230" s="176"/>
      <c r="AA230" s="178"/>
      <c r="AB230" s="345"/>
      <c r="AC230" s="345"/>
      <c r="AD230" s="345"/>
      <c r="AE230" s="345"/>
      <c r="AF230" s="345"/>
      <c r="AG230" s="345"/>
      <c r="AH230" s="345"/>
      <c r="AI230" s="345"/>
      <c r="AJ230" s="29">
        <f t="shared" si="35"/>
        <v>0</v>
      </c>
      <c r="AK230" s="130"/>
      <c r="AL230" s="1228"/>
      <c r="AM230" s="31"/>
      <c r="AN230" s="1289"/>
      <c r="AO230" s="13">
        <v>149</v>
      </c>
      <c r="AP230" s="74"/>
      <c r="AQ230" s="75"/>
    </row>
    <row r="231" spans="1:43" ht="25.9" hidden="1" thickBot="1" x14ac:dyDescent="0.8">
      <c r="A231" s="974"/>
      <c r="B231" s="179" t="s">
        <v>900</v>
      </c>
      <c r="C231" s="577" t="s">
        <v>876</v>
      </c>
      <c r="D231" s="180"/>
      <c r="E231" s="181"/>
      <c r="F231" s="181"/>
      <c r="G231" s="181"/>
      <c r="H231" s="181"/>
      <c r="I231" s="181"/>
      <c r="J231" s="181"/>
      <c r="K231" s="181"/>
      <c r="L231" s="181"/>
      <c r="M231" s="181"/>
      <c r="N231" s="181"/>
      <c r="O231" s="181"/>
      <c r="P231" s="181"/>
      <c r="Q231" s="181"/>
      <c r="R231" s="181"/>
      <c r="S231" s="181"/>
      <c r="T231" s="181"/>
      <c r="U231" s="181"/>
      <c r="V231" s="181"/>
      <c r="W231" s="181"/>
      <c r="X231" s="181"/>
      <c r="Y231" s="181"/>
      <c r="Z231" s="181"/>
      <c r="AA231" s="182"/>
      <c r="AB231" s="345"/>
      <c r="AC231" s="345"/>
      <c r="AD231" s="345"/>
      <c r="AE231" s="345"/>
      <c r="AF231" s="345"/>
      <c r="AG231" s="345"/>
      <c r="AH231" s="345"/>
      <c r="AI231" s="345"/>
      <c r="AJ231" s="29">
        <f t="shared" si="35"/>
        <v>0</v>
      </c>
      <c r="AK231" s="130"/>
      <c r="AL231" s="1292"/>
      <c r="AM231" s="73"/>
      <c r="AN231" s="1289"/>
      <c r="AO231" s="13">
        <v>150</v>
      </c>
      <c r="AP231" s="74"/>
      <c r="AQ231" s="75"/>
    </row>
    <row r="232" spans="1:43" ht="25.9" hidden="1" thickBot="1" x14ac:dyDescent="0.8">
      <c r="A232" s="972" t="s">
        <v>867</v>
      </c>
      <c r="B232" s="168" t="s">
        <v>911</v>
      </c>
      <c r="C232" s="578" t="s">
        <v>877</v>
      </c>
      <c r="D232" s="169">
        <f t="shared" ref="D232:AA232" si="36">D11</f>
        <v>0</v>
      </c>
      <c r="E232" s="169">
        <f t="shared" si="36"/>
        <v>0</v>
      </c>
      <c r="F232" s="169">
        <f t="shared" si="36"/>
        <v>0</v>
      </c>
      <c r="G232" s="169">
        <f t="shared" si="36"/>
        <v>0</v>
      </c>
      <c r="H232" s="169">
        <f t="shared" si="36"/>
        <v>0</v>
      </c>
      <c r="I232" s="169">
        <f t="shared" si="36"/>
        <v>0</v>
      </c>
      <c r="J232" s="169">
        <f t="shared" si="36"/>
        <v>0</v>
      </c>
      <c r="K232" s="169">
        <f t="shared" si="36"/>
        <v>0</v>
      </c>
      <c r="L232" s="169">
        <f t="shared" si="36"/>
        <v>0</v>
      </c>
      <c r="M232" s="169">
        <f t="shared" si="36"/>
        <v>0</v>
      </c>
      <c r="N232" s="169">
        <f t="shared" si="36"/>
        <v>0</v>
      </c>
      <c r="O232" s="169">
        <f t="shared" si="36"/>
        <v>0</v>
      </c>
      <c r="P232" s="169">
        <f t="shared" si="36"/>
        <v>0</v>
      </c>
      <c r="Q232" s="169">
        <f t="shared" si="36"/>
        <v>0</v>
      </c>
      <c r="R232" s="169">
        <f t="shared" si="36"/>
        <v>0</v>
      </c>
      <c r="S232" s="169">
        <f t="shared" si="36"/>
        <v>0</v>
      </c>
      <c r="T232" s="169">
        <f t="shared" si="36"/>
        <v>0</v>
      </c>
      <c r="U232" s="169">
        <f t="shared" si="36"/>
        <v>0</v>
      </c>
      <c r="V232" s="169">
        <f t="shared" si="36"/>
        <v>0</v>
      </c>
      <c r="W232" s="169">
        <f t="shared" si="36"/>
        <v>0</v>
      </c>
      <c r="X232" s="169">
        <f t="shared" si="36"/>
        <v>0</v>
      </c>
      <c r="Y232" s="169">
        <f t="shared" si="36"/>
        <v>0</v>
      </c>
      <c r="Z232" s="169">
        <f t="shared" si="36"/>
        <v>0</v>
      </c>
      <c r="AA232" s="169">
        <f t="shared" si="36"/>
        <v>0</v>
      </c>
      <c r="AB232" s="169"/>
      <c r="AC232" s="169"/>
      <c r="AD232" s="169"/>
      <c r="AE232" s="169"/>
      <c r="AF232" s="169"/>
      <c r="AG232" s="169"/>
      <c r="AH232" s="169"/>
      <c r="AI232" s="169"/>
      <c r="AJ232" s="169">
        <f>AJ11</f>
        <v>0</v>
      </c>
      <c r="AK232" s="30" t="str">
        <f>CONCATENATE(IF(D233&gt;D232," * No Screened for GBV "&amp;$D$20&amp;" "&amp;$D$21&amp;" is more than Clients Seen at IPD"&amp;CHAR(10),""),IF(E233&gt;E232," * No Screened For GBV "&amp;$D$20&amp;" "&amp;$E$21&amp;" is more than Clients Seen at IPD"&amp;CHAR(10),""),IF(F233&gt;F232," * No Screened For GBV "&amp;$F$20&amp;" "&amp;$F$21&amp;" is more than Clients Seen at IPD"&amp;CHAR(10),""),IF(G233&gt;G232," * No Screened For GBV "&amp;$F$20&amp;" "&amp;$G$21&amp;" is more than Clients Seen at IPD"&amp;CHAR(10),""),IF(H233&gt;H232," * No Screened For GBV "&amp;$H$20&amp;" "&amp;$H$21&amp;" is more than Clients Seen at IPD"&amp;CHAR(10),""),IF(I233&gt;I232," * No Screened For GBV "&amp;$H$20&amp;" "&amp;$I$21&amp;" is more than Clients Seen at IPD"&amp;CHAR(10),""),IF(J233&gt;J232," * No Screened For GBV "&amp;$J$20&amp;" "&amp;$J$21&amp;" is more than Clients Seen at IPD"&amp;CHAR(10),""),IF(K233&gt;K232," * No Screened For GBV "&amp;$J$20&amp;" "&amp;$K$21&amp;" is more than Clients Seen at IPD"&amp;CHAR(10),""),IF(L233&gt;L232," * No Screened For GBV "&amp;$L$20&amp;" "&amp;$L$21&amp;" is more than Clients Seen at IPD"&amp;CHAR(10),""),IF(M233&gt;M232," * No Screened For GBV "&amp;$L$20&amp;" "&amp;$M$21&amp;" is more than Clients Seen at IPD"&amp;CHAR(10),""),IF(N233&gt;N232," * No Screened For GBV "&amp;$N$20&amp;" "&amp;$N$21&amp;" is more than Clients Seen at IPD"&amp;CHAR(10),""),IF(O233&gt;O232," * No Screened For GBV "&amp;$N$20&amp;" "&amp;$O$21&amp;" is more than Clients Seen at IPD"&amp;CHAR(10),""),IF(P233&gt;P232," * No Screened For GBV "&amp;$P$20&amp;" "&amp;$P$21&amp;" is more than Clients Seen at IPD"&amp;CHAR(10),""),IF(Q233&gt;Q232," * No Screened For GBV "&amp;$P$20&amp;" "&amp;$Q$21&amp;" is more than Clients Seen at IPD"&amp;CHAR(10),""),IF(R233&gt;R232," * No Screened For GBV "&amp;$R$20&amp;" "&amp;$R$21&amp;" is more than Clients Seen at IPD"&amp;CHAR(10),""),IF(S233&gt;S232," * No Screened For GBV "&amp;$R$20&amp;" "&amp;$S$21&amp;" is more than Clients Seen at IPD"&amp;CHAR(10),""),IF(T233&gt;T232," * No Screened For GBV "&amp;$T$20&amp;" "&amp;$T$21&amp;" is more than Clients Seen at IPD"&amp;CHAR(10),""),IF(U233&gt;U232," * No Screened For GBV "&amp;$T$20&amp;" "&amp;$U$21&amp;" is more than Clients Seen at IPD"&amp;CHAR(10),""),IF(V233&gt;V232," * No Screened For GBV "&amp;$V$20&amp;" "&amp;$V$21&amp;" is more than Clients Seen at IPD"&amp;CHAR(10),""),IF(W233&gt;W232," * No Screened For GBV "&amp;$V$20&amp;" "&amp;$W$21&amp;" is more than Clients Seen at IPD"&amp;CHAR(10),""),IF(X233&gt;X232," * No Screened For GBV "&amp;$X$20&amp;" "&amp;$X$21&amp;" is more than Clients Seen at IPD"&amp;CHAR(10),""),IF(Y233&gt;Y232," * No Screened For GBV "&amp;$X$20&amp;" "&amp;$Y$21&amp;" is more than Clients Seen at IPD"&amp;CHAR(10),""),IF(Z233&gt;Z232," * No Screened For GBV "&amp;$Z$20&amp;" "&amp;$Z$21&amp;" is more than Clients Seen at IPD"&amp;CHAR(10),""),IF(AA233&gt;AA232," * No Screened For GBV "&amp;$Z$20&amp;" "&amp;$AA$21&amp;" is more than Clients Seen at IPD"&amp;CHAR(10),""))</f>
        <v/>
      </c>
      <c r="AL232" s="1103" t="str">
        <f>CONCATENATE(AK232,AK233,AK234,AK235,AK236,AK237,AK238,AK239,AK240)</f>
        <v/>
      </c>
      <c r="AM232" s="73"/>
      <c r="AN232" s="1289"/>
      <c r="AO232" s="13">
        <v>151</v>
      </c>
      <c r="AP232" s="74"/>
      <c r="AQ232" s="75"/>
    </row>
    <row r="233" spans="1:43" ht="25.9" hidden="1" thickBot="1" x14ac:dyDescent="0.8">
      <c r="A233" s="973"/>
      <c r="B233" s="170" t="s">
        <v>906</v>
      </c>
      <c r="C233" s="576" t="s">
        <v>878</v>
      </c>
      <c r="D233" s="171"/>
      <c r="E233" s="171"/>
      <c r="F233" s="171"/>
      <c r="G233" s="171"/>
      <c r="H233" s="171"/>
      <c r="I233" s="171"/>
      <c r="J233" s="171"/>
      <c r="K233" s="171"/>
      <c r="L233" s="171"/>
      <c r="M233" s="171"/>
      <c r="N233" s="171"/>
      <c r="O233" s="171"/>
      <c r="P233" s="171"/>
      <c r="Q233" s="171"/>
      <c r="R233" s="171"/>
      <c r="S233" s="171"/>
      <c r="T233" s="171"/>
      <c r="U233" s="171"/>
      <c r="V233" s="171"/>
      <c r="W233" s="171"/>
      <c r="X233" s="171"/>
      <c r="Y233" s="171"/>
      <c r="Z233" s="171"/>
      <c r="AA233" s="171"/>
      <c r="AB233" s="345"/>
      <c r="AC233" s="345"/>
      <c r="AD233" s="345"/>
      <c r="AE233" s="345"/>
      <c r="AF233" s="345"/>
      <c r="AG233" s="345"/>
      <c r="AH233" s="345"/>
      <c r="AI233" s="345"/>
      <c r="AJ233" s="66">
        <f t="shared" ref="AJ233:AJ258" si="37">SUM(D233:AA233)</f>
        <v>0</v>
      </c>
      <c r="AK233" s="130"/>
      <c r="AL233" s="1088"/>
      <c r="AM233" s="31"/>
      <c r="AN233" s="1289"/>
      <c r="AO233" s="13">
        <v>152</v>
      </c>
      <c r="AP233" s="74"/>
      <c r="AQ233" s="75"/>
    </row>
    <row r="234" spans="1:43" ht="25.9" hidden="1" thickBot="1" x14ac:dyDescent="0.8">
      <c r="A234" s="973"/>
      <c r="B234" s="172" t="s">
        <v>914</v>
      </c>
      <c r="C234" s="576" t="s">
        <v>879</v>
      </c>
      <c r="D234" s="173">
        <f>D235+D237+D239+D240</f>
        <v>0</v>
      </c>
      <c r="E234" s="173">
        <f t="shared" ref="E234" si="38">E235+E237+E239+E240</f>
        <v>0</v>
      </c>
      <c r="F234" s="173">
        <f t="shared" ref="F234" si="39">F235+F237+F239+F240</f>
        <v>0</v>
      </c>
      <c r="G234" s="173">
        <f t="shared" ref="G234" si="40">G235+G237+G239+G240</f>
        <v>0</v>
      </c>
      <c r="H234" s="173">
        <f t="shared" ref="H234" si="41">H235+H237+H239+H240</f>
        <v>0</v>
      </c>
      <c r="I234" s="173">
        <f t="shared" ref="I234" si="42">I235+I237+I239+I240</f>
        <v>0</v>
      </c>
      <c r="J234" s="173">
        <f t="shared" ref="J234" si="43">J235+J237+J239+J240</f>
        <v>0</v>
      </c>
      <c r="K234" s="173">
        <f t="shared" ref="K234" si="44">K235+K237+K239+K240</f>
        <v>0</v>
      </c>
      <c r="L234" s="173">
        <f t="shared" ref="L234" si="45">L235+L237+L239+L240</f>
        <v>0</v>
      </c>
      <c r="M234" s="173">
        <f t="shared" ref="M234" si="46">M235+M237+M239+M240</f>
        <v>0</v>
      </c>
      <c r="N234" s="173">
        <f t="shared" ref="N234" si="47">N235+N237+N239+N240</f>
        <v>0</v>
      </c>
      <c r="O234" s="173">
        <f t="shared" ref="O234" si="48">O235+O237+O239+O240</f>
        <v>0</v>
      </c>
      <c r="P234" s="173">
        <f t="shared" ref="P234" si="49">P235+P237+P239+P240</f>
        <v>0</v>
      </c>
      <c r="Q234" s="173">
        <f t="shared" ref="Q234" si="50">Q235+Q237+Q239+Q240</f>
        <v>0</v>
      </c>
      <c r="R234" s="173">
        <f t="shared" ref="R234" si="51">R235+R237+R239+R240</f>
        <v>0</v>
      </c>
      <c r="S234" s="173">
        <f t="shared" ref="S234" si="52">S235+S237+S239+S240</f>
        <v>0</v>
      </c>
      <c r="T234" s="173">
        <f t="shared" ref="T234" si="53">T235+T237+T239+T240</f>
        <v>0</v>
      </c>
      <c r="U234" s="173">
        <f t="shared" ref="U234" si="54">U235+U237+U239+U240</f>
        <v>0</v>
      </c>
      <c r="V234" s="173">
        <f t="shared" ref="V234" si="55">V235+V237+V239+V240</f>
        <v>0</v>
      </c>
      <c r="W234" s="173">
        <f t="shared" ref="W234" si="56">W235+W237+W239+W240</f>
        <v>0</v>
      </c>
      <c r="X234" s="173">
        <f t="shared" ref="X234" si="57">X235+X237+X239+X240</f>
        <v>0</v>
      </c>
      <c r="Y234" s="173">
        <f t="shared" ref="Y234" si="58">Y235+Y237+Y239+Y240</f>
        <v>0</v>
      </c>
      <c r="Z234" s="173">
        <f t="shared" ref="Z234" si="59">Z235+Z237+Z239+Z240</f>
        <v>0</v>
      </c>
      <c r="AA234" s="173">
        <f t="shared" ref="AA234" si="60">AA235+AA237+AA239+AA240</f>
        <v>0</v>
      </c>
      <c r="AB234" s="344"/>
      <c r="AC234" s="344"/>
      <c r="AD234" s="344"/>
      <c r="AE234" s="344"/>
      <c r="AF234" s="344"/>
      <c r="AG234" s="344"/>
      <c r="AH234" s="344"/>
      <c r="AI234" s="344"/>
      <c r="AJ234" s="66">
        <f t="shared" si="37"/>
        <v>0</v>
      </c>
      <c r="AK234" s="130"/>
      <c r="AL234" s="1088"/>
      <c r="AM234" s="31"/>
      <c r="AN234" s="1289"/>
      <c r="AO234" s="13">
        <v>153</v>
      </c>
      <c r="AP234" s="74"/>
      <c r="AQ234" s="75"/>
    </row>
    <row r="235" spans="1:43" ht="25.9" hidden="1" thickBot="1" x14ac:dyDescent="0.8">
      <c r="A235" s="973"/>
      <c r="B235" s="170" t="s">
        <v>861</v>
      </c>
      <c r="C235" s="576" t="s">
        <v>880</v>
      </c>
      <c r="D235" s="175"/>
      <c r="E235" s="175"/>
      <c r="F235" s="175"/>
      <c r="G235" s="175"/>
      <c r="H235" s="175"/>
      <c r="I235" s="175"/>
      <c r="J235" s="175"/>
      <c r="K235" s="175"/>
      <c r="L235" s="175"/>
      <c r="M235" s="175"/>
      <c r="N235" s="175"/>
      <c r="O235" s="175"/>
      <c r="P235" s="175"/>
      <c r="Q235" s="175"/>
      <c r="R235" s="175"/>
      <c r="S235" s="175"/>
      <c r="T235" s="175"/>
      <c r="U235" s="175"/>
      <c r="V235" s="175"/>
      <c r="W235" s="175"/>
      <c r="X235" s="175"/>
      <c r="Y235" s="175"/>
      <c r="Z235" s="175"/>
      <c r="AA235" s="175"/>
      <c r="AB235" s="345"/>
      <c r="AC235" s="345"/>
      <c r="AD235" s="345"/>
      <c r="AE235" s="345"/>
      <c r="AF235" s="345"/>
      <c r="AG235" s="345"/>
      <c r="AH235" s="345"/>
      <c r="AI235" s="345"/>
      <c r="AJ235" s="66">
        <f t="shared" si="37"/>
        <v>0</v>
      </c>
      <c r="AK235" s="30" t="str">
        <f>CONCATENATE(IF(D236&gt;D235," * IPD Sexual Violence Initiated Pep "&amp;$D$20&amp;" "&amp;$D$21&amp;" is more than IPD Sexual Violence Rape Survivors"&amp;CHAR(10),""),IF(E236&gt;E235," * IPD Sexual Violence Initiated Pep "&amp;$D$20&amp;" "&amp;$E$21&amp;" is more than IPD Sexual Violence Rape Survivors"&amp;CHAR(10),""),IF(F236&gt;F235," * IPD Sexual Violence Initiated Pep "&amp;$F$20&amp;" "&amp;$F$21&amp;" is more than IPD Sexual Violence Rape Survivors"&amp;CHAR(10),""),IF(G236&gt;G235," * IPD Sexual Violence Initiated Pep "&amp;$F$20&amp;" "&amp;$G$21&amp;" is more than IPD Sexual Violence Rape Survivors"&amp;CHAR(10),""),IF(H236&gt;H235," * IPD Sexual Violence Initiated Pep "&amp;$H$20&amp;" "&amp;$H$21&amp;" is more than IPD Sexual Violence Rape Survivors"&amp;CHAR(10),""),IF(I236&gt;I235," * IPD Sexual Violence Initiated Pep "&amp;$H$20&amp;" "&amp;$I$21&amp;" is more than IPD Sexual Violence Rape Survivors"&amp;CHAR(10),""),IF(J236&gt;J235," * IPD Sexual Violence Initiated Pep "&amp;$J$20&amp;" "&amp;$J$21&amp;" is more than IPD Sexual Violence Rape Survivors"&amp;CHAR(10),""),IF(K236&gt;K235," * IPD Sexual Violence Initiated Pep "&amp;$J$20&amp;" "&amp;$K$21&amp;" is more than IPD Sexual Violence Rape Survivors"&amp;CHAR(10),""),IF(L236&gt;L235," * IPD Sexual Violence Initiated Pep "&amp;$L$20&amp;" "&amp;$L$21&amp;" is more than IPD Sexual Violence Rape Survivors"&amp;CHAR(10),""),IF(M236&gt;M235," * IPD Sexual Violence Initiated Pep "&amp;$L$20&amp;" "&amp;$M$21&amp;" is more than IPD Sexual Violence Rape Survivors"&amp;CHAR(10),""),IF(N236&gt;N235," * IPD Sexual Violence Initiated Pep "&amp;$N$20&amp;" "&amp;$N$21&amp;" is more than IPD Sexual Violence Rape Survivors"&amp;CHAR(10),""),IF(O236&gt;O235," * IPD Sexual Violence Initiated Pep "&amp;$N$20&amp;" "&amp;$O$21&amp;" is more than IPD Sexual Violence Rape Survivors"&amp;CHAR(10),""),IF(P236&gt;P235," * IPD Sexual Violence Initiated Pep "&amp;$P$20&amp;" "&amp;$P$21&amp;" is more than IPD Sexual Violence Rape Survivors"&amp;CHAR(10),""),IF(Q236&gt;Q235," * IPD Sexual Violence Initiated Pep "&amp;$P$20&amp;" "&amp;$Q$21&amp;" is more than IPD Sexual Violence Rape Survivors"&amp;CHAR(10),""),IF(R236&gt;R235," * IPD Sexual Violence Initiated Pep "&amp;$R$20&amp;" "&amp;$R$21&amp;" is more than IPD Sexual Violence Rape Survivors"&amp;CHAR(10),""),IF(S236&gt;S235," * IPD Sexual Violence Initiated Pep "&amp;$R$20&amp;" "&amp;$S$21&amp;" is more than IPD Sexual Violence Rape Survivors"&amp;CHAR(10),""),IF(T236&gt;T235," * IPD Sexual Violence Initiated Pep "&amp;$T$20&amp;" "&amp;$T$21&amp;" is more than IPD Sexual Violence Rape Survivors"&amp;CHAR(10),""),IF(U236&gt;U235," * IPD Sexual Violence Initiated Pep "&amp;$T$20&amp;" "&amp;$U$21&amp;" is more than IPD Sexual Violence Rape Survivors"&amp;CHAR(10),""),IF(V236&gt;V235," * IPD Sexual Violence Initiated Pep "&amp;$V$20&amp;" "&amp;$V$21&amp;" is more than IPD Sexual Violence Rape Survivors"&amp;CHAR(10),""),IF(W236&gt;W235," * IPD Sexual Violence Initiated Pep "&amp;$V$20&amp;" "&amp;$W$21&amp;" is more than IPD Sexual Violence Rape Survivors"&amp;CHAR(10),""),IF(X236&gt;X235," * IPD Sexual Violence Initiated Pep "&amp;$X$20&amp;" "&amp;$X$21&amp;" is more than IPD Sexual Violence Rape Survivors"&amp;CHAR(10),""),IF(Y236&gt;Y235," * IPD Sexual Violence Initiated Pep "&amp;$X$20&amp;" "&amp;$Y$21&amp;" is more than IPD Sexual Violence Rape Survivors"&amp;CHAR(10),""),IF(Z236&gt;Z235," * IPD Sexual Violence Initiated Pep "&amp;$Z$20&amp;" "&amp;$Z$21&amp;" is more than IPD Sexual Violence Rape Survivors"&amp;CHAR(10),""),IF(AA236&gt;AA235," * IPD Sexual Violence Initiated Pep "&amp;$Z$20&amp;" "&amp;$AA$21&amp;" is more than IPD Sexual Violence Rape Survivors"&amp;CHAR(10),""))</f>
        <v/>
      </c>
      <c r="AL235" s="1088"/>
      <c r="AM235" s="31"/>
      <c r="AN235" s="1289"/>
      <c r="AO235" s="13">
        <v>154</v>
      </c>
      <c r="AP235" s="74"/>
      <c r="AQ235" s="75"/>
    </row>
    <row r="236" spans="1:43" ht="25.9" hidden="1" thickBot="1" x14ac:dyDescent="0.8">
      <c r="A236" s="973"/>
      <c r="B236" s="170" t="s">
        <v>862</v>
      </c>
      <c r="C236" s="576" t="s">
        <v>881</v>
      </c>
      <c r="D236" s="176"/>
      <c r="E236" s="176"/>
      <c r="F236" s="176"/>
      <c r="G236" s="176"/>
      <c r="H236" s="176"/>
      <c r="I236" s="176"/>
      <c r="J236" s="176"/>
      <c r="K236" s="176"/>
      <c r="L236" s="176"/>
      <c r="M236" s="176"/>
      <c r="N236" s="176"/>
      <c r="O236" s="176"/>
      <c r="P236" s="176"/>
      <c r="Q236" s="176"/>
      <c r="R236" s="176"/>
      <c r="S236" s="176"/>
      <c r="T236" s="176"/>
      <c r="U236" s="176"/>
      <c r="V236" s="176"/>
      <c r="W236" s="176"/>
      <c r="X236" s="176"/>
      <c r="Y236" s="176"/>
      <c r="Z236" s="176"/>
      <c r="AA236" s="176"/>
      <c r="AB236" s="345"/>
      <c r="AC236" s="345"/>
      <c r="AD236" s="345"/>
      <c r="AE236" s="345"/>
      <c r="AF236" s="345"/>
      <c r="AG236" s="345"/>
      <c r="AH236" s="345"/>
      <c r="AI236" s="345"/>
      <c r="AJ236" s="66">
        <f t="shared" si="37"/>
        <v>0</v>
      </c>
      <c r="AK236" s="130"/>
      <c r="AL236" s="1088"/>
      <c r="AM236" s="31"/>
      <c r="AN236" s="1289"/>
      <c r="AO236" s="13">
        <v>155</v>
      </c>
      <c r="AP236" s="74"/>
      <c r="AQ236" s="75"/>
    </row>
    <row r="237" spans="1:43" ht="25.9" hidden="1" thickBot="1" x14ac:dyDescent="0.8">
      <c r="A237" s="973"/>
      <c r="B237" s="170" t="s">
        <v>863</v>
      </c>
      <c r="C237" s="576" t="s">
        <v>882</v>
      </c>
      <c r="D237" s="175"/>
      <c r="E237" s="175"/>
      <c r="F237" s="175"/>
      <c r="G237" s="175"/>
      <c r="H237" s="175"/>
      <c r="I237" s="175"/>
      <c r="J237" s="175"/>
      <c r="K237" s="175"/>
      <c r="L237" s="175"/>
      <c r="M237" s="175"/>
      <c r="N237" s="175"/>
      <c r="O237" s="175"/>
      <c r="P237" s="175"/>
      <c r="Q237" s="175"/>
      <c r="R237" s="175"/>
      <c r="S237" s="175"/>
      <c r="T237" s="175"/>
      <c r="U237" s="175"/>
      <c r="V237" s="175"/>
      <c r="W237" s="175"/>
      <c r="X237" s="175"/>
      <c r="Y237" s="175"/>
      <c r="Z237" s="175"/>
      <c r="AA237" s="175"/>
      <c r="AB237" s="345"/>
      <c r="AC237" s="345"/>
      <c r="AD237" s="345"/>
      <c r="AE237" s="345"/>
      <c r="AF237" s="345"/>
      <c r="AG237" s="345"/>
      <c r="AH237" s="345"/>
      <c r="AI237" s="345"/>
      <c r="AJ237" s="66">
        <f t="shared" si="37"/>
        <v>0</v>
      </c>
      <c r="AK237" s="30" t="str">
        <f>CONCATENATE(IF(D238&gt;D237," * IPD  Physical Violence Initiated Pep "&amp;$D$20&amp;" "&amp;$D$21&amp;" is more than IPD Physical Violence Rape Survivors"&amp;CHAR(10),""),IF(E238&gt;E237," * IPD  Physical Violence Initiated Pep "&amp;$D$20&amp;" "&amp;$E$21&amp;" is more than IPD Physical Violence Rape Survivors"&amp;CHAR(10),""),IF(F238&gt;F237," * IPD  Physical Violence Initiated Pep "&amp;$F$20&amp;" "&amp;$F$21&amp;" is more than IPD Physical Violence Rape Survivors"&amp;CHAR(10),""),IF(G238&gt;G237," * IPD  Physical Violence Initiated Pep "&amp;$F$20&amp;" "&amp;$G$21&amp;" is more than IPD Physical Violence Rape Survivors"&amp;CHAR(10),""),IF(H238&gt;H237," * IPD  Physical Violence Initiated Pep "&amp;$H$20&amp;" "&amp;$H$21&amp;" is more than IPD Physical Violence Rape Survivors"&amp;CHAR(10),""),IF(I238&gt;I237," * IPD  Physical Violence Initiated Pep "&amp;$H$20&amp;" "&amp;$I$21&amp;" is more than IPD Physical Violence Rape Survivors"&amp;CHAR(10),""),IF(J238&gt;J237," * IPD  Physical Violence Initiated Pep "&amp;$J$20&amp;" "&amp;$J$21&amp;" is more than IPD Physical Violence Rape Survivors"&amp;CHAR(10),""),IF(K238&gt;K237," * IPD  Physical Violence Initiated Pep "&amp;$J$20&amp;" "&amp;$K$21&amp;" is more than IPD Physical Violence Rape Survivors"&amp;CHAR(10),""),IF(L238&gt;L237," * IPD  Physical Violence Initiated Pep "&amp;$L$20&amp;" "&amp;$L$21&amp;" is more than IPD Physical Violence Rape Survivors"&amp;CHAR(10),""),IF(M238&gt;M237," * IPD  Physical Violence Initiated Pep "&amp;$L$20&amp;" "&amp;$M$21&amp;" is more than IPD Physical Violence Rape Survivors"&amp;CHAR(10),""),IF(N238&gt;N237," * IPD  Physical Violence Initiated Pep "&amp;$N$20&amp;" "&amp;$N$21&amp;" is more than IPD Physical Violence Rape Survivors"&amp;CHAR(10),""),IF(O238&gt;O237," * IPD  Physical Violence Initiated Pep "&amp;$N$20&amp;" "&amp;$O$21&amp;" is more than IPD Physical Violence Rape Survivors"&amp;CHAR(10),""),IF(P238&gt;P237," * IPD  Physical Violence Initiated Pep "&amp;$P$20&amp;" "&amp;$P$21&amp;" is more than IPD Physical Violence Rape Survivors"&amp;CHAR(10),""),IF(Q238&gt;Q237," * IPD  Physical Violence Initiated Pep "&amp;$P$20&amp;" "&amp;$Q$21&amp;" is more than IPD Physical Violence Rape Survivors"&amp;CHAR(10),""),IF(R238&gt;R237," * IPD  Physical Violence Initiated Pep "&amp;$R$20&amp;" "&amp;$R$21&amp;" is more than IPD Physical Violence Rape Survivors"&amp;CHAR(10),""),IF(S238&gt;S237," * IPD  Physical Violence Initiated Pep "&amp;$R$20&amp;" "&amp;$S$21&amp;" is more than IPD Physical Violence Rape Survivors"&amp;CHAR(10),""),IF(T238&gt;T237," * IPD  Physical Violence Initiated Pep "&amp;$T$20&amp;" "&amp;$T$21&amp;" is more than IPD Physical Violence Rape Survivors"&amp;CHAR(10),""),IF(U238&gt;U237," * IPD  Physical Violence Initiated Pep "&amp;$T$20&amp;" "&amp;$U$21&amp;" is more than IPD Physical Violence Rape Survivors"&amp;CHAR(10),""),IF(V238&gt;V237," * IPD  Physical Violence Initiated Pep "&amp;$V$20&amp;" "&amp;$V$21&amp;" is more than IPD Physical Violence Rape Survivors"&amp;CHAR(10),""),IF(W238&gt;W237," * IPD  Physical Violence Initiated Pep "&amp;$V$20&amp;" "&amp;$W$21&amp;" is more than IPD Physical Violence Rape Survivors"&amp;CHAR(10),""),IF(X238&gt;X237," * IPD  Physical Violence Initiated Pep "&amp;$X$20&amp;" "&amp;$X$21&amp;" is more than IPD Physical Violence Rape Survivors"&amp;CHAR(10),""),IF(Y238&gt;Y237," * IPD  Physical Violence Initiated Pep "&amp;$X$20&amp;" "&amp;$Y$21&amp;" is more than IPD Physical Violence Rape Survivors"&amp;CHAR(10),""),IF(Z238&gt;Z237," * IPD  Physical Violence Initiated Pep "&amp;$Z$20&amp;" "&amp;$Z$21&amp;" is more than IPD Physical Violence Rape Survivors"&amp;CHAR(10),""),IF(AA238&gt;AA237," * IPD  Physical Violence Initiated Pep "&amp;$Z$20&amp;" "&amp;$AA$21&amp;" is more than IPD Physical Violence Rape Survivors"&amp;CHAR(10),""))</f>
        <v/>
      </c>
      <c r="AL237" s="1088"/>
      <c r="AM237" s="31"/>
      <c r="AN237" s="1289"/>
      <c r="AO237" s="13">
        <v>156</v>
      </c>
      <c r="AP237" s="74"/>
      <c r="AQ237" s="75"/>
    </row>
    <row r="238" spans="1:43" ht="25.9" hidden="1" thickBot="1" x14ac:dyDescent="0.8">
      <c r="A238" s="973"/>
      <c r="B238" s="170" t="s">
        <v>864</v>
      </c>
      <c r="C238" s="576" t="s">
        <v>883</v>
      </c>
      <c r="D238" s="176"/>
      <c r="E238" s="176"/>
      <c r="F238" s="176"/>
      <c r="G238" s="176"/>
      <c r="H238" s="176"/>
      <c r="I238" s="176"/>
      <c r="J238" s="176"/>
      <c r="K238" s="176"/>
      <c r="L238" s="176"/>
      <c r="M238" s="176"/>
      <c r="N238" s="176"/>
      <c r="O238" s="176"/>
      <c r="P238" s="176"/>
      <c r="Q238" s="176"/>
      <c r="R238" s="176"/>
      <c r="S238" s="176"/>
      <c r="T238" s="176"/>
      <c r="U238" s="176"/>
      <c r="V238" s="176"/>
      <c r="W238" s="176"/>
      <c r="X238" s="176"/>
      <c r="Y238" s="176"/>
      <c r="Z238" s="176"/>
      <c r="AA238" s="176"/>
      <c r="AB238" s="345"/>
      <c r="AC238" s="345"/>
      <c r="AD238" s="345"/>
      <c r="AE238" s="345"/>
      <c r="AF238" s="345"/>
      <c r="AG238" s="345"/>
      <c r="AH238" s="345"/>
      <c r="AI238" s="345"/>
      <c r="AJ238" s="66">
        <f t="shared" si="37"/>
        <v>0</v>
      </c>
      <c r="AK238" s="130"/>
      <c r="AL238" s="1088"/>
      <c r="AM238" s="31"/>
      <c r="AN238" s="1289"/>
      <c r="AO238" s="13">
        <v>157</v>
      </c>
      <c r="AP238" s="74"/>
      <c r="AQ238" s="75"/>
    </row>
    <row r="239" spans="1:43" ht="25.9" hidden="1" thickBot="1" x14ac:dyDescent="0.8">
      <c r="A239" s="973"/>
      <c r="B239" s="170" t="s">
        <v>865</v>
      </c>
      <c r="C239" s="576" t="s">
        <v>884</v>
      </c>
      <c r="D239" s="177"/>
      <c r="E239" s="176"/>
      <c r="F239" s="176"/>
      <c r="G239" s="176"/>
      <c r="H239" s="176"/>
      <c r="I239" s="176"/>
      <c r="J239" s="176"/>
      <c r="K239" s="176"/>
      <c r="L239" s="176"/>
      <c r="M239" s="176"/>
      <c r="N239" s="176"/>
      <c r="O239" s="176"/>
      <c r="P239" s="176"/>
      <c r="Q239" s="176"/>
      <c r="R239" s="176"/>
      <c r="S239" s="176"/>
      <c r="T239" s="176"/>
      <c r="U239" s="176"/>
      <c r="V239" s="176"/>
      <c r="W239" s="176"/>
      <c r="X239" s="176"/>
      <c r="Y239" s="176"/>
      <c r="Z239" s="176"/>
      <c r="AA239" s="178"/>
      <c r="AB239" s="345"/>
      <c r="AC239" s="345"/>
      <c r="AD239" s="345"/>
      <c r="AE239" s="345"/>
      <c r="AF239" s="345"/>
      <c r="AG239" s="345"/>
      <c r="AH239" s="345"/>
      <c r="AI239" s="345"/>
      <c r="AJ239" s="52">
        <f t="shared" si="37"/>
        <v>0</v>
      </c>
      <c r="AK239" s="130"/>
      <c r="AL239" s="1088"/>
      <c r="AM239" s="31"/>
      <c r="AN239" s="1289"/>
      <c r="AO239" s="13">
        <v>158</v>
      </c>
      <c r="AP239" s="74"/>
      <c r="AQ239" s="75"/>
    </row>
    <row r="240" spans="1:43" ht="25.9" hidden="1" thickBot="1" x14ac:dyDescent="0.8">
      <c r="A240" s="974"/>
      <c r="B240" s="179" t="s">
        <v>900</v>
      </c>
      <c r="C240" s="577" t="s">
        <v>885</v>
      </c>
      <c r="D240" s="180"/>
      <c r="E240" s="181"/>
      <c r="F240" s="181"/>
      <c r="G240" s="181"/>
      <c r="H240" s="181"/>
      <c r="I240" s="181"/>
      <c r="J240" s="181"/>
      <c r="K240" s="181"/>
      <c r="L240" s="181"/>
      <c r="M240" s="181"/>
      <c r="N240" s="181"/>
      <c r="O240" s="181"/>
      <c r="P240" s="181"/>
      <c r="Q240" s="181"/>
      <c r="R240" s="181"/>
      <c r="S240" s="181"/>
      <c r="T240" s="181"/>
      <c r="U240" s="181"/>
      <c r="V240" s="181"/>
      <c r="W240" s="181"/>
      <c r="X240" s="181"/>
      <c r="Y240" s="181"/>
      <c r="Z240" s="181"/>
      <c r="AA240" s="182"/>
      <c r="AB240" s="345"/>
      <c r="AC240" s="345"/>
      <c r="AD240" s="345"/>
      <c r="AE240" s="345"/>
      <c r="AF240" s="345"/>
      <c r="AG240" s="345"/>
      <c r="AH240" s="345"/>
      <c r="AI240" s="345"/>
      <c r="AJ240" s="52">
        <f t="shared" si="37"/>
        <v>0</v>
      </c>
      <c r="AK240" s="130"/>
      <c r="AL240" s="1104"/>
      <c r="AM240" s="73"/>
      <c r="AN240" s="1289"/>
      <c r="AO240" s="13">
        <v>159</v>
      </c>
      <c r="AP240" s="74"/>
      <c r="AQ240" s="75"/>
    </row>
    <row r="241" spans="1:43" ht="25.9" hidden="1" thickBot="1" x14ac:dyDescent="0.8">
      <c r="A241" s="972" t="s">
        <v>869</v>
      </c>
      <c r="B241" s="168" t="s">
        <v>912</v>
      </c>
      <c r="C241" s="578" t="s">
        <v>886</v>
      </c>
      <c r="D241" s="183"/>
      <c r="E241" s="183"/>
      <c r="F241" s="183"/>
      <c r="G241" s="183"/>
      <c r="H241" s="183"/>
      <c r="I241" s="183"/>
      <c r="J241" s="183"/>
      <c r="K241" s="183"/>
      <c r="L241" s="183"/>
      <c r="M241" s="183"/>
      <c r="N241" s="183"/>
      <c r="O241" s="183"/>
      <c r="P241" s="183"/>
      <c r="Q241" s="183"/>
      <c r="R241" s="183"/>
      <c r="S241" s="183"/>
      <c r="T241" s="183"/>
      <c r="U241" s="183"/>
      <c r="V241" s="183"/>
      <c r="W241" s="183"/>
      <c r="X241" s="183"/>
      <c r="Y241" s="183"/>
      <c r="Z241" s="183"/>
      <c r="AA241" s="183"/>
      <c r="AB241" s="346"/>
      <c r="AC241" s="346"/>
      <c r="AD241" s="346"/>
      <c r="AE241" s="346"/>
      <c r="AF241" s="346"/>
      <c r="AG241" s="346"/>
      <c r="AH241" s="346"/>
      <c r="AI241" s="346"/>
      <c r="AJ241" s="52">
        <f t="shared" si="37"/>
        <v>0</v>
      </c>
      <c r="AK241" s="30" t="str">
        <f>CONCATENATE(IF(D242&gt;D241," * No Screened for GBV "&amp;$D$20&amp;" "&amp;$D$21&amp;" is more than Clients Seen at CCC"&amp;CHAR(10),""),IF(E242&gt;E241," * No Screened For GBV "&amp;$D$20&amp;" "&amp;$E$21&amp;" is more than Clients Seen at CCC"&amp;CHAR(10),""),IF(F242&gt;F241," * No Screened For GBV "&amp;$F$20&amp;" "&amp;$F$21&amp;" is more than Clients Seen at CCC"&amp;CHAR(10),""),IF(G242&gt;G241," * No Screened For GBV "&amp;$F$20&amp;" "&amp;$G$21&amp;" is more than Clients Seen at CCC"&amp;CHAR(10),""),IF(H242&gt;H241," * No Screened For GBV "&amp;$H$20&amp;" "&amp;$H$21&amp;" is more than Clients Seen at CCC"&amp;CHAR(10),""),IF(I242&gt;I241," * No Screened For GBV "&amp;$H$20&amp;" "&amp;$I$21&amp;" is more than Clients Seen at CCC"&amp;CHAR(10),""),IF(J242&gt;J241," * No Screened For GBV "&amp;$J$20&amp;" "&amp;$J$21&amp;" is more than Clients Seen at CCC"&amp;CHAR(10),""),IF(K242&gt;K241," * No Screened For GBV "&amp;$J$20&amp;" "&amp;$K$21&amp;" is more than Clients Seen at CCC"&amp;CHAR(10),""),IF(L242&gt;L241," * No Screened For GBV "&amp;$L$20&amp;" "&amp;$L$21&amp;" is more than Clients Seen at CCC"&amp;CHAR(10),""),IF(M242&gt;M241," * No Screened For GBV "&amp;$L$20&amp;" "&amp;$M$21&amp;" is more than Clients Seen at CCC"&amp;CHAR(10),""),IF(N242&gt;N241," * No Screened For GBV "&amp;$N$20&amp;" "&amp;$N$21&amp;" is more than Clients Seen at CCC"&amp;CHAR(10),""),IF(O242&gt;O241," * No Screened For GBV "&amp;$N$20&amp;" "&amp;$O$21&amp;" is more than Clients Seen at CCC"&amp;CHAR(10),""),IF(P242&gt;P241," * No Screened For GBV "&amp;$P$20&amp;" "&amp;$P$21&amp;" is more than Clients Seen at CCC"&amp;CHAR(10),""),IF(Q242&gt;Q241," * No Screened For GBV "&amp;$P$20&amp;" "&amp;$Q$21&amp;" is more than Clients Seen at CCC"&amp;CHAR(10),""),IF(R242&gt;R241," * No Screened For GBV "&amp;$R$20&amp;" "&amp;$R$21&amp;" is more than Clients Seen at CCC"&amp;CHAR(10),""),IF(S242&gt;S241," * No Screened For GBV "&amp;$R$20&amp;" "&amp;$S$21&amp;" is more than Clients Seen at CCC"&amp;CHAR(10),""),IF(T242&gt;T241," * No Screened For GBV "&amp;$T$20&amp;" "&amp;$T$21&amp;" is more than Clients Seen at CCC"&amp;CHAR(10),""),IF(U242&gt;U241," * No Screened For GBV "&amp;$T$20&amp;" "&amp;$U$21&amp;" is more than Clients Seen at CCC"&amp;CHAR(10),""),IF(V242&gt;V241," * No Screened For GBV "&amp;$V$20&amp;" "&amp;$V$21&amp;" is more than Clients Seen at CCC"&amp;CHAR(10),""),IF(W242&gt;W241," * No Screened For GBV "&amp;$V$20&amp;" "&amp;$W$21&amp;" is more than Clients Seen at CCC"&amp;CHAR(10),""),IF(X242&gt;X241," * No Screened For GBV "&amp;$X$20&amp;" "&amp;$X$21&amp;" is more than Clients Seen at CCC"&amp;CHAR(10),""),IF(Y242&gt;Y241," * No Screened For GBV "&amp;$X$20&amp;" "&amp;$Y$21&amp;" is more than Clients Seen at CCC"&amp;CHAR(10),""),IF(Z242&gt;Z241," * No Screened For GBV "&amp;$Z$20&amp;" "&amp;$Z$21&amp;" is more than Clients Seen at CCC"&amp;CHAR(10),""),IF(AA242&gt;AA241," * No Screened For GBV "&amp;$Z$20&amp;" "&amp;$AA$21&amp;" is more than Clients Seen at CCC"&amp;CHAR(10),""))</f>
        <v/>
      </c>
      <c r="AL241" s="1103" t="str">
        <f>CONCATENATE(AK241,AK242,AK243,AK244,AK245,AK246,AK247,AK248,AK249)</f>
        <v/>
      </c>
      <c r="AM241" s="73"/>
      <c r="AN241" s="1289"/>
      <c r="AO241" s="13">
        <v>160</v>
      </c>
      <c r="AP241" s="74"/>
      <c r="AQ241" s="75"/>
    </row>
    <row r="242" spans="1:43" ht="25.9" hidden="1" thickBot="1" x14ac:dyDescent="0.8">
      <c r="A242" s="973"/>
      <c r="B242" s="170" t="s">
        <v>907</v>
      </c>
      <c r="C242" s="576" t="s">
        <v>887</v>
      </c>
      <c r="D242" s="171"/>
      <c r="E242" s="171"/>
      <c r="F242" s="171"/>
      <c r="G242" s="171"/>
      <c r="H242" s="171"/>
      <c r="I242" s="171"/>
      <c r="J242" s="171"/>
      <c r="K242" s="171"/>
      <c r="L242" s="171"/>
      <c r="M242" s="171"/>
      <c r="N242" s="171"/>
      <c r="O242" s="171"/>
      <c r="P242" s="171"/>
      <c r="Q242" s="171"/>
      <c r="R242" s="171"/>
      <c r="S242" s="171"/>
      <c r="T242" s="171"/>
      <c r="U242" s="171"/>
      <c r="V242" s="171"/>
      <c r="W242" s="171"/>
      <c r="X242" s="171"/>
      <c r="Y242" s="171"/>
      <c r="Z242" s="171"/>
      <c r="AA242" s="171"/>
      <c r="AB242" s="345"/>
      <c r="AC242" s="345"/>
      <c r="AD242" s="345"/>
      <c r="AE242" s="345"/>
      <c r="AF242" s="345"/>
      <c r="AG242" s="345"/>
      <c r="AH242" s="345"/>
      <c r="AI242" s="345"/>
      <c r="AJ242" s="52">
        <f t="shared" si="37"/>
        <v>0</v>
      </c>
      <c r="AK242" s="130"/>
      <c r="AL242" s="1088"/>
      <c r="AM242" s="31"/>
      <c r="AN242" s="1289"/>
      <c r="AO242" s="13">
        <v>161</v>
      </c>
      <c r="AP242" s="74"/>
      <c r="AQ242" s="75"/>
    </row>
    <row r="243" spans="1:43" ht="25.9" hidden="1" thickBot="1" x14ac:dyDescent="0.8">
      <c r="A243" s="973"/>
      <c r="B243" s="172" t="s">
        <v>915</v>
      </c>
      <c r="C243" s="576" t="s">
        <v>888</v>
      </c>
      <c r="D243" s="173">
        <f>D244+D246+D248+D249</f>
        <v>0</v>
      </c>
      <c r="E243" s="173">
        <f t="shared" ref="E243" si="61">E244+E246+E248+E249</f>
        <v>0</v>
      </c>
      <c r="F243" s="173">
        <f t="shared" ref="F243" si="62">F244+F246+F248+F249</f>
        <v>0</v>
      </c>
      <c r="G243" s="173">
        <f t="shared" ref="G243" si="63">G244+G246+G248+G249</f>
        <v>0</v>
      </c>
      <c r="H243" s="173">
        <f t="shared" ref="H243" si="64">H244+H246+H248+H249</f>
        <v>0</v>
      </c>
      <c r="I243" s="173">
        <f t="shared" ref="I243" si="65">I244+I246+I248+I249</f>
        <v>0</v>
      </c>
      <c r="J243" s="173">
        <f t="shared" ref="J243" si="66">J244+J246+J248+J249</f>
        <v>0</v>
      </c>
      <c r="K243" s="173">
        <f t="shared" ref="K243" si="67">K244+K246+K248+K249</f>
        <v>0</v>
      </c>
      <c r="L243" s="173">
        <f t="shared" ref="L243" si="68">L244+L246+L248+L249</f>
        <v>0</v>
      </c>
      <c r="M243" s="173">
        <f t="shared" ref="M243" si="69">M244+M246+M248+M249</f>
        <v>0</v>
      </c>
      <c r="N243" s="173">
        <f t="shared" ref="N243" si="70">N244+N246+N248+N249</f>
        <v>0</v>
      </c>
      <c r="O243" s="173">
        <f t="shared" ref="O243" si="71">O244+O246+O248+O249</f>
        <v>0</v>
      </c>
      <c r="P243" s="173">
        <f t="shared" ref="P243" si="72">P244+P246+P248+P249</f>
        <v>0</v>
      </c>
      <c r="Q243" s="173">
        <f t="shared" ref="Q243" si="73">Q244+Q246+Q248+Q249</f>
        <v>0</v>
      </c>
      <c r="R243" s="173">
        <f t="shared" ref="R243" si="74">R244+R246+R248+R249</f>
        <v>0</v>
      </c>
      <c r="S243" s="173">
        <f t="shared" ref="S243" si="75">S244+S246+S248+S249</f>
        <v>0</v>
      </c>
      <c r="T243" s="173">
        <f t="shared" ref="T243" si="76">T244+T246+T248+T249</f>
        <v>0</v>
      </c>
      <c r="U243" s="173">
        <f t="shared" ref="U243" si="77">U244+U246+U248+U249</f>
        <v>0</v>
      </c>
      <c r="V243" s="173">
        <f t="shared" ref="V243" si="78">V244+V246+V248+V249</f>
        <v>0</v>
      </c>
      <c r="W243" s="173">
        <f t="shared" ref="W243" si="79">W244+W246+W248+W249</f>
        <v>0</v>
      </c>
      <c r="X243" s="173">
        <f t="shared" ref="X243" si="80">X244+X246+X248+X249</f>
        <v>0</v>
      </c>
      <c r="Y243" s="173">
        <f t="shared" ref="Y243" si="81">Y244+Y246+Y248+Y249</f>
        <v>0</v>
      </c>
      <c r="Z243" s="173">
        <f t="shared" ref="Z243" si="82">Z244+Z246+Z248+Z249</f>
        <v>0</v>
      </c>
      <c r="AA243" s="173">
        <f t="shared" ref="AA243" si="83">AA244+AA246+AA248+AA249</f>
        <v>0</v>
      </c>
      <c r="AB243" s="344"/>
      <c r="AC243" s="344"/>
      <c r="AD243" s="344"/>
      <c r="AE243" s="344"/>
      <c r="AF243" s="344"/>
      <c r="AG243" s="344"/>
      <c r="AH243" s="344"/>
      <c r="AI243" s="344"/>
      <c r="AJ243" s="52">
        <f t="shared" si="37"/>
        <v>0</v>
      </c>
      <c r="AK243" s="130"/>
      <c r="AL243" s="1088"/>
      <c r="AM243" s="31"/>
      <c r="AN243" s="1289"/>
      <c r="AO243" s="13">
        <v>162</v>
      </c>
      <c r="AP243" s="74"/>
      <c r="AQ243" s="75"/>
    </row>
    <row r="244" spans="1:43" ht="25.9" hidden="1" thickBot="1" x14ac:dyDescent="0.8">
      <c r="A244" s="973"/>
      <c r="B244" s="170" t="s">
        <v>861</v>
      </c>
      <c r="C244" s="576" t="s">
        <v>889</v>
      </c>
      <c r="D244" s="175"/>
      <c r="E244" s="175"/>
      <c r="F244" s="175"/>
      <c r="G244" s="175"/>
      <c r="H244" s="175"/>
      <c r="I244" s="175"/>
      <c r="J244" s="175"/>
      <c r="K244" s="175"/>
      <c r="L244" s="175"/>
      <c r="M244" s="175"/>
      <c r="N244" s="175"/>
      <c r="O244" s="175"/>
      <c r="P244" s="175"/>
      <c r="Q244" s="175"/>
      <c r="R244" s="175"/>
      <c r="S244" s="175"/>
      <c r="T244" s="175"/>
      <c r="U244" s="175"/>
      <c r="V244" s="175"/>
      <c r="W244" s="175"/>
      <c r="X244" s="175"/>
      <c r="Y244" s="175"/>
      <c r="Z244" s="175"/>
      <c r="AA244" s="175"/>
      <c r="AB244" s="345"/>
      <c r="AC244" s="345"/>
      <c r="AD244" s="345"/>
      <c r="AE244" s="345"/>
      <c r="AF244" s="345"/>
      <c r="AG244" s="345"/>
      <c r="AH244" s="345"/>
      <c r="AI244" s="345"/>
      <c r="AJ244" s="52">
        <f t="shared" si="37"/>
        <v>0</v>
      </c>
      <c r="AK244" s="30" t="str">
        <f>CONCATENATE(IF(D245&gt;D244," * CCC Sexual Violence Initiated Pep "&amp;$D$20&amp;" "&amp;$D$21&amp;" is more than CCC Sexual Violence Rape Survivors"&amp;CHAR(10),""),IF(E245&gt;E244," * CCC Sexual Violence Initiated Pep "&amp;$D$20&amp;" "&amp;$E$21&amp;" is more than CCC Sexual Violence Rape Survivors"&amp;CHAR(10),""),IF(F245&gt;F244," * CCC Sexual Violence Initiated Pep "&amp;$F$20&amp;" "&amp;$F$21&amp;" is more than CCC Sexual Violence Rape Survivors"&amp;CHAR(10),""),IF(G245&gt;G244," * CCC Sexual Violence Initiated Pep "&amp;$F$20&amp;" "&amp;$G$21&amp;" is more than CCC Sexual Violence Rape Survivors"&amp;CHAR(10),""),IF(H245&gt;H244," * CCC Sexual Violence Initiated Pep "&amp;$H$20&amp;" "&amp;$H$21&amp;" is more than CCC Sexual Violence Rape Survivors"&amp;CHAR(10),""),IF(I245&gt;I244," * CCC Sexual Violence Initiated Pep "&amp;$H$20&amp;" "&amp;$I$21&amp;" is more than CCC Sexual Violence Rape Survivors"&amp;CHAR(10),""),IF(J245&gt;J244," * CCC Sexual Violence Initiated Pep "&amp;$J$20&amp;" "&amp;$J$21&amp;" is more than CCC Sexual Violence Rape Survivors"&amp;CHAR(10),""),IF(K245&gt;K244," * CCC Sexual Violence Initiated Pep "&amp;$J$20&amp;" "&amp;$K$21&amp;" is more than CCC Sexual Violence Rape Survivors"&amp;CHAR(10),""),IF(L245&gt;L244," * CCC Sexual Violence Initiated Pep "&amp;$L$20&amp;" "&amp;$L$21&amp;" is more than CCC Sexual Violence Rape Survivors"&amp;CHAR(10),""),IF(M245&gt;M244," * CCC Sexual Violence Initiated Pep "&amp;$L$20&amp;" "&amp;$M$21&amp;" is more than CCC Sexual Violence Rape Survivors"&amp;CHAR(10),""),IF(N245&gt;N244," * CCC Sexual Violence Initiated Pep "&amp;$N$20&amp;" "&amp;$N$21&amp;" is more than CCC Sexual Violence Rape Survivors"&amp;CHAR(10),""),IF(O245&gt;O244," * CCC Sexual Violence Initiated Pep "&amp;$N$20&amp;" "&amp;$O$21&amp;" is more than CCC Sexual Violence Rape Survivors"&amp;CHAR(10),""),IF(P245&gt;P244," * CCC Sexual Violence Initiated Pep "&amp;$P$20&amp;" "&amp;$P$21&amp;" is more than CCC Sexual Violence Rape Survivors"&amp;CHAR(10),""),IF(Q245&gt;Q244," * CCC Sexual Violence Initiated Pep "&amp;$P$20&amp;" "&amp;$Q$21&amp;" is more than CCC Sexual Violence Rape Survivors"&amp;CHAR(10),""),IF(R245&gt;R244," * CCC Sexual Violence Initiated Pep "&amp;$R$20&amp;" "&amp;$R$21&amp;" is more than CCC Sexual Violence Rape Survivors"&amp;CHAR(10),""),IF(S245&gt;S244," * CCC Sexual Violence Initiated Pep "&amp;$R$20&amp;" "&amp;$S$21&amp;" is more than CCC Sexual Violence Rape Survivors"&amp;CHAR(10),""),IF(T245&gt;T244," * CCC Sexual Violence Initiated Pep "&amp;$T$20&amp;" "&amp;$T$21&amp;" is more than CCC Sexual Violence Rape Survivors"&amp;CHAR(10),""),IF(U245&gt;U244," * CCC Sexual Violence Initiated Pep "&amp;$T$20&amp;" "&amp;$U$21&amp;" is more than CCC Sexual Violence Rape Survivors"&amp;CHAR(10),""),IF(V245&gt;V244," * CCC Sexual Violence Initiated Pep "&amp;$V$20&amp;" "&amp;$V$21&amp;" is more than CCC Sexual Violence Rape Survivors"&amp;CHAR(10),""),IF(W245&gt;W244," * CCC Sexual Violence Initiated Pep "&amp;$V$20&amp;" "&amp;$W$21&amp;" is more than CCC Sexual Violence Rape Survivors"&amp;CHAR(10),""),IF(X245&gt;X244," * CCC Sexual Violence Initiated Pep "&amp;$X$20&amp;" "&amp;$X$21&amp;" is more than CCC Sexual Violence Rape Survivors"&amp;CHAR(10),""),IF(Y245&gt;Y244," * CCC Sexual Violence Initiated Pep "&amp;$X$20&amp;" "&amp;$Y$21&amp;" is more than CCC Sexual Violence Rape Survivors"&amp;CHAR(10),""),IF(Z245&gt;Z244," * CCC Sexual Violence Initiated Pep "&amp;$Z$20&amp;" "&amp;$Z$21&amp;" is more than CCC Sexual Violence Rape Survivors"&amp;CHAR(10),""),IF(AA245&gt;AA244," * CCC Sexual Violence Initiated Pep "&amp;$Z$20&amp;" "&amp;$AA$21&amp;" is more than CCC Sexual Violence Rape Survivors"&amp;CHAR(10),""))</f>
        <v/>
      </c>
      <c r="AL244" s="1088"/>
      <c r="AM244" s="31"/>
      <c r="AN244" s="1289"/>
      <c r="AO244" s="13">
        <v>163</v>
      </c>
      <c r="AP244" s="74"/>
      <c r="AQ244" s="75"/>
    </row>
    <row r="245" spans="1:43" ht="25.9" hidden="1" thickBot="1" x14ac:dyDescent="0.8">
      <c r="A245" s="973"/>
      <c r="B245" s="170" t="s">
        <v>862</v>
      </c>
      <c r="C245" s="576" t="s">
        <v>890</v>
      </c>
      <c r="D245" s="176"/>
      <c r="E245" s="176"/>
      <c r="F245" s="176"/>
      <c r="G245" s="176"/>
      <c r="H245" s="176"/>
      <c r="I245" s="176"/>
      <c r="J245" s="176"/>
      <c r="K245" s="176"/>
      <c r="L245" s="176"/>
      <c r="M245" s="176"/>
      <c r="N245" s="176"/>
      <c r="O245" s="176"/>
      <c r="P245" s="176"/>
      <c r="Q245" s="176"/>
      <c r="R245" s="176"/>
      <c r="S245" s="176"/>
      <c r="T245" s="176"/>
      <c r="U245" s="176"/>
      <c r="V245" s="176"/>
      <c r="W245" s="176"/>
      <c r="X245" s="176"/>
      <c r="Y245" s="176"/>
      <c r="Z245" s="176"/>
      <c r="AA245" s="176"/>
      <c r="AB245" s="345"/>
      <c r="AC245" s="345"/>
      <c r="AD245" s="345"/>
      <c r="AE245" s="345"/>
      <c r="AF245" s="345"/>
      <c r="AG245" s="345"/>
      <c r="AH245" s="345"/>
      <c r="AI245" s="345"/>
      <c r="AJ245" s="52">
        <f t="shared" si="37"/>
        <v>0</v>
      </c>
      <c r="AK245" s="130"/>
      <c r="AL245" s="1088"/>
      <c r="AM245" s="31"/>
      <c r="AN245" s="1289"/>
      <c r="AO245" s="13">
        <v>164</v>
      </c>
      <c r="AP245" s="74"/>
      <c r="AQ245" s="75"/>
    </row>
    <row r="246" spans="1:43" ht="25.9" hidden="1" thickBot="1" x14ac:dyDescent="0.8">
      <c r="A246" s="973"/>
      <c r="B246" s="170" t="s">
        <v>863</v>
      </c>
      <c r="C246" s="576" t="s">
        <v>891</v>
      </c>
      <c r="D246" s="175"/>
      <c r="E246" s="175"/>
      <c r="F246" s="175"/>
      <c r="G246" s="175"/>
      <c r="H246" s="175"/>
      <c r="I246" s="175"/>
      <c r="J246" s="175"/>
      <c r="K246" s="175"/>
      <c r="L246" s="175"/>
      <c r="M246" s="175"/>
      <c r="N246" s="175"/>
      <c r="O246" s="175"/>
      <c r="P246" s="175"/>
      <c r="Q246" s="175"/>
      <c r="R246" s="175"/>
      <c r="S246" s="175"/>
      <c r="T246" s="175"/>
      <c r="U246" s="175"/>
      <c r="V246" s="175"/>
      <c r="W246" s="175"/>
      <c r="X246" s="175"/>
      <c r="Y246" s="175"/>
      <c r="Z246" s="175"/>
      <c r="AA246" s="175"/>
      <c r="AB246" s="345"/>
      <c r="AC246" s="345"/>
      <c r="AD246" s="345"/>
      <c r="AE246" s="345"/>
      <c r="AF246" s="345"/>
      <c r="AG246" s="345"/>
      <c r="AH246" s="345"/>
      <c r="AI246" s="345"/>
      <c r="AJ246" s="52">
        <f t="shared" si="37"/>
        <v>0</v>
      </c>
      <c r="AK246" s="30" t="str">
        <f>CONCATENATE(IF(D247&gt;D246," * CCC  Physical Violence Initiated Pep "&amp;$D$20&amp;" "&amp;$D$21&amp;" is more than CCC Physical Violence Rape Survivors"&amp;CHAR(10),""),IF(E247&gt;E246," * CCC  Physical Violence Initiated Pep "&amp;$D$20&amp;" "&amp;$E$21&amp;" is more than CCC Physical Violence Rape Survivors"&amp;CHAR(10),""),IF(F247&gt;F246," * CCC  Physical Violence Initiated Pep "&amp;$F$20&amp;" "&amp;$F$21&amp;" is more than CCC Physical Violence Rape Survivors"&amp;CHAR(10),""),IF(G247&gt;G246," * CCC  Physical Violence Initiated Pep "&amp;$F$20&amp;" "&amp;$G$21&amp;" is more than CCC Physical Violence Rape Survivors"&amp;CHAR(10),""),IF(H247&gt;H246," * CCC  Physical Violence Initiated Pep "&amp;$H$20&amp;" "&amp;$H$21&amp;" is more than CCC Physical Violence Rape Survivors"&amp;CHAR(10),""),IF(I247&gt;I246," * CCC  Physical Violence Initiated Pep "&amp;$H$20&amp;" "&amp;$I$21&amp;" is more than CCC Physical Violence Rape Survivors"&amp;CHAR(10),""),IF(J247&gt;J246," * CCC  Physical Violence Initiated Pep "&amp;$J$20&amp;" "&amp;$J$21&amp;" is more than CCC Physical Violence Rape Survivors"&amp;CHAR(10),""),IF(K247&gt;K246," * CCC  Physical Violence Initiated Pep "&amp;$J$20&amp;" "&amp;$K$21&amp;" is more than CCC Physical Violence Rape Survivors"&amp;CHAR(10),""),IF(L247&gt;L246," * CCC  Physical Violence Initiated Pep "&amp;$L$20&amp;" "&amp;$L$21&amp;" is more than CCC Physical Violence Rape Survivors"&amp;CHAR(10),""),IF(M247&gt;M246," * CCC  Physical Violence Initiated Pep "&amp;$L$20&amp;" "&amp;$M$21&amp;" is more than CCC Physical Violence Rape Survivors"&amp;CHAR(10),""),IF(N247&gt;N246," * CCC  Physical Violence Initiated Pep "&amp;$N$20&amp;" "&amp;$N$21&amp;" is more than CCC Physical Violence Rape Survivors"&amp;CHAR(10),""),IF(O247&gt;O246," * CCC  Physical Violence Initiated Pep "&amp;$N$20&amp;" "&amp;$O$21&amp;" is more than CCC Physical Violence Rape Survivors"&amp;CHAR(10),""),IF(P247&gt;P246," * CCC  Physical Violence Initiated Pep "&amp;$P$20&amp;" "&amp;$P$21&amp;" is more than CCC Physical Violence Rape Survivors"&amp;CHAR(10),""),IF(Q247&gt;Q246," * CCC  Physical Violence Initiated Pep "&amp;$P$20&amp;" "&amp;$Q$21&amp;" is more than CCC Physical Violence Rape Survivors"&amp;CHAR(10),""),IF(R247&gt;R246," * CCC  Physical Violence Initiated Pep "&amp;$R$20&amp;" "&amp;$R$21&amp;" is more than CCC Physical Violence Rape Survivors"&amp;CHAR(10),""),IF(S247&gt;S246," * CCC  Physical Violence Initiated Pep "&amp;$R$20&amp;" "&amp;$S$21&amp;" is more than CCC Physical Violence Rape Survivors"&amp;CHAR(10),""),IF(T247&gt;T246," * CCC  Physical Violence Initiated Pep "&amp;$T$20&amp;" "&amp;$T$21&amp;" is more than CCC Physical Violence Rape Survivors"&amp;CHAR(10),""),IF(U247&gt;U246," * CCC  Physical Violence Initiated Pep "&amp;$T$20&amp;" "&amp;$U$21&amp;" is more than CCC Physical Violence Rape Survivors"&amp;CHAR(10),""),IF(V247&gt;V246," * CCC  Physical Violence Initiated Pep "&amp;$V$20&amp;" "&amp;$V$21&amp;" is more than CCC Physical Violence Rape Survivors"&amp;CHAR(10),""),IF(W247&gt;W246," * CCC  Physical Violence Initiated Pep "&amp;$V$20&amp;" "&amp;$W$21&amp;" is more than CCC Physical Violence Rape Survivors"&amp;CHAR(10),""),IF(X247&gt;X246," * CCC  Physical Violence Initiated Pep "&amp;$X$20&amp;" "&amp;$X$21&amp;" is more than CCC Physical Violence Rape Survivors"&amp;CHAR(10),""),IF(Y247&gt;Y246," * CCC  Physical Violence Initiated Pep "&amp;$X$20&amp;" "&amp;$Y$21&amp;" is more than CCC Physical Violence Rape Survivors"&amp;CHAR(10),""),IF(Z247&gt;Z246," * CCC  Physical Violence Initiated Pep "&amp;$Z$20&amp;" "&amp;$Z$21&amp;" is more than CCC Physical Violence Rape Survivors"&amp;CHAR(10),""),IF(AA247&gt;AA246," * CCC  Physical Violence Initiated Pep "&amp;$Z$20&amp;" "&amp;$AA$21&amp;" is more than CCC Physical Violence Rape Survivors"&amp;CHAR(10),""))</f>
        <v/>
      </c>
      <c r="AL246" s="1088"/>
      <c r="AM246" s="31"/>
      <c r="AN246" s="1289"/>
      <c r="AO246" s="13">
        <v>165</v>
      </c>
      <c r="AP246" s="74"/>
      <c r="AQ246" s="75"/>
    </row>
    <row r="247" spans="1:43" ht="25.9" hidden="1" thickBot="1" x14ac:dyDescent="0.8">
      <c r="A247" s="973"/>
      <c r="B247" s="170" t="s">
        <v>864</v>
      </c>
      <c r="C247" s="576" t="s">
        <v>892</v>
      </c>
      <c r="D247" s="176"/>
      <c r="E247" s="176"/>
      <c r="F247" s="176"/>
      <c r="G247" s="176"/>
      <c r="H247" s="176"/>
      <c r="I247" s="176"/>
      <c r="J247" s="176"/>
      <c r="K247" s="176"/>
      <c r="L247" s="176"/>
      <c r="M247" s="176"/>
      <c r="N247" s="176"/>
      <c r="O247" s="176"/>
      <c r="P247" s="176"/>
      <c r="Q247" s="176"/>
      <c r="R247" s="176"/>
      <c r="S247" s="176"/>
      <c r="T247" s="176"/>
      <c r="U247" s="176"/>
      <c r="V247" s="176"/>
      <c r="W247" s="176"/>
      <c r="X247" s="176"/>
      <c r="Y247" s="176"/>
      <c r="Z247" s="176"/>
      <c r="AA247" s="176"/>
      <c r="AB247" s="345"/>
      <c r="AC247" s="345"/>
      <c r="AD247" s="345"/>
      <c r="AE247" s="345"/>
      <c r="AF247" s="345"/>
      <c r="AG247" s="345"/>
      <c r="AH247" s="345"/>
      <c r="AI247" s="345"/>
      <c r="AJ247" s="52">
        <f t="shared" si="37"/>
        <v>0</v>
      </c>
      <c r="AK247" s="130"/>
      <c r="AL247" s="1088"/>
      <c r="AM247" s="31"/>
      <c r="AN247" s="1289"/>
      <c r="AO247" s="13">
        <v>166</v>
      </c>
      <c r="AP247" s="74"/>
      <c r="AQ247" s="75"/>
    </row>
    <row r="248" spans="1:43" ht="25.9" hidden="1" thickBot="1" x14ac:dyDescent="0.8">
      <c r="A248" s="973"/>
      <c r="B248" s="170" t="s">
        <v>865</v>
      </c>
      <c r="C248" s="576" t="s">
        <v>893</v>
      </c>
      <c r="D248" s="177"/>
      <c r="E248" s="176"/>
      <c r="F248" s="176"/>
      <c r="G248" s="176"/>
      <c r="H248" s="176"/>
      <c r="I248" s="176"/>
      <c r="J248" s="176"/>
      <c r="K248" s="176"/>
      <c r="L248" s="176"/>
      <c r="M248" s="176"/>
      <c r="N248" s="176"/>
      <c r="O248" s="176"/>
      <c r="P248" s="176"/>
      <c r="Q248" s="176"/>
      <c r="R248" s="176"/>
      <c r="S248" s="176"/>
      <c r="T248" s="176"/>
      <c r="U248" s="176"/>
      <c r="V248" s="176"/>
      <c r="W248" s="176"/>
      <c r="X248" s="176"/>
      <c r="Y248" s="176"/>
      <c r="Z248" s="176"/>
      <c r="AA248" s="178"/>
      <c r="AB248" s="345"/>
      <c r="AC248" s="345"/>
      <c r="AD248" s="345"/>
      <c r="AE248" s="345"/>
      <c r="AF248" s="345"/>
      <c r="AG248" s="345"/>
      <c r="AH248" s="345"/>
      <c r="AI248" s="345"/>
      <c r="AJ248" s="52">
        <f t="shared" si="37"/>
        <v>0</v>
      </c>
      <c r="AK248" s="130"/>
      <c r="AL248" s="1088"/>
      <c r="AM248" s="31"/>
      <c r="AN248" s="1289"/>
      <c r="AO248" s="13">
        <v>167</v>
      </c>
      <c r="AP248" s="74"/>
      <c r="AQ248" s="75"/>
    </row>
    <row r="249" spans="1:43" ht="25.9" hidden="1" thickBot="1" x14ac:dyDescent="0.8">
      <c r="A249" s="974"/>
      <c r="B249" s="179" t="s">
        <v>900</v>
      </c>
      <c r="C249" s="577" t="s">
        <v>894</v>
      </c>
      <c r="D249" s="180"/>
      <c r="E249" s="181"/>
      <c r="F249" s="181"/>
      <c r="G249" s="181"/>
      <c r="H249" s="181"/>
      <c r="I249" s="181"/>
      <c r="J249" s="181"/>
      <c r="K249" s="181"/>
      <c r="L249" s="181"/>
      <c r="M249" s="181"/>
      <c r="N249" s="181"/>
      <c r="O249" s="181"/>
      <c r="P249" s="181"/>
      <c r="Q249" s="181"/>
      <c r="R249" s="181"/>
      <c r="S249" s="181"/>
      <c r="T249" s="181"/>
      <c r="U249" s="181"/>
      <c r="V249" s="181"/>
      <c r="W249" s="181"/>
      <c r="X249" s="181"/>
      <c r="Y249" s="181"/>
      <c r="Z249" s="181"/>
      <c r="AA249" s="182"/>
      <c r="AB249" s="345"/>
      <c r="AC249" s="345"/>
      <c r="AD249" s="345"/>
      <c r="AE249" s="345"/>
      <c r="AF249" s="345"/>
      <c r="AG249" s="345"/>
      <c r="AH249" s="345"/>
      <c r="AI249" s="345"/>
      <c r="AJ249" s="52">
        <f t="shared" si="37"/>
        <v>0</v>
      </c>
      <c r="AK249" s="130"/>
      <c r="AL249" s="1104"/>
      <c r="AM249" s="73"/>
      <c r="AN249" s="1289"/>
      <c r="AO249" s="13">
        <v>168</v>
      </c>
      <c r="AP249" s="74"/>
      <c r="AQ249" s="75"/>
    </row>
    <row r="250" spans="1:43" ht="25.9" hidden="1" thickBot="1" x14ac:dyDescent="0.8">
      <c r="A250" s="972" t="s">
        <v>868</v>
      </c>
      <c r="B250" s="168" t="s">
        <v>913</v>
      </c>
      <c r="C250" s="578" t="s">
        <v>895</v>
      </c>
      <c r="D250" s="169">
        <f t="shared" ref="D250:AA250" si="84">D15</f>
        <v>0</v>
      </c>
      <c r="E250" s="169">
        <f t="shared" si="84"/>
        <v>0</v>
      </c>
      <c r="F250" s="169">
        <f t="shared" si="84"/>
        <v>0</v>
      </c>
      <c r="G250" s="169">
        <f t="shared" si="84"/>
        <v>0</v>
      </c>
      <c r="H250" s="169">
        <f t="shared" si="84"/>
        <v>0</v>
      </c>
      <c r="I250" s="169">
        <f t="shared" si="84"/>
        <v>0</v>
      </c>
      <c r="J250" s="169">
        <f t="shared" si="84"/>
        <v>0</v>
      </c>
      <c r="K250" s="169">
        <f t="shared" si="84"/>
        <v>0</v>
      </c>
      <c r="L250" s="169">
        <f t="shared" si="84"/>
        <v>0</v>
      </c>
      <c r="M250" s="169">
        <f t="shared" si="84"/>
        <v>0</v>
      </c>
      <c r="N250" s="169">
        <f t="shared" si="84"/>
        <v>0</v>
      </c>
      <c r="O250" s="169">
        <f t="shared" si="84"/>
        <v>0</v>
      </c>
      <c r="P250" s="169">
        <f t="shared" si="84"/>
        <v>0</v>
      </c>
      <c r="Q250" s="169">
        <f t="shared" si="84"/>
        <v>0</v>
      </c>
      <c r="R250" s="169">
        <f t="shared" si="84"/>
        <v>0</v>
      </c>
      <c r="S250" s="169">
        <f t="shared" si="84"/>
        <v>0</v>
      </c>
      <c r="T250" s="169">
        <f t="shared" si="84"/>
        <v>0</v>
      </c>
      <c r="U250" s="169">
        <f t="shared" si="84"/>
        <v>0</v>
      </c>
      <c r="V250" s="169">
        <f t="shared" si="84"/>
        <v>0</v>
      </c>
      <c r="W250" s="169">
        <f t="shared" si="84"/>
        <v>0</v>
      </c>
      <c r="X250" s="169">
        <f t="shared" si="84"/>
        <v>0</v>
      </c>
      <c r="Y250" s="169">
        <f t="shared" si="84"/>
        <v>0</v>
      </c>
      <c r="Z250" s="169">
        <f t="shared" si="84"/>
        <v>0</v>
      </c>
      <c r="AA250" s="169">
        <f t="shared" si="84"/>
        <v>0</v>
      </c>
      <c r="AB250" s="347"/>
      <c r="AC250" s="347"/>
      <c r="AD250" s="347"/>
      <c r="AE250" s="347"/>
      <c r="AF250" s="347"/>
      <c r="AG250" s="347"/>
      <c r="AH250" s="347"/>
      <c r="AI250" s="347"/>
      <c r="AJ250" s="52">
        <f t="shared" si="37"/>
        <v>0</v>
      </c>
      <c r="AK250" s="30" t="str">
        <f>CONCATENATE(IF(D251&gt;D250," * No Screened for GBV "&amp;$D$20&amp;" "&amp;$D$21&amp;" is more than Clients Seen at MCH"&amp;CHAR(10),""),IF(E251&gt;E250," * No Screened For GBV "&amp;$D$20&amp;" "&amp;$E$21&amp;" is more than Clients Seen at MCH"&amp;CHAR(10),""),IF(F251&gt;F250," * No Screened For GBV "&amp;$F$20&amp;" "&amp;$F$21&amp;" is more than Clients Seen at MCH"&amp;CHAR(10),""),IF(G251&gt;G250," * No Screened For GBV "&amp;$F$20&amp;" "&amp;$G$21&amp;" is more than Clients Seen at MCH"&amp;CHAR(10),""),IF(H251&gt;H250," * No Screened For GBV "&amp;$H$20&amp;" "&amp;$H$21&amp;" is more than Clients Seen at MCH"&amp;CHAR(10),""),IF(I251&gt;I250," * No Screened For GBV "&amp;$H$20&amp;" "&amp;$I$21&amp;" is more than Clients Seen at MCH"&amp;CHAR(10),""),IF(J251&gt;J250," * No Screened For GBV "&amp;$J$20&amp;" "&amp;$J$21&amp;" is more than Clients Seen at MCH"&amp;CHAR(10),""),IF(K251&gt;K250," * No Screened For GBV "&amp;$J$20&amp;" "&amp;$K$21&amp;" is more than Clients Seen at MCH"&amp;CHAR(10),""),IF(L251&gt;L250," * No Screened For GBV "&amp;$L$20&amp;" "&amp;$L$21&amp;" is more than Clients Seen at MCH"&amp;CHAR(10),""),IF(M251&gt;M250," * No Screened For GBV "&amp;$L$20&amp;" "&amp;$M$21&amp;" is more than Clients Seen at MCH"&amp;CHAR(10),""),IF(N251&gt;N250," * No Screened For GBV "&amp;$N$20&amp;" "&amp;$N$21&amp;" is more than Clients Seen at MCH"&amp;CHAR(10),""),IF(O251&gt;O250," * No Screened For GBV "&amp;$N$20&amp;" "&amp;$O$21&amp;" is more than Clients Seen at MCH"&amp;CHAR(10),""),IF(P251&gt;P250," * No Screened For GBV "&amp;$P$20&amp;" "&amp;$P$21&amp;" is more than Clients Seen at MCH"&amp;CHAR(10),""),IF(Q251&gt;Q250," * No Screened For GBV "&amp;$P$20&amp;" "&amp;$Q$21&amp;" is more than Clients Seen at MCH"&amp;CHAR(10),""),IF(R251&gt;R250," * No Screened For GBV "&amp;$R$20&amp;" "&amp;$R$21&amp;" is more than Clients Seen at MCH"&amp;CHAR(10),""),IF(S251&gt;S250," * No Screened For GBV "&amp;$R$20&amp;" "&amp;$S$21&amp;" is more than Clients Seen at MCH"&amp;CHAR(10),""),IF(T251&gt;T250," * No Screened For GBV "&amp;$T$20&amp;" "&amp;$T$21&amp;" is more than Clients Seen at MCH"&amp;CHAR(10),""),IF(U251&gt;U250," * No Screened For GBV "&amp;$T$20&amp;" "&amp;$U$21&amp;" is more than Clients Seen at MCH"&amp;CHAR(10),""),IF(V251&gt;V250," * No Screened For GBV "&amp;$V$20&amp;" "&amp;$V$21&amp;" is more than Clients Seen at MCH"&amp;CHAR(10),""),IF(W251&gt;W250," * No Screened For GBV "&amp;$V$20&amp;" "&amp;$W$21&amp;" is more than Clients Seen at MCH"&amp;CHAR(10),""),IF(X251&gt;X250," * No Screened For GBV "&amp;$X$20&amp;" "&amp;$X$21&amp;" is more than Clients Seen at MCH"&amp;CHAR(10),""),IF(Y251&gt;Y250," * No Screened For GBV "&amp;$X$20&amp;" "&amp;$Y$21&amp;" is more than Clients Seen at MCH"&amp;CHAR(10),""),IF(Z251&gt;Z250," * No Screened For GBV "&amp;$Z$20&amp;" "&amp;$Z$21&amp;" is more than Clients Seen at MCH"&amp;CHAR(10),""),IF(AA251&gt;AA250," * No Screened For GBV "&amp;$Z$20&amp;" "&amp;$AA$21&amp;" is more than Clients Seen at MCH"&amp;CHAR(10),""))</f>
        <v/>
      </c>
      <c r="AL250" s="1103" t="str">
        <f>CONCATENATE(AK250,AK251,AK252,AK253,AK254,AK255,AK256,AK257,AK258)</f>
        <v/>
      </c>
      <c r="AM250" s="73"/>
      <c r="AN250" s="1289"/>
      <c r="AO250" s="13">
        <v>169</v>
      </c>
      <c r="AP250" s="74"/>
      <c r="AQ250" s="75"/>
    </row>
    <row r="251" spans="1:43" ht="25.9" hidden="1" thickBot="1" x14ac:dyDescent="0.8">
      <c r="A251" s="973"/>
      <c r="B251" s="170" t="s">
        <v>908</v>
      </c>
      <c r="C251" s="576" t="s">
        <v>896</v>
      </c>
      <c r="D251" s="171"/>
      <c r="E251" s="171"/>
      <c r="F251" s="171"/>
      <c r="G251" s="171"/>
      <c r="H251" s="171"/>
      <c r="I251" s="171"/>
      <c r="J251" s="171"/>
      <c r="K251" s="171"/>
      <c r="L251" s="171"/>
      <c r="M251" s="171"/>
      <c r="N251" s="171"/>
      <c r="O251" s="171"/>
      <c r="P251" s="171"/>
      <c r="Q251" s="171"/>
      <c r="R251" s="171"/>
      <c r="S251" s="171"/>
      <c r="T251" s="171"/>
      <c r="U251" s="171"/>
      <c r="V251" s="171"/>
      <c r="W251" s="171"/>
      <c r="X251" s="171"/>
      <c r="Y251" s="171"/>
      <c r="Z251" s="171"/>
      <c r="AA251" s="171"/>
      <c r="AB251" s="345"/>
      <c r="AC251" s="345"/>
      <c r="AD251" s="345"/>
      <c r="AE251" s="345"/>
      <c r="AF251" s="345"/>
      <c r="AG251" s="345"/>
      <c r="AH251" s="345"/>
      <c r="AI251" s="345"/>
      <c r="AJ251" s="52">
        <f t="shared" si="37"/>
        <v>0</v>
      </c>
      <c r="AK251" s="130"/>
      <c r="AL251" s="1088"/>
      <c r="AM251" s="31"/>
      <c r="AN251" s="1289"/>
      <c r="AO251" s="13">
        <v>170</v>
      </c>
      <c r="AP251" s="74"/>
      <c r="AQ251" s="75"/>
    </row>
    <row r="252" spans="1:43" ht="25.9" hidden="1" thickBot="1" x14ac:dyDescent="0.8">
      <c r="A252" s="973"/>
      <c r="B252" s="172" t="s">
        <v>916</v>
      </c>
      <c r="C252" s="576" t="s">
        <v>897</v>
      </c>
      <c r="D252" s="173">
        <f>D253+D255+D257+D258</f>
        <v>0</v>
      </c>
      <c r="E252" s="173">
        <f t="shared" ref="E252" si="85">E253+E255+E257+E258</f>
        <v>0</v>
      </c>
      <c r="F252" s="173">
        <f t="shared" ref="F252" si="86">F253+F255+F257+F258</f>
        <v>0</v>
      </c>
      <c r="G252" s="173">
        <f t="shared" ref="G252" si="87">G253+G255+G257+G258</f>
        <v>0</v>
      </c>
      <c r="H252" s="173">
        <f t="shared" ref="H252" si="88">H253+H255+H257+H258</f>
        <v>0</v>
      </c>
      <c r="I252" s="173">
        <f t="shared" ref="I252" si="89">I253+I255+I257+I258</f>
        <v>0</v>
      </c>
      <c r="J252" s="173">
        <f t="shared" ref="J252" si="90">J253+J255+J257+J258</f>
        <v>0</v>
      </c>
      <c r="K252" s="173">
        <f t="shared" ref="K252" si="91">K253+K255+K257+K258</f>
        <v>0</v>
      </c>
      <c r="L252" s="173">
        <f t="shared" ref="L252" si="92">L253+L255+L257+L258</f>
        <v>0</v>
      </c>
      <c r="M252" s="173">
        <f t="shared" ref="M252" si="93">M253+M255+M257+M258</f>
        <v>0</v>
      </c>
      <c r="N252" s="173">
        <f t="shared" ref="N252" si="94">N253+N255+N257+N258</f>
        <v>0</v>
      </c>
      <c r="O252" s="173">
        <f t="shared" ref="O252" si="95">O253+O255+O257+O258</f>
        <v>0</v>
      </c>
      <c r="P252" s="173">
        <f t="shared" ref="P252" si="96">P253+P255+P257+P258</f>
        <v>0</v>
      </c>
      <c r="Q252" s="173">
        <f t="shared" ref="Q252" si="97">Q253+Q255+Q257+Q258</f>
        <v>0</v>
      </c>
      <c r="R252" s="173">
        <f t="shared" ref="R252" si="98">R253+R255+R257+R258</f>
        <v>0</v>
      </c>
      <c r="S252" s="173">
        <f t="shared" ref="S252" si="99">S253+S255+S257+S258</f>
        <v>0</v>
      </c>
      <c r="T252" s="173">
        <f t="shared" ref="T252" si="100">T253+T255+T257+T258</f>
        <v>0</v>
      </c>
      <c r="U252" s="173">
        <f t="shared" ref="U252" si="101">U253+U255+U257+U258</f>
        <v>0</v>
      </c>
      <c r="V252" s="173">
        <f t="shared" ref="V252" si="102">V253+V255+V257+V258</f>
        <v>0</v>
      </c>
      <c r="W252" s="173">
        <f t="shared" ref="W252" si="103">W253+W255+W257+W258</f>
        <v>0</v>
      </c>
      <c r="X252" s="173">
        <f t="shared" ref="X252" si="104">X253+X255+X257+X258</f>
        <v>0</v>
      </c>
      <c r="Y252" s="173">
        <f t="shared" ref="Y252" si="105">Y253+Y255+Y257+Y258</f>
        <v>0</v>
      </c>
      <c r="Z252" s="173">
        <f t="shared" ref="Z252" si="106">Z253+Z255+Z257+Z258</f>
        <v>0</v>
      </c>
      <c r="AA252" s="173">
        <f t="shared" ref="AA252" si="107">AA253+AA255+AA257+AA258</f>
        <v>0</v>
      </c>
      <c r="AB252" s="344"/>
      <c r="AC252" s="344"/>
      <c r="AD252" s="344"/>
      <c r="AE252" s="344"/>
      <c r="AF252" s="344"/>
      <c r="AG252" s="344"/>
      <c r="AH252" s="344"/>
      <c r="AI252" s="344"/>
      <c r="AJ252" s="52">
        <f t="shared" si="37"/>
        <v>0</v>
      </c>
      <c r="AK252" s="130"/>
      <c r="AL252" s="1088"/>
      <c r="AM252" s="31"/>
      <c r="AN252" s="1289"/>
      <c r="AO252" s="13">
        <v>171</v>
      </c>
      <c r="AP252" s="74"/>
      <c r="AQ252" s="75"/>
    </row>
    <row r="253" spans="1:43" ht="25.9" hidden="1" thickBot="1" x14ac:dyDescent="0.8">
      <c r="A253" s="973"/>
      <c r="B253" s="170" t="s">
        <v>861</v>
      </c>
      <c r="C253" s="576" t="s">
        <v>898</v>
      </c>
      <c r="D253" s="175"/>
      <c r="E253" s="175"/>
      <c r="F253" s="175"/>
      <c r="G253" s="175"/>
      <c r="H253" s="175"/>
      <c r="I253" s="175"/>
      <c r="J253" s="175"/>
      <c r="K253" s="175"/>
      <c r="L253" s="175"/>
      <c r="M253" s="175"/>
      <c r="N253" s="175"/>
      <c r="O253" s="175"/>
      <c r="P253" s="175"/>
      <c r="Q253" s="175"/>
      <c r="R253" s="175"/>
      <c r="S253" s="175"/>
      <c r="T253" s="175"/>
      <c r="U253" s="175"/>
      <c r="V253" s="175"/>
      <c r="W253" s="175"/>
      <c r="X253" s="175"/>
      <c r="Y253" s="175"/>
      <c r="Z253" s="175"/>
      <c r="AA253" s="175"/>
      <c r="AB253" s="345"/>
      <c r="AC253" s="345"/>
      <c r="AD253" s="345"/>
      <c r="AE253" s="345"/>
      <c r="AF253" s="345"/>
      <c r="AG253" s="345"/>
      <c r="AH253" s="345"/>
      <c r="AI253" s="345"/>
      <c r="AJ253" s="52">
        <f t="shared" si="37"/>
        <v>0</v>
      </c>
      <c r="AK253" s="30" t="str">
        <f>CONCATENATE(IF(D254&gt;D253," * OPD Sexual Violence Initiated Pep "&amp;$D$20&amp;" "&amp;$D$21&amp;" is more than OPD Sexual Violence Rape Survivors"&amp;CHAR(10),""),IF(E254&gt;E253," * OPD Sexual Violence Initiated Pep "&amp;$D$20&amp;" "&amp;$E$21&amp;" is more than OPD Sexual Violence Rape Survivors"&amp;CHAR(10),""),IF(F254&gt;F253," * OPD Sexual Violence Initiated Pep "&amp;$F$20&amp;" "&amp;$F$21&amp;" is more than OPD Sexual Violence Rape Survivors"&amp;CHAR(10),""),IF(G254&gt;G253," * OPD Sexual Violence Initiated Pep "&amp;$F$20&amp;" "&amp;$G$21&amp;" is more than OPD Sexual Violence Rape Survivors"&amp;CHAR(10),""),IF(H254&gt;H253," * OPD Sexual Violence Initiated Pep "&amp;$H$20&amp;" "&amp;$H$21&amp;" is more than OPD Sexual Violence Rape Survivors"&amp;CHAR(10),""),IF(I254&gt;I253," * OPD Sexual Violence Initiated Pep "&amp;$H$20&amp;" "&amp;$I$21&amp;" is more than OPD Sexual Violence Rape Survivors"&amp;CHAR(10),""),IF(J254&gt;J253," * OPD Sexual Violence Initiated Pep "&amp;$J$20&amp;" "&amp;$J$21&amp;" is more than OPD Sexual Violence Rape Survivors"&amp;CHAR(10),""),IF(K254&gt;K253," * OPD Sexual Violence Initiated Pep "&amp;$J$20&amp;" "&amp;$K$21&amp;" is more than OPD Sexual Violence Rape Survivors"&amp;CHAR(10),""),IF(L254&gt;L253," * OPD Sexual Violence Initiated Pep "&amp;$L$20&amp;" "&amp;$L$21&amp;" is more than OPD Sexual Violence Rape Survivors"&amp;CHAR(10),""),IF(M254&gt;M253," * OPD Sexual Violence Initiated Pep "&amp;$L$20&amp;" "&amp;$M$21&amp;" is more than OPD Sexual Violence Rape Survivors"&amp;CHAR(10),""),IF(N254&gt;N253," * OPD Sexual Violence Initiated Pep "&amp;$N$20&amp;" "&amp;$N$21&amp;" is more than OPD Sexual Violence Rape Survivors"&amp;CHAR(10),""),IF(O254&gt;O253," * OPD Sexual Violence Initiated Pep "&amp;$N$20&amp;" "&amp;$O$21&amp;" is more than OPD Sexual Violence Rape Survivors"&amp;CHAR(10),""),IF(P254&gt;P253," * OPD Sexual Violence Initiated Pep "&amp;$P$20&amp;" "&amp;$P$21&amp;" is more than OPD Sexual Violence Rape Survivors"&amp;CHAR(10),""),IF(Q254&gt;Q253," * OPD Sexual Violence Initiated Pep "&amp;$P$20&amp;" "&amp;$Q$21&amp;" is more than OPD Sexual Violence Rape Survivors"&amp;CHAR(10),""),IF(R254&gt;R253," * OPD Sexual Violence Initiated Pep "&amp;$R$20&amp;" "&amp;$R$21&amp;" is more than OPD Sexual Violence Rape Survivors"&amp;CHAR(10),""),IF(S254&gt;S253," * OPD Sexual Violence Initiated Pep "&amp;$R$20&amp;" "&amp;$S$21&amp;" is more than OPD Sexual Violence Rape Survivors"&amp;CHAR(10),""),IF(T254&gt;T253," * OPD Sexual Violence Initiated Pep "&amp;$T$20&amp;" "&amp;$T$21&amp;" is more than OPD Sexual Violence Rape Survivors"&amp;CHAR(10),""),IF(U254&gt;U253," * OPD Sexual Violence Initiated Pep "&amp;$T$20&amp;" "&amp;$U$21&amp;" is more than OPD Sexual Violence Rape Survivors"&amp;CHAR(10),""),IF(V254&gt;V253," * OPD Sexual Violence Initiated Pep "&amp;$V$20&amp;" "&amp;$V$21&amp;" is more than OPD Sexual Violence Rape Survivors"&amp;CHAR(10),""),IF(W254&gt;W253," * OPD Sexual Violence Initiated Pep "&amp;$V$20&amp;" "&amp;$W$21&amp;" is more than OPD Sexual Violence Rape Survivors"&amp;CHAR(10),""),IF(X254&gt;X253," * OPD Sexual Violence Initiated Pep "&amp;$X$20&amp;" "&amp;$X$21&amp;" is more than OPD Sexual Violence Rape Survivors"&amp;CHAR(10),""),IF(Y254&gt;Y253," * OPD Sexual Violence Initiated Pep "&amp;$X$20&amp;" "&amp;$Y$21&amp;" is more than OPD Sexual Violence Rape Survivors"&amp;CHAR(10),""),IF(Z254&gt;Z253," * OPD Sexual Violence Initiated Pep "&amp;$Z$20&amp;" "&amp;$Z$21&amp;" is more than OPD Sexual Violence Rape Survivors"&amp;CHAR(10),""),IF(AA254&gt;AA253," * OPD Sexual Violence Initiated Pep "&amp;$Z$20&amp;" "&amp;$AA$21&amp;" is more than OPD Sexual Violence Rape Survivors"&amp;CHAR(10),""))</f>
        <v/>
      </c>
      <c r="AL253" s="1088"/>
      <c r="AM253" s="31"/>
      <c r="AN253" s="1289"/>
      <c r="AO253" s="13">
        <v>172</v>
      </c>
      <c r="AP253" s="74"/>
      <c r="AQ253" s="75"/>
    </row>
    <row r="254" spans="1:43" ht="25.9" hidden="1" thickBot="1" x14ac:dyDescent="0.8">
      <c r="A254" s="973"/>
      <c r="B254" s="170" t="s">
        <v>862</v>
      </c>
      <c r="C254" s="576" t="s">
        <v>899</v>
      </c>
      <c r="D254" s="176"/>
      <c r="E254" s="176"/>
      <c r="F254" s="176"/>
      <c r="G254" s="176"/>
      <c r="H254" s="176"/>
      <c r="I254" s="176"/>
      <c r="J254" s="176"/>
      <c r="K254" s="176"/>
      <c r="L254" s="176"/>
      <c r="M254" s="176"/>
      <c r="N254" s="176"/>
      <c r="O254" s="176"/>
      <c r="P254" s="176"/>
      <c r="Q254" s="176"/>
      <c r="R254" s="176"/>
      <c r="S254" s="176"/>
      <c r="T254" s="176"/>
      <c r="U254" s="176"/>
      <c r="V254" s="176"/>
      <c r="W254" s="176"/>
      <c r="X254" s="176"/>
      <c r="Y254" s="176"/>
      <c r="Z254" s="176"/>
      <c r="AA254" s="176"/>
      <c r="AB254" s="345"/>
      <c r="AC254" s="345"/>
      <c r="AD254" s="345"/>
      <c r="AE254" s="345"/>
      <c r="AF254" s="345"/>
      <c r="AG254" s="345"/>
      <c r="AH254" s="345"/>
      <c r="AI254" s="345"/>
      <c r="AJ254" s="52">
        <f t="shared" si="37"/>
        <v>0</v>
      </c>
      <c r="AK254" s="130"/>
      <c r="AL254" s="1088"/>
      <c r="AM254" s="31"/>
      <c r="AN254" s="1289"/>
      <c r="AO254" s="13">
        <v>173</v>
      </c>
      <c r="AP254" s="74"/>
      <c r="AQ254" s="75"/>
    </row>
    <row r="255" spans="1:43" ht="25.9" hidden="1" thickBot="1" x14ac:dyDescent="0.8">
      <c r="A255" s="973"/>
      <c r="B255" s="170" t="s">
        <v>863</v>
      </c>
      <c r="C255" s="576" t="s">
        <v>901</v>
      </c>
      <c r="D255" s="175"/>
      <c r="E255" s="175"/>
      <c r="F255" s="175"/>
      <c r="G255" s="175"/>
      <c r="H255" s="175"/>
      <c r="I255" s="175"/>
      <c r="J255" s="175"/>
      <c r="K255" s="175"/>
      <c r="L255" s="175"/>
      <c r="M255" s="175"/>
      <c r="N255" s="175"/>
      <c r="O255" s="175"/>
      <c r="P255" s="175"/>
      <c r="Q255" s="175"/>
      <c r="R255" s="175"/>
      <c r="S255" s="175"/>
      <c r="T255" s="175"/>
      <c r="U255" s="175"/>
      <c r="V255" s="175"/>
      <c r="W255" s="175"/>
      <c r="X255" s="175"/>
      <c r="Y255" s="175"/>
      <c r="Z255" s="175"/>
      <c r="AA255" s="175"/>
      <c r="AB255" s="345"/>
      <c r="AC255" s="345"/>
      <c r="AD255" s="345"/>
      <c r="AE255" s="345"/>
      <c r="AF255" s="345"/>
      <c r="AG255" s="345"/>
      <c r="AH255" s="345"/>
      <c r="AI255" s="345"/>
      <c r="AJ255" s="52">
        <f t="shared" si="37"/>
        <v>0</v>
      </c>
      <c r="AK255" s="30" t="str">
        <f>CONCATENATE(IF(D256&gt;D255," * MCH  Physical Violence Initiated Pep "&amp;$D$20&amp;" "&amp;$D$21&amp;" is more than MCH Physical Violence Rape Survivors"&amp;CHAR(10),""),IF(E256&gt;E255," * MCH  Physical Violence Initiated Pep "&amp;$D$20&amp;" "&amp;$E$21&amp;" is more than MCH Physical Violence Rape Survivors"&amp;CHAR(10),""),IF(F256&gt;F255," * MCH  Physical Violence Initiated Pep "&amp;$F$20&amp;" "&amp;$F$21&amp;" is more than MCH Physical Violence Rape Survivors"&amp;CHAR(10),""),IF(G256&gt;G255," * MCH  Physical Violence Initiated Pep "&amp;$F$20&amp;" "&amp;$G$21&amp;" is more than MCH Physical Violence Rape Survivors"&amp;CHAR(10),""),IF(H256&gt;H255," * MCH  Physical Violence Initiated Pep "&amp;$H$20&amp;" "&amp;$H$21&amp;" is more than MCH Physical Violence Rape Survivors"&amp;CHAR(10),""),IF(I256&gt;I255," * MCH  Physical Violence Initiated Pep "&amp;$H$20&amp;" "&amp;$I$21&amp;" is more than MCH Physical Violence Rape Survivors"&amp;CHAR(10),""),IF(J256&gt;J255," * MCH  Physical Violence Initiated Pep "&amp;$J$20&amp;" "&amp;$J$21&amp;" is more than MCH Physical Violence Rape Survivors"&amp;CHAR(10),""),IF(K256&gt;K255," * MCH  Physical Violence Initiated Pep "&amp;$J$20&amp;" "&amp;$K$21&amp;" is more than MCH Physical Violence Rape Survivors"&amp;CHAR(10),""),IF(L256&gt;L255," * MCH  Physical Violence Initiated Pep "&amp;$L$20&amp;" "&amp;$L$21&amp;" is more than MCH Physical Violence Rape Survivors"&amp;CHAR(10),""),IF(M256&gt;M255," * MCH  Physical Violence Initiated Pep "&amp;$L$20&amp;" "&amp;$M$21&amp;" is more than MCH Physical Violence Rape Survivors"&amp;CHAR(10),""),IF(N256&gt;N255," * MCH  Physical Violence Initiated Pep "&amp;$N$20&amp;" "&amp;$N$21&amp;" is more than MCH Physical Violence Rape Survivors"&amp;CHAR(10),""),IF(O256&gt;O255," * MCH  Physical Violence Initiated Pep "&amp;$N$20&amp;" "&amp;$O$21&amp;" is more than MCH Physical Violence Rape Survivors"&amp;CHAR(10),""),IF(P256&gt;P255," * MCH  Physical Violence Initiated Pep "&amp;$P$20&amp;" "&amp;$P$21&amp;" is more than MCH Physical Violence Rape Survivors"&amp;CHAR(10),""),IF(Q256&gt;Q255," * MCH  Physical Violence Initiated Pep "&amp;$P$20&amp;" "&amp;$Q$21&amp;" is more than MCH Physical Violence Rape Survivors"&amp;CHAR(10),""),IF(R256&gt;R255," * MCH  Physical Violence Initiated Pep "&amp;$R$20&amp;" "&amp;$R$21&amp;" is more than MCH Physical Violence Rape Survivors"&amp;CHAR(10),""),IF(S256&gt;S255," * MCH  Physical Violence Initiated Pep "&amp;$R$20&amp;" "&amp;$S$21&amp;" is more than MCH Physical Violence Rape Survivors"&amp;CHAR(10),""),IF(T256&gt;T255," * MCH  Physical Violence Initiated Pep "&amp;$T$20&amp;" "&amp;$T$21&amp;" is more than MCH Physical Violence Rape Survivors"&amp;CHAR(10),""),IF(U256&gt;U255," * MCH  Physical Violence Initiated Pep "&amp;$T$20&amp;" "&amp;$U$21&amp;" is more than MCH Physical Violence Rape Survivors"&amp;CHAR(10),""),IF(V256&gt;V255," * MCH  Physical Violence Initiated Pep "&amp;$V$20&amp;" "&amp;$V$21&amp;" is more than MCH Physical Violence Rape Survivors"&amp;CHAR(10),""),IF(W256&gt;W255," * MCH  Physical Violence Initiated Pep "&amp;$V$20&amp;" "&amp;$W$21&amp;" is more than MCH Physical Violence Rape Survivors"&amp;CHAR(10),""),IF(X256&gt;X255," * MCH  Physical Violence Initiated Pep "&amp;$X$20&amp;" "&amp;$X$21&amp;" is more than MCH Physical Violence Rape Survivors"&amp;CHAR(10),""),IF(Y256&gt;Y255," * MCH  Physical Violence Initiated Pep "&amp;$X$20&amp;" "&amp;$Y$21&amp;" is more than MCH Physical Violence Rape Survivors"&amp;CHAR(10),""),IF(Z256&gt;Z255," * MCH  Physical Violence Initiated Pep "&amp;$Z$20&amp;" "&amp;$Z$21&amp;" is more than MCH Physical Violence Rape Survivors"&amp;CHAR(10),""),IF(AA256&gt;AA255," * MCH  Physical Violence Initiated Pep "&amp;$Z$20&amp;" "&amp;$AA$21&amp;" is more than MCH Physical Violence Rape Survivors"&amp;CHAR(10),""))</f>
        <v/>
      </c>
      <c r="AL255" s="1088"/>
      <c r="AM255" s="31"/>
      <c r="AN255" s="1289"/>
      <c r="AO255" s="13">
        <v>174</v>
      </c>
      <c r="AP255" s="74"/>
      <c r="AQ255" s="75"/>
    </row>
    <row r="256" spans="1:43" ht="25.9" hidden="1" thickBot="1" x14ac:dyDescent="0.8">
      <c r="A256" s="973"/>
      <c r="B256" s="170" t="s">
        <v>864</v>
      </c>
      <c r="C256" s="576" t="s">
        <v>902</v>
      </c>
      <c r="D256" s="176"/>
      <c r="E256" s="176"/>
      <c r="F256" s="176"/>
      <c r="G256" s="176"/>
      <c r="H256" s="176"/>
      <c r="I256" s="176"/>
      <c r="J256" s="176"/>
      <c r="K256" s="176"/>
      <c r="L256" s="176"/>
      <c r="M256" s="176"/>
      <c r="N256" s="176"/>
      <c r="O256" s="176"/>
      <c r="P256" s="176"/>
      <c r="Q256" s="176"/>
      <c r="R256" s="176"/>
      <c r="S256" s="176"/>
      <c r="T256" s="176"/>
      <c r="U256" s="176"/>
      <c r="V256" s="176"/>
      <c r="W256" s="176"/>
      <c r="X256" s="176"/>
      <c r="Y256" s="176"/>
      <c r="Z256" s="176"/>
      <c r="AA256" s="176"/>
      <c r="AB256" s="345"/>
      <c r="AC256" s="345"/>
      <c r="AD256" s="345"/>
      <c r="AE256" s="345"/>
      <c r="AF256" s="345"/>
      <c r="AG256" s="345"/>
      <c r="AH256" s="345"/>
      <c r="AI256" s="345"/>
      <c r="AJ256" s="52">
        <f t="shared" si="37"/>
        <v>0</v>
      </c>
      <c r="AK256" s="130"/>
      <c r="AL256" s="1088"/>
      <c r="AM256" s="31"/>
      <c r="AN256" s="1289"/>
      <c r="AO256" s="13">
        <v>175</v>
      </c>
      <c r="AP256" s="74"/>
      <c r="AQ256" s="75"/>
    </row>
    <row r="257" spans="1:43" ht="25.9" hidden="1" thickBot="1" x14ac:dyDescent="0.8">
      <c r="A257" s="973"/>
      <c r="B257" s="170" t="s">
        <v>865</v>
      </c>
      <c r="C257" s="576" t="s">
        <v>903</v>
      </c>
      <c r="D257" s="177"/>
      <c r="E257" s="176"/>
      <c r="F257" s="176"/>
      <c r="G257" s="176"/>
      <c r="H257" s="176"/>
      <c r="I257" s="176"/>
      <c r="J257" s="176"/>
      <c r="K257" s="176"/>
      <c r="L257" s="176"/>
      <c r="M257" s="176"/>
      <c r="N257" s="176"/>
      <c r="O257" s="176"/>
      <c r="P257" s="176"/>
      <c r="Q257" s="176"/>
      <c r="R257" s="176"/>
      <c r="S257" s="176"/>
      <c r="T257" s="176"/>
      <c r="U257" s="176"/>
      <c r="V257" s="176"/>
      <c r="W257" s="176"/>
      <c r="X257" s="176"/>
      <c r="Y257" s="176"/>
      <c r="Z257" s="176"/>
      <c r="AA257" s="178"/>
      <c r="AB257" s="345"/>
      <c r="AC257" s="345"/>
      <c r="AD257" s="345"/>
      <c r="AE257" s="345"/>
      <c r="AF257" s="345"/>
      <c r="AG257" s="345"/>
      <c r="AH257" s="345"/>
      <c r="AI257" s="345"/>
      <c r="AJ257" s="52">
        <f t="shared" si="37"/>
        <v>0</v>
      </c>
      <c r="AK257" s="130"/>
      <c r="AL257" s="1088"/>
      <c r="AM257" s="31"/>
      <c r="AN257" s="1289"/>
      <c r="AO257" s="13">
        <v>176</v>
      </c>
      <c r="AP257" s="74"/>
      <c r="AQ257" s="75"/>
    </row>
    <row r="258" spans="1:43" ht="25.9" hidden="1" thickBot="1" x14ac:dyDescent="0.8">
      <c r="A258" s="974"/>
      <c r="B258" s="184" t="s">
        <v>900</v>
      </c>
      <c r="C258" s="576" t="s">
        <v>904</v>
      </c>
      <c r="D258" s="180"/>
      <c r="E258" s="181"/>
      <c r="F258" s="181"/>
      <c r="G258" s="181"/>
      <c r="H258" s="181"/>
      <c r="I258" s="181"/>
      <c r="J258" s="181"/>
      <c r="K258" s="181"/>
      <c r="L258" s="181"/>
      <c r="M258" s="181"/>
      <c r="N258" s="181"/>
      <c r="O258" s="181"/>
      <c r="P258" s="181"/>
      <c r="Q258" s="181"/>
      <c r="R258" s="181"/>
      <c r="S258" s="181"/>
      <c r="T258" s="181"/>
      <c r="U258" s="181"/>
      <c r="V258" s="181"/>
      <c r="W258" s="181"/>
      <c r="X258" s="181"/>
      <c r="Y258" s="181"/>
      <c r="Z258" s="181"/>
      <c r="AA258" s="182"/>
      <c r="AB258" s="345"/>
      <c r="AC258" s="345"/>
      <c r="AD258" s="345"/>
      <c r="AE258" s="345"/>
      <c r="AF258" s="345"/>
      <c r="AG258" s="345"/>
      <c r="AH258" s="345"/>
      <c r="AI258" s="345"/>
      <c r="AJ258" s="185">
        <f t="shared" si="37"/>
        <v>0</v>
      </c>
      <c r="AK258" s="130"/>
      <c r="AL258" s="1104"/>
      <c r="AM258" s="31"/>
      <c r="AN258" s="1289"/>
      <c r="AO258" s="13">
        <v>177</v>
      </c>
      <c r="AP258" s="74"/>
      <c r="AQ258" s="75"/>
    </row>
    <row r="259" spans="1:43" ht="25.5" hidden="1" x14ac:dyDescent="0.75">
      <c r="A259" s="1119" t="s">
        <v>958</v>
      </c>
      <c r="B259" s="186" t="s">
        <v>957</v>
      </c>
      <c r="C259" s="579" t="s">
        <v>183</v>
      </c>
      <c r="D259" s="187"/>
      <c r="E259" s="188"/>
      <c r="F259" s="188"/>
      <c r="G259" s="188"/>
      <c r="H259" s="188"/>
      <c r="I259" s="188"/>
      <c r="J259" s="188"/>
      <c r="K259" s="188"/>
      <c r="L259" s="188"/>
      <c r="M259" s="188"/>
      <c r="N259" s="188"/>
      <c r="O259" s="188"/>
      <c r="P259" s="188"/>
      <c r="Q259" s="188"/>
      <c r="R259" s="188"/>
      <c r="S259" s="188"/>
      <c r="T259" s="188"/>
      <c r="U259" s="188"/>
      <c r="V259" s="188"/>
      <c r="W259" s="188"/>
      <c r="X259" s="188"/>
      <c r="Y259" s="188"/>
      <c r="Z259" s="188"/>
      <c r="AA259" s="395"/>
      <c r="AB259" s="387"/>
      <c r="AC259" s="388"/>
      <c r="AD259" s="388"/>
      <c r="AE259" s="388"/>
      <c r="AF259" s="388"/>
      <c r="AG259" s="388"/>
      <c r="AH259" s="388"/>
      <c r="AI259" s="317"/>
      <c r="AJ259" s="189">
        <f>SUM(D259:AA259)</f>
        <v>0</v>
      </c>
      <c r="AK259" s="130" t="str">
        <f>CONCATENATE(IF(D260&gt;D259," * Initiated Pep for Age "&amp;D20&amp;" "&amp;D21&amp;" is more than Rape survivors"&amp;CHAR(10),""),IF(E260&gt;E259," * Initiated Pep for Age "&amp;D20&amp;" "&amp;E21&amp;" is more than Rape survivors"&amp;CHAR(10),""),IF(F260&gt;F259," * Initiated Pep for Age "&amp;F20&amp;" "&amp;F21&amp;" is more than Rape survivors"&amp;CHAR(10),""),IF(G260&gt;G259," * Initiated Pep for Age "&amp;F20&amp;" "&amp;G21&amp;" is more than Rape survivors"&amp;CHAR(10),""),IF(H260&gt;H259," * Initiated Pep for Age "&amp;H20&amp;" "&amp;H21&amp;" is more than Rape survivors"&amp;CHAR(10),""),IF(I260&gt;I259," * Initiated Pep for Age "&amp;H20&amp;" "&amp;I21&amp;" is more than Rape survivors"&amp;CHAR(10),""),IF(J260&gt;J259," * Initiated Pep for Age "&amp;J20&amp;" "&amp;J21&amp;" is more than Rape survivors"&amp;CHAR(10),""),IF(K260&gt;K259," * Initiated Pep for Age "&amp;J20&amp;" "&amp;K21&amp;" is more than Rape survivors"&amp;CHAR(10),""),IF(L260&gt;L259," * Initiated Pep for Age "&amp;L20&amp;" "&amp;L21&amp;" is more than Rape survivors"&amp;CHAR(10),""),IF(M260&gt;M259," * Initiated Pep for Age "&amp;L20&amp;" "&amp;M21&amp;" is more than Rape survivors"&amp;CHAR(10),""),IF(N260&gt;N259," * Initiated Pep for Age "&amp;N20&amp;" "&amp;N21&amp;" is more than Rape survivors"&amp;CHAR(10),""),IF(O260&gt;O259," * Initiated Pep for Age "&amp;N20&amp;" "&amp;O21&amp;" is more than Rape survivors"&amp;CHAR(10),""),IF(P260&gt;P259," * Initiated Pep for Age "&amp;P20&amp;" "&amp;P21&amp;" is more than Rape survivors"&amp;CHAR(10),""),IF(Q260&gt;Q259," * Initiated Pep for Age "&amp;P20&amp;" "&amp;Q21&amp;" is more than Rape survivors"&amp;CHAR(10),""),IF(R260&gt;R259," * Initiated Pep for Age "&amp;R20&amp;" "&amp;R21&amp;" is more than Rape survivors"&amp;CHAR(10),""),IF(S260&gt;S259," * Initiated Pep for Age "&amp;R20&amp;" "&amp;S21&amp;" is more than Rape survivors"&amp;CHAR(10),""),IF(T260&gt;T259," * Initiated Pep for Age "&amp;T20&amp;" "&amp;T21&amp;" is more than Rape survivors"&amp;CHAR(10),""),IF(U260&gt;U259," * Initiated Pep for Age "&amp;T20&amp;" "&amp;U21&amp;" is more than Rape survivors"&amp;CHAR(10),""),IF(V260&gt;V259," * Initiated Pep for Age "&amp;V20&amp;" "&amp;V21&amp;" is more than Rape survivors"&amp;CHAR(10),""),IF(W260&gt;W259," * Initiated Pep for Age "&amp;V20&amp;" "&amp;W21&amp;" is more than Rape survivors"&amp;CHAR(10),""),IF(X260&gt;X259," * Initiated Pep for Age "&amp;X20&amp;" "&amp;X21&amp;" is more than Rape survivors"&amp;CHAR(10),""),IF(Y260&gt;Y259," * Initiated Pep for Age "&amp;X20&amp;" "&amp;Y21&amp;" is more than Rape survivors"&amp;CHAR(10),""),IF(Z260&gt;Z259," * Initiated Pep for Age "&amp;Z20&amp;" "&amp;Z21&amp;" is more than Rape survivors"&amp;CHAR(10),""),IF(AA260&gt;AA259," * Initiated Pep for Age "&amp;Z20&amp;" "&amp;AA21&amp;" is more than Rape survivors"&amp;CHAR(10),""))</f>
        <v/>
      </c>
      <c r="AL259" s="1293" t="str">
        <f>CONCATENATE(AK223,AK261,AK262,AK263,AK264,AK266,AK268,AK270,AK272,AK273,AK260,AK265,AK259,AK267)</f>
        <v/>
      </c>
      <c r="AM259" s="31"/>
      <c r="AN259" s="1289"/>
      <c r="AO259" s="13">
        <v>178</v>
      </c>
      <c r="AP259" s="74"/>
      <c r="AQ259" s="75"/>
    </row>
    <row r="260" spans="1:43" ht="25.9" hidden="1" thickBot="1" x14ac:dyDescent="0.8">
      <c r="A260" s="1080"/>
      <c r="B260" s="190" t="s">
        <v>917</v>
      </c>
      <c r="C260" s="599" t="s">
        <v>182</v>
      </c>
      <c r="D260" s="191"/>
      <c r="E260" s="192"/>
      <c r="F260" s="192"/>
      <c r="G260" s="192"/>
      <c r="H260" s="192"/>
      <c r="I260" s="192"/>
      <c r="J260" s="192"/>
      <c r="K260" s="192"/>
      <c r="L260" s="192"/>
      <c r="M260" s="192"/>
      <c r="N260" s="192"/>
      <c r="O260" s="192"/>
      <c r="P260" s="192"/>
      <c r="Q260" s="192"/>
      <c r="R260" s="192"/>
      <c r="S260" s="192"/>
      <c r="T260" s="192"/>
      <c r="U260" s="192"/>
      <c r="V260" s="192"/>
      <c r="W260" s="192"/>
      <c r="X260" s="192"/>
      <c r="Y260" s="192"/>
      <c r="Z260" s="192"/>
      <c r="AA260" s="396"/>
      <c r="AB260" s="389"/>
      <c r="AC260" s="357"/>
      <c r="AD260" s="357"/>
      <c r="AE260" s="357"/>
      <c r="AF260" s="357"/>
      <c r="AG260" s="357"/>
      <c r="AH260" s="357"/>
      <c r="AI260" s="314"/>
      <c r="AJ260" s="193">
        <f t="shared" ref="AJ260:AJ273" si="108">SUM(D260:AA260)</f>
        <v>0</v>
      </c>
      <c r="AK260" s="130"/>
      <c r="AL260" s="1228"/>
      <c r="AM260" s="31"/>
      <c r="AN260" s="1289"/>
      <c r="AO260" s="13">
        <v>179</v>
      </c>
      <c r="AP260" s="74"/>
      <c r="AQ260" s="75"/>
    </row>
    <row r="261" spans="1:43" ht="25.9" hidden="1" thickBot="1" x14ac:dyDescent="0.8">
      <c r="A261" s="944" t="s">
        <v>959</v>
      </c>
      <c r="B261" s="186" t="s">
        <v>670</v>
      </c>
      <c r="C261" s="599" t="s">
        <v>249</v>
      </c>
      <c r="D261" s="194"/>
      <c r="E261" s="195"/>
      <c r="F261" s="195"/>
      <c r="G261" s="195"/>
      <c r="H261" s="195"/>
      <c r="I261" s="195"/>
      <c r="J261" s="195"/>
      <c r="K261" s="195"/>
      <c r="L261" s="195"/>
      <c r="M261" s="195"/>
      <c r="N261" s="195"/>
      <c r="O261" s="195"/>
      <c r="P261" s="195"/>
      <c r="Q261" s="195"/>
      <c r="R261" s="195"/>
      <c r="S261" s="195"/>
      <c r="T261" s="195"/>
      <c r="U261" s="195"/>
      <c r="V261" s="195"/>
      <c r="W261" s="195"/>
      <c r="X261" s="195"/>
      <c r="Y261" s="195"/>
      <c r="Z261" s="195"/>
      <c r="AA261" s="349"/>
      <c r="AB261" s="389"/>
      <c r="AC261" s="357"/>
      <c r="AD261" s="357"/>
      <c r="AE261" s="357"/>
      <c r="AF261" s="357"/>
      <c r="AG261" s="357"/>
      <c r="AH261" s="357"/>
      <c r="AI261" s="314"/>
      <c r="AJ261" s="397">
        <f>SUM(D261:AA261)</f>
        <v>0</v>
      </c>
      <c r="AK261" s="116" t="str">
        <f>CONCATENATE(IF(D262&gt;D261," * Initiated Pep for Age "&amp;D19&amp;" "&amp;D20&amp;" is more than No of Clients"&amp;CHAR(10),""),IF(E262&gt;E261," * Initiated Pep for Age "&amp;D19&amp;" "&amp;E20&amp;" is more than No of Clients"&amp;CHAR(10),""),IF(F262&gt;F261," * Initiated Pep for Age "&amp;F19&amp;" "&amp;F20&amp;" is more than No of Clients"&amp;CHAR(10),""),IF(G262&gt;G261," * Initiated Pep for Age "&amp;F19&amp;" "&amp;G20&amp;" is more than No of Clients"&amp;CHAR(10),""),IF(H262&gt;H261," * Initiated Pep for Age "&amp;H19&amp;" "&amp;H20&amp;" is more than No of Clients"&amp;CHAR(10),""),IF(I262&gt;I261," * Initiated Pep for Age "&amp;H19&amp;" "&amp;I20&amp;" is more than No of Clients"&amp;CHAR(10),""),IF(J262&gt;J261," * Initiated Pep for Age "&amp;J19&amp;" "&amp;J20&amp;" is more than No of Clients"&amp;CHAR(10),""),IF(K262&gt;K261," * Initiated Pep for Age "&amp;J19&amp;" "&amp;K20&amp;" is more than No of Clients"&amp;CHAR(10),""),IF(L262&gt;L261," * Initiated Pep for Age "&amp;L19&amp;" "&amp;L20&amp;" is more than No of Clients"&amp;CHAR(10),""),IF(M262&gt;M261," * Initiated Pep for Age "&amp;L19&amp;" "&amp;M20&amp;" is more than No of Clients"&amp;CHAR(10),""),IF(N262&gt;N261," * Initiated Pep for Age "&amp;N19&amp;" "&amp;N20&amp;" is more than No of Clients"&amp;CHAR(10),""),IF(O262&gt;O261," * Initiated Pep for Age "&amp;N19&amp;" "&amp;O20&amp;" is more than No of Clients"&amp;CHAR(10),""),IF(P262&gt;P261," * Initiated Pep for Age "&amp;P19&amp;" "&amp;P20&amp;" is more than No of Clients"&amp;CHAR(10),""),IF(Q262&gt;Q261," * Initiated Pep for Age "&amp;P19&amp;" "&amp;Q20&amp;" is more than No of Clients"&amp;CHAR(10),""),IF(R262&gt;R261," * Initiated Pep for Age "&amp;R19&amp;" "&amp;R20&amp;" is more than No of Clients"&amp;CHAR(10),""),IF(S262&gt;S261," * Initiated Pep for Age "&amp;R19&amp;" "&amp;S20&amp;" is more than No of Clients"&amp;CHAR(10),""),IF(T262&gt;T261," * Initiated Pep for Age "&amp;T19&amp;" "&amp;T20&amp;" is more than No of Clients"&amp;CHAR(10),""),IF(U262&gt;U261," * Initiated Pep for Age "&amp;T19&amp;" "&amp;U20&amp;" is more than No of Clients"&amp;CHAR(10),""),IF(V262&gt;V261," * Initiated Pep for Age "&amp;V19&amp;" "&amp;V20&amp;" is more than No of Clients"&amp;CHAR(10),""),IF(W262&gt;W261," * Initiated Pep for Age "&amp;V19&amp;" "&amp;W20&amp;" is more than No of Clients"&amp;CHAR(10),""),IF(X262&gt;X261," * Initiated Pep for Age "&amp;X19&amp;" "&amp;X20&amp;" is more than No of Clients"&amp;CHAR(10),""),IF(Y262&gt;Y261," * Initiated Pep for Age "&amp;X19&amp;" "&amp;Y20&amp;" is more than No of Clients"&amp;CHAR(10),""),IF(Z262&gt;Z261," * Initiated Pep for Age "&amp;Z19&amp;" "&amp;Z20&amp;" is more than No of Clients"&amp;CHAR(10),""),IF(AA262&gt;AA261," * Initiated Pep for Age "&amp;Z19&amp;" "&amp;AA20&amp;" is more than No of Clients"&amp;CHAR(10),""))</f>
        <v/>
      </c>
      <c r="AL261" s="1228"/>
      <c r="AM261" s="31"/>
      <c r="AN261" s="1289"/>
      <c r="AO261" s="13">
        <v>180</v>
      </c>
      <c r="AP261" s="74"/>
      <c r="AQ261" s="75"/>
    </row>
    <row r="262" spans="1:43" ht="25.9" hidden="1" thickBot="1" x14ac:dyDescent="0.8">
      <c r="A262" s="1070"/>
      <c r="B262" s="190" t="s">
        <v>669</v>
      </c>
      <c r="C262" s="590" t="s">
        <v>253</v>
      </c>
      <c r="D262" s="196"/>
      <c r="E262" s="197"/>
      <c r="F262" s="197"/>
      <c r="G262" s="197"/>
      <c r="H262" s="197"/>
      <c r="I262" s="197"/>
      <c r="J262" s="197"/>
      <c r="K262" s="197"/>
      <c r="L262" s="197"/>
      <c r="M262" s="197"/>
      <c r="N262" s="197"/>
      <c r="O262" s="197"/>
      <c r="P262" s="197"/>
      <c r="Q262" s="197"/>
      <c r="R262" s="197"/>
      <c r="S262" s="197"/>
      <c r="T262" s="197"/>
      <c r="U262" s="197"/>
      <c r="V262" s="197"/>
      <c r="W262" s="197"/>
      <c r="X262" s="197"/>
      <c r="Y262" s="197"/>
      <c r="Z262" s="197"/>
      <c r="AA262" s="348"/>
      <c r="AB262" s="389"/>
      <c r="AC262" s="357"/>
      <c r="AD262" s="357"/>
      <c r="AE262" s="357"/>
      <c r="AF262" s="357"/>
      <c r="AG262" s="357"/>
      <c r="AH262" s="357"/>
      <c r="AI262" s="314"/>
      <c r="AJ262" s="56">
        <f t="shared" si="108"/>
        <v>0</v>
      </c>
      <c r="AK262" s="116"/>
      <c r="AL262" s="1228"/>
      <c r="AM262" s="31"/>
      <c r="AN262" s="1289"/>
      <c r="AO262" s="13">
        <v>181</v>
      </c>
      <c r="AP262" s="74"/>
      <c r="AQ262" s="75"/>
    </row>
    <row r="263" spans="1:43" s="14" customFormat="1" ht="25.5" hidden="1" x14ac:dyDescent="0.75">
      <c r="A263" s="1028" t="s">
        <v>26</v>
      </c>
      <c r="B263" s="136" t="s">
        <v>671</v>
      </c>
      <c r="C263" s="599" t="s">
        <v>254</v>
      </c>
      <c r="D263" s="198"/>
      <c r="E263" s="198"/>
      <c r="F263" s="198"/>
      <c r="G263" s="198"/>
      <c r="H263" s="198"/>
      <c r="I263" s="198"/>
      <c r="J263" s="198"/>
      <c r="K263" s="198"/>
      <c r="L263" s="198"/>
      <c r="M263" s="198"/>
      <c r="N263" s="198"/>
      <c r="O263" s="198"/>
      <c r="P263" s="198"/>
      <c r="Q263" s="198"/>
      <c r="R263" s="198"/>
      <c r="S263" s="198"/>
      <c r="T263" s="198"/>
      <c r="U263" s="198"/>
      <c r="V263" s="198"/>
      <c r="W263" s="198"/>
      <c r="X263" s="198"/>
      <c r="Y263" s="198"/>
      <c r="Z263" s="198"/>
      <c r="AA263" s="350"/>
      <c r="AB263" s="389"/>
      <c r="AC263" s="357"/>
      <c r="AD263" s="357"/>
      <c r="AE263" s="357"/>
      <c r="AF263" s="357"/>
      <c r="AG263" s="357"/>
      <c r="AH263" s="357"/>
      <c r="AI263" s="314"/>
      <c r="AJ263" s="52">
        <f t="shared" si="108"/>
        <v>0</v>
      </c>
      <c r="AK263" s="116" t="str">
        <f>CONCATENATE(IF(D263&gt;D259," * Total Rape Survivors for Age "&amp;D20&amp;" "&amp;D21&amp;" is less than Screened For STI"&amp;CHAR(10),""),IF(E263&gt;E259," * Total Rape Survivors for Age "&amp;D20&amp;" "&amp;E21&amp;" is less than Screened For STI"&amp;CHAR(10),""),IF(F263&gt;F259," * Total Rape Survivors for Age "&amp;F20&amp;" "&amp;F21&amp;" is less than Screened For STI"&amp;CHAR(10),""),IF(G263&gt;G259," * Total Rape Survivors for Age "&amp;F20&amp;" "&amp;G21&amp;" is less than Screened For STI"&amp;CHAR(10),""),IF(H263&gt;H259," * Total Rape Survivors for Age "&amp;H20&amp;" "&amp;H21&amp;" is less than Screened For STI"&amp;CHAR(10),""),IF(I263&gt;I259," * Total Rape Survivors for Age "&amp;H20&amp;" "&amp;I21&amp;" is less than Screened For STI"&amp;CHAR(10),""),IF(J263&gt;J259," * Total Rape Survivors for Age "&amp;J20&amp;" "&amp;J21&amp;" is less than Screened For STI"&amp;CHAR(10),""),IF(K263&gt;K259," * Total Rape Survivors for Age "&amp;J20&amp;" "&amp;K21&amp;" is less than Screened For STI"&amp;CHAR(10),""),IF(L263&gt;L259," * Total Rape Survivors for Age "&amp;L20&amp;" "&amp;L21&amp;" is less than Screened For STI"&amp;CHAR(10),""),IF(M263&gt;M259," * Total Rape Survivors for Age "&amp;L20&amp;" "&amp;M21&amp;" is less than Screened For STI"&amp;CHAR(10),""),IF(N263&gt;N259," * Total Rape Survivors for Age "&amp;N20&amp;" "&amp;N21&amp;" is less than Screened For STI"&amp;CHAR(10),""),IF(O263&gt;O259," * Total Rape Survivors for Age "&amp;N20&amp;" "&amp;O21&amp;" is less than Screened For STI"&amp;CHAR(10),""),IF(P263&gt;P259," * Total Rape Survivors for Age "&amp;P20&amp;" "&amp;P21&amp;" is less than Screened For STI"&amp;CHAR(10),""),IF(Q263&gt;Q259," * Total Rape Survivors for Age "&amp;P20&amp;" "&amp;Q21&amp;" is less than Screened For STI"&amp;CHAR(10),""),IF(R263&gt;R259," * Total Rape Survivors for Age "&amp;R20&amp;" "&amp;R21&amp;" is less than Screened For STI"&amp;CHAR(10),""),IF(S263&gt;S259," * Total Rape Survivors for Age "&amp;R20&amp;" "&amp;S21&amp;" is less than Screened For STI"&amp;CHAR(10),""),IF(T263&gt;T259," * Total Rape Survivors for Age "&amp;T20&amp;" "&amp;T21&amp;" is less than Screened For STI"&amp;CHAR(10),""),IF(U263&gt;U259," * Total Rape Survivors for Age "&amp;T20&amp;" "&amp;U21&amp;" is less than Screened For STI"&amp;CHAR(10),""),IF(V263&gt;V259," * Total Rape Survivors for Age "&amp;V20&amp;" "&amp;V21&amp;" is less than Screened For STI"&amp;CHAR(10),""),IF(W263&gt;W259," * Total Rape Survivors for Age "&amp;V20&amp;" "&amp;W21&amp;" is less than Screened For STI"&amp;CHAR(10),""),IF(X263&gt;X259," * Total Rape Survivors for Age "&amp;X20&amp;" "&amp;X21&amp;" is less than Screened For STI"&amp;CHAR(10),""),IF(Y263&gt;Y259," * Total Rape Survivors for Age "&amp;X20&amp;" "&amp;Y21&amp;" is less than Screened For STI"&amp;CHAR(10),""),IF(Z263&gt;Z259," * Total Rape Survivors for Age "&amp;Z20&amp;" "&amp;Z21&amp;" is less than Screened For STI"&amp;CHAR(10),""),IF(AA263&gt;AA259," * Total Rape Survivors for Age "&amp;Z20&amp;" "&amp;AA21&amp;" is less than Screened For STI"&amp;CHAR(10),""),IF(AJ263&gt;AJ259," * Total Total Rape Survivors is less than Total Screened For STI"&amp;CHAR(10),""))</f>
        <v/>
      </c>
      <c r="AL263" s="1228"/>
      <c r="AM263" s="31"/>
      <c r="AN263" s="1289"/>
      <c r="AO263" s="13">
        <v>182</v>
      </c>
      <c r="AP263" s="74"/>
      <c r="AQ263" s="149"/>
    </row>
    <row r="264" spans="1:43" s="14" customFormat="1" ht="25.5" hidden="1" x14ac:dyDescent="0.75">
      <c r="A264" s="1029"/>
      <c r="B264" s="199" t="s">
        <v>672</v>
      </c>
      <c r="C264" s="580" t="s">
        <v>255</v>
      </c>
      <c r="D264" s="200"/>
      <c r="E264" s="201"/>
      <c r="F264" s="201"/>
      <c r="G264" s="201"/>
      <c r="H264" s="201"/>
      <c r="I264" s="201"/>
      <c r="J264" s="201"/>
      <c r="K264" s="201"/>
      <c r="L264" s="201"/>
      <c r="M264" s="201"/>
      <c r="N264" s="201"/>
      <c r="O264" s="201"/>
      <c r="P264" s="201"/>
      <c r="Q264" s="201"/>
      <c r="R264" s="201"/>
      <c r="S264" s="201"/>
      <c r="T264" s="201"/>
      <c r="U264" s="201"/>
      <c r="V264" s="201"/>
      <c r="W264" s="201"/>
      <c r="X264" s="201"/>
      <c r="Y264" s="201"/>
      <c r="Z264" s="201"/>
      <c r="AA264" s="351"/>
      <c r="AB264" s="389"/>
      <c r="AC264" s="357"/>
      <c r="AD264" s="357"/>
      <c r="AE264" s="357"/>
      <c r="AF264" s="357"/>
      <c r="AG264" s="357"/>
      <c r="AH264" s="357"/>
      <c r="AI264" s="314"/>
      <c r="AJ264" s="174">
        <f t="shared" si="108"/>
        <v>0</v>
      </c>
      <c r="AK264" s="130" t="str">
        <f>CONCATENATE(IF(D264&gt;D263," * Screened For STI for Age "&amp;D20&amp;" "&amp;D21&amp;" is more than Tested For STI"&amp;CHAR(10),""),IF(E264&gt;E263," * Screened For STI for Age "&amp;D20&amp;" "&amp;E21&amp;" is more than Tested For STI"&amp;CHAR(10),""),IF(F264&gt;F263," * Screened For STI for Age "&amp;F20&amp;" "&amp;F21&amp;" is more than Tested For STI"&amp;CHAR(10),""),IF(G264&gt;G263," * Screened For STI for Age "&amp;F20&amp;" "&amp;G21&amp;" is more than Tested For STI"&amp;CHAR(10),""),IF(H264&gt;H263," * Screened For STI for Age "&amp;H20&amp;" "&amp;H21&amp;" is more than Tested For STI"&amp;CHAR(10),""),IF(I264&gt;I263," * Screened For STI for Age "&amp;H20&amp;" "&amp;I21&amp;" is more than Tested For STI"&amp;CHAR(10),""),IF(J264&gt;J263," * Screened For STI for Age "&amp;J20&amp;" "&amp;J21&amp;" is more than Tested For STI"&amp;CHAR(10),""),IF(K264&gt;K263," * Screened For STI for Age "&amp;J20&amp;" "&amp;K21&amp;" is more than Tested For STI"&amp;CHAR(10),""),IF(L264&gt;L263," * Screened For STI for Age "&amp;L20&amp;" "&amp;L21&amp;" is more than Tested For STI"&amp;CHAR(10),""),IF(M264&gt;M263," * Screened For STI for Age "&amp;L20&amp;" "&amp;M21&amp;" is more than Tested For STI"&amp;CHAR(10),""),IF(N264&gt;N263," * Screened For STI for Age "&amp;N20&amp;" "&amp;N21&amp;" is more than Tested For STI"&amp;CHAR(10),""),IF(O264&gt;O263," * Screened For STI for Age "&amp;N20&amp;" "&amp;O21&amp;" is more than Tested For STI"&amp;CHAR(10),""),IF(P264&gt;P263," * Screened For STI for Age "&amp;P20&amp;" "&amp;P21&amp;" is more than Tested For STI"&amp;CHAR(10),""),IF(Q264&gt;Q263," * Screened For STI for Age "&amp;P20&amp;" "&amp;Q21&amp;" is more than Tested For STI"&amp;CHAR(10),""),IF(R264&gt;R263," * Screened For STI for Age "&amp;R20&amp;" "&amp;R21&amp;" is more than Tested For STI"&amp;CHAR(10),""),IF(S264&gt;S263," * Screened For STI for Age "&amp;R20&amp;" "&amp;S21&amp;" is more than Tested For STI"&amp;CHAR(10),""),IF(T264&gt;T263," * Screened For STI for Age "&amp;T20&amp;" "&amp;T21&amp;" is more than Tested For STI"&amp;CHAR(10),""),IF(U264&gt;U263," * Screened For STI for Age "&amp;T20&amp;" "&amp;U21&amp;" is more than Tested For STI"&amp;CHAR(10),""),IF(V264&gt;V263," * Screened For STI for Age "&amp;V20&amp;" "&amp;V21&amp;" is more than Tested For STI"&amp;CHAR(10),""),IF(W264&gt;W263," * Screened For STI for Age "&amp;V20&amp;" "&amp;W21&amp;" is more than Tested For STI"&amp;CHAR(10),""),IF(X264&gt;X263," * Screened For STI for Age "&amp;X20&amp;" "&amp;X21&amp;" is more than Tested For STI"&amp;CHAR(10),""),IF(Y264&gt;Y263," * Screened For STI for Age "&amp;X20&amp;" "&amp;Y21&amp;" is more than Tested For STI"&amp;CHAR(10),""),IF(Z264&gt;Z263," * Screened For STI for Age "&amp;Z20&amp;" "&amp;Z21&amp;" is more than Tested For STI"&amp;CHAR(10),""),IF(AA264&gt;AA263," * Screened For STI for Age "&amp;AA20&amp;" "&amp;AA21&amp;" is more than Tested For STI"&amp;CHAR(10),""))</f>
        <v/>
      </c>
      <c r="AL264" s="1228"/>
      <c r="AM264" s="31"/>
      <c r="AN264" s="1289"/>
      <c r="AO264" s="13">
        <v>183</v>
      </c>
      <c r="AP264" s="74"/>
      <c r="AQ264" s="149"/>
    </row>
    <row r="265" spans="1:43" s="14" customFormat="1" ht="25.5" hidden="1" x14ac:dyDescent="0.75">
      <c r="A265" s="1029"/>
      <c r="B265" s="199" t="s">
        <v>673</v>
      </c>
      <c r="C265" s="580" t="s">
        <v>256</v>
      </c>
      <c r="D265" s="202"/>
      <c r="E265" s="129"/>
      <c r="F265" s="129"/>
      <c r="G265" s="129"/>
      <c r="H265" s="129"/>
      <c r="I265" s="129"/>
      <c r="J265" s="129"/>
      <c r="K265" s="129"/>
      <c r="L265" s="129"/>
      <c r="M265" s="129"/>
      <c r="N265" s="129"/>
      <c r="O265" s="129"/>
      <c r="P265" s="129"/>
      <c r="Q265" s="129"/>
      <c r="R265" s="129"/>
      <c r="S265" s="129"/>
      <c r="T265" s="129"/>
      <c r="U265" s="129"/>
      <c r="V265" s="129"/>
      <c r="W265" s="129"/>
      <c r="X265" s="129"/>
      <c r="Y265" s="129"/>
      <c r="Z265" s="129"/>
      <c r="AA265" s="332"/>
      <c r="AB265" s="389"/>
      <c r="AC265" s="357"/>
      <c r="AD265" s="357"/>
      <c r="AE265" s="357"/>
      <c r="AF265" s="357"/>
      <c r="AG265" s="357"/>
      <c r="AH265" s="357"/>
      <c r="AI265" s="314"/>
      <c r="AJ265" s="174">
        <f t="shared" si="108"/>
        <v>0</v>
      </c>
      <c r="AK265" s="130" t="str">
        <f>CONCATENATE(IF(D265&gt;D264," * F05-07 for Age "&amp;D20&amp;" "&amp;D21&amp;" is more than F05-06"&amp;CHAR(10),""),IF(E265&gt;E264," * F05-07 for Age "&amp;D20&amp;" "&amp;E21&amp;" is more than F05-06"&amp;CHAR(10),""),IF(F265&gt;F264," * F05-07 for Age "&amp;F20&amp;" "&amp;F21&amp;" is more than F05-06"&amp;CHAR(10),""),IF(G265&gt;G264," * F05-07 for Age "&amp;F20&amp;" "&amp;G21&amp;" is more than F05-06"&amp;CHAR(10),""),IF(H265&gt;H264," * F05-07 for Age "&amp;H20&amp;" "&amp;H21&amp;" is more than F05-06"&amp;CHAR(10),""),IF(I265&gt;I264," * F05-07 for Age "&amp;H20&amp;" "&amp;I21&amp;" is more than F05-06"&amp;CHAR(10),""),IF(J265&gt;J264," * F05-07 for Age "&amp;J20&amp;" "&amp;J21&amp;" is more than F05-06"&amp;CHAR(10),""),IF(K265&gt;K264," * F05-07 for Age "&amp;J20&amp;" "&amp;K21&amp;" is more than F05-06"&amp;CHAR(10),""),IF(L265&gt;L264," * F05-07 for Age "&amp;L20&amp;" "&amp;L21&amp;" is more than F05-06"&amp;CHAR(10),""),IF(M265&gt;M264," * F05-07 for Age "&amp;L20&amp;" "&amp;M21&amp;" is more than F05-06"&amp;CHAR(10),""),IF(N265&gt;N264," * F05-07 for Age "&amp;N20&amp;" "&amp;N21&amp;" is more than F05-06"&amp;CHAR(10),""),IF(O265&gt;O264," * F05-07 for Age "&amp;N20&amp;" "&amp;O21&amp;" is more than F05-06"&amp;CHAR(10),""),IF(P265&gt;P264," * F05-07 for Age "&amp;P20&amp;" "&amp;P21&amp;" is more than F05-06"&amp;CHAR(10),""),IF(Q265&gt;Q264," * F05-07 for Age "&amp;P20&amp;" "&amp;Q21&amp;" is more than F05-06"&amp;CHAR(10),""),IF(R265&gt;R264," * F05-07 for Age "&amp;R20&amp;" "&amp;R21&amp;" is more than F05-06"&amp;CHAR(10),""),IF(S265&gt;S264," * F05-07 for Age "&amp;R20&amp;" "&amp;S21&amp;" is more than F05-06"&amp;CHAR(10),""),IF(T265&gt;T264," * F05-07 for Age "&amp;T20&amp;" "&amp;T21&amp;" is more than F05-06"&amp;CHAR(10),""),IF(U265&gt;U264," * F05-07 for Age "&amp;T20&amp;" "&amp;U21&amp;" is more than F05-06"&amp;CHAR(10),""),IF(V265&gt;V264," * F05-07 for Age "&amp;V20&amp;" "&amp;V21&amp;" is more than F05-06"&amp;CHAR(10),""),IF(W265&gt;W264," * F05-07 for Age "&amp;V20&amp;" "&amp;W21&amp;" is more than F05-06"&amp;CHAR(10),""),IF(X265&gt;X264," * F05-07 for Age "&amp;X20&amp;" "&amp;X21&amp;" is more than F05-06"&amp;CHAR(10),""),IF(Y265&gt;Y264," * F05-07 for Age "&amp;X20&amp;" "&amp;Y21&amp;" is more than F05-06"&amp;CHAR(10),""),IF(Z265&gt;Z264," * F05-07 for Age "&amp;Z20&amp;" "&amp;Z21&amp;" is more than F05-06"&amp;CHAR(10),""),IF(AA265&gt;AA264," * F05-07 for Age "&amp;Z20&amp;" "&amp;AA21&amp;" is more than F05-06"&amp;CHAR(10),""),IF(AJ265&gt;AJ264," * Total F05-07 is more than Total F05-06"&amp;CHAR(10),""))</f>
        <v/>
      </c>
      <c r="AL265" s="1228"/>
      <c r="AM265" s="31"/>
      <c r="AN265" s="1289"/>
      <c r="AO265" s="13">
        <v>184</v>
      </c>
      <c r="AP265" s="74"/>
      <c r="AQ265" s="149"/>
    </row>
    <row r="266" spans="1:43" s="14" customFormat="1" ht="25.5" hidden="1" x14ac:dyDescent="0.75">
      <c r="A266" s="1029"/>
      <c r="B266" s="199" t="s">
        <v>674</v>
      </c>
      <c r="C266" s="580" t="s">
        <v>257</v>
      </c>
      <c r="D266" s="120"/>
      <c r="E266" s="120"/>
      <c r="F266" s="120"/>
      <c r="G266" s="120"/>
      <c r="H266" s="120"/>
      <c r="I266" s="120"/>
      <c r="J266" s="120"/>
      <c r="K266" s="201"/>
      <c r="L266" s="120"/>
      <c r="M266" s="201"/>
      <c r="N266" s="120"/>
      <c r="O266" s="201"/>
      <c r="P266" s="120"/>
      <c r="Q266" s="201"/>
      <c r="R266" s="120"/>
      <c r="S266" s="201"/>
      <c r="T266" s="120"/>
      <c r="U266" s="201"/>
      <c r="V266" s="120"/>
      <c r="W266" s="201"/>
      <c r="X266" s="120"/>
      <c r="Y266" s="201"/>
      <c r="Z266" s="120"/>
      <c r="AA266" s="351"/>
      <c r="AB266" s="389"/>
      <c r="AC266" s="357"/>
      <c r="AD266" s="357"/>
      <c r="AE266" s="357"/>
      <c r="AF266" s="357"/>
      <c r="AG266" s="357"/>
      <c r="AH266" s="357"/>
      <c r="AI266" s="314"/>
      <c r="AJ266" s="174">
        <f t="shared" si="108"/>
        <v>0</v>
      </c>
      <c r="AK266" s="130" t="str">
        <f>CONCATENATE(IF(D266&gt;D259," * Given Emergency Contraceptive Pill for Age "&amp;D20&amp;" "&amp;D21&amp;" is more than Sexual Violence Rape Survivors"&amp;CHAR(10),""),IF(E266&gt;E259," * Given Emergency Contraceptive Pill for Age "&amp;D20&amp;" "&amp;E21&amp;" is more than Sexual Violence Rape Survivors"&amp;CHAR(10),""),IF(F266&gt;F259," * Given Emergency Contraceptive Pill for Age "&amp;F20&amp;" "&amp;F21&amp;" is more than Sexual Violence Rape Survivors"&amp;CHAR(10),""),IF(G266&gt;G259," * Given Emergency Contraceptive Pill for Age "&amp;F20&amp;" "&amp;G21&amp;" is more than Sexual Violence Rape Survivors"&amp;CHAR(10),""),IF(H266&gt;H259," * Given Emergency Contraceptive Pill for Age "&amp;H20&amp;" "&amp;H21&amp;" is more than Sexual Violence Rape Survivors"&amp;CHAR(10),""),IF(I266&gt;I259," * Given Emergency Contraceptive Pill for Age "&amp;H20&amp;" "&amp;I21&amp;" is more than Sexual Violence Rape Survivors"&amp;CHAR(10),""),IF(J266&gt;J259," * Given Emergency Contraceptive Pill for Age "&amp;J20&amp;" "&amp;J21&amp;" is more than Sexual Violence Rape Survivors"&amp;CHAR(10),""),IF(K266&gt;K259," * Given Emergency Contraceptive Pill for Age "&amp;J20&amp;" "&amp;K21&amp;" is more than Sexual Violence Rape Survivors"&amp;CHAR(10),""),IF(L266&gt;L259," * Given Emergency Contraceptive Pill for Age "&amp;L20&amp;" "&amp;L21&amp;" is more than Sexual Violence Rape Survivors"&amp;CHAR(10),""),IF(M266&gt;M259," * Given Emergency Contraceptive Pill for Age "&amp;L20&amp;" "&amp;M21&amp;" is more than Sexual Violence Rape Survivors"&amp;CHAR(10),""),IF(N266&gt;N259," * Given Emergency Contraceptive Pill for Age "&amp;N20&amp;" "&amp;N21&amp;" is more than Sexual Violence Rape Survivors"&amp;CHAR(10),""),IF(O266&gt;O259," * Given Emergency Contraceptive Pill for Age "&amp;N20&amp;" "&amp;O21&amp;" is more than Sexual Violence Rape Survivors"&amp;CHAR(10),""),IF(P266&gt;P259," * Given Emergency Contraceptive Pill for Age "&amp;P20&amp;" "&amp;P21&amp;" is more than Sexual Violence Rape Survivors"&amp;CHAR(10),""),IF(Q266&gt;Q259," * Given Emergency Contraceptive Pill for Age "&amp;P20&amp;" "&amp;Q21&amp;" is more than Sexual Violence Rape Survivors"&amp;CHAR(10),""),IF(R266&gt;R259," * Given Emergency Contraceptive Pill for Age "&amp;R20&amp;" "&amp;R21&amp;" is more than Sexual Violence Rape Survivors"&amp;CHAR(10),""),IF(S266&gt;S259," * Given Emergency Contraceptive Pill for Age "&amp;R20&amp;" "&amp;S21&amp;" is more than Sexual Violence Rape Survivors"&amp;CHAR(10),""),IF(T266&gt;T259," * Given Emergency Contraceptive Pill for Age "&amp;T20&amp;" "&amp;T21&amp;" is more than Sexual Violence Rape Survivors"&amp;CHAR(10),""),IF(U266&gt;U259," * Given Emergency Contraceptive Pill for Age "&amp;T20&amp;" "&amp;U21&amp;" is more than Sexual Violence Rape Survivors"&amp;CHAR(10),""),IF(V266&gt;V259," * Given Emergency Contraceptive Pill for Age "&amp;V20&amp;" "&amp;V21&amp;" is more than Sexual Violence Rape Survivors"&amp;CHAR(10),""),IF(W266&gt;W259," * Given Emergency Contraceptive Pill for Age "&amp;V20&amp;" "&amp;W21&amp;" is more than Sexual Violence Rape Survivors"&amp;CHAR(10),""),IF(X266&gt;X259," * Given Emergency Contraceptive Pill for Age "&amp;X20&amp;" "&amp;X21&amp;" is more than Sexual Violence Rape Survivors"&amp;CHAR(10),""),IF(Y266&gt;Y259," * Given Emergency Contraceptive Pill for Age "&amp;X20&amp;" "&amp;Y21&amp;" is more than Sexual Violence Rape Survivors"&amp;CHAR(10),""),IF(Z266&gt;Z259," * Given Emergency Contraceptive Pill for Age "&amp;Z20&amp;" "&amp;Z21&amp;" is more than Sexual Violence Rape Survivors"&amp;CHAR(10),""),IF(AA266&gt;AA259," * Given Emergency Contraceptive Pill for Age "&amp;Z20&amp;" "&amp;AA21&amp;" is more than Sexual Violence Rape Survivors"&amp;CHAR(10),""))</f>
        <v/>
      </c>
      <c r="AL266" s="1228"/>
      <c r="AM266" s="31"/>
      <c r="AN266" s="1289"/>
      <c r="AO266" s="13">
        <v>185</v>
      </c>
      <c r="AP266" s="74"/>
      <c r="AQ266" s="149"/>
    </row>
    <row r="267" spans="1:43" s="14" customFormat="1" ht="25.5" hidden="1" x14ac:dyDescent="0.75">
      <c r="A267" s="1029"/>
      <c r="B267" s="199" t="s">
        <v>675</v>
      </c>
      <c r="C267" s="580" t="s">
        <v>258</v>
      </c>
      <c r="D267" s="120"/>
      <c r="E267" s="120"/>
      <c r="F267" s="120"/>
      <c r="G267" s="120"/>
      <c r="H267" s="120"/>
      <c r="I267" s="120"/>
      <c r="J267" s="120"/>
      <c r="K267" s="202"/>
      <c r="L267" s="120"/>
      <c r="M267" s="202"/>
      <c r="N267" s="120"/>
      <c r="O267" s="202"/>
      <c r="P267" s="120"/>
      <c r="Q267" s="202"/>
      <c r="R267" s="120"/>
      <c r="S267" s="202"/>
      <c r="T267" s="120"/>
      <c r="U267" s="202"/>
      <c r="V267" s="120"/>
      <c r="W267" s="202"/>
      <c r="X267" s="120"/>
      <c r="Y267" s="202"/>
      <c r="Z267" s="120"/>
      <c r="AA267" s="352"/>
      <c r="AB267" s="389"/>
      <c r="AC267" s="357"/>
      <c r="AD267" s="357"/>
      <c r="AE267" s="357"/>
      <c r="AF267" s="357"/>
      <c r="AG267" s="357"/>
      <c r="AH267" s="357"/>
      <c r="AI267" s="314"/>
      <c r="AJ267" s="174">
        <f t="shared" si="108"/>
        <v>0</v>
      </c>
      <c r="AK267" s="130" t="str">
        <f>CONCATENATE(IF(D267&gt;D266," * Given Emergency Contraceptive Pill for Age "&amp;D20&amp;" "&amp;D21&amp;" is more than Eligible for Emergency Contraceptive Pill"&amp;CHAR(10),""),IF(E267&gt;E266," * Given Emergency Contraceptive Pill for Age "&amp;D20&amp;" "&amp;E21&amp;" is more than Eligible for Emergency Contraceptive Pill"&amp;CHAR(10),""),IF(F267&gt;F266," * Given Emergency Contraceptive Pill for Age "&amp;F20&amp;" "&amp;F21&amp;" is more than Eligible for Emergency Contraceptive Pill"&amp;CHAR(10),""),IF(G267&gt;G266," * Given Emergency Contraceptive Pill for Age "&amp;F20&amp;" "&amp;G21&amp;" is more than Eligible for Emergency Contraceptive Pill"&amp;CHAR(10),""),IF(H267&gt;H266," * Given Emergency Contraceptive Pill for Age "&amp;H20&amp;" "&amp;H21&amp;" is more than Eligible for Emergency Contraceptive Pill"&amp;CHAR(10),""),IF(I267&gt;I266," * Given Emergency Contraceptive Pill for Age "&amp;H20&amp;" "&amp;I21&amp;" is more than Eligible for Emergency Contraceptive Pill"&amp;CHAR(10),""),IF(J267&gt;J266," * Given Emergency Contraceptive Pill for Age "&amp;J20&amp;" "&amp;J21&amp;" is more than Eligible for Emergency Contraceptive Pill"&amp;CHAR(10),""),IF(K267&gt;K266," * Given Emergency Contraceptive Pill for Age "&amp;J20&amp;" "&amp;K21&amp;" is more than Eligible for Emergency Contraceptive Pill"&amp;CHAR(10),""),IF(L267&gt;L266," * Given Emergency Contraceptive Pill for Age "&amp;L20&amp;" "&amp;L21&amp;" is more than Eligible for Emergency Contraceptive Pill"&amp;CHAR(10),""),IF(M267&gt;M266," * Given Emergency Contraceptive Pill for Age "&amp;L20&amp;" "&amp;M21&amp;" is more than Eligible for Emergency Contraceptive Pill"&amp;CHAR(10),""),IF(N267&gt;N266," * Given Emergency Contraceptive Pill for Age "&amp;N20&amp;" "&amp;N21&amp;" is more than Eligible for Emergency Contraceptive Pill"&amp;CHAR(10),""),IF(O267&gt;O266," * Given Emergency Contraceptive Pill for Age "&amp;N20&amp;" "&amp;O21&amp;" is more than Eligible for Emergency Contraceptive Pill"&amp;CHAR(10),""),IF(P267&gt;P266," * Given Emergency Contraceptive Pill for Age "&amp;P20&amp;" "&amp;P21&amp;" is more than Eligible for Emergency Contraceptive Pill"&amp;CHAR(10),""),IF(Q267&gt;Q266," * Given Emergency Contraceptive Pill for Age "&amp;P20&amp;" "&amp;Q21&amp;" is more than Eligible for Emergency Contraceptive Pill"&amp;CHAR(10),""),IF(R267&gt;R266," * Given Emergency Contraceptive Pill for Age "&amp;R20&amp;" "&amp;R21&amp;" is more than Eligible for Emergency Contraceptive Pill"&amp;CHAR(10),""),IF(S267&gt;S266," * Given Emergency Contraceptive Pill for Age "&amp;R20&amp;" "&amp;S21&amp;" is more than Eligible for Emergency Contraceptive Pill"&amp;CHAR(10),""),IF(T267&gt;T266," * Given Emergency Contraceptive Pill for Age "&amp;T20&amp;" "&amp;T21&amp;" is more than Eligible for Emergency Contraceptive Pill"&amp;CHAR(10),""),IF(U267&gt;U266," * Given Emergency Contraceptive Pill for Age "&amp;T20&amp;" "&amp;U21&amp;" is more than Eligible for Emergency Contraceptive Pill"&amp;CHAR(10),""),IF(V267&gt;V266," * Given Emergency Contraceptive Pill for Age "&amp;V20&amp;" "&amp;V21&amp;" is more than Eligible for Emergency Contraceptive Pill"&amp;CHAR(10),""),IF(W267&gt;W266," * Given Emergency Contraceptive Pill for Age "&amp;V20&amp;" "&amp;W21&amp;" is more than Eligible for Emergency Contraceptive Pill"&amp;CHAR(10),""),IF(X267&gt;X266," * Given Emergency Contraceptive Pill for Age "&amp;X20&amp;" "&amp;X21&amp;" is more than Eligible for Emergency Contraceptive Pill"&amp;CHAR(10),""),IF(Y267&gt;Y266," * Given Emergency Contraceptive Pill for Age "&amp;X20&amp;" "&amp;Y21&amp;" is more than Eligible for Emergency Contraceptive Pill"&amp;CHAR(10),""),IF(Z267&gt;Z266," * Given Emergency Contraceptive Pill for Age "&amp;Z20&amp;" "&amp;Z21&amp;" is more than Eligible for Emergency Contraceptive Pill"&amp;CHAR(10),""),IF(AA267&gt;AA266," * Given Emergency Contraceptive Pill for Age "&amp;Z20&amp;" "&amp;AA21&amp;" is more than Eligible for Emergency Contraceptive Pill"&amp;CHAR(10),""))</f>
        <v/>
      </c>
      <c r="AL267" s="1228"/>
      <c r="AM267" s="31"/>
      <c r="AN267" s="1289"/>
      <c r="AO267" s="13">
        <v>186</v>
      </c>
      <c r="AP267" s="74"/>
      <c r="AQ267" s="149"/>
    </row>
    <row r="268" spans="1:43" s="14" customFormat="1" ht="25.5" hidden="1" x14ac:dyDescent="0.75">
      <c r="A268" s="1029"/>
      <c r="B268" s="199" t="s">
        <v>676</v>
      </c>
      <c r="C268" s="580" t="s">
        <v>259</v>
      </c>
      <c r="D268" s="200"/>
      <c r="E268" s="201"/>
      <c r="F268" s="201"/>
      <c r="G268" s="201"/>
      <c r="H268" s="201"/>
      <c r="I268" s="201"/>
      <c r="J268" s="201"/>
      <c r="K268" s="201"/>
      <c r="L268" s="201"/>
      <c r="M268" s="201"/>
      <c r="N268" s="201"/>
      <c r="O268" s="201"/>
      <c r="P268" s="201"/>
      <c r="Q268" s="201"/>
      <c r="R268" s="201"/>
      <c r="S268" s="201"/>
      <c r="T268" s="201"/>
      <c r="U268" s="201"/>
      <c r="V268" s="201"/>
      <c r="W268" s="201"/>
      <c r="X268" s="201"/>
      <c r="Y268" s="201"/>
      <c r="Z268" s="201"/>
      <c r="AA268" s="351"/>
      <c r="AB268" s="389"/>
      <c r="AC268" s="357"/>
      <c r="AD268" s="357"/>
      <c r="AE268" s="357"/>
      <c r="AF268" s="357"/>
      <c r="AG268" s="357"/>
      <c r="AH268" s="357"/>
      <c r="AI268" s="314"/>
      <c r="AJ268" s="174">
        <f t="shared" si="108"/>
        <v>0</v>
      </c>
      <c r="AK268" s="1196" t="str">
        <f>CONCATENATE(IF(D269&gt;D268," * F05-11 for Age "&amp;D20&amp;" "&amp;D21&amp;" is more than F05-10"&amp;CHAR(10),""),IF(E269&gt;E268," * F05-11 for Age "&amp;D20&amp;" "&amp;E21&amp;" is more than F05-10"&amp;CHAR(10),""),IF(F269&gt;F268," * F05-11 for Age "&amp;F20&amp;" "&amp;F21&amp;" is more than F05-10"&amp;CHAR(10),""),IF(G269&gt;G268," * F05-11 for Age "&amp;F20&amp;" "&amp;G21&amp;" is more than F05-10"&amp;CHAR(10),""),IF(H269&gt;H268," * F05-11 for Age "&amp;H20&amp;" "&amp;H21&amp;" is more than F05-10"&amp;CHAR(10),""),IF(I269&gt;I268," * F05-11 for Age "&amp;H20&amp;" "&amp;I21&amp;" is more than F05-10"&amp;CHAR(10),""),IF(J269&gt;J268," * F05-11 for Age "&amp;J20&amp;" "&amp;J21&amp;" is more than F05-10"&amp;CHAR(10),""),IF(K269&gt;K268," * F05-11 for Age "&amp;J20&amp;" "&amp;K21&amp;" is more than F05-10"&amp;CHAR(10),""),IF(L269&gt;L268," * F05-11 for Age "&amp;L20&amp;" "&amp;L21&amp;" is more than F05-10"&amp;CHAR(10),""),IF(M269&gt;M268," * F05-11 for Age "&amp;L20&amp;" "&amp;M21&amp;" is more than F05-10"&amp;CHAR(10),""),IF(N269&gt;N268," * F05-11 for Age "&amp;N20&amp;" "&amp;N21&amp;" is more than F05-10"&amp;CHAR(10),""),IF(O269&gt;O268," * F05-11 for Age "&amp;N20&amp;" "&amp;O21&amp;" is more than F05-10"&amp;CHAR(10),""),IF(P269&gt;P268," * F05-11 for Age "&amp;P20&amp;" "&amp;P21&amp;" is more than F05-10"&amp;CHAR(10),""),IF(Q269&gt;Q268," * F05-11 for Age "&amp;P20&amp;" "&amp;Q21&amp;" is more than F05-10"&amp;CHAR(10),""),IF(R269&gt;R268," * F05-11 for Age "&amp;R20&amp;" "&amp;R21&amp;" is more than F05-10"&amp;CHAR(10),""),IF(S269&gt;S268," * F05-11 for Age "&amp;R20&amp;" "&amp;S21&amp;" is more than F05-10"&amp;CHAR(10),""),IF(T269&gt;T268," * F05-11 for Age "&amp;T20&amp;" "&amp;T21&amp;" is more than F05-10"&amp;CHAR(10),""),IF(U269&gt;U268," * F05-11 for Age "&amp;T20&amp;" "&amp;U21&amp;" is more than F05-10"&amp;CHAR(10),""),IF(V269&gt;V268," * F05-11 for Age "&amp;V20&amp;" "&amp;V21&amp;" is more than F05-10"&amp;CHAR(10),""),IF(W269&gt;W268," * F05-11 for Age "&amp;V20&amp;" "&amp;W21&amp;" is more than F05-10"&amp;CHAR(10),""),IF(X269&gt;X268," * F05-11 for Age "&amp;X20&amp;" "&amp;X21&amp;" is more than F05-10"&amp;CHAR(10),""),IF(Y269&gt;Y268," * F05-11 for Age "&amp;X20&amp;" "&amp;Y21&amp;" is more than F05-10"&amp;CHAR(10),""),IF(Z269&gt;Z268," * F05-11 for Age "&amp;Z20&amp;" "&amp;Z21&amp;" is more than F05-10"&amp;CHAR(10),""),IF(AA269&gt;AA268," * F05-11 for Age "&amp;Z20&amp;" "&amp;AA21&amp;" is more than F05-10"&amp;CHAR(10),""),IF(AJ269&gt;AJ268," * Total F05-11 is more than Total F05-10"&amp;CHAR(10),""))</f>
        <v/>
      </c>
      <c r="AL268" s="1228"/>
      <c r="AM268" s="31"/>
      <c r="AN268" s="1289"/>
      <c r="AO268" s="13">
        <v>187</v>
      </c>
      <c r="AP268" s="74"/>
      <c r="AQ268" s="149"/>
    </row>
    <row r="269" spans="1:43" s="14" customFormat="1" ht="29.25" hidden="1" thickBot="1" x14ac:dyDescent="0.8">
      <c r="A269" s="1030"/>
      <c r="B269" s="203" t="s">
        <v>1005</v>
      </c>
      <c r="C269" s="581" t="s">
        <v>260</v>
      </c>
      <c r="D269" s="151"/>
      <c r="E269" s="151"/>
      <c r="F269" s="151"/>
      <c r="G269" s="151"/>
      <c r="H269" s="151"/>
      <c r="I269" s="151"/>
      <c r="J269" s="151"/>
      <c r="K269" s="151"/>
      <c r="L269" s="151"/>
      <c r="M269" s="151"/>
      <c r="N269" s="151"/>
      <c r="O269" s="151"/>
      <c r="P269" s="151"/>
      <c r="Q269" s="151"/>
      <c r="R269" s="151"/>
      <c r="S269" s="151"/>
      <c r="T269" s="151"/>
      <c r="U269" s="151"/>
      <c r="V269" s="151"/>
      <c r="W269" s="151"/>
      <c r="X269" s="151"/>
      <c r="Y269" s="151"/>
      <c r="Z269" s="151"/>
      <c r="AA269" s="353"/>
      <c r="AB269" s="389"/>
      <c r="AC269" s="357"/>
      <c r="AD269" s="357"/>
      <c r="AE269" s="357"/>
      <c r="AF269" s="357"/>
      <c r="AG269" s="357"/>
      <c r="AH269" s="357"/>
      <c r="AI269" s="314"/>
      <c r="AJ269" s="193">
        <f t="shared" si="108"/>
        <v>0</v>
      </c>
      <c r="AK269" s="1196"/>
      <c r="AL269" s="1228"/>
      <c r="AM269" s="31"/>
      <c r="AN269" s="1289"/>
      <c r="AO269" s="13">
        <v>188</v>
      </c>
      <c r="AP269" s="74"/>
      <c r="AQ269" s="149"/>
    </row>
    <row r="270" spans="1:43" s="14" customFormat="1" ht="25.5" hidden="1" x14ac:dyDescent="0.75">
      <c r="A270" s="1028" t="s">
        <v>111</v>
      </c>
      <c r="B270" s="136" t="s">
        <v>677</v>
      </c>
      <c r="C270" s="579" t="s">
        <v>261</v>
      </c>
      <c r="D270" s="142"/>
      <c r="E270" s="143"/>
      <c r="F270" s="143"/>
      <c r="G270" s="143"/>
      <c r="H270" s="143"/>
      <c r="I270" s="143"/>
      <c r="J270" s="143"/>
      <c r="K270" s="143"/>
      <c r="L270" s="143"/>
      <c r="M270" s="143"/>
      <c r="N270" s="143"/>
      <c r="O270" s="143"/>
      <c r="P270" s="143"/>
      <c r="Q270" s="143"/>
      <c r="R270" s="143"/>
      <c r="S270" s="143"/>
      <c r="T270" s="143"/>
      <c r="U270" s="143"/>
      <c r="V270" s="143"/>
      <c r="W270" s="143"/>
      <c r="X270" s="143"/>
      <c r="Y270" s="143"/>
      <c r="Z270" s="143"/>
      <c r="AA270" s="336"/>
      <c r="AB270" s="389"/>
      <c r="AC270" s="357"/>
      <c r="AD270" s="357"/>
      <c r="AE270" s="357"/>
      <c r="AF270" s="357"/>
      <c r="AG270" s="357"/>
      <c r="AH270" s="357"/>
      <c r="AI270" s="314"/>
      <c r="AJ270" s="189">
        <f t="shared" si="108"/>
        <v>0</v>
      </c>
      <c r="AK270" s="1196" t="str">
        <f>CONCATENATE(IF(D271&gt;D270," * F05-13 for Age "&amp;D20&amp;" "&amp;D21&amp;" is more than F05-12"&amp;CHAR(10),""),IF(E271&gt;E270," * F05-13 for Age "&amp;D20&amp;" "&amp;E21&amp;" is more than F05-12"&amp;CHAR(10),""),IF(F271&gt;F270," * F05-13 for Age "&amp;F20&amp;" "&amp;F21&amp;" is more than F05-12"&amp;CHAR(10),""),IF(G271&gt;G270," * F05-13 for Age "&amp;F20&amp;" "&amp;G21&amp;" is more than F05-12"&amp;CHAR(10),""),IF(H271&gt;H270," * F05-13 for Age "&amp;H20&amp;" "&amp;H21&amp;" is more than F05-12"&amp;CHAR(10),""),IF(I271&gt;I270," * F05-13 for Age "&amp;H20&amp;" "&amp;I21&amp;" is more than F05-12"&amp;CHAR(10),""),IF(J271&gt;J270," * F05-13 for Age "&amp;J20&amp;" "&amp;J21&amp;" is more than F05-12"&amp;CHAR(10),""),IF(K271&gt;K270," * F05-13 for Age "&amp;J20&amp;" "&amp;K21&amp;" is more than F05-12"&amp;CHAR(10),""),IF(L271&gt;L270," * F05-13 for Age "&amp;L20&amp;" "&amp;L21&amp;" is more than F05-12"&amp;CHAR(10),""),IF(M271&gt;M270," * F05-13 for Age "&amp;L20&amp;" "&amp;M21&amp;" is more than F05-12"&amp;CHAR(10),""),IF(N271&gt;N270," * F05-13 for Age "&amp;N20&amp;" "&amp;N21&amp;" is more than F05-12"&amp;CHAR(10),""),IF(O271&gt;O270," * F05-13 for Age "&amp;N20&amp;" "&amp;O21&amp;" is more than F05-12"&amp;CHAR(10),""),IF(P271&gt;P270," * F05-13 for Age "&amp;P20&amp;" "&amp;P21&amp;" is more than F05-12"&amp;CHAR(10),""),IF(Q271&gt;Q270," * F05-13 for Age "&amp;P20&amp;" "&amp;Q21&amp;" is more than F05-12"&amp;CHAR(10),""),IF(R271&gt;R270," * F05-13 for Age "&amp;R20&amp;" "&amp;R21&amp;" is more than F05-12"&amp;CHAR(10),""),IF(S271&gt;S270," * F05-13 for Age "&amp;R20&amp;" "&amp;S21&amp;" is more than F05-12"&amp;CHAR(10),""),IF(T271&gt;T270," * F05-13 for Age "&amp;T20&amp;" "&amp;T21&amp;" is more than F05-12"&amp;CHAR(10),""),IF(U271&gt;U270," * F05-13 for Age "&amp;T20&amp;" "&amp;U21&amp;" is more than F05-12"&amp;CHAR(10),""),IF(V271&gt;V270," * F05-13 for Age "&amp;V20&amp;" "&amp;V21&amp;" is more than F05-12"&amp;CHAR(10),""),IF(W271&gt;W270," * F05-13 for Age "&amp;V20&amp;" "&amp;W21&amp;" is more than F05-12"&amp;CHAR(10),""),IF(X271&gt;X270," * F05-13 for Age "&amp;X20&amp;" "&amp;X21&amp;" is more than F05-12"&amp;CHAR(10),""),IF(Y271&gt;Y270," * F05-13 for Age "&amp;X20&amp;" "&amp;Y21&amp;" is more than F05-12"&amp;CHAR(10),""),IF(Z271&gt;Z270," * F05-13 for Age "&amp;Z20&amp;" "&amp;Z21&amp;" is more than F05-12"&amp;CHAR(10),""),IF(AA271&gt;AA270," * F05-13 for Age "&amp;Z20&amp;" "&amp;AA21&amp;" is more than F05-12"&amp;CHAR(10),""),IF(AJ271&gt;AJ270," * Total F05-13 is more than Total F05-12"&amp;CHAR(10),""))</f>
        <v/>
      </c>
      <c r="AL270" s="1228"/>
      <c r="AM270" s="31"/>
      <c r="AN270" s="1289"/>
      <c r="AO270" s="13">
        <v>189</v>
      </c>
      <c r="AP270" s="74"/>
      <c r="AQ270" s="149"/>
    </row>
    <row r="271" spans="1:43" s="14" customFormat="1" ht="25.5" hidden="1" x14ac:dyDescent="0.75">
      <c r="A271" s="1029"/>
      <c r="B271" s="199" t="s">
        <v>678</v>
      </c>
      <c r="C271" s="580" t="s">
        <v>262</v>
      </c>
      <c r="D271" s="200"/>
      <c r="E271" s="201"/>
      <c r="F271" s="201"/>
      <c r="G271" s="201"/>
      <c r="H271" s="201"/>
      <c r="I271" s="201"/>
      <c r="J271" s="201"/>
      <c r="K271" s="201"/>
      <c r="L271" s="201"/>
      <c r="M271" s="201"/>
      <c r="N271" s="201"/>
      <c r="O271" s="201"/>
      <c r="P271" s="201"/>
      <c r="Q271" s="201"/>
      <c r="R271" s="201"/>
      <c r="S271" s="201"/>
      <c r="T271" s="201"/>
      <c r="U271" s="201"/>
      <c r="V271" s="201"/>
      <c r="W271" s="201"/>
      <c r="X271" s="201"/>
      <c r="Y271" s="201"/>
      <c r="Z271" s="201"/>
      <c r="AA271" s="351"/>
      <c r="AB271" s="389"/>
      <c r="AC271" s="357"/>
      <c r="AD271" s="357"/>
      <c r="AE271" s="357"/>
      <c r="AF271" s="357"/>
      <c r="AG271" s="357"/>
      <c r="AH271" s="357"/>
      <c r="AI271" s="314"/>
      <c r="AJ271" s="174">
        <f t="shared" si="108"/>
        <v>0</v>
      </c>
      <c r="AK271" s="1196"/>
      <c r="AL271" s="1228"/>
      <c r="AM271" s="31"/>
      <c r="AN271" s="1289"/>
      <c r="AO271" s="13">
        <v>190</v>
      </c>
      <c r="AP271" s="74"/>
      <c r="AQ271" s="149"/>
    </row>
    <row r="272" spans="1:43" s="14" customFormat="1" ht="25.5" hidden="1" x14ac:dyDescent="0.75">
      <c r="A272" s="1029"/>
      <c r="B272" s="199" t="s">
        <v>679</v>
      </c>
      <c r="C272" s="580" t="s">
        <v>319</v>
      </c>
      <c r="D272" s="202"/>
      <c r="E272" s="129"/>
      <c r="F272" s="129"/>
      <c r="G272" s="129"/>
      <c r="H272" s="129"/>
      <c r="I272" s="129"/>
      <c r="J272" s="129"/>
      <c r="K272" s="129"/>
      <c r="L272" s="129"/>
      <c r="M272" s="129"/>
      <c r="N272" s="129"/>
      <c r="O272" s="129"/>
      <c r="P272" s="129"/>
      <c r="Q272" s="129"/>
      <c r="R272" s="129"/>
      <c r="S272" s="129"/>
      <c r="T272" s="129"/>
      <c r="U272" s="129"/>
      <c r="V272" s="129"/>
      <c r="W272" s="129"/>
      <c r="X272" s="129"/>
      <c r="Y272" s="129"/>
      <c r="Z272" s="129"/>
      <c r="AA272" s="332"/>
      <c r="AB272" s="389"/>
      <c r="AC272" s="357"/>
      <c r="AD272" s="357"/>
      <c r="AE272" s="357"/>
      <c r="AF272" s="357"/>
      <c r="AG272" s="357"/>
      <c r="AH272" s="357"/>
      <c r="AI272" s="314"/>
      <c r="AJ272" s="174">
        <f t="shared" si="108"/>
        <v>0</v>
      </c>
      <c r="AK272" s="116" t="str">
        <f>CONCATENATE(IF(D272&gt;D270," * F05-14 for Age "&amp;D20&amp;" "&amp;D21&amp;" is more than F05-12"&amp;CHAR(10),""),IF(E272&gt;E270," * F05-14 for Age "&amp;D20&amp;" "&amp;E21&amp;" is more than F05-12"&amp;CHAR(10),""),IF(F272&gt;F270," * F05-14 for Age "&amp;F20&amp;" "&amp;F21&amp;" is more than F05-12"&amp;CHAR(10),""),IF(G272&gt;G270," * F05-14 for Age "&amp;F20&amp;" "&amp;G21&amp;" is more than F05-12"&amp;CHAR(10),""),IF(H272&gt;H270," * F05-14 for Age "&amp;H20&amp;" "&amp;H21&amp;" is more than F05-12"&amp;CHAR(10),""),IF(I272&gt;I270," * F05-14 for Age "&amp;H20&amp;" "&amp;I21&amp;" is more than F05-12"&amp;CHAR(10),""),IF(J272&gt;J270," * F05-14 for Age "&amp;J20&amp;" "&amp;J21&amp;" is more than F05-12"&amp;CHAR(10),""),IF(K272&gt;K270," * F05-14 for Age "&amp;J20&amp;" "&amp;K21&amp;" is more than F05-12"&amp;CHAR(10),""),IF(L272&gt;L270," * F05-14 for Age "&amp;L20&amp;" "&amp;L21&amp;" is more than F05-12"&amp;CHAR(10),""),IF(M272&gt;M270," * F05-14 for Age "&amp;L20&amp;" "&amp;M21&amp;" is more than F05-12"&amp;CHAR(10),""),IF(N272&gt;N270," * F05-14 for Age "&amp;N20&amp;" "&amp;N21&amp;" is more than F05-12"&amp;CHAR(10),""),IF(O272&gt;O270," * F05-14 for Age "&amp;N20&amp;" "&amp;O21&amp;" is more than F05-12"&amp;CHAR(10),""),IF(P272&gt;P270," * F05-14 for Age "&amp;P20&amp;" "&amp;P21&amp;" is more than F05-12"&amp;CHAR(10),""),IF(Q272&gt;Q270," * F05-14 for Age "&amp;P20&amp;" "&amp;Q21&amp;" is more than F05-12"&amp;CHAR(10),""),IF(R272&gt;R270," * F05-14 for Age "&amp;R20&amp;" "&amp;R21&amp;" is more than F05-12"&amp;CHAR(10),""),IF(S272&gt;S270," * F05-14 for Age "&amp;R20&amp;" "&amp;S21&amp;" is more than F05-12"&amp;CHAR(10),""),IF(T272&gt;T270," * F05-14 for Age "&amp;T20&amp;" "&amp;T21&amp;" is more than F05-12"&amp;CHAR(10),""),IF(U272&gt;U270," * F05-14 for Age "&amp;T20&amp;" "&amp;U21&amp;" is more than F05-12"&amp;CHAR(10),""),IF(V272&gt;V270," * F05-14 for Age "&amp;V20&amp;" "&amp;V21&amp;" is more than F05-12"&amp;CHAR(10),""),IF(W272&gt;W270," * F05-14 for Age "&amp;V20&amp;" "&amp;W21&amp;" is more than F05-12"&amp;CHAR(10),""),IF(X272&gt;X270," * F05-14 for Age "&amp;X20&amp;" "&amp;X21&amp;" is more than F05-12"&amp;CHAR(10),""),IF(Y272&gt;Y270," * F05-14 for Age "&amp;X20&amp;" "&amp;Y21&amp;" is more than F05-12"&amp;CHAR(10),""),IF(Z272&gt;Z270," * F05-14 for Age "&amp;Z20&amp;" "&amp;Z21&amp;" is more than F05-12"&amp;CHAR(10),""),IF(AA272&gt;AA270," * F05-14 for Age "&amp;Z20&amp;" "&amp;AA21&amp;" is more than F05-12"&amp;CHAR(10),""),IF(AJ272&gt;AJ270," * Total F05-14 is more than Total F05-12"&amp;CHAR(10),""))</f>
        <v/>
      </c>
      <c r="AL272" s="1228"/>
      <c r="AM272" s="31"/>
      <c r="AN272" s="1289"/>
      <c r="AO272" s="13">
        <v>191</v>
      </c>
      <c r="AP272" s="74"/>
      <c r="AQ272" s="149"/>
    </row>
    <row r="273" spans="1:43" s="14" customFormat="1" ht="25.9" hidden="1" thickBot="1" x14ac:dyDescent="0.8">
      <c r="A273" s="1092"/>
      <c r="B273" s="137" t="s">
        <v>680</v>
      </c>
      <c r="C273" s="581" t="s">
        <v>320</v>
      </c>
      <c r="D273" s="133"/>
      <c r="E273" s="120"/>
      <c r="F273" s="120"/>
      <c r="G273" s="120"/>
      <c r="H273" s="120"/>
      <c r="I273" s="120"/>
      <c r="J273" s="120"/>
      <c r="K273" s="129"/>
      <c r="L273" s="120"/>
      <c r="M273" s="129"/>
      <c r="N273" s="120"/>
      <c r="O273" s="129"/>
      <c r="P273" s="120"/>
      <c r="Q273" s="129"/>
      <c r="R273" s="120"/>
      <c r="S273" s="129"/>
      <c r="T273" s="120"/>
      <c r="U273" s="129"/>
      <c r="V273" s="120"/>
      <c r="W273" s="129"/>
      <c r="X273" s="120"/>
      <c r="Y273" s="129"/>
      <c r="Z273" s="120"/>
      <c r="AA273" s="332"/>
      <c r="AB273" s="390"/>
      <c r="AC273" s="391"/>
      <c r="AD273" s="391"/>
      <c r="AE273" s="391"/>
      <c r="AF273" s="391"/>
      <c r="AG273" s="391"/>
      <c r="AH273" s="391"/>
      <c r="AI273" s="315"/>
      <c r="AJ273" s="394">
        <f t="shared" si="108"/>
        <v>0</v>
      </c>
      <c r="AK273" s="122" t="str">
        <f>CONCATENATE(IF(D273&gt;D270," * F05-15 for Age "&amp;D20&amp;" "&amp;D21&amp;" is more than F05-12"&amp;CHAR(10),""),IF(E273&gt;E270," * F05-15 for Age "&amp;D20&amp;" "&amp;E21&amp;" is more than F05-12"&amp;CHAR(10),""),IF(F273&gt;F270," * F05-15 for Age "&amp;F20&amp;" "&amp;F21&amp;" is more than F05-12"&amp;CHAR(10),""),IF(G273&gt;G270," * F05-15 for Age "&amp;F20&amp;" "&amp;G21&amp;" is more than F05-12"&amp;CHAR(10),""),IF(H273&gt;H270," * F05-15 for Age "&amp;H20&amp;" "&amp;H21&amp;" is more than F05-12"&amp;CHAR(10),""),IF(I273&gt;I270," * F05-15 for Age "&amp;H20&amp;" "&amp;I21&amp;" is more than F05-12"&amp;CHAR(10),""),IF(J273&gt;J270," * F05-15 for Age "&amp;J20&amp;" "&amp;J21&amp;" is more than F05-12"&amp;CHAR(10),""),IF(K273&gt;K270," * F05-15 for Age "&amp;J20&amp;" "&amp;K21&amp;" is more than F05-12"&amp;CHAR(10),""),IF(L273&gt;L270," * F05-15 for Age "&amp;L20&amp;" "&amp;L21&amp;" is more than F05-12"&amp;CHAR(10),""),IF(M273&gt;M270," * F05-15 for Age "&amp;L20&amp;" "&amp;M21&amp;" is more than F05-12"&amp;CHAR(10),""),IF(N273&gt;N270," * F05-15 for Age "&amp;N20&amp;" "&amp;N21&amp;" is more than F05-12"&amp;CHAR(10),""),IF(O273&gt;O270," * F05-15 for Age "&amp;N20&amp;" "&amp;O21&amp;" is more than F05-12"&amp;CHAR(10),""),IF(P273&gt;P270," * F05-15 for Age "&amp;P20&amp;" "&amp;P21&amp;" is more than F05-12"&amp;CHAR(10),""),IF(Q273&gt;Q270," * F05-15 for Age "&amp;P20&amp;" "&amp;Q21&amp;" is more than F05-12"&amp;CHAR(10),""),IF(R273&gt;R270," * F05-15 for Age "&amp;R20&amp;" "&amp;R21&amp;" is more than F05-12"&amp;CHAR(10),""),IF(S273&gt;S270," * F05-15 for Age "&amp;R20&amp;" "&amp;S21&amp;" is more than F05-12"&amp;CHAR(10),""),IF(T273&gt;T270," * F05-15 for Age "&amp;T20&amp;" "&amp;T21&amp;" is more than F05-12"&amp;CHAR(10),""),IF(U273&gt;U270," * F05-15 for Age "&amp;T20&amp;" "&amp;U21&amp;" is more than F05-12"&amp;CHAR(10),""),IF(V273&gt;V270," * F05-15 for Age "&amp;V20&amp;" "&amp;V21&amp;" is more than F05-12"&amp;CHAR(10),""),IF(W273&gt;W270," * F05-15 for Age "&amp;V20&amp;" "&amp;W21&amp;" is more than F05-12"&amp;CHAR(10),""),IF(X273&gt;X270," * F05-15 for Age "&amp;X20&amp;" "&amp;X21&amp;" is more than F05-12"&amp;CHAR(10),""),IF(Y273&gt;Y270," * F05-15 for Age "&amp;X20&amp;" "&amp;Y21&amp;" is more than F05-12"&amp;CHAR(10),""),IF(Z273&gt;Z270," * F05-15 for Age "&amp;Z20&amp;" "&amp;Z21&amp;" is more than F05-12"&amp;CHAR(10),""),IF(AA273&gt;AA270," * F05-15 for Age "&amp;Z20&amp;" "&amp;AA21&amp;" is more than F05-12"&amp;CHAR(10),""),IF(AJ273&gt;AJ270," * Total F05-12 is more than Total F05-12"&amp;CHAR(10),""))</f>
        <v/>
      </c>
      <c r="AL273" s="1229"/>
      <c r="AM273" s="123"/>
      <c r="AN273" s="1290"/>
      <c r="AO273" s="13">
        <v>192</v>
      </c>
      <c r="AP273" s="74"/>
      <c r="AQ273" s="149"/>
    </row>
    <row r="274" spans="1:43" ht="25.9" hidden="1" thickBot="1" x14ac:dyDescent="0.8">
      <c r="A274" s="1043" t="s">
        <v>128</v>
      </c>
      <c r="B274" s="1044"/>
      <c r="C274" s="1044"/>
      <c r="D274" s="1044"/>
      <c r="E274" s="1044"/>
      <c r="F274" s="1044"/>
      <c r="G274" s="1044"/>
      <c r="H274" s="1044"/>
      <c r="I274" s="1044"/>
      <c r="J274" s="1044"/>
      <c r="K274" s="1044"/>
      <c r="L274" s="1044"/>
      <c r="M274" s="1044"/>
      <c r="N274" s="1044"/>
      <c r="O274" s="1044"/>
      <c r="P274" s="1044"/>
      <c r="Q274" s="1044"/>
      <c r="R274" s="1044"/>
      <c r="S274" s="1044"/>
      <c r="T274" s="1044"/>
      <c r="U274" s="1044"/>
      <c r="V274" s="1044"/>
      <c r="W274" s="1044"/>
      <c r="X274" s="1044"/>
      <c r="Y274" s="1044"/>
      <c r="Z274" s="1044"/>
      <c r="AA274" s="1044"/>
      <c r="AB274" s="1045"/>
      <c r="AC274" s="1045"/>
      <c r="AD274" s="1045"/>
      <c r="AE274" s="1045"/>
      <c r="AF274" s="1045"/>
      <c r="AG274" s="1045"/>
      <c r="AH274" s="1045"/>
      <c r="AI274" s="1045"/>
      <c r="AJ274" s="1044"/>
      <c r="AK274" s="1044"/>
      <c r="AL274" s="1044"/>
      <c r="AM274" s="1044"/>
      <c r="AN274" s="1046"/>
      <c r="AO274" s="13">
        <v>193</v>
      </c>
      <c r="AP274" s="74"/>
      <c r="AQ274" s="75"/>
    </row>
    <row r="275" spans="1:43" ht="26.25" hidden="1" customHeight="1" x14ac:dyDescent="0.75">
      <c r="A275" s="1039" t="s">
        <v>37</v>
      </c>
      <c r="B275" s="1198" t="s">
        <v>344</v>
      </c>
      <c r="C275" s="1049" t="s">
        <v>325</v>
      </c>
      <c r="D275" s="1013" t="s">
        <v>0</v>
      </c>
      <c r="E275" s="1057"/>
      <c r="F275" s="1057" t="s">
        <v>1</v>
      </c>
      <c r="G275" s="1057"/>
      <c r="H275" s="1057" t="s">
        <v>2</v>
      </c>
      <c r="I275" s="1057"/>
      <c r="J275" s="1057" t="s">
        <v>3</v>
      </c>
      <c r="K275" s="1057"/>
      <c r="L275" s="1057" t="s">
        <v>4</v>
      </c>
      <c r="M275" s="1057"/>
      <c r="N275" s="1057" t="s">
        <v>5</v>
      </c>
      <c r="O275" s="1057"/>
      <c r="P275" s="1057" t="s">
        <v>6</v>
      </c>
      <c r="Q275" s="1057"/>
      <c r="R275" s="1057" t="s">
        <v>7</v>
      </c>
      <c r="S275" s="1057"/>
      <c r="T275" s="1057" t="s">
        <v>8</v>
      </c>
      <c r="U275" s="1057"/>
      <c r="V275" s="1057" t="s">
        <v>23</v>
      </c>
      <c r="W275" s="1057"/>
      <c r="X275" s="1057" t="s">
        <v>24</v>
      </c>
      <c r="Y275" s="1057"/>
      <c r="Z275" s="1057" t="s">
        <v>9</v>
      </c>
      <c r="AA275" s="1012"/>
      <c r="AB275" s="1226"/>
      <c r="AC275" s="1014"/>
      <c r="AD275" s="1014"/>
      <c r="AE275" s="1014"/>
      <c r="AF275" s="1014"/>
      <c r="AG275" s="1014"/>
      <c r="AH275" s="1014"/>
      <c r="AI275" s="1015"/>
      <c r="AJ275" s="1194" t="s">
        <v>19</v>
      </c>
      <c r="AK275" s="1192" t="s">
        <v>378</v>
      </c>
      <c r="AL275" s="1183" t="s">
        <v>384</v>
      </c>
      <c r="AM275" s="1058" t="s">
        <v>385</v>
      </c>
      <c r="AN275" s="1047" t="s">
        <v>385</v>
      </c>
      <c r="AO275" s="13">
        <v>194</v>
      </c>
      <c r="AP275" s="74"/>
      <c r="AQ275" s="75"/>
    </row>
    <row r="276" spans="1:43" ht="27" hidden="1" customHeight="1" thickBot="1" x14ac:dyDescent="0.8">
      <c r="A276" s="1040"/>
      <c r="B276" s="1199"/>
      <c r="C276" s="1059"/>
      <c r="D276" s="296" t="s">
        <v>10</v>
      </c>
      <c r="E276" s="68" t="s">
        <v>11</v>
      </c>
      <c r="F276" s="68" t="s">
        <v>10</v>
      </c>
      <c r="G276" s="68" t="s">
        <v>11</v>
      </c>
      <c r="H276" s="68" t="s">
        <v>10</v>
      </c>
      <c r="I276" s="68" t="s">
        <v>11</v>
      </c>
      <c r="J276" s="68" t="s">
        <v>10</v>
      </c>
      <c r="K276" s="68" t="s">
        <v>11</v>
      </c>
      <c r="L276" s="68" t="s">
        <v>10</v>
      </c>
      <c r="M276" s="68" t="s">
        <v>11</v>
      </c>
      <c r="N276" s="68" t="s">
        <v>10</v>
      </c>
      <c r="O276" s="68" t="s">
        <v>11</v>
      </c>
      <c r="P276" s="68" t="s">
        <v>10</v>
      </c>
      <c r="Q276" s="68" t="s">
        <v>11</v>
      </c>
      <c r="R276" s="68" t="s">
        <v>10</v>
      </c>
      <c r="S276" s="68" t="s">
        <v>11</v>
      </c>
      <c r="T276" s="68" t="s">
        <v>10</v>
      </c>
      <c r="U276" s="68" t="s">
        <v>11</v>
      </c>
      <c r="V276" s="68" t="s">
        <v>10</v>
      </c>
      <c r="W276" s="68" t="s">
        <v>11</v>
      </c>
      <c r="X276" s="68" t="s">
        <v>10</v>
      </c>
      <c r="Y276" s="68" t="s">
        <v>11</v>
      </c>
      <c r="Z276" s="68" t="s">
        <v>10</v>
      </c>
      <c r="AA276" s="371" t="s">
        <v>11</v>
      </c>
      <c r="AB276" s="373"/>
      <c r="AC276" s="374"/>
      <c r="AD276" s="374"/>
      <c r="AE276" s="374"/>
      <c r="AF276" s="374"/>
      <c r="AG276" s="374"/>
      <c r="AH276" s="374"/>
      <c r="AI276" s="375"/>
      <c r="AJ276" s="1197"/>
      <c r="AK276" s="1193"/>
      <c r="AL276" s="1127"/>
      <c r="AM276" s="1058"/>
      <c r="AN276" s="1048"/>
      <c r="AO276" s="13">
        <v>195</v>
      </c>
      <c r="AP276" s="74"/>
      <c r="AQ276" s="75"/>
    </row>
    <row r="277" spans="1:43" ht="31.15" hidden="1" customHeight="1" x14ac:dyDescent="0.75">
      <c r="A277" s="1113" t="s">
        <v>115</v>
      </c>
      <c r="B277" s="204" t="s">
        <v>681</v>
      </c>
      <c r="C277" s="599" t="s">
        <v>366</v>
      </c>
      <c r="D277" s="70"/>
      <c r="E277" s="71"/>
      <c r="F277" s="71"/>
      <c r="G277" s="71"/>
      <c r="H277" s="71"/>
      <c r="I277" s="71"/>
      <c r="J277" s="71"/>
      <c r="K277" s="127"/>
      <c r="L277" s="71"/>
      <c r="M277" s="127"/>
      <c r="N277" s="71"/>
      <c r="O277" s="127"/>
      <c r="P277" s="71"/>
      <c r="Q277" s="127"/>
      <c r="R277" s="71"/>
      <c r="S277" s="127"/>
      <c r="T277" s="71"/>
      <c r="U277" s="127"/>
      <c r="V277" s="71"/>
      <c r="W277" s="127"/>
      <c r="X277" s="71"/>
      <c r="Y277" s="127"/>
      <c r="Z277" s="71"/>
      <c r="AA277" s="354"/>
      <c r="AB277" s="387"/>
      <c r="AC277" s="388"/>
      <c r="AD277" s="388"/>
      <c r="AE277" s="388"/>
      <c r="AF277" s="388"/>
      <c r="AG277" s="388"/>
      <c r="AH277" s="388"/>
      <c r="AI277" s="317"/>
      <c r="AJ277" s="398">
        <f>SUM(D277:AA277)</f>
        <v>0</v>
      </c>
      <c r="AK277" s="139" t="str">
        <f>CONCATENATE(IF(D277&lt;SUM(D278,D279)," * Sum of (KP at ANC1 and initial test at ANC1) for Age "&amp;D20&amp;" "&amp;D21&amp;" is more than New 1st ANC Clients"&amp;CHAR(10),""),IF(E277&lt;SUM(E278,E279,E219)," * Sum of (KP at ANC1 and initial test at ANC1) for Age "&amp;D20&amp;" "&amp;E21&amp;" is more than New 1st ANC Clients"&amp;CHAR(10),""),IF(F277&lt;SUM(F278,F279)," * Sum of (KP at ANC1 and initial test at ANC1) for Age "&amp;F20&amp;" "&amp;F21&amp;" is more than New 1st ANC Clients"&amp;CHAR(10),""),IF(G277&lt;SUM(G278,G279,G219)," * Sum of (KP at ANC1 and initial test at ANC1) for Age "&amp;F20&amp;" "&amp;G21&amp;" is more than New 1st ANC Clients"&amp;CHAR(10),""),IF(H277&lt;SUM(H278,H279)," * Sum of (KP at ANC1 and initial test at ANC1) for Age "&amp;H20&amp;" "&amp;H21&amp;" is more than New 1st ANC Clients"&amp;CHAR(10),""),IF(I277&lt;SUM(I278,I279,I219)," * Sum of (KP at ANC1 and initial test at ANC1) for Age "&amp;H20&amp;" "&amp;I21&amp;" is more than New 1st ANC Clients"&amp;CHAR(10),""),IF(J277&lt;SUM(J278,J279)," * Sum of (KP at ANC1 and initial test at ANC1) for Age "&amp;J20&amp;" "&amp;J21&amp;" is more than New 1st ANC Clients"&amp;CHAR(10),""),IF(K277&lt;SUM(K278,K279,K219)," * Sum of (KP at ANC1 and initial test at ANC1) for Age "&amp;J20&amp;" "&amp;K21&amp;" is more than New 1st ANC Clients"&amp;CHAR(10),""),IF(L277&lt;SUM(L278,L279)," * Sum of (KP at ANC1 and initial test at ANC1) for Age "&amp;L20&amp;" "&amp;L21&amp;" is more than New 1st ANC Clients"&amp;CHAR(10),""),IF(M277&lt;SUM(M278,M279,M219)," * Sum of (KP at ANC1 and initial test at ANC1) for Age "&amp;L20&amp;" "&amp;M21&amp;" is more than New 1st ANC Clients"&amp;CHAR(10),""),IF(N277&lt;SUM(N278,N279)," * Sum of (KP at ANC1 and initial test at ANC1) for Age "&amp;N20&amp;" "&amp;N21&amp;" is more than New 1st ANC Clients"&amp;CHAR(10),""),IF(O277&lt;SUM(O278,O279,O219)," * Sum of (KP at ANC1 and initial test at ANC1) for Age "&amp;N20&amp;" "&amp;O21&amp;" is more than New 1st ANC Clients"&amp;CHAR(10),""),IF(P277&lt;SUM(P278,P279)," * Sum of (KP at ANC1 and initial test at ANC1) for Age "&amp;P20&amp;" "&amp;P21&amp;" is more than New 1st ANC Clients"&amp;CHAR(10),""),IF(Q277&lt;SUM(Q278,Q279,Q219)," * Sum of (KP at ANC1 and initial test at ANC1) for Age "&amp;P20&amp;" "&amp;Q21&amp;" is more than New 1st ANC Clients"&amp;CHAR(10),""),IF(R277&lt;SUM(R278,R279)," * Sum of (KP at ANC1 and initial test at ANC1) for Age "&amp;R20&amp;" "&amp;R21&amp;" is more than New 1st ANC Clients"&amp;CHAR(10),""),IF(S277&lt;SUM(S278,S279,S219)," * Sum of (KP at ANC1 and initial test at ANC1) for Age "&amp;R20&amp;" "&amp;S21&amp;" is more than New 1st ANC Clients"&amp;CHAR(10),""),IF(T277&lt;SUM(T278,T279)," * Sum of (KP at ANC1 and initial test at ANC1) for Age "&amp;T20&amp;" "&amp;T21&amp;" is more than New 1st ANC Clients"&amp;CHAR(10),""),IF(U277&lt;SUM(U278,U279,U219)," * Sum of (KP at ANC1 and initial test at ANC1) for Age "&amp;T20&amp;" "&amp;U21&amp;" is more than New 1st ANC Clients"&amp;CHAR(10),""),IF(V277&lt;SUM(V278,V279)," * Sum of (KP at ANC1 and initial test at ANC1) for Age "&amp;V20&amp;" "&amp;V21&amp;" is more than New 1st ANC Clients"&amp;CHAR(10),""),IF(W277&lt;SUM(W278,W279,W219)," * Sum of (KP at ANC1 and initial test at ANC1) for Age "&amp;V20&amp;" "&amp;W21&amp;" is more than New 1st ANC Clients"&amp;CHAR(10),""),IF(X277&lt;SUM(X278,X279)," * Sum of (KP at ANC1 and initial test at ANC1) for Age "&amp;X20&amp;" "&amp;X21&amp;" is more than New 1st ANC Clients"&amp;CHAR(10),""),IF(Y277&lt;SUM(Y278,Y279,Y219)," * Sum of (KP at ANC1 and initial test at ANC1) for Age "&amp;X20&amp;" "&amp;Y21&amp;" is more than New 1st ANC Clients"&amp;CHAR(10),""),IF(Z277&lt;SUM(Z278,Z279)," * Sum of (KP at ANC1 and initial test at ANC1) for Age "&amp;Z20&amp;" "&amp;Z21&amp;" is more than New 1st ANC Clients"&amp;CHAR(10),""),IF(AA277&lt;SUM(AA278,AA279,AA219)," * Sum of (KP at ANC1 and initial test at ANC1) for Age "&amp;Z20&amp;" "&amp;AA21&amp;" is more than New 1st ANC Clients"&amp;CHAR(10),""),IF(AJ277&lt;SUM(AJ278,AJ279)," * Total Sum of (KP at ANC1 and initial test at ANC1) is more than New 1st ANC Clients"&amp;CHAR(10),""))</f>
        <v/>
      </c>
      <c r="AL277" s="1103" t="str">
        <f>CONCATENATE(AK277,AK278,AK279,AK280,AK283,AK287,AK291,AK299,AK290,AK289,AK281,AK282,AK286,AK293,AK294,AK295,AK296,AK298,AK297,AK285)</f>
        <v/>
      </c>
      <c r="AM277" s="205"/>
      <c r="AN277" s="1090" t="str">
        <f>CONCATENATE(AM277,AM278,AM279,AM280,AM283,AM284,AM287,AM288,AM291,AM292,AM299,AM300,AM281,AM282,AM285,AM286,AM289,AM290,AM293,AM294,AM295,AM296)</f>
        <v/>
      </c>
      <c r="AO277" s="13">
        <v>196</v>
      </c>
      <c r="AP277" s="74"/>
      <c r="AQ277" s="75"/>
    </row>
    <row r="278" spans="1:43" ht="31.15" hidden="1" customHeight="1" x14ac:dyDescent="0.75">
      <c r="A278" s="1094"/>
      <c r="B278" s="206" t="s">
        <v>682</v>
      </c>
      <c r="C278" s="580" t="s">
        <v>273</v>
      </c>
      <c r="D278" s="77"/>
      <c r="E278" s="78"/>
      <c r="F278" s="78"/>
      <c r="G278" s="78"/>
      <c r="H278" s="78"/>
      <c r="I278" s="78"/>
      <c r="J278" s="78"/>
      <c r="K278" s="207"/>
      <c r="L278" s="208"/>
      <c r="M278" s="207"/>
      <c r="N278" s="208"/>
      <c r="O278" s="207"/>
      <c r="P278" s="208"/>
      <c r="Q278" s="207"/>
      <c r="R278" s="208"/>
      <c r="S278" s="207"/>
      <c r="T278" s="208"/>
      <c r="U278" s="207"/>
      <c r="V278" s="208"/>
      <c r="W278" s="207"/>
      <c r="X278" s="208"/>
      <c r="Y278" s="207"/>
      <c r="Z278" s="78"/>
      <c r="AA278" s="355"/>
      <c r="AB278" s="389"/>
      <c r="AC278" s="357"/>
      <c r="AD278" s="357"/>
      <c r="AE278" s="357"/>
      <c r="AF278" s="357"/>
      <c r="AG278" s="357"/>
      <c r="AH278" s="357"/>
      <c r="AI278" s="314"/>
      <c r="AJ278" s="399">
        <f t="shared" ref="AJ278:AJ308" si="109">SUM(D278:AA278)</f>
        <v>0</v>
      </c>
      <c r="AK278" s="116" t="str">
        <f>CONCATENATE(IF(D313&gt;D278," * ON HAART at 1st ANC for Age "&amp;D20&amp;" "&amp;D21&amp;" is more than KP at 1st ANC "&amp;CHAR(10),""),IF(E313&gt;E278," * ON HAART at 1st ANC for Age "&amp;D20&amp;" "&amp;E21&amp;" is more than KP at 1st ANC "&amp;CHAR(10),""),IF(F313&gt;F278," * ON HAART at 1st ANC for Age "&amp;F20&amp;" "&amp;F21&amp;" is more than KP at 1st ANC "&amp;CHAR(10),""),IF(G313&gt;G278," * ON HAART at 1st ANC for Age "&amp;F20&amp;" "&amp;G21&amp;" is more than KP at 1st ANC "&amp;CHAR(10),""),IF(H313&gt;H278," * ON HAART at 1st ANC for Age "&amp;H20&amp;" "&amp;H21&amp;" is more than KP at 1st ANC "&amp;CHAR(10),""),IF(I313&gt;I278," * ON HAART at 1st ANC for Age "&amp;H20&amp;" "&amp;I21&amp;" is more than KP at 1st ANC "&amp;CHAR(10),""),IF(J313&gt;J278," * ON HAART at 1st ANC for Age "&amp;J20&amp;" "&amp;J21&amp;" is more than KP at 1st ANC "&amp;CHAR(10),""),IF(K313&gt;K278," * ON HAART at 1st ANC for Age "&amp;J20&amp;" "&amp;K21&amp;" is more than KP at 1st ANC "&amp;CHAR(10),""),IF(L313&gt;L278," * ON HAART at 1st ANC for Age "&amp;L20&amp;" "&amp;L21&amp;" is more than KP at 1st ANC "&amp;CHAR(10),""),IF(M313&gt;M278," * ON HAART at 1st ANC for Age "&amp;L20&amp;" "&amp;M21&amp;" is more than KP at 1st ANC "&amp;CHAR(10),""),IF(N313&gt;N278," * ON HAART at 1st ANC for Age "&amp;N20&amp;" "&amp;N21&amp;" is more than KP at 1st ANC "&amp;CHAR(10),""),IF(O313&gt;O278," * ON HAART at 1st ANC for Age "&amp;N20&amp;" "&amp;O21&amp;" is more than KP at 1st ANC "&amp;CHAR(10),""),IF(P313&gt;P278," * ON HAART at 1st ANC for Age "&amp;P20&amp;" "&amp;P21&amp;" is more than KP at 1st ANC "&amp;CHAR(10),""),IF(Q313&gt;Q278," * ON HAART at 1st ANC for Age "&amp;P20&amp;" "&amp;Q21&amp;" is more than KP at 1st ANC "&amp;CHAR(10),""),IF(R313&gt;R278," * ON HAART at 1st ANC for Age "&amp;R20&amp;" "&amp;R21&amp;" is more than KP at 1st ANC "&amp;CHAR(10),""),IF(S313&gt;S278," * ON HAART at 1st ANC for Age "&amp;R20&amp;" "&amp;S21&amp;" is more than KP at 1st ANC "&amp;CHAR(10),""),IF(T313&gt;T278," * ON HAART at 1st ANC for Age "&amp;T20&amp;" "&amp;T21&amp;" is more than KP at 1st ANC "&amp;CHAR(10),""),IF(U313&gt;U278," * ON HAART at 1st ANC for Age "&amp;T20&amp;" "&amp;U21&amp;" is more than KP at 1st ANC "&amp;CHAR(10),""),IF(V313&gt;V278," * ON HAART at 1st ANC for Age "&amp;V20&amp;" "&amp;V21&amp;" is more than KP at 1st ANC "&amp;CHAR(10),""),IF(W313&gt;W278," * ON HAART at 1st ANC for Age "&amp;V20&amp;" "&amp;W21&amp;" is more than KP at 1st ANC "&amp;CHAR(10),""),IF(X313&gt;X278," * ON HAART at 1st ANC for Age "&amp;X20&amp;" "&amp;X21&amp;" is more than KP at 1st ANC "&amp;CHAR(10),""),IF(Y313&gt;Y278," * ON HAART at 1st ANC for Age "&amp;X20&amp;" "&amp;Y21&amp;" is more than KP at 1st ANC "&amp;CHAR(10),""),IF(Z313&gt;Z278," * ON HAART at 1st ANC for Age "&amp;Z20&amp;" "&amp;Z21&amp;" is more than KP at 1st ANC "&amp;CHAR(10),""),IF(AA313&gt;AA278," * ON HAART at 1st ANC for Age "&amp;Z20&amp;" "&amp;AA21&amp;" is more than KP at 1st ANC "&amp;CHAR(10),""))</f>
        <v/>
      </c>
      <c r="AL278" s="1088"/>
      <c r="AM278" s="209" t="str">
        <f>CONCATENATE(IF(D277&gt;SUM(D278,D279)," * Sum of (KP at ANC1 and initial test at ANC1) for Age "&amp;D20&amp;" "&amp;D21&amp;" is less than New 1st ANC Clients"&amp;CHAR(10),""),IF(E277&gt;SUM(E278,E279,E219)," * Sum of (KP at ANC1 and initial test at ANC1) for Age "&amp;D20&amp;" "&amp;E21&amp;" is less than New 1st ANC Clients"&amp;CHAR(10),""),IF(F277&gt;SUM(F278,F279)," * Sum of (KP at ANC1 and initial test at ANC1) for Age "&amp;F20&amp;" "&amp;F21&amp;" is less than New 1st ANC Clients"&amp;CHAR(10),""),IF(G277&gt;SUM(G278,G279,G219)," * Sum of (KP at ANC1 and initial test at ANC1) for Age "&amp;F20&amp;" "&amp;G21&amp;" is less than New 1st ANC Clients"&amp;CHAR(10),""),IF(H277&gt;SUM(H278,H279)," * Sum of (KP at ANC1 and initial test at ANC1) for Age "&amp;H20&amp;" "&amp;H21&amp;" is less than New 1st ANC Clients"&amp;CHAR(10),""),IF(I277&gt;SUM(I278,I279,I219)," * Sum of (KP at ANC1 and initial test at ANC1) for Age "&amp;H20&amp;" "&amp;I21&amp;" is less than New 1st ANC Clients"&amp;CHAR(10),""),IF(J277&gt;SUM(J278,J279)," * Sum of (KP at ANC1 and initial test at ANC1) for Age "&amp;J20&amp;" "&amp;J21&amp;" is less than New 1st ANC Clients"&amp;CHAR(10),""),IF(K277&gt;SUM(K278,K279,K219)," * Sum of (KP at ANC1 and initial test at ANC1) for Age "&amp;J20&amp;" "&amp;K21&amp;" is less than New 1st ANC Clients"&amp;CHAR(10),""),IF(L277&gt;SUM(L278,L279)," * Sum of (KP at ANC1 and initial test at ANC1) for Age "&amp;L20&amp;" "&amp;L21&amp;" is less than New 1st ANC Clients"&amp;CHAR(10),""),IF(M277&gt;SUM(M278,M279,M219)," * Sum of (KP at ANC1 and initial test at ANC1) for Age "&amp;L20&amp;" "&amp;M21&amp;" is less than New 1st ANC Clients"&amp;CHAR(10),""),IF(N277&gt;SUM(N278,N279)," * Sum of (KP at ANC1 and initial test at ANC1) for Age "&amp;N20&amp;" "&amp;N21&amp;" is less than New 1st ANC Clients"&amp;CHAR(10),""),IF(O277&gt;SUM(O278,O279,O219)," * Sum of (KP at ANC1 and initial test at ANC1) for Age "&amp;N20&amp;" "&amp;O21&amp;" is less than New 1st ANC Clients"&amp;CHAR(10),""),IF(P277&gt;SUM(P278,P279)," * Sum of (KP at ANC1 and initial test at ANC1) for Age "&amp;P20&amp;" "&amp;P21&amp;" is less than New 1st ANC Clients"&amp;CHAR(10),""),IF(Q277&gt;SUM(Q278,Q279,Q219)," * Sum of (KP at ANC1 and initial test at ANC1) for Age "&amp;P20&amp;" "&amp;Q21&amp;" is less than New 1st ANC Clients"&amp;CHAR(10),""),IF(R277&gt;SUM(R278,R279)," * Sum of (KP at ANC1 and initial test at ANC1) for Age "&amp;R20&amp;" "&amp;R21&amp;" is less than New 1st ANC Clients"&amp;CHAR(10),""),IF(S277&gt;SUM(S278,S279,S219)," * Sum of (KP at ANC1 and initial test at ANC1) for Age "&amp;R20&amp;" "&amp;S21&amp;" is less than New 1st ANC Clients"&amp;CHAR(10),""),IF(T277&gt;SUM(T278,T279)," * Sum of (KP at ANC1 and initial test at ANC1) for Age "&amp;T20&amp;" "&amp;T21&amp;" is less than New 1st ANC Clients"&amp;CHAR(10),""),IF(U277&gt;SUM(U278,U279,U219)," * Sum of (KP at ANC1 and initial test at ANC1) for Age "&amp;T20&amp;" "&amp;U21&amp;" is less than New 1st ANC Clients"&amp;CHAR(10),""),IF(V277&gt;SUM(V278,V279)," * Sum of (KP at ANC1 and initial test at ANC1) for Age "&amp;V20&amp;" "&amp;V21&amp;" is less than New 1st ANC Clients"&amp;CHAR(10),""),IF(W277&gt;SUM(W278,W279,W219)," * Sum of (KP at ANC1 and initial test at ANC1) for Age "&amp;V20&amp;" "&amp;W21&amp;" is less than New 1st ANC Clients"&amp;CHAR(10),""),IF(X277&gt;SUM(X278,X279)," * Sum of (KP at ANC1 and initial test at ANC1) for Age "&amp;X20&amp;" "&amp;X21&amp;" is less than New 1st ANC Clients"&amp;CHAR(10),""),IF(Y277&gt;SUM(Y278,Y279,Y219)," * Sum of (KP at ANC1 and initial test at ANC1) for Age "&amp;X20&amp;" "&amp;Y21&amp;" is less than New 1st ANC Clients"&amp;CHAR(10),""),IF(Z277&gt;SUM(Z278,Z279)," * Sum of (KP at ANC1 and initial test at ANC1) for Age "&amp;Z20&amp;" "&amp;Z21&amp;" is less than New 1st ANC Clients"&amp;CHAR(10),""),IF(AA277&gt;SUM(AA278,AA279,AA219)," * Sum of (KP at ANC1 and initial test at ANC1) for Age "&amp;Z20&amp;" "&amp;AA21&amp;" is less than New 1st ANC Clients"&amp;CHAR(10),""))</f>
        <v/>
      </c>
      <c r="AN278" s="1081"/>
      <c r="AO278" s="13">
        <v>197</v>
      </c>
      <c r="AP278" s="74"/>
      <c r="AQ278" s="75"/>
    </row>
    <row r="279" spans="1:43" ht="25.5" hidden="1" x14ac:dyDescent="0.75">
      <c r="A279" s="1094"/>
      <c r="B279" s="76" t="s">
        <v>683</v>
      </c>
      <c r="C279" s="580" t="s">
        <v>274</v>
      </c>
      <c r="D279" s="77"/>
      <c r="E279" s="78"/>
      <c r="F279" s="78"/>
      <c r="G279" s="78"/>
      <c r="H279" s="78"/>
      <c r="I279" s="78"/>
      <c r="J279" s="78"/>
      <c r="K279" s="79"/>
      <c r="L279" s="78"/>
      <c r="M279" s="79"/>
      <c r="N279" s="78"/>
      <c r="O279" s="79"/>
      <c r="P279" s="78"/>
      <c r="Q279" s="79"/>
      <c r="R279" s="78"/>
      <c r="S279" s="79"/>
      <c r="T279" s="78"/>
      <c r="U279" s="79"/>
      <c r="V279" s="78"/>
      <c r="W279" s="79"/>
      <c r="X279" s="78"/>
      <c r="Y279" s="79"/>
      <c r="Z279" s="78"/>
      <c r="AA279" s="355"/>
      <c r="AB279" s="389"/>
      <c r="AC279" s="357"/>
      <c r="AD279" s="357"/>
      <c r="AE279" s="357"/>
      <c r="AF279" s="357"/>
      <c r="AG279" s="357"/>
      <c r="AH279" s="357"/>
      <c r="AI279" s="314"/>
      <c r="AJ279" s="399">
        <f t="shared" si="109"/>
        <v>0</v>
      </c>
      <c r="AK279" s="116" t="str">
        <f>CONCATENATE(IF(D279&gt;D277," * F06-03 for Age "&amp;D20&amp;" "&amp;D21&amp;" is more than F06-01"&amp;CHAR(10),""),IF(E279&gt;E277," * F06-03 for Age "&amp;D20&amp;" "&amp;E21&amp;" is more than F06-01"&amp;CHAR(10),""),IF(F279&gt;F277," * F06-03 for Age "&amp;F20&amp;" "&amp;F21&amp;" is more than F06-01"&amp;CHAR(10),""),IF(G279&gt;G277," * F06-03 for Age "&amp;F20&amp;" "&amp;G21&amp;" is more than F06-01"&amp;CHAR(10),""),IF(H279&gt;H277," * F06-03 for Age "&amp;H20&amp;" "&amp;H21&amp;" is more than F06-01"&amp;CHAR(10),""),IF(I279&gt;I277," * F06-03 for Age "&amp;H20&amp;" "&amp;I21&amp;" is more than F06-01"&amp;CHAR(10),""),IF(J279&gt;J277," * F06-03 for Age "&amp;J20&amp;" "&amp;J21&amp;" is more than F06-01"&amp;CHAR(10),""),IF(K279&gt;K277," * F06-03 for Age "&amp;J20&amp;" "&amp;K21&amp;" is more than F06-01"&amp;CHAR(10),""),IF(L279&gt;L277," * F06-03 for Age "&amp;L20&amp;" "&amp;L21&amp;" is more than F06-01"&amp;CHAR(10),""),IF(M279&gt;M277," * F06-03 for Age "&amp;L20&amp;" "&amp;M21&amp;" is more than F06-01"&amp;CHAR(10),""),IF(N279&gt;N277," * F06-03 for Age "&amp;N20&amp;" "&amp;N21&amp;" is more than F06-01"&amp;CHAR(10),""),IF(O279&gt;O277," * F06-03 for Age "&amp;N20&amp;" "&amp;O21&amp;" is more than F06-01"&amp;CHAR(10),""),IF(P279&gt;P277," * F06-03 for Age "&amp;P20&amp;" "&amp;P21&amp;" is more than F06-01"&amp;CHAR(10),""),IF(Q279&gt;Q277," * F06-03 for Age "&amp;P20&amp;" "&amp;Q21&amp;" is more than F06-01"&amp;CHAR(10),""),IF(R279&gt;R277," * F06-03 for Age "&amp;R20&amp;" "&amp;R21&amp;" is more than F06-01"&amp;CHAR(10),""),IF(S279&gt;S277," * F06-03 for Age "&amp;R20&amp;" "&amp;S21&amp;" is more than F06-01"&amp;CHAR(10),""),IF(T279&gt;T277," * F06-03 for Age "&amp;T20&amp;" "&amp;T21&amp;" is more than F06-01"&amp;CHAR(10),""),IF(U279&gt;U277," * F06-03 for Age "&amp;T20&amp;" "&amp;U21&amp;" is more than F06-01"&amp;CHAR(10),""),IF(V279&gt;V277," * F06-03 for Age "&amp;V20&amp;" "&amp;V21&amp;" is more than F06-01"&amp;CHAR(10),""),IF(W279&gt;W277," * F06-03 for Age "&amp;V20&amp;" "&amp;W21&amp;" is more than F06-01"&amp;CHAR(10),""),IF(X279&gt;X277," * F06-03 for Age "&amp;X20&amp;" "&amp;X21&amp;" is more than F06-01"&amp;CHAR(10),""),IF(Y279&gt;Y277," * F06-03 for Age "&amp;X20&amp;" "&amp;Y21&amp;" is more than F06-01"&amp;CHAR(10),""),IF(Z279&gt;Z277," * F06-03 for Age "&amp;Z20&amp;" "&amp;Z21&amp;" is more than F06-01"&amp;CHAR(10),""),IF(AA279&gt;AA277," * F06-03 for Age "&amp;Z20&amp;" "&amp;AA21&amp;" is more than F06-01"&amp;CHAR(10),""),IF(AJ279&gt;AJ277," * Total F06-03 is more than Total F06-01"&amp;CHAR(10),""))</f>
        <v/>
      </c>
      <c r="AL279" s="1088"/>
      <c r="AM279" s="31"/>
      <c r="AN279" s="1081"/>
      <c r="AO279" s="13">
        <v>198</v>
      </c>
      <c r="AP279" s="74"/>
      <c r="AQ279" s="75"/>
    </row>
    <row r="280" spans="1:43" ht="25.5" hidden="1" x14ac:dyDescent="0.75">
      <c r="A280" s="1094"/>
      <c r="B280" s="164" t="s">
        <v>684</v>
      </c>
      <c r="C280" s="580" t="s">
        <v>367</v>
      </c>
      <c r="D280" s="77"/>
      <c r="E280" s="78"/>
      <c r="F280" s="78"/>
      <c r="G280" s="78"/>
      <c r="H280" s="78"/>
      <c r="I280" s="78"/>
      <c r="J280" s="78"/>
      <c r="K280" s="207"/>
      <c r="L280" s="78"/>
      <c r="M280" s="207"/>
      <c r="N280" s="78"/>
      <c r="O280" s="207"/>
      <c r="P280" s="78"/>
      <c r="Q280" s="207"/>
      <c r="R280" s="78"/>
      <c r="S280" s="207"/>
      <c r="T280" s="78"/>
      <c r="U280" s="207"/>
      <c r="V280" s="78"/>
      <c r="W280" s="207"/>
      <c r="X280" s="78"/>
      <c r="Y280" s="207"/>
      <c r="Z280" s="78"/>
      <c r="AA280" s="355"/>
      <c r="AB280" s="389"/>
      <c r="AC280" s="357"/>
      <c r="AD280" s="357"/>
      <c r="AE280" s="357"/>
      <c r="AF280" s="357"/>
      <c r="AG280" s="357"/>
      <c r="AH280" s="357"/>
      <c r="AI280" s="314"/>
      <c r="AJ280" s="399">
        <f t="shared" si="109"/>
        <v>0</v>
      </c>
      <c r="AK280" s="116" t="str">
        <f>CONCATENATE(IF(D280&gt;D279," * New positive at ANC1 for Age "&amp;D20&amp;" "&amp;D21&amp;" is more than initial test at ANC1"&amp;CHAR(10),""),IF(E280&gt;E279," * New positive at ANC1 for Age "&amp;D20&amp;" "&amp;E21&amp;" is more than initial test at ANC1"&amp;CHAR(10),""),IF(F280&gt;F279," * New positive at ANC1 for Age "&amp;F20&amp;" "&amp;F21&amp;" is more than initial test at ANC1"&amp;CHAR(10),""),IF(G280&gt;G279," * New positive at ANC1 for Age "&amp;F20&amp;" "&amp;G21&amp;" is more than initial test at ANC1"&amp;CHAR(10),""),IF(H280&gt;H279," * New positive at ANC1 for Age "&amp;H20&amp;" "&amp;H21&amp;" is more than initial test at ANC1"&amp;CHAR(10),""),IF(I280&gt;I279," * New positive at ANC1 for Age "&amp;H20&amp;" "&amp;I21&amp;" is more than initial test at ANC1"&amp;CHAR(10),""),IF(J280&gt;J279," * New positive at ANC1 for Age "&amp;J20&amp;" "&amp;J21&amp;" is more than initial test at ANC1"&amp;CHAR(10),""),IF(K280&gt;K279," * New positive at ANC1 for Age "&amp;J20&amp;" "&amp;K21&amp;" is more than initial test at ANC1"&amp;CHAR(10),""),IF(L280&gt;L279," * New positive at ANC1 for Age "&amp;L20&amp;" "&amp;L21&amp;" is more than initial test at ANC1"&amp;CHAR(10),""),IF(M280&gt;M279," * New positive at ANC1 for Age "&amp;L20&amp;" "&amp;M21&amp;" is more than initial test at ANC1"&amp;CHAR(10),""),IF(N280&gt;N279," * New positive at ANC1 for Age "&amp;N20&amp;" "&amp;N21&amp;" is more than initial test at ANC1"&amp;CHAR(10),""),IF(O280&gt;O279," * New positive at ANC1 for Age "&amp;N20&amp;" "&amp;O21&amp;" is more than initial test at ANC1"&amp;CHAR(10),""),IF(P280&gt;P279," * New positive at ANC1 for Age "&amp;P20&amp;" "&amp;P21&amp;" is more than initial test at ANC1"&amp;CHAR(10),""),IF(Q280&gt;Q279," * New positive at ANC1 for Age "&amp;P20&amp;" "&amp;Q21&amp;" is more than initial test at ANC1"&amp;CHAR(10),""),IF(R280&gt;R279," * New positive at ANC1 for Age "&amp;R20&amp;" "&amp;R21&amp;" is more than initial test at ANC1"&amp;CHAR(10),""),IF(S280&gt;S279," * New positive at ANC1 for Age "&amp;R20&amp;" "&amp;S21&amp;" is more than initial test at ANC1"&amp;CHAR(10),""),IF(T280&gt;T279," * New positive at ANC1 for Age "&amp;T20&amp;" "&amp;T21&amp;" is more than initial test at ANC1"&amp;CHAR(10),""),IF(U280&gt;U279," * New positive at ANC1 for Age "&amp;T20&amp;" "&amp;U21&amp;" is more than initial test at ANC1"&amp;CHAR(10),""),IF(V280&gt;V279," * New positive at ANC1 for Age "&amp;V20&amp;" "&amp;V21&amp;" is more than initial test at ANC1"&amp;CHAR(10),""),IF(W280&gt;W279," * New positive at ANC1 for Age "&amp;V20&amp;" "&amp;W21&amp;" is more than initial test at ANC1"&amp;CHAR(10),""),IF(X280&gt;X279," * New positive at ANC1 for Age "&amp;X20&amp;" "&amp;X21&amp;" is more than initial test at ANC1"&amp;CHAR(10),""),IF(Y280&gt;Y279," * New positive at ANC1 for Age "&amp;X20&amp;" "&amp;Y21&amp;" is more than initial test at ANC1"&amp;CHAR(10),""),IF(Z280&gt;Z279," * New positive at ANC1 for Age "&amp;Z20&amp;" "&amp;Z21&amp;" is more than initial test at ANC1"&amp;CHAR(10),""),IF(AA280&gt;AA279," * New positive at ANC1 for Age "&amp;Z20&amp;" "&amp;AA21&amp;" is more than initial test at ANC1"&amp;CHAR(10),""),IF(AJ280&gt;AJ279," * Total New positive at ANC1 is more than Total initial test at ANC1"&amp;CHAR(10),""))</f>
        <v/>
      </c>
      <c r="AL280" s="1088"/>
      <c r="AM280" s="31"/>
      <c r="AN280" s="1081"/>
      <c r="AO280" s="13">
        <v>199</v>
      </c>
      <c r="AP280" s="74"/>
      <c r="AQ280" s="75"/>
    </row>
    <row r="281" spans="1:43" ht="25.5" hidden="1" x14ac:dyDescent="0.75">
      <c r="A281" s="1094"/>
      <c r="B281" s="210" t="s">
        <v>474</v>
      </c>
      <c r="C281" s="580" t="s">
        <v>478</v>
      </c>
      <c r="D281" s="77"/>
      <c r="E281" s="78"/>
      <c r="F281" s="78"/>
      <c r="G281" s="78"/>
      <c r="H281" s="78"/>
      <c r="I281" s="78"/>
      <c r="J281" s="78"/>
      <c r="K281" s="211">
        <f>K279+K278</f>
        <v>0</v>
      </c>
      <c r="L281" s="78"/>
      <c r="M281" s="211">
        <f>M279+M278</f>
        <v>0</v>
      </c>
      <c r="N281" s="78"/>
      <c r="O281" s="211">
        <f>O279+O278</f>
        <v>0</v>
      </c>
      <c r="P281" s="78"/>
      <c r="Q281" s="211">
        <f>Q279+Q278</f>
        <v>0</v>
      </c>
      <c r="R281" s="78"/>
      <c r="S281" s="211">
        <f>S279+S278</f>
        <v>0</v>
      </c>
      <c r="T281" s="78"/>
      <c r="U281" s="211">
        <f>U279+U278</f>
        <v>0</v>
      </c>
      <c r="V281" s="78"/>
      <c r="W281" s="211">
        <f>W279+W278</f>
        <v>0</v>
      </c>
      <c r="X281" s="78"/>
      <c r="Y281" s="211">
        <f>Y279+Y278</f>
        <v>0</v>
      </c>
      <c r="Z281" s="78"/>
      <c r="AA281" s="355"/>
      <c r="AB281" s="389"/>
      <c r="AC281" s="357"/>
      <c r="AD281" s="357"/>
      <c r="AE281" s="357"/>
      <c r="AF281" s="357"/>
      <c r="AG281" s="357"/>
      <c r="AH281" s="357"/>
      <c r="AI281" s="314"/>
      <c r="AJ281" s="399">
        <f t="shared" si="109"/>
        <v>0</v>
      </c>
      <c r="AK281" s="116"/>
      <c r="AL281" s="1088"/>
      <c r="AM281" s="31"/>
      <c r="AN281" s="1081"/>
      <c r="AO281" s="13">
        <v>200</v>
      </c>
      <c r="AP281" s="74"/>
      <c r="AQ281" s="75"/>
    </row>
    <row r="282" spans="1:43" ht="25.9" hidden="1" thickBot="1" x14ac:dyDescent="0.8">
      <c r="A282" s="1095"/>
      <c r="B282" s="212" t="s">
        <v>479</v>
      </c>
      <c r="C282" s="581" t="s">
        <v>493</v>
      </c>
      <c r="D282" s="103"/>
      <c r="E282" s="102"/>
      <c r="F282" s="102"/>
      <c r="G282" s="102"/>
      <c r="H282" s="102"/>
      <c r="I282" s="102"/>
      <c r="J282" s="102"/>
      <c r="K282" s="213">
        <f>K280+K278</f>
        <v>0</v>
      </c>
      <c r="L282" s="102"/>
      <c r="M282" s="213">
        <f>M280+M278</f>
        <v>0</v>
      </c>
      <c r="N282" s="102"/>
      <c r="O282" s="213">
        <f>O280+O278</f>
        <v>0</v>
      </c>
      <c r="P282" s="102"/>
      <c r="Q282" s="213">
        <f>Q280+Q278</f>
        <v>0</v>
      </c>
      <c r="R282" s="102"/>
      <c r="S282" s="213">
        <f>S280+S278</f>
        <v>0</v>
      </c>
      <c r="T282" s="102"/>
      <c r="U282" s="213">
        <f>U280+U278</f>
        <v>0</v>
      </c>
      <c r="V282" s="102"/>
      <c r="W282" s="213">
        <f>W280+W278</f>
        <v>0</v>
      </c>
      <c r="X282" s="102"/>
      <c r="Y282" s="213">
        <f>Y280+Y278</f>
        <v>0</v>
      </c>
      <c r="Z282" s="102"/>
      <c r="AA282" s="325"/>
      <c r="AB282" s="389"/>
      <c r="AC282" s="357"/>
      <c r="AD282" s="357"/>
      <c r="AE282" s="357"/>
      <c r="AF282" s="357"/>
      <c r="AG282" s="357"/>
      <c r="AH282" s="357"/>
      <c r="AI282" s="314"/>
      <c r="AJ282" s="400">
        <f t="shared" si="109"/>
        <v>0</v>
      </c>
      <c r="AK282" s="116"/>
      <c r="AL282" s="1088"/>
      <c r="AM282" s="31"/>
      <c r="AN282" s="1081"/>
      <c r="AO282" s="13">
        <v>201</v>
      </c>
      <c r="AP282" s="74"/>
      <c r="AQ282" s="75"/>
    </row>
    <row r="283" spans="1:43" ht="25.5" hidden="1" x14ac:dyDescent="0.75">
      <c r="A283" s="944" t="s">
        <v>1006</v>
      </c>
      <c r="B283" s="214" t="s">
        <v>685</v>
      </c>
      <c r="C283" s="579" t="s">
        <v>279</v>
      </c>
      <c r="D283" s="98"/>
      <c r="E283" s="99"/>
      <c r="F283" s="99"/>
      <c r="G283" s="99"/>
      <c r="H283" s="99"/>
      <c r="I283" s="99"/>
      <c r="J283" s="99"/>
      <c r="K283" s="94"/>
      <c r="L283" s="99"/>
      <c r="M283" s="94"/>
      <c r="N283" s="99"/>
      <c r="O283" s="94"/>
      <c r="P283" s="99"/>
      <c r="Q283" s="94"/>
      <c r="R283" s="99"/>
      <c r="S283" s="94"/>
      <c r="T283" s="99"/>
      <c r="U283" s="94"/>
      <c r="V283" s="99"/>
      <c r="W283" s="94"/>
      <c r="X283" s="99"/>
      <c r="Y283" s="94"/>
      <c r="Z283" s="99"/>
      <c r="AA283" s="324"/>
      <c r="AB283" s="389"/>
      <c r="AC283" s="357"/>
      <c r="AD283" s="357"/>
      <c r="AE283" s="357"/>
      <c r="AF283" s="357"/>
      <c r="AG283" s="357"/>
      <c r="AH283" s="357"/>
      <c r="AI283" s="314"/>
      <c r="AJ283" s="401">
        <f t="shared" si="109"/>
        <v>0</v>
      </c>
      <c r="AK283" s="1196" t="str">
        <f>CONCATENATE(IF(D284&gt;D283," * Initial positive results at ANC 2 and above for Age "&amp;D20&amp;" "&amp;D21&amp;" is more than Initial test at ANC 2 and above"&amp;CHAR(10),""),IF(E284&gt;E283," * Initial positive results at ANC 2 and above for Age "&amp;D20&amp;" "&amp;E21&amp;" is more than Initial test at ANC 2 and above"&amp;CHAR(10),""),IF(F284&gt;F283," * Initial positive results at ANC 2 and above for Age "&amp;F20&amp;" "&amp;F21&amp;" is more than Initial test at ANC 2 and above"&amp;CHAR(10),""),IF(G284&gt;G283," * Initial positive results at ANC 2 and above for Age "&amp;F20&amp;" "&amp;G21&amp;" is more than Initial test at ANC 2 and above"&amp;CHAR(10),""),IF(H284&gt;H283," * Initial positive results at ANC 2 and above for Age "&amp;H20&amp;" "&amp;H21&amp;" is more than Initial test at ANC 2 and above"&amp;CHAR(10),""),IF(I284&gt;I283," * Initial positive results at ANC 2 and above for Age "&amp;H20&amp;" "&amp;I21&amp;" is more than Initial test at ANC 2 and above"&amp;CHAR(10),""),IF(J284&gt;J283," * Initial positive results at ANC 2 and above for Age "&amp;J20&amp;" "&amp;J21&amp;" is more than Initial test at ANC 2 and above"&amp;CHAR(10),""),IF(K284&gt;K283," * Initial positive results at ANC 2 and above for Age "&amp;J20&amp;" "&amp;K21&amp;" is more than Initial test at ANC 2 and above"&amp;CHAR(10),""),IF(L284&gt;L283," * Initial positive results at ANC 2 and above for Age "&amp;L20&amp;" "&amp;L21&amp;" is more than Initial test at ANC 2 and above"&amp;CHAR(10),""),IF(M284&gt;M283," * Initial positive results at ANC 2 and above for Age "&amp;L20&amp;" "&amp;M21&amp;" is more than Initial test at ANC 2 and above"&amp;CHAR(10),""),IF(N284&gt;N283," * Initial positive results at ANC 2 and above for Age "&amp;N20&amp;" "&amp;N21&amp;" is more than Initial test at ANC 2 and above"&amp;CHAR(10),""),IF(O284&gt;O283," * Initial positive results at ANC 2 and above for Age "&amp;N20&amp;" "&amp;O21&amp;" is more than Initial test at ANC 2 and above"&amp;CHAR(10),""),IF(P284&gt;P283," * Initial positive results at ANC 2 and above for Age "&amp;P20&amp;" "&amp;P21&amp;" is more than Initial test at ANC 2 and above"&amp;CHAR(10),""),IF(Q284&gt;Q283," * Initial positive results at ANC 2 and above for Age "&amp;P20&amp;" "&amp;Q21&amp;" is more than Initial test at ANC 2 and above"&amp;CHAR(10),""),IF(R284&gt;R283," * Initial positive results at ANC 2 and above for Age "&amp;R20&amp;" "&amp;R21&amp;" is more than Initial test at ANC 2 and above"&amp;CHAR(10),""),IF(S284&gt;S283," * Initial positive results at ANC 2 and above for Age "&amp;R20&amp;" "&amp;S21&amp;" is more than Initial test at ANC 2 and above"&amp;CHAR(10),""),IF(T284&gt;T283," * Initial positive results at ANC 2 and above for Age "&amp;T20&amp;" "&amp;T21&amp;" is more than Initial test at ANC 2 and above"&amp;CHAR(10),""),IF(U284&gt;U283," * Initial positive results at ANC 2 and above for Age "&amp;T20&amp;" "&amp;U21&amp;" is more than Initial test at ANC 2 and above"&amp;CHAR(10),""),IF(V284&gt;V283," * Initial positive results at ANC 2 and above for Age "&amp;V20&amp;" "&amp;V21&amp;" is more than Initial test at ANC 2 and above"&amp;CHAR(10),""),IF(W284&gt;W283," * Initial positive results at ANC 2 and above for Age "&amp;V20&amp;" "&amp;W21&amp;" is more than Initial test at ANC 2 and above"&amp;CHAR(10),""),IF(X284&gt;X283," * Initial positive results at ANC 2 and above for Age "&amp;X20&amp;" "&amp;X21&amp;" is more than Initial test at ANC 2 and above"&amp;CHAR(10),""),IF(Y284&gt;Y283," * Initial positive results at ANC 2 and above for Age "&amp;X20&amp;" "&amp;Y21&amp;" is more than Initial test at ANC 2 and above"&amp;CHAR(10),""),IF(Z284&gt;Z283," * Initial positive results at ANC 2 and above for Age "&amp;Z20&amp;" "&amp;Z21&amp;" is more than Initial test at ANC 2 and above"&amp;CHAR(10),""),IF(AA284&gt;AA283," * Initial positive results at ANC 2 and above for Age "&amp;Z20&amp;" "&amp;AA21&amp;" is more than Initial test at ANC 2 and above"&amp;CHAR(10),""))</f>
        <v/>
      </c>
      <c r="AL283" s="1088"/>
      <c r="AM283" s="31"/>
      <c r="AN283" s="1081"/>
      <c r="AO283" s="13">
        <v>202</v>
      </c>
      <c r="AP283" s="74"/>
      <c r="AQ283" s="75"/>
    </row>
    <row r="284" spans="1:43" ht="25.5" hidden="1" x14ac:dyDescent="0.75">
      <c r="A284" s="1021"/>
      <c r="B284" s="215" t="s">
        <v>476</v>
      </c>
      <c r="C284" s="580" t="s">
        <v>280</v>
      </c>
      <c r="D284" s="77"/>
      <c r="E284" s="78"/>
      <c r="F284" s="78"/>
      <c r="G284" s="78"/>
      <c r="H284" s="78"/>
      <c r="I284" s="78"/>
      <c r="J284" s="78"/>
      <c r="K284" s="207"/>
      <c r="L284" s="208"/>
      <c r="M284" s="207"/>
      <c r="N284" s="208"/>
      <c r="O284" s="207"/>
      <c r="P284" s="208"/>
      <c r="Q284" s="207"/>
      <c r="R284" s="208"/>
      <c r="S284" s="207"/>
      <c r="T284" s="208"/>
      <c r="U284" s="207"/>
      <c r="V284" s="208"/>
      <c r="W284" s="207"/>
      <c r="X284" s="208"/>
      <c r="Y284" s="207"/>
      <c r="Z284" s="78"/>
      <c r="AA284" s="355"/>
      <c r="AB284" s="389"/>
      <c r="AC284" s="357"/>
      <c r="AD284" s="357"/>
      <c r="AE284" s="357"/>
      <c r="AF284" s="357"/>
      <c r="AG284" s="357"/>
      <c r="AH284" s="357"/>
      <c r="AI284" s="314"/>
      <c r="AJ284" s="399">
        <f t="shared" si="109"/>
        <v>0</v>
      </c>
      <c r="AK284" s="1196"/>
      <c r="AL284" s="1088"/>
      <c r="AM284" s="31"/>
      <c r="AN284" s="1081"/>
      <c r="AO284" s="13">
        <v>203</v>
      </c>
      <c r="AP284" s="74"/>
      <c r="AQ284" s="75"/>
    </row>
    <row r="285" spans="1:43" ht="31.15" hidden="1" customHeight="1" x14ac:dyDescent="0.75">
      <c r="A285" s="1021"/>
      <c r="B285" s="76" t="s">
        <v>481</v>
      </c>
      <c r="C285" s="580" t="s">
        <v>483</v>
      </c>
      <c r="D285" s="77"/>
      <c r="E285" s="78"/>
      <c r="F285" s="78"/>
      <c r="G285" s="78"/>
      <c r="H285" s="78"/>
      <c r="I285" s="78"/>
      <c r="J285" s="78"/>
      <c r="K285" s="79"/>
      <c r="L285" s="78"/>
      <c r="M285" s="79"/>
      <c r="N285" s="78"/>
      <c r="O285" s="79"/>
      <c r="P285" s="78"/>
      <c r="Q285" s="79"/>
      <c r="R285" s="78"/>
      <c r="S285" s="79"/>
      <c r="T285" s="78"/>
      <c r="U285" s="79"/>
      <c r="V285" s="78"/>
      <c r="W285" s="79"/>
      <c r="X285" s="78"/>
      <c r="Y285" s="79"/>
      <c r="Z285" s="78"/>
      <c r="AA285" s="355"/>
      <c r="AB285" s="389"/>
      <c r="AC285" s="357"/>
      <c r="AD285" s="357"/>
      <c r="AE285" s="357"/>
      <c r="AF285" s="357"/>
      <c r="AG285" s="357"/>
      <c r="AH285" s="357"/>
      <c r="AI285" s="314"/>
      <c r="AJ285" s="399">
        <f t="shared" si="109"/>
        <v>0</v>
      </c>
      <c r="AK285" s="30" t="str">
        <f>CONCATENATE(IF(D286&gt;D285," * Retesting at ANC 2 and above For age "&amp;$D$20&amp;" "&amp;$D$21&amp;" is less than  than Retesting positive result at ANC 2 and above"&amp;CHAR(10),""),IF(E286&gt;E285," * Retesting at ANC 2 and above For age "&amp;$D$20&amp;" "&amp;$E$21&amp;" is less than  than Retesting positive result at ANC 2 and above"&amp;CHAR(10),""),IF(F286&gt;F285," * Retesting at ANC 2 and above For age "&amp;$F$20&amp;" "&amp;$F$21&amp;" is less than  than Retesting positive result at ANC 2 and above"&amp;CHAR(10),""),IF(G286&gt;G285," * Retesting at ANC 2 and above For age "&amp;$F$20&amp;" "&amp;$G$21&amp;" is less than  than Retesting positive result at ANC 2 and above"&amp;CHAR(10),""),IF(H286&gt;H285," * Retesting at ANC 2 and above For age "&amp;$H$20&amp;" "&amp;$H$21&amp;" is less than  than Retesting positive result at ANC 2 and above"&amp;CHAR(10),""),IF(I286&gt;I285," * Retesting at ANC 2 and above For age "&amp;$H$20&amp;" "&amp;$I$21&amp;" is less than  than Retesting positive result at ANC 2 and above"&amp;CHAR(10),""),IF(J286&gt;J285," * Retesting at ANC 2 and above For age "&amp;$J$20&amp;" "&amp;$J$21&amp;" is less than  than Retesting positive result at ANC 2 and above"&amp;CHAR(10),""),IF(K286&gt;K285," * Retesting at ANC 2 and above For age "&amp;$J$20&amp;" "&amp;$K$21&amp;" is less than  than Retesting positive result at ANC 2 and above"&amp;CHAR(10),""),IF(L286&gt;L285," * Retesting at ANC 2 and above For age "&amp;$L$20&amp;" "&amp;$L$21&amp;" is less than  than Retesting positive result at ANC 2 and above"&amp;CHAR(10),""),IF(M286&gt;M285," * Retesting at ANC 2 and above For age "&amp;$L$20&amp;" "&amp;$M$21&amp;" is less than  than Retesting positive result at ANC 2 and above"&amp;CHAR(10),""),IF(N286&gt;N285," * Retesting at ANC 2 and above For age "&amp;$N$20&amp;" "&amp;$N$21&amp;" is less than  than Retesting positive result at ANC 2 and above"&amp;CHAR(10),""),IF(O286&gt;O285," * Retesting at ANC 2 and above For age "&amp;$N$20&amp;" "&amp;$O$21&amp;" is less than  than Retesting positive result at ANC 2 and above"&amp;CHAR(10),""),IF(P286&gt;P285," * Retesting at ANC 2 and above For age "&amp;$P$20&amp;" "&amp;$P$21&amp;" is less than  than Retesting positive result at ANC 2 and above"&amp;CHAR(10),""),IF(Q286&gt;Q285," * Retesting at ANC 2 and above For age "&amp;$P$20&amp;" "&amp;$Q$21&amp;" is less than  than Retesting positive result at ANC 2 and above"&amp;CHAR(10),""),IF(R286&gt;R285," * Retesting at ANC 2 and above For age "&amp;$R$20&amp;" "&amp;$R$21&amp;" is less than  than Retesting positive result at ANC 2 and above"&amp;CHAR(10),""),IF(S286&gt;S285," * Retesting at ANC 2 and above For age "&amp;$R$20&amp;" "&amp;$S$21&amp;" is less than  than Retesting positive result at ANC 2 and above"&amp;CHAR(10),""),IF(T286&gt;T285," * Retesting at ANC 2 and above For age "&amp;$T$20&amp;" "&amp;$T$21&amp;" is less than  than Retesting positive result at ANC 2 and above"&amp;CHAR(10),""),IF(U286&gt;U285," * Retesting at ANC 2 and above For age "&amp;$T$20&amp;" "&amp;$U$21&amp;" is less than  than Retesting positive result at ANC 2 and above"&amp;CHAR(10),""),IF(V286&gt;V285," * Retesting at ANC 2 and above For age "&amp;$V$20&amp;" "&amp;$V$21&amp;" is less than  than Retesting positive result at ANC 2 and above"&amp;CHAR(10),""),IF(W286&gt;W285," * Retesting at ANC 2 and above For age "&amp;$V$20&amp;" "&amp;$W$21&amp;" is less than  than Retesting positive result at ANC 2 and above"&amp;CHAR(10),""),IF(X286&gt;X285," * Retesting at ANC 2 and above For age "&amp;$X$20&amp;" "&amp;$X$21&amp;" is less than  than Retesting positive result at ANC 2 and above"&amp;CHAR(10),""),IF(Y286&gt;Y285," * Retesting at ANC 2 and above For age "&amp;$X$20&amp;" "&amp;$Y$21&amp;" is less than  than Retesting positive result at ANC 2 and above"&amp;CHAR(10),""),IF(Z286&gt;Z285," * Retesting at ANC 2 and above For age "&amp;$Z$20&amp;" "&amp;$Z$21&amp;" is less than  than Retesting positive result at ANC 2 and above"&amp;CHAR(10),""),IF(AA286&gt;AA285," * Retesting at ANC 2 and above For age "&amp;$Z$20&amp;" "&amp;$AA$21&amp;" is less than  than Retesting positive result at ANC 2 and above"&amp;CHAR(10),""))</f>
        <v/>
      </c>
      <c r="AL285" s="1088"/>
      <c r="AM285" s="31"/>
      <c r="AN285" s="1081"/>
      <c r="AO285" s="13">
        <v>204</v>
      </c>
      <c r="AP285" s="74"/>
      <c r="AQ285" s="75"/>
    </row>
    <row r="286" spans="1:43" ht="25.9" hidden="1" thickBot="1" x14ac:dyDescent="0.8">
      <c r="A286" s="1070"/>
      <c r="B286" s="95" t="s">
        <v>482</v>
      </c>
      <c r="C286" s="581" t="s">
        <v>484</v>
      </c>
      <c r="D286" s="103"/>
      <c r="E286" s="102"/>
      <c r="F286" s="102"/>
      <c r="G286" s="102"/>
      <c r="H286" s="102"/>
      <c r="I286" s="102"/>
      <c r="J286" s="216"/>
      <c r="K286" s="97"/>
      <c r="L286" s="216"/>
      <c r="M286" s="97"/>
      <c r="N286" s="216"/>
      <c r="O286" s="97"/>
      <c r="P286" s="216"/>
      <c r="Q286" s="97"/>
      <c r="R286" s="216"/>
      <c r="S286" s="97"/>
      <c r="T286" s="216"/>
      <c r="U286" s="97"/>
      <c r="V286" s="216"/>
      <c r="W286" s="97"/>
      <c r="X286" s="216"/>
      <c r="Y286" s="97"/>
      <c r="Z286" s="102"/>
      <c r="AA286" s="325"/>
      <c r="AB286" s="389"/>
      <c r="AC286" s="357"/>
      <c r="AD286" s="357"/>
      <c r="AE286" s="357"/>
      <c r="AF286" s="357"/>
      <c r="AG286" s="357"/>
      <c r="AH286" s="357"/>
      <c r="AI286" s="314"/>
      <c r="AJ286" s="400">
        <f t="shared" si="109"/>
        <v>0</v>
      </c>
      <c r="AK286" s="130"/>
      <c r="AL286" s="1088"/>
      <c r="AM286" s="31"/>
      <c r="AN286" s="1081"/>
      <c r="AO286" s="13">
        <v>205</v>
      </c>
      <c r="AP286" s="74"/>
      <c r="AQ286" s="75"/>
    </row>
    <row r="287" spans="1:43" ht="25.5" hidden="1" x14ac:dyDescent="0.75">
      <c r="A287" s="1054" t="s">
        <v>485</v>
      </c>
      <c r="B287" s="91" t="s">
        <v>686</v>
      </c>
      <c r="C287" s="579" t="s">
        <v>368</v>
      </c>
      <c r="D287" s="98"/>
      <c r="E287" s="99"/>
      <c r="F287" s="99"/>
      <c r="G287" s="99"/>
      <c r="H287" s="99"/>
      <c r="I287" s="99"/>
      <c r="J287" s="99"/>
      <c r="K287" s="94"/>
      <c r="L287" s="99"/>
      <c r="M287" s="94"/>
      <c r="N287" s="99"/>
      <c r="O287" s="94"/>
      <c r="P287" s="99"/>
      <c r="Q287" s="94"/>
      <c r="R287" s="99"/>
      <c r="S287" s="94"/>
      <c r="T287" s="99"/>
      <c r="U287" s="94"/>
      <c r="V287" s="99"/>
      <c r="W287" s="94"/>
      <c r="X287" s="99"/>
      <c r="Y287" s="94"/>
      <c r="Z287" s="99"/>
      <c r="AA287" s="324"/>
      <c r="AB287" s="389"/>
      <c r="AC287" s="357"/>
      <c r="AD287" s="357"/>
      <c r="AE287" s="357"/>
      <c r="AF287" s="357"/>
      <c r="AG287" s="357"/>
      <c r="AH287" s="357"/>
      <c r="AI287" s="314"/>
      <c r="AJ287" s="401">
        <f t="shared" si="109"/>
        <v>0</v>
      </c>
      <c r="AK287" s="1196" t="str">
        <f>CONCATENATE(IF(D288&gt;D287," * F06-08 for Age "&amp;D20&amp;" "&amp;D21&amp;" is more than F06-07"&amp;CHAR(10),""),IF(E288&gt;E287," * F06-08 for Age "&amp;D20&amp;" "&amp;E21&amp;" is more than F06-07"&amp;CHAR(10),""),IF(F288&gt;F287," * F06-08 for Age "&amp;F20&amp;" "&amp;F21&amp;" is more than F06-07"&amp;CHAR(10),""),IF(G288&gt;G287," * F06-08 for Age "&amp;F20&amp;" "&amp;G21&amp;" is more than F06-07"&amp;CHAR(10),""),IF(H288&gt;H287," * F06-08 for Age "&amp;H20&amp;" "&amp;H21&amp;" is more than F06-07"&amp;CHAR(10),""),IF(I288&gt;I287," * F06-08 for Age "&amp;H20&amp;" "&amp;I21&amp;" is more than F06-07"&amp;CHAR(10),""),IF(J288&gt;J287," * F06-08 for Age "&amp;J20&amp;" "&amp;J21&amp;" is more than F06-07"&amp;CHAR(10),""),IF(K288&gt;K287," * F06-08 for Age "&amp;J20&amp;" "&amp;K21&amp;" is more than F06-07"&amp;CHAR(10),""),IF(L288&gt;L287," * F06-08 for Age "&amp;L20&amp;" "&amp;L21&amp;" is more than F06-07"&amp;CHAR(10),""),IF(M288&gt;M287," * F06-08 for Age "&amp;L20&amp;" "&amp;M21&amp;" is more than F06-07"&amp;CHAR(10),""),IF(N288&gt;N287," * F06-08 for Age "&amp;N20&amp;" "&amp;N21&amp;" is more than F06-07"&amp;CHAR(10),""),IF(O288&gt;O287," * F06-08 for Age "&amp;N20&amp;" "&amp;O21&amp;" is more than F06-07"&amp;CHAR(10),""),IF(P288&gt;P287," * F06-08 for Age "&amp;P20&amp;" "&amp;P21&amp;" is more than F06-07"&amp;CHAR(10),""),IF(Q288&gt;Q287," * F06-08 for Age "&amp;P20&amp;" "&amp;Q21&amp;" is more than F06-07"&amp;CHAR(10),""),IF(R288&gt;R287," * F06-08 for Age "&amp;R20&amp;" "&amp;R21&amp;" is more than F06-07"&amp;CHAR(10),""),IF(S288&gt;S287," * F06-08 for Age "&amp;R20&amp;" "&amp;S21&amp;" is more than F06-07"&amp;CHAR(10),""),IF(T288&gt;T287," * F06-08 for Age "&amp;T20&amp;" "&amp;T21&amp;" is more than F06-07"&amp;CHAR(10),""),IF(U288&gt;U287," * F06-08 for Age "&amp;T20&amp;" "&amp;U21&amp;" is more than F06-07"&amp;CHAR(10),""),IF(V288&gt;V287," * F06-08 for Age "&amp;V20&amp;" "&amp;V21&amp;" is more than F06-07"&amp;CHAR(10),""),IF(W288&gt;W287," * F06-08 for Age "&amp;V20&amp;" "&amp;W21&amp;" is more than F06-07"&amp;CHAR(10),""),IF(X288&gt;X287," * F06-08 for Age "&amp;X20&amp;" "&amp;X21&amp;" is more than F06-07"&amp;CHAR(10),""),IF(Y288&gt;Y287," * F06-08 for Age "&amp;X20&amp;" "&amp;Y21&amp;" is more than F06-07"&amp;CHAR(10),""),IF(Z288&gt;Z287," * F06-08 for Age "&amp;Z20&amp;" "&amp;Z21&amp;" is more than F06-07"&amp;CHAR(10),""),IF(AA288&gt;AA287," * F06-08 for Age "&amp;Z20&amp;" "&amp;AA21&amp;" is more than F06-07"&amp;CHAR(10),""),IF(AJ288&gt;AJ287," * Total F06-08 is more than Total F06-07"&amp;CHAR(10),""))</f>
        <v/>
      </c>
      <c r="AL287" s="1088"/>
      <c r="AM287" s="31"/>
      <c r="AN287" s="1081"/>
      <c r="AO287" s="13">
        <v>206</v>
      </c>
      <c r="AP287" s="74"/>
      <c r="AQ287" s="75"/>
    </row>
    <row r="288" spans="1:43" ht="25.5" hidden="1" x14ac:dyDescent="0.75">
      <c r="A288" s="1055"/>
      <c r="B288" s="215" t="s">
        <v>687</v>
      </c>
      <c r="C288" s="580" t="s">
        <v>369</v>
      </c>
      <c r="D288" s="77"/>
      <c r="E288" s="78"/>
      <c r="F288" s="78"/>
      <c r="G288" s="78"/>
      <c r="H288" s="78"/>
      <c r="I288" s="78"/>
      <c r="J288" s="78"/>
      <c r="K288" s="207"/>
      <c r="L288" s="208"/>
      <c r="M288" s="207"/>
      <c r="N288" s="208"/>
      <c r="O288" s="207"/>
      <c r="P288" s="208"/>
      <c r="Q288" s="207"/>
      <c r="R288" s="208"/>
      <c r="S288" s="207"/>
      <c r="T288" s="208"/>
      <c r="U288" s="207"/>
      <c r="V288" s="208"/>
      <c r="W288" s="207"/>
      <c r="X288" s="208"/>
      <c r="Y288" s="207"/>
      <c r="Z288" s="208"/>
      <c r="AA288" s="355"/>
      <c r="AB288" s="389"/>
      <c r="AC288" s="357"/>
      <c r="AD288" s="357"/>
      <c r="AE288" s="357"/>
      <c r="AF288" s="357"/>
      <c r="AG288" s="357"/>
      <c r="AH288" s="357"/>
      <c r="AI288" s="314"/>
      <c r="AJ288" s="399">
        <f t="shared" si="109"/>
        <v>0</v>
      </c>
      <c r="AK288" s="1196"/>
      <c r="AL288" s="1088"/>
      <c r="AM288" s="31"/>
      <c r="AN288" s="1081"/>
      <c r="AO288" s="13">
        <v>207</v>
      </c>
      <c r="AP288" s="74"/>
      <c r="AQ288" s="75"/>
    </row>
    <row r="289" spans="1:43" ht="25.5" hidden="1" x14ac:dyDescent="0.75">
      <c r="A289" s="1055"/>
      <c r="B289" s="76" t="s">
        <v>688</v>
      </c>
      <c r="C289" s="580" t="s">
        <v>639</v>
      </c>
      <c r="D289" s="77"/>
      <c r="E289" s="78"/>
      <c r="F289" s="78"/>
      <c r="G289" s="78"/>
      <c r="H289" s="78"/>
      <c r="I289" s="78"/>
      <c r="J289" s="78"/>
      <c r="K289" s="79"/>
      <c r="L289" s="78"/>
      <c r="M289" s="79"/>
      <c r="N289" s="78"/>
      <c r="O289" s="79"/>
      <c r="P289" s="78"/>
      <c r="Q289" s="79"/>
      <c r="R289" s="78"/>
      <c r="S289" s="79"/>
      <c r="T289" s="78"/>
      <c r="U289" s="79"/>
      <c r="V289" s="78"/>
      <c r="W289" s="79"/>
      <c r="X289" s="78"/>
      <c r="Y289" s="79"/>
      <c r="Z289" s="78"/>
      <c r="AA289" s="355"/>
      <c r="AB289" s="389"/>
      <c r="AC289" s="357"/>
      <c r="AD289" s="357"/>
      <c r="AE289" s="357"/>
      <c r="AF289" s="357"/>
      <c r="AG289" s="357"/>
      <c r="AH289" s="357"/>
      <c r="AI289" s="314"/>
      <c r="AJ289" s="399">
        <f t="shared" si="109"/>
        <v>0</v>
      </c>
      <c r="AK289" s="30" t="str">
        <f>CONCATENATE(IF(D290&gt;D289," * Retesting at L&amp;D For age "&amp;$D$20&amp;" "&amp;$D$21&amp;" is less than  than Retesting positive result at L&amp;D"&amp;CHAR(10),""),IF(E290&gt;E289," * Retesting at L&amp;D For age "&amp;$D$20&amp;" "&amp;$E$21&amp;" is less than  than Retesting positive result at L&amp;D"&amp;CHAR(10),""),IF(F290&gt;F289," * Retesting at L&amp;D For age "&amp;$F$20&amp;" "&amp;$F$21&amp;" is less than  than Retesting positive result at L&amp;D"&amp;CHAR(10),""),IF(G290&gt;G289," * Retesting at L&amp;D For age "&amp;$F$20&amp;" "&amp;$G$21&amp;" is less than  than Retesting positive result at L&amp;D"&amp;CHAR(10),""),IF(H290&gt;H289," * Retesting at L&amp;D For age "&amp;$H$20&amp;" "&amp;$H$21&amp;" is less than  than Retesting positive result at L&amp;D"&amp;CHAR(10),""),IF(I290&gt;I289," * Retesting at L&amp;D For age "&amp;$H$20&amp;" "&amp;$I$21&amp;" is less than  than Retesting positive result at L&amp;D"&amp;CHAR(10),""),IF(J290&gt;J289," * Retesting at L&amp;D For age "&amp;$J$20&amp;" "&amp;$J$21&amp;" is less than  than Retesting positive result at L&amp;D"&amp;CHAR(10),""),IF(K290&gt;K289," * Retesting at L&amp;D For age "&amp;$J$20&amp;" "&amp;$K$21&amp;" is less than  than Retesting positive result at L&amp;D"&amp;CHAR(10),""),IF(L290&gt;L289," * Retesting at L&amp;D For age "&amp;$L$20&amp;" "&amp;$L$21&amp;" is less than  than Retesting positive result at L&amp;D"&amp;CHAR(10),""),IF(M290&gt;M289," * Retesting at L&amp;D For age "&amp;$L$20&amp;" "&amp;$M$21&amp;" is less than  than Retesting positive result at L&amp;D"&amp;CHAR(10),""),IF(N290&gt;N289," * Retesting at L&amp;D For age "&amp;$N$20&amp;" "&amp;$N$21&amp;" is less than  than Retesting positive result at L&amp;D"&amp;CHAR(10),""),IF(O290&gt;O289," * Retesting at L&amp;D For age "&amp;$N$20&amp;" "&amp;$O$21&amp;" is less than  than Retesting positive result at L&amp;D"&amp;CHAR(10),""),IF(P290&gt;P289," * Retesting at L&amp;D For age "&amp;$P$20&amp;" "&amp;$P$21&amp;" is less than  than Retesting positive result at L&amp;D"&amp;CHAR(10),""),IF(Q290&gt;Q289," * Retesting at L&amp;D For age "&amp;$P$20&amp;" "&amp;$Q$21&amp;" is less than  than Retesting positive result at L&amp;D"&amp;CHAR(10),""),IF(R290&gt;R289," * Retesting at L&amp;D For age "&amp;$R$20&amp;" "&amp;$R$21&amp;" is less than  than Retesting positive result at L&amp;D"&amp;CHAR(10),""),IF(S290&gt;S289," * Retesting at L&amp;D For age "&amp;$R$20&amp;" "&amp;$S$21&amp;" is less than  than Retesting positive result at L&amp;D"&amp;CHAR(10),""),IF(T290&gt;T289," * Retesting at L&amp;D For age "&amp;$T$20&amp;" "&amp;$T$21&amp;" is less than  than Retesting positive result at L&amp;D"&amp;CHAR(10),""),IF(U290&gt;U289," * Retesting at L&amp;D For age "&amp;$T$20&amp;" "&amp;$U$21&amp;" is less than  than Retesting positive result at L&amp;D"&amp;CHAR(10),""),IF(V290&gt;V289," * Retesting at L&amp;D For age "&amp;$V$20&amp;" "&amp;$V$21&amp;" is less than  than Retesting positive result at L&amp;D"&amp;CHAR(10),""),IF(W290&gt;W289," * Retesting at L&amp;D For age "&amp;$V$20&amp;" "&amp;$W$21&amp;" is less than  than Retesting positive result at L&amp;D"&amp;CHAR(10),""),IF(X290&gt;X289," * Retesting at L&amp;D For age "&amp;$X$20&amp;" "&amp;$X$21&amp;" is less than  than Retesting positive result at L&amp;D"&amp;CHAR(10),""),IF(Y290&gt;Y289," * Retesting at L&amp;D For age "&amp;$X$20&amp;" "&amp;$Y$21&amp;" is less than  than Retesting positive result at L&amp;D"&amp;CHAR(10),""),IF(Z290&gt;Z289," * Retesting at L&amp;D For age "&amp;$Z$20&amp;" "&amp;$Z$21&amp;" is less than  than Retesting positive result at L&amp;D"&amp;CHAR(10),""),IF(AA290&gt;AA289," * Retesting at L&amp;D For age "&amp;$Z$20&amp;" "&amp;$AA$21&amp;" is less than  than Retesting positive result at L&amp;D"&amp;CHAR(10),""))</f>
        <v/>
      </c>
      <c r="AL289" s="1088"/>
      <c r="AM289" s="31"/>
      <c r="AN289" s="1081"/>
      <c r="AO289" s="13">
        <v>208</v>
      </c>
      <c r="AP289" s="74"/>
      <c r="AQ289" s="75"/>
    </row>
    <row r="290" spans="1:43" ht="25.9" hidden="1" thickBot="1" x14ac:dyDescent="0.8">
      <c r="A290" s="1071"/>
      <c r="B290" s="95" t="s">
        <v>689</v>
      </c>
      <c r="C290" s="581" t="s">
        <v>640</v>
      </c>
      <c r="D290" s="103"/>
      <c r="E290" s="102"/>
      <c r="F290" s="102"/>
      <c r="G290" s="102"/>
      <c r="H290" s="102"/>
      <c r="I290" s="102"/>
      <c r="J290" s="102"/>
      <c r="K290" s="97"/>
      <c r="L290" s="216"/>
      <c r="M290" s="97"/>
      <c r="N290" s="216"/>
      <c r="O290" s="97"/>
      <c r="P290" s="216"/>
      <c r="Q290" s="97"/>
      <c r="R290" s="216"/>
      <c r="S290" s="97"/>
      <c r="T290" s="216"/>
      <c r="U290" s="97"/>
      <c r="V290" s="216"/>
      <c r="W290" s="97"/>
      <c r="X290" s="216"/>
      <c r="Y290" s="97"/>
      <c r="Z290" s="216"/>
      <c r="AA290" s="325"/>
      <c r="AB290" s="389"/>
      <c r="AC290" s="357"/>
      <c r="AD290" s="357"/>
      <c r="AE290" s="357"/>
      <c r="AF290" s="357"/>
      <c r="AG290" s="357"/>
      <c r="AH290" s="357"/>
      <c r="AI290" s="314"/>
      <c r="AJ290" s="399">
        <f t="shared" si="109"/>
        <v>0</v>
      </c>
      <c r="AK290" s="116"/>
      <c r="AL290" s="1088"/>
      <c r="AM290" s="31"/>
      <c r="AN290" s="1081"/>
      <c r="AO290" s="13">
        <v>209</v>
      </c>
      <c r="AP290" s="74"/>
      <c r="AQ290" s="75"/>
    </row>
    <row r="291" spans="1:43" ht="25.5" hidden="1" x14ac:dyDescent="0.75">
      <c r="A291" s="1107" t="s">
        <v>488</v>
      </c>
      <c r="B291" s="91" t="s">
        <v>690</v>
      </c>
      <c r="C291" s="579" t="s">
        <v>281</v>
      </c>
      <c r="D291" s="98"/>
      <c r="E291" s="99"/>
      <c r="F291" s="99"/>
      <c r="G291" s="99"/>
      <c r="H291" s="99"/>
      <c r="I291" s="99"/>
      <c r="J291" s="99"/>
      <c r="K291" s="94"/>
      <c r="L291" s="99"/>
      <c r="M291" s="94"/>
      <c r="N291" s="99"/>
      <c r="O291" s="94"/>
      <c r="P291" s="99"/>
      <c r="Q291" s="94"/>
      <c r="R291" s="99"/>
      <c r="S291" s="94"/>
      <c r="T291" s="99"/>
      <c r="U291" s="94"/>
      <c r="V291" s="99"/>
      <c r="W291" s="94"/>
      <c r="X291" s="99"/>
      <c r="Y291" s="94"/>
      <c r="Z291" s="99"/>
      <c r="AA291" s="324"/>
      <c r="AB291" s="389"/>
      <c r="AC291" s="357"/>
      <c r="AD291" s="357"/>
      <c r="AE291" s="357"/>
      <c r="AF291" s="357"/>
      <c r="AG291" s="357"/>
      <c r="AH291" s="357"/>
      <c r="AI291" s="314"/>
      <c r="AJ291" s="401">
        <f t="shared" si="109"/>
        <v>0</v>
      </c>
      <c r="AK291" s="1196" t="str">
        <f>CONCATENATE(IF(D292&gt;D291," * Positive at PNC &lt;=6wks for Age "&amp;D20&amp;" "&amp;D21&amp;" is more than Initial test at PNC &lt;= 6wks"&amp;CHAR(10),""),IF(E292&gt;E291," * Positive at PNC &lt;=6wks for Age "&amp;D20&amp;" "&amp;E21&amp;" is more than Initial test at PNC &lt;= 6wks"&amp;CHAR(10),""),IF(F292&gt;F291," * Positive at PNC &lt;=6wks for Age "&amp;F20&amp;" "&amp;F21&amp;" is more than Initial test at PNC &lt;= 6wks"&amp;CHAR(10),""),IF(G292&gt;G291," * Positive at PNC &lt;=6wks for Age "&amp;F20&amp;" "&amp;G21&amp;" is more than Initial test at PNC &lt;= 6wks"&amp;CHAR(10),""),IF(H292&gt;H291," * Positive at PNC &lt;=6wks for Age "&amp;H20&amp;" "&amp;H21&amp;" is more than Initial test at PNC &lt;= 6wks"&amp;CHAR(10),""),IF(I292&gt;I291," * Positive at PNC &lt;=6wks for Age "&amp;H20&amp;" "&amp;I21&amp;" is more than Initial test at PNC &lt;= 6wks"&amp;CHAR(10),""),IF(J292&gt;J291," * Positive at PNC &lt;=6wks for Age "&amp;J20&amp;" "&amp;J21&amp;" is more than Initial test at PNC &lt;= 6wks"&amp;CHAR(10),""),IF(K292&gt;K291," * Positive at PNC &lt;=6wks for Age "&amp;J20&amp;" "&amp;K21&amp;" is more than Initial test at PNC &lt;= 6wks"&amp;CHAR(10),""),IF(L292&gt;L291," * Positive at PNC &lt;=6wks for Age "&amp;L20&amp;" "&amp;L21&amp;" is more than Initial test at PNC &lt;= 6wks"&amp;CHAR(10),""),IF(M292&gt;M291," * Positive at PNC &lt;=6wks for Age "&amp;L20&amp;" "&amp;M21&amp;" is more than Initial test at PNC &lt;= 6wks"&amp;CHAR(10),""),IF(N292&gt;N291," * Positive at PNC &lt;=6wks for Age "&amp;N20&amp;" "&amp;N21&amp;" is more than Initial test at PNC &lt;= 6wks"&amp;CHAR(10),""),IF(O292&gt;O291," * Positive at PNC &lt;=6wks for Age "&amp;N20&amp;" "&amp;O21&amp;" is more than Initial test at PNC &lt;= 6wks"&amp;CHAR(10),""),IF(P292&gt;P291," * Positive at PNC &lt;=6wks for Age "&amp;P20&amp;" "&amp;P21&amp;" is more than Initial test at PNC &lt;= 6wks"&amp;CHAR(10),""),IF(Q292&gt;Q291," * Positive at PNC &lt;=6wks for Age "&amp;P20&amp;" "&amp;Q21&amp;" is more than Initial test at PNC &lt;= 6wks"&amp;CHAR(10),""),IF(R292&gt;R291," * Positive at PNC &lt;=6wks for Age "&amp;R20&amp;" "&amp;R21&amp;" is more than Initial test at PNC &lt;= 6wks"&amp;CHAR(10),""),IF(S292&gt;S291," * Positive at PNC &lt;=6wks for Age "&amp;R20&amp;" "&amp;S21&amp;" is more than Initial test at PNC &lt;= 6wks"&amp;CHAR(10),""),IF(T292&gt;T291," * Positive at PNC &lt;=6wks for Age "&amp;T20&amp;" "&amp;T21&amp;" is more than Initial test at PNC &lt;= 6wks"&amp;CHAR(10),""),IF(U292&gt;U291," * Positive at PNC &lt;=6wks for Age "&amp;T20&amp;" "&amp;U21&amp;" is more than Initial test at PNC &lt;= 6wks"&amp;CHAR(10),""),IF(V292&gt;V291," * Positive at PNC &lt;=6wks for Age "&amp;V20&amp;" "&amp;V21&amp;" is more than Initial test at PNC &lt;= 6wks"&amp;CHAR(10),""),IF(W292&gt;W291," * Positive at PNC &lt;=6wks for Age "&amp;V20&amp;" "&amp;W21&amp;" is more than Initial test at PNC &lt;= 6wks"&amp;CHAR(10),""),IF(X292&gt;X291," * Positive at PNC &lt;=6wks for Age "&amp;X20&amp;" "&amp;X21&amp;" is more than Initial test at PNC &lt;= 6wks"&amp;CHAR(10),""),IF(Y292&gt;Y291," * Positive at PNC &lt;=6wks for Age "&amp;X20&amp;" "&amp;Y21&amp;" is more than Initial test at PNC &lt;= 6wks"&amp;CHAR(10),""),IF(Z292&gt;Z291," * Positive at PNC &lt;=6wks for Age "&amp;Z20&amp;" "&amp;Z21&amp;" is more than Initial test at PNC &lt;= 6wks"&amp;CHAR(10),""),IF(AA292&gt;AA291," * Positive at PNC &lt;=6wks for Age "&amp;Z20&amp;" "&amp;AA21&amp;" is more than Initial test at PNC &lt;= 6wks"&amp;CHAR(10),""))</f>
        <v/>
      </c>
      <c r="AL291" s="1088"/>
      <c r="AM291" s="31"/>
      <c r="AN291" s="1081"/>
      <c r="AO291" s="13">
        <v>210</v>
      </c>
      <c r="AP291" s="74"/>
      <c r="AQ291" s="75"/>
    </row>
    <row r="292" spans="1:43" ht="25.5" hidden="1" x14ac:dyDescent="0.75">
      <c r="A292" s="1108"/>
      <c r="B292" s="215" t="s">
        <v>691</v>
      </c>
      <c r="C292" s="580" t="s">
        <v>283</v>
      </c>
      <c r="D292" s="217"/>
      <c r="E292" s="218"/>
      <c r="F292" s="218"/>
      <c r="G292" s="218"/>
      <c r="H292" s="218"/>
      <c r="I292" s="218"/>
      <c r="J292" s="208"/>
      <c r="K292" s="207"/>
      <c r="L292" s="208"/>
      <c r="M292" s="207"/>
      <c r="N292" s="208"/>
      <c r="O292" s="207"/>
      <c r="P292" s="208"/>
      <c r="Q292" s="207"/>
      <c r="R292" s="208"/>
      <c r="S292" s="207"/>
      <c r="T292" s="208"/>
      <c r="U292" s="207"/>
      <c r="V292" s="208"/>
      <c r="W292" s="207"/>
      <c r="X292" s="208"/>
      <c r="Y292" s="207"/>
      <c r="Z292" s="208"/>
      <c r="AA292" s="355"/>
      <c r="AB292" s="389"/>
      <c r="AC292" s="357"/>
      <c r="AD292" s="357"/>
      <c r="AE292" s="357"/>
      <c r="AF292" s="357"/>
      <c r="AG292" s="357"/>
      <c r="AH292" s="357"/>
      <c r="AI292" s="314"/>
      <c r="AJ292" s="399">
        <f t="shared" si="109"/>
        <v>0</v>
      </c>
      <c r="AK292" s="1196"/>
      <c r="AL292" s="1088"/>
      <c r="AM292" s="31"/>
      <c r="AN292" s="1081"/>
      <c r="AO292" s="13">
        <v>211</v>
      </c>
      <c r="AP292" s="74"/>
      <c r="AQ292" s="75"/>
    </row>
    <row r="293" spans="1:43" s="61" customFormat="1" ht="25.5" hidden="1" x14ac:dyDescent="0.75">
      <c r="A293" s="1108"/>
      <c r="B293" s="76" t="s">
        <v>486</v>
      </c>
      <c r="C293" s="580" t="s">
        <v>489</v>
      </c>
      <c r="D293" s="77"/>
      <c r="E293" s="78"/>
      <c r="F293" s="78"/>
      <c r="G293" s="78"/>
      <c r="H293" s="78"/>
      <c r="I293" s="78"/>
      <c r="J293" s="78"/>
      <c r="K293" s="79"/>
      <c r="L293" s="78"/>
      <c r="M293" s="79"/>
      <c r="N293" s="78"/>
      <c r="O293" s="79"/>
      <c r="P293" s="78"/>
      <c r="Q293" s="79"/>
      <c r="R293" s="78"/>
      <c r="S293" s="79"/>
      <c r="T293" s="78"/>
      <c r="U293" s="79"/>
      <c r="V293" s="78"/>
      <c r="W293" s="79"/>
      <c r="X293" s="78"/>
      <c r="Y293" s="79"/>
      <c r="Z293" s="78"/>
      <c r="AA293" s="355"/>
      <c r="AB293" s="389"/>
      <c r="AC293" s="357"/>
      <c r="AD293" s="357"/>
      <c r="AE293" s="357"/>
      <c r="AF293" s="357"/>
      <c r="AG293" s="357"/>
      <c r="AH293" s="357"/>
      <c r="AI293" s="314"/>
      <c r="AJ293" s="399">
        <f t="shared" si="109"/>
        <v>0</v>
      </c>
      <c r="AK293" s="30" t="str">
        <f>CONCATENATE(IF(D294&gt;D293," * Retesting at PNC &lt; = 6 weeks For age "&amp;$D$20&amp;" "&amp;$D$21&amp;" is less than  than Retesting positive result at PNC &lt; = 6 weeks"&amp;CHAR(10),""),IF(E294&gt;E293," * Retesting at PNC &lt; = 6 weeks For age "&amp;$D$20&amp;" "&amp;$E$21&amp;" is less than  than Retesting positive result at PNC &lt; = 6 weeks"&amp;CHAR(10),""),IF(F294&gt;F293," * Retesting at PNC &lt; = 6 weeks For age "&amp;$F$20&amp;" "&amp;$F$21&amp;" is less than  than Retesting positive result at PNC &lt; = 6 weeks"&amp;CHAR(10),""),IF(G294&gt;G293," * Retesting at PNC &lt; = 6 weeks For age "&amp;$F$20&amp;" "&amp;$G$21&amp;" is less than  than Retesting positive result at PNC &lt; = 6 weeks"&amp;CHAR(10),""),IF(H294&gt;H293," * Retesting at PNC &lt; = 6 weeks For age "&amp;$H$20&amp;" "&amp;$H$21&amp;" is less than  than Retesting positive result at PNC &lt; = 6 weeks"&amp;CHAR(10),""),IF(I294&gt;I293," * Retesting at PNC &lt; = 6 weeks For age "&amp;$H$20&amp;" "&amp;$I$21&amp;" is less than  than Retesting positive result at PNC &lt; = 6 weeks"&amp;CHAR(10),""),IF(J294&gt;J293," * Retesting at PNC &lt; = 6 weeks For age "&amp;$J$20&amp;" "&amp;$J$21&amp;" is less than  than Retesting positive result at PNC &lt; = 6 weeks"&amp;CHAR(10),""),IF(K294&gt;K293," * Retesting at PNC &lt; = 6 weeks For age "&amp;$J$20&amp;" "&amp;$K$21&amp;" is less than  than Retesting positive result at PNC &lt; = 6 weeks"&amp;CHAR(10),""),IF(L294&gt;L293," * Retesting at PNC &lt; = 6 weeks For age "&amp;$L$20&amp;" "&amp;$L$21&amp;" is less than  than Retesting positive result at PNC &lt; = 6 weeks"&amp;CHAR(10),""),IF(M294&gt;M293," * Retesting at PNC &lt; = 6 weeks For age "&amp;$L$20&amp;" "&amp;$M$21&amp;" is less than  than Retesting positive result at PNC &lt; = 6 weeks"&amp;CHAR(10),""),IF(N294&gt;N293," * Retesting at PNC &lt; = 6 weeks For age "&amp;$N$20&amp;" "&amp;$N$21&amp;" is less than  than Retesting positive result at PNC &lt; = 6 weeks"&amp;CHAR(10),""),IF(O294&gt;O293," * Retesting at PNC &lt; = 6 weeks For age "&amp;$N$20&amp;" "&amp;$O$21&amp;" is less than  than Retesting positive result at PNC &lt; = 6 weeks"&amp;CHAR(10),""),IF(P294&gt;P293," * Retesting at PNC &lt; = 6 weeks For age "&amp;$P$20&amp;" "&amp;$P$21&amp;" is less than  than Retesting positive result at PNC &lt; = 6 weeks"&amp;CHAR(10),""),IF(Q294&gt;Q293," * Retesting at PNC &lt; = 6 weeks For age "&amp;$P$20&amp;" "&amp;$Q$21&amp;" is less than  than Retesting positive result at PNC &lt; = 6 weeks"&amp;CHAR(10),""),IF(R294&gt;R293," * Retesting at PNC &lt; = 6 weeks For age "&amp;$R$20&amp;" "&amp;$R$21&amp;" is less than  than Retesting positive result at PNC &lt; = 6 weeks"&amp;CHAR(10),""),IF(S294&gt;S293," * Retesting at PNC &lt; = 6 weeks For age "&amp;$R$20&amp;" "&amp;$S$21&amp;" is less than  than Retesting positive result at PNC &lt; = 6 weeks"&amp;CHAR(10),""),IF(T294&gt;T293," * Retesting at PNC &lt; = 6 weeks For age "&amp;$T$20&amp;" "&amp;$T$21&amp;" is less than  than Retesting positive result at PNC &lt; = 6 weeks"&amp;CHAR(10),""),IF(U294&gt;U293," * Retesting at PNC &lt; = 6 weeks For age "&amp;$T$20&amp;" "&amp;$U$21&amp;" is less than  than Retesting positive result at PNC &lt; = 6 weeks"&amp;CHAR(10),""),IF(V294&gt;V293," * Retesting at PNC &lt; = 6 weeks For age "&amp;$V$20&amp;" "&amp;$V$21&amp;" is less than  than Retesting positive result at PNC &lt; = 6 weeks"&amp;CHAR(10),""),IF(W294&gt;W293," * Retesting at PNC &lt; = 6 weeks For age "&amp;$V$20&amp;" "&amp;$W$21&amp;" is less than  than Retesting positive result at PNC &lt; = 6 weeks"&amp;CHAR(10),""),IF(X294&gt;X293," * Retesting at PNC &lt; = 6 weeks For age "&amp;$X$20&amp;" "&amp;$X$21&amp;" is less than  than Retesting positive result at PNC &lt; = 6 weeks"&amp;CHAR(10),""),IF(Y294&gt;Y293," * Retesting at PNC &lt; = 6 weeks For age "&amp;$X$20&amp;" "&amp;$Y$21&amp;" is less than  than Retesting positive result at PNC &lt; = 6 weeks"&amp;CHAR(10),""),IF(Z294&gt;Z293," * Retesting at PNC &lt; = 6 weeks For age "&amp;$Z$20&amp;" "&amp;$Z$21&amp;" is less than  than Retesting positive result at PNC &lt; = 6 weeks"&amp;CHAR(10),""),IF(AA294&gt;AA293," * Retesting at PNC &lt; = 6 weeks For age "&amp;$Z$20&amp;" "&amp;$AA$21&amp;" is less than  than Retesting positive result at PNC &lt; = 6 weeks"&amp;CHAR(10),""))</f>
        <v/>
      </c>
      <c r="AL293" s="1088"/>
      <c r="AM293" s="60"/>
      <c r="AN293" s="1081"/>
      <c r="AO293" s="13">
        <v>212</v>
      </c>
      <c r="AP293" s="80"/>
      <c r="AQ293" s="75"/>
    </row>
    <row r="294" spans="1:43" ht="25.9" hidden="1" thickBot="1" x14ac:dyDescent="0.8">
      <c r="A294" s="1108"/>
      <c r="B294" s="635" t="s">
        <v>487</v>
      </c>
      <c r="C294" s="609" t="s">
        <v>490</v>
      </c>
      <c r="D294" s="133"/>
      <c r="E294" s="120"/>
      <c r="F294" s="120"/>
      <c r="G294" s="120"/>
      <c r="H294" s="669"/>
      <c r="I294" s="669"/>
      <c r="J294" s="669"/>
      <c r="K294" s="641"/>
      <c r="L294" s="669"/>
      <c r="M294" s="641"/>
      <c r="N294" s="669"/>
      <c r="O294" s="641"/>
      <c r="P294" s="669"/>
      <c r="Q294" s="641"/>
      <c r="R294" s="669"/>
      <c r="S294" s="641"/>
      <c r="T294" s="669"/>
      <c r="U294" s="641"/>
      <c r="V294" s="669"/>
      <c r="W294" s="641"/>
      <c r="X294" s="669"/>
      <c r="Y294" s="641"/>
      <c r="Z294" s="669"/>
      <c r="AA294" s="335"/>
      <c r="AB294" s="389"/>
      <c r="AC294" s="357"/>
      <c r="AD294" s="357"/>
      <c r="AE294" s="357"/>
      <c r="AF294" s="357"/>
      <c r="AG294" s="357"/>
      <c r="AH294" s="357"/>
      <c r="AI294" s="314"/>
      <c r="AJ294" s="399">
        <f t="shared" si="109"/>
        <v>0</v>
      </c>
      <c r="AK294" s="116"/>
      <c r="AL294" s="1088"/>
      <c r="AM294" s="31"/>
      <c r="AN294" s="1081"/>
      <c r="AO294" s="13">
        <v>213</v>
      </c>
      <c r="AP294" s="74"/>
      <c r="AQ294" s="75"/>
    </row>
    <row r="295" spans="1:43" ht="25.5" hidden="1" x14ac:dyDescent="0.75">
      <c r="A295" s="1109"/>
      <c r="B295" s="1" t="s">
        <v>1260</v>
      </c>
      <c r="C295" s="608" t="s">
        <v>491</v>
      </c>
      <c r="D295" s="98"/>
      <c r="E295" s="99"/>
      <c r="F295" s="99"/>
      <c r="G295" s="99"/>
      <c r="H295" s="99"/>
      <c r="I295" s="99"/>
      <c r="J295" s="99"/>
      <c r="K295" s="94"/>
      <c r="L295" s="99"/>
      <c r="M295" s="94"/>
      <c r="N295" s="99"/>
      <c r="O295" s="94"/>
      <c r="P295" s="99"/>
      <c r="Q295" s="94"/>
      <c r="R295" s="99"/>
      <c r="S295" s="94"/>
      <c r="T295" s="99"/>
      <c r="U295" s="94"/>
      <c r="V295" s="99"/>
      <c r="W295" s="94"/>
      <c r="X295" s="99"/>
      <c r="Y295" s="94"/>
      <c r="Z295" s="99"/>
      <c r="AA295" s="377"/>
      <c r="AB295" s="389"/>
      <c r="AC295" s="357"/>
      <c r="AD295" s="357"/>
      <c r="AE295" s="357"/>
      <c r="AF295" s="357"/>
      <c r="AG295" s="357"/>
      <c r="AH295" s="357"/>
      <c r="AI295" s="314"/>
      <c r="AJ295" s="399">
        <f t="shared" si="109"/>
        <v>0</v>
      </c>
      <c r="AK295" s="30" t="str">
        <f>CONCATENATE(IF(D296&gt;D295," * Testing at PNC &gt; 6 weeks For age "&amp;$D$20&amp;" "&amp;$D$21&amp;" is less than Positive result at PNC &gt; 6 weeks"&amp;CHAR(10),""),IF(E296&gt;E295," * Testing at PNC &gt; 6 weeks For age "&amp;$D$20&amp;" "&amp;$E$21&amp;" is less than Positive result at PNC &gt; 6 weeks"&amp;CHAR(10),""),IF(F296&gt;F295," * Testing at PNC &gt; 6 weeks For age "&amp;$F$20&amp;" "&amp;$F$21&amp;" is less than Positive result at PNC &gt; 6 weeks"&amp;CHAR(10),""),IF(G296&gt;G295," * Testing at PNC &gt; 6 weeks For age "&amp;$F$20&amp;" "&amp;$G$21&amp;" is less than Positive result at PNC &gt; 6 weeks"&amp;CHAR(10),""),IF(H296&gt;H295," * Testing at PNC &gt; 6 weeks For age "&amp;$H$20&amp;" "&amp;$H$21&amp;" is less than Positive result at PNC &gt; 6 weeks"&amp;CHAR(10),""),IF(I296&gt;I295," * Testing at PNC &gt; 6 weeks For age "&amp;$H$20&amp;" "&amp;$I$21&amp;" is less than Positive result at PNC &gt; 6 weeks"&amp;CHAR(10),""),IF(J296&gt;J295," * Testing at PNC &gt; 6 weeks For age "&amp;$J$20&amp;" "&amp;$J$21&amp;" is less than Positive result at PNC &gt; 6 weeks"&amp;CHAR(10),""),IF(K296&gt;K295," * Testing at PNC &gt; 6 weeks For age "&amp;$J$20&amp;" "&amp;$K$21&amp;" is less than Positive result at PNC &gt; 6 weeks"&amp;CHAR(10),""),IF(L296&gt;L295," * Testing at PNC &gt; 6 weeks For age "&amp;$L$20&amp;" "&amp;$L$21&amp;" is less than Positive result at PNC &gt; 6 weeks"&amp;CHAR(10),""),IF(M296&gt;M295," * Testing at PNC &gt; 6 weeks For age "&amp;$L$20&amp;" "&amp;$M$21&amp;" is less than Positive result at PNC &gt; 6 weeks"&amp;CHAR(10),""),IF(N296&gt;N295," * Testing at PNC &gt; 6 weeks For age "&amp;$N$20&amp;" "&amp;$N$21&amp;" is less than Positive result at PNC &gt; 6 weeks"&amp;CHAR(10),""),IF(O296&gt;O295," * Testing at PNC &gt; 6 weeks For age "&amp;$N$20&amp;" "&amp;$O$21&amp;" is less than Positive result at PNC &gt; 6 weeks"&amp;CHAR(10),""),IF(P296&gt;P295," * Testing at PNC &gt; 6 weeks For age "&amp;$P$20&amp;" "&amp;$P$21&amp;" is less than Positive result at PNC &gt; 6 weeks"&amp;CHAR(10),""),IF(Q296&gt;Q295," * Testing at PNC &gt; 6 weeks For age "&amp;$P$20&amp;" "&amp;$Q$21&amp;" is less than Positive result at PNC &gt; 6 weeks"&amp;CHAR(10),""),IF(R296&gt;R295," * Testing at PNC &gt; 6 weeks For age "&amp;$R$20&amp;" "&amp;$R$21&amp;" is less than Positive result at PNC &gt; 6 weeks"&amp;CHAR(10),""),IF(S296&gt;S295," * Testing at PNC &gt; 6 weeks For age "&amp;$R$20&amp;" "&amp;$S$21&amp;" is less than Positive result at PNC &gt; 6 weeks"&amp;CHAR(10),""),IF(T296&gt;T295," * Testing at PNC &gt; 6 weeks For age "&amp;$T$20&amp;" "&amp;$T$21&amp;" is less than Positive result at PNC &gt; 6 weeks"&amp;CHAR(10),""),IF(U296&gt;U295," * Testing at PNC &gt; 6 weeks For age "&amp;$T$20&amp;" "&amp;$U$21&amp;" is less than Positive result at PNC &gt; 6 weeks"&amp;CHAR(10),""),IF(V296&gt;V295," * Testing at PNC &gt; 6 weeks For age "&amp;$V$20&amp;" "&amp;$V$21&amp;" is less than Positive result at PNC &gt; 6 weeks"&amp;CHAR(10),""),IF(W296&gt;W295," * Testing at PNC &gt; 6 weeks For age "&amp;$V$20&amp;" "&amp;$W$21&amp;" is less than Positive result at PNC &gt; 6 weeks"&amp;CHAR(10),""),IF(X296&gt;X295," * Testing at PNC &gt; 6 weeks For age "&amp;$X$20&amp;" "&amp;$X$21&amp;" is less than Positive result at PNC &gt; 6 weeks"&amp;CHAR(10),""),IF(Y296&gt;Y295," * Testing at PNC &gt; 6 weeks For age "&amp;$X$20&amp;" "&amp;$Y$21&amp;" is less than Positive result at PNC &gt; 6 weeks"&amp;CHAR(10),""),IF(Z296&gt;Z295," * Testing at PNC &gt; 6 weeks For age "&amp;$Z$20&amp;" "&amp;$Z$21&amp;" is less than Positive result at PNC &gt; 6 weeks"&amp;CHAR(10),""),IF(AA296&gt;AA295," * Testing at PNC &gt; 6 weeks For age "&amp;$Z$20&amp;" "&amp;$AA$21&amp;" is less than Positive result at PNC &gt; 6 weeks"&amp;CHAR(10),""))</f>
        <v/>
      </c>
      <c r="AL295" s="1088"/>
      <c r="AM295" s="31"/>
      <c r="AN295" s="1081"/>
      <c r="AO295" s="13">
        <v>214</v>
      </c>
      <c r="AP295" s="74"/>
      <c r="AQ295" s="75"/>
    </row>
    <row r="296" spans="1:43" ht="25.9" hidden="1" thickBot="1" x14ac:dyDescent="0.8">
      <c r="A296" s="1109"/>
      <c r="B296" s="671" t="s">
        <v>1255</v>
      </c>
      <c r="C296" s="611" t="s">
        <v>492</v>
      </c>
      <c r="D296" s="103"/>
      <c r="E296" s="102"/>
      <c r="F296" s="102"/>
      <c r="G296" s="102"/>
      <c r="H296" s="216"/>
      <c r="I296" s="216"/>
      <c r="J296" s="216"/>
      <c r="K296" s="97"/>
      <c r="L296" s="216"/>
      <c r="M296" s="97"/>
      <c r="N296" s="216"/>
      <c r="O296" s="97"/>
      <c r="P296" s="216"/>
      <c r="Q296" s="97"/>
      <c r="R296" s="216"/>
      <c r="S296" s="97"/>
      <c r="T296" s="216"/>
      <c r="U296" s="97"/>
      <c r="V296" s="216"/>
      <c r="W296" s="97"/>
      <c r="X296" s="216"/>
      <c r="Y296" s="97"/>
      <c r="Z296" s="216"/>
      <c r="AA296" s="670"/>
      <c r="AB296" s="847"/>
      <c r="AC296" s="403"/>
      <c r="AD296" s="403"/>
      <c r="AE296" s="403"/>
      <c r="AF296" s="403"/>
      <c r="AG296" s="403"/>
      <c r="AH296" s="403"/>
      <c r="AI296" s="404"/>
      <c r="AJ296" s="400">
        <f t="shared" si="109"/>
        <v>0</v>
      </c>
      <c r="AK296" s="116"/>
      <c r="AL296" s="1088"/>
      <c r="AM296" s="31"/>
      <c r="AN296" s="1081"/>
      <c r="AO296" s="13">
        <v>215</v>
      </c>
      <c r="AP296" s="74"/>
      <c r="AQ296" s="75"/>
    </row>
    <row r="297" spans="1:43" ht="25.5" hidden="1" x14ac:dyDescent="0.75">
      <c r="A297" s="1109"/>
      <c r="B297" s="299" t="s">
        <v>1256</v>
      </c>
      <c r="C297" s="633" t="s">
        <v>1258</v>
      </c>
      <c r="D297" s="77"/>
      <c r="E297" s="78"/>
      <c r="F297" s="78"/>
      <c r="G297" s="78"/>
      <c r="H297" s="78"/>
      <c r="I297" s="78"/>
      <c r="J297" s="78"/>
      <c r="K297" s="79"/>
      <c r="L297" s="78"/>
      <c r="M297" s="79"/>
      <c r="N297" s="78"/>
      <c r="O297" s="79"/>
      <c r="P297" s="78"/>
      <c r="Q297" s="79"/>
      <c r="R297" s="78"/>
      <c r="S297" s="79"/>
      <c r="T297" s="78"/>
      <c r="U297" s="79"/>
      <c r="V297" s="78"/>
      <c r="W297" s="79"/>
      <c r="X297" s="78"/>
      <c r="Y297" s="79"/>
      <c r="Z297" s="78"/>
      <c r="AA297" s="384"/>
      <c r="AB297" s="389"/>
      <c r="AC297" s="357"/>
      <c r="AD297" s="357"/>
      <c r="AE297" s="357"/>
      <c r="AF297" s="357"/>
      <c r="AG297" s="357"/>
      <c r="AH297" s="357"/>
      <c r="AI297" s="314"/>
      <c r="AJ297" s="399">
        <f t="shared" ref="AJ297:AJ298" si="110">SUM(D297:AA297)</f>
        <v>0</v>
      </c>
      <c r="AK297" s="30" t="str">
        <f>CONCATENATE(IF(D298&gt;D297," * Testing at PNC &gt; 6 weeks For age "&amp;$D$20&amp;" "&amp;$D$21&amp;" is less than Positive result at PNC &gt; 6 weeks"&amp;CHAR(10),""),IF(E298&gt;E297," * Testing at PNC &gt; 6 weeks For age "&amp;$D$20&amp;" "&amp;$E$21&amp;" is less than Positive result at PNC &gt; 6 weeks"&amp;CHAR(10),""),IF(F298&gt;F297," * Testing at PNC &gt; 6 weeks For age "&amp;$F$20&amp;" "&amp;$F$21&amp;" is less than Positive result at PNC &gt; 6 weeks"&amp;CHAR(10),""),IF(G298&gt;G297," * Testing at PNC &gt; 6 weeks For age "&amp;$F$20&amp;" "&amp;$G$21&amp;" is less than Positive result at PNC &gt; 6 weeks"&amp;CHAR(10),""),IF(H298&gt;H297," * Testing at PNC &gt; 6 weeks For age "&amp;$H$20&amp;" "&amp;$H$21&amp;" is less than Positive result at PNC &gt; 6 weeks"&amp;CHAR(10),""),IF(I298&gt;I297," * Testing at PNC &gt; 6 weeks For age "&amp;$H$20&amp;" "&amp;$I$21&amp;" is less than Positive result at PNC &gt; 6 weeks"&amp;CHAR(10),""),IF(J298&gt;J297," * Testing at PNC &gt; 6 weeks For age "&amp;$J$20&amp;" "&amp;$J$21&amp;" is less than Positive result at PNC &gt; 6 weeks"&amp;CHAR(10),""),IF(K298&gt;K297," * Testing at PNC &gt; 6 weeks For age "&amp;$J$20&amp;" "&amp;$K$21&amp;" is less than Positive result at PNC &gt; 6 weeks"&amp;CHAR(10),""),IF(L298&gt;L297," * Testing at PNC &gt; 6 weeks For age "&amp;$L$20&amp;" "&amp;$L$21&amp;" is less than Positive result at PNC &gt; 6 weeks"&amp;CHAR(10),""),IF(M298&gt;M297," * Testing at PNC &gt; 6 weeks For age "&amp;$L$20&amp;" "&amp;$M$21&amp;" is less than Positive result at PNC &gt; 6 weeks"&amp;CHAR(10),""),IF(N298&gt;N297," * Testing at PNC &gt; 6 weeks For age "&amp;$N$20&amp;" "&amp;$N$21&amp;" is less than Positive result at PNC &gt; 6 weeks"&amp;CHAR(10),""),IF(O298&gt;O297," * Testing at PNC &gt; 6 weeks For age "&amp;$N$20&amp;" "&amp;$O$21&amp;" is less than Positive result at PNC &gt; 6 weeks"&amp;CHAR(10),""),IF(P298&gt;P297," * Testing at PNC &gt; 6 weeks For age "&amp;$P$20&amp;" "&amp;$P$21&amp;" is less than Positive result at PNC &gt; 6 weeks"&amp;CHAR(10),""),IF(Q298&gt;Q297," * Testing at PNC &gt; 6 weeks For age "&amp;$P$20&amp;" "&amp;$Q$21&amp;" is less than Positive result at PNC &gt; 6 weeks"&amp;CHAR(10),""),IF(R298&gt;R297," * Testing at PNC &gt; 6 weeks For age "&amp;$R$20&amp;" "&amp;$R$21&amp;" is less than Positive result at PNC &gt; 6 weeks"&amp;CHAR(10),""),IF(S298&gt;S297," * Testing at PNC &gt; 6 weeks For age "&amp;$R$20&amp;" "&amp;$S$21&amp;" is less than Positive result at PNC &gt; 6 weeks"&amp;CHAR(10),""),IF(T298&gt;T297," * Testing at PNC &gt; 6 weeks For age "&amp;$T$20&amp;" "&amp;$T$21&amp;" is less than Positive result at PNC &gt; 6 weeks"&amp;CHAR(10),""),IF(U298&gt;U297," * Testing at PNC &gt; 6 weeks For age "&amp;$T$20&amp;" "&amp;$U$21&amp;" is less than Positive result at PNC &gt; 6 weeks"&amp;CHAR(10),""),IF(V298&gt;V297," * Testing at PNC &gt; 6 weeks For age "&amp;$V$20&amp;" "&amp;$V$21&amp;" is less than Positive result at PNC &gt; 6 weeks"&amp;CHAR(10),""),IF(W298&gt;W297," * Testing at PNC &gt; 6 weeks For age "&amp;$V$20&amp;" "&amp;$W$21&amp;" is less than Positive result at PNC &gt; 6 weeks"&amp;CHAR(10),""),IF(X298&gt;X297," * Testing at PNC &gt; 6 weeks For age "&amp;$X$20&amp;" "&amp;$X$21&amp;" is less than Positive result at PNC &gt; 6 weeks"&amp;CHAR(10),""),IF(Y298&gt;Y297," * Testing at PNC &gt; 6 weeks For age "&amp;$X$20&amp;" "&amp;$Y$21&amp;" is less than Positive result at PNC &gt; 6 weeks"&amp;CHAR(10),""),IF(Z298&gt;Z297," * Testing at PNC &gt; 6 weeks For age "&amp;$Z$20&amp;" "&amp;$Z$21&amp;" is less than Positive result at PNC &gt; 6 weeks"&amp;CHAR(10),""),IF(AA298&gt;AA297," * Testing at PNC &gt; 6 weeks For age "&amp;$Z$20&amp;" "&amp;$AA$21&amp;" is less than Positive result at PNC &gt; 6 weeks"&amp;CHAR(10),""))</f>
        <v/>
      </c>
      <c r="AL297" s="1088"/>
      <c r="AM297" s="31"/>
      <c r="AN297" s="1081"/>
      <c r="AO297" s="13">
        <v>214</v>
      </c>
      <c r="AP297" s="74"/>
      <c r="AQ297" s="75"/>
    </row>
    <row r="298" spans="1:43" ht="25.9" hidden="1" thickBot="1" x14ac:dyDescent="0.8">
      <c r="A298" s="1110"/>
      <c r="B298" s="300" t="s">
        <v>1257</v>
      </c>
      <c r="C298" s="634" t="s">
        <v>1259</v>
      </c>
      <c r="D298" s="103"/>
      <c r="E298" s="102"/>
      <c r="F298" s="102"/>
      <c r="G298" s="102"/>
      <c r="H298" s="216"/>
      <c r="I298" s="216"/>
      <c r="J298" s="216"/>
      <c r="K298" s="97"/>
      <c r="L298" s="216"/>
      <c r="M298" s="97"/>
      <c r="N298" s="216"/>
      <c r="O298" s="97"/>
      <c r="P298" s="216"/>
      <c r="Q298" s="97"/>
      <c r="R298" s="216"/>
      <c r="S298" s="97"/>
      <c r="T298" s="216"/>
      <c r="U298" s="97"/>
      <c r="V298" s="216"/>
      <c r="W298" s="97"/>
      <c r="X298" s="216"/>
      <c r="Y298" s="97"/>
      <c r="Z298" s="216"/>
      <c r="AA298" s="670"/>
      <c r="AB298" s="847"/>
      <c r="AC298" s="403"/>
      <c r="AD298" s="403"/>
      <c r="AE298" s="403"/>
      <c r="AF298" s="403"/>
      <c r="AG298" s="403"/>
      <c r="AH298" s="403"/>
      <c r="AI298" s="404"/>
      <c r="AJ298" s="400">
        <f t="shared" si="110"/>
        <v>0</v>
      </c>
      <c r="AK298" s="607"/>
      <c r="AL298" s="1088"/>
      <c r="AM298" s="31"/>
      <c r="AN298" s="1081"/>
      <c r="AO298" s="13">
        <v>215</v>
      </c>
      <c r="AP298" s="74"/>
      <c r="AQ298" s="75"/>
    </row>
    <row r="299" spans="1:43" ht="25.5" hidden="1" x14ac:dyDescent="0.75">
      <c r="A299" s="1111" t="s">
        <v>123</v>
      </c>
      <c r="B299" s="1" t="s">
        <v>692</v>
      </c>
      <c r="C299" s="608" t="s">
        <v>284</v>
      </c>
      <c r="D299" s="98"/>
      <c r="E299" s="99"/>
      <c r="F299" s="99"/>
      <c r="G299" s="99"/>
      <c r="H299" s="99"/>
      <c r="I299" s="99"/>
      <c r="J299" s="94"/>
      <c r="K299" s="99"/>
      <c r="L299" s="94"/>
      <c r="M299" s="99"/>
      <c r="N299" s="94"/>
      <c r="O299" s="99"/>
      <c r="P299" s="94"/>
      <c r="Q299" s="99"/>
      <c r="R299" s="94"/>
      <c r="S299" s="99"/>
      <c r="T299" s="94"/>
      <c r="U299" s="99"/>
      <c r="V299" s="94"/>
      <c r="W299" s="99"/>
      <c r="X299" s="94"/>
      <c r="Y299" s="99"/>
      <c r="Z299" s="94"/>
      <c r="AA299" s="377"/>
      <c r="AB299" s="389"/>
      <c r="AC299" s="357"/>
      <c r="AD299" s="357"/>
      <c r="AE299" s="357"/>
      <c r="AF299" s="357"/>
      <c r="AG299" s="357"/>
      <c r="AH299" s="357"/>
      <c r="AI299" s="314"/>
      <c r="AJ299" s="401">
        <f t="shared" si="109"/>
        <v>0</v>
      </c>
      <c r="AK299" s="1196" t="str">
        <f>CONCATENATE(IF(D300&gt;D299," * Male Partners Tested Positive for Age "&amp;D20&amp;" "&amp;D21&amp;" is more than Male Partners Tested"&amp;CHAR(10),""),IF(E300&gt;E299," * Male Partners Tested Positive for Age "&amp;D20&amp;" "&amp;E21&amp;" is more than Male Partners Tested"&amp;CHAR(10),""),IF(F300&gt;F299," * Male Partners Tested Positive for Age "&amp;F20&amp;" "&amp;F21&amp;" is more than Male Partners Tested"&amp;CHAR(10),""),IF(G300&gt;G299," * Male Partners Tested Positive for Age "&amp;F20&amp;" "&amp;G21&amp;" is more than Male Partners Tested"&amp;CHAR(10),""),IF(H300&gt;H299," * Male Partners Tested Positive for Age "&amp;H20&amp;" "&amp;H21&amp;" is more than Male Partners Tested"&amp;CHAR(10),""),IF(I300&gt;I299," * Male Partners Tested Positive for Age "&amp;H20&amp;" "&amp;I21&amp;" is more than Male Partners Tested"&amp;CHAR(10),""),IF(J300&gt;J299," * Male Partners Tested Positive for Age "&amp;J20&amp;" "&amp;J21&amp;" is more than Male Partners Tested"&amp;CHAR(10),""),IF(K300&gt;K299," * Male Partners Tested Positive for Age "&amp;J20&amp;" "&amp;K21&amp;" is more than Male Partners Tested"&amp;CHAR(10),""),IF(L300&gt;L299," * Male Partners Tested Positive for Age "&amp;L20&amp;" "&amp;L21&amp;" is more than Male Partners Tested"&amp;CHAR(10),""),IF(M300&gt;M299," * Male Partners Tested Positive for Age "&amp;L20&amp;" "&amp;M21&amp;" is more than Male Partners Tested"&amp;CHAR(10),""),IF(N300&gt;N299," * Male Partners Tested Positive for Age "&amp;N20&amp;" "&amp;N21&amp;" is more than Male Partners Tested"&amp;CHAR(10),""),IF(O300&gt;O299," * Male Partners Tested Positive for Age "&amp;N20&amp;" "&amp;O21&amp;" is more than Male Partners Tested"&amp;CHAR(10),""),IF(P300&gt;P299," * Male Partners Tested Positive for Age "&amp;P20&amp;" "&amp;P21&amp;" is more than Male Partners Tested"&amp;CHAR(10),""),IF(Q300&gt;Q299," * Male Partners Tested Positive for Age "&amp;P20&amp;" "&amp;Q21&amp;" is more than Male Partners Tested"&amp;CHAR(10),""),IF(R300&gt;R299," * Male Partners Tested Positive for Age "&amp;R20&amp;" "&amp;R21&amp;" is more than Male Partners Tested"&amp;CHAR(10),""),IF(S300&gt;S299," * Male Partners Tested Positive for Age "&amp;R20&amp;" "&amp;S21&amp;" is more than Male Partners Tested"&amp;CHAR(10),""),IF(T300&gt;T299," * Male Partners Tested Positive for Age "&amp;T20&amp;" "&amp;T21&amp;" is more than Male Partners Tested"&amp;CHAR(10),""),IF(U300&gt;U299," * Male Partners Tested Positive for Age "&amp;T20&amp;" "&amp;U21&amp;" is more than Male Partners Tested"&amp;CHAR(10),""),IF(V300&gt;V299," * Male Partners Tested Positive for Age "&amp;V20&amp;" "&amp;V21&amp;" is more than Male Partners Tested"&amp;CHAR(10),""),IF(W300&gt;W299," * Male Partners Tested Positive for Age "&amp;V20&amp;" "&amp;W21&amp;" is more than Male Partners Tested"&amp;CHAR(10),""),IF(X300&gt;X299," * Male Partners Tested Positive for Age "&amp;X20&amp;" "&amp;X21&amp;" is more than Male Partners Tested"&amp;CHAR(10),""),IF(Y300&gt;Y299," * Male Partners Tested Positive for Age "&amp;X20&amp;" "&amp;Y21&amp;" is more than Male Partners Tested"&amp;CHAR(10),""),IF(Z300&gt;Z299," * Male Partners Tested Positive for Age "&amp;Z20&amp;" "&amp;Z21&amp;" is more than Male Partners Tested"&amp;CHAR(10),""),IF(AA300&gt;AA299," * Male Partners Tested Positive for Age "&amp;Z20&amp;" "&amp;AA21&amp;" is more than Male Partners Tested"&amp;CHAR(10),""))</f>
        <v/>
      </c>
      <c r="AL299" s="1088"/>
      <c r="AM299" s="31"/>
      <c r="AN299" s="1081"/>
      <c r="AO299" s="13">
        <v>216</v>
      </c>
      <c r="AP299" s="74"/>
      <c r="AQ299" s="75"/>
    </row>
    <row r="300" spans="1:43" ht="25.9" hidden="1" thickBot="1" x14ac:dyDescent="0.8">
      <c r="A300" s="1112"/>
      <c r="B300" s="3" t="s">
        <v>693</v>
      </c>
      <c r="C300" s="611" t="s">
        <v>285</v>
      </c>
      <c r="D300" s="103"/>
      <c r="E300" s="102"/>
      <c r="F300" s="102"/>
      <c r="G300" s="102"/>
      <c r="H300" s="102"/>
      <c r="I300" s="102"/>
      <c r="J300" s="152"/>
      <c r="K300" s="102"/>
      <c r="L300" s="152"/>
      <c r="M300" s="102"/>
      <c r="N300" s="152"/>
      <c r="O300" s="102"/>
      <c r="P300" s="152"/>
      <c r="Q300" s="102"/>
      <c r="R300" s="152"/>
      <c r="S300" s="102"/>
      <c r="T300" s="152"/>
      <c r="U300" s="102"/>
      <c r="V300" s="152"/>
      <c r="W300" s="102"/>
      <c r="X300" s="152"/>
      <c r="Y300" s="102"/>
      <c r="Z300" s="152"/>
      <c r="AA300" s="378"/>
      <c r="AB300" s="390"/>
      <c r="AC300" s="391"/>
      <c r="AD300" s="391"/>
      <c r="AE300" s="391"/>
      <c r="AF300" s="391"/>
      <c r="AG300" s="391"/>
      <c r="AH300" s="391"/>
      <c r="AI300" s="315"/>
      <c r="AJ300" s="400">
        <f t="shared" si="109"/>
        <v>0</v>
      </c>
      <c r="AK300" s="1196"/>
      <c r="AL300" s="1104"/>
      <c r="AM300" s="31"/>
      <c r="AN300" s="1091"/>
      <c r="AO300" s="13">
        <v>217</v>
      </c>
      <c r="AP300" s="74"/>
      <c r="AQ300" s="75"/>
    </row>
    <row r="301" spans="1:43" ht="25.9" hidden="1" thickBot="1" x14ac:dyDescent="0.8">
      <c r="A301" s="1093" t="s">
        <v>507</v>
      </c>
      <c r="B301" s="69" t="s">
        <v>695</v>
      </c>
      <c r="C301" s="615" t="s">
        <v>524</v>
      </c>
      <c r="D301" s="154"/>
      <c r="E301" s="127"/>
      <c r="F301" s="71"/>
      <c r="G301" s="71"/>
      <c r="H301" s="71"/>
      <c r="I301" s="71"/>
      <c r="J301" s="71"/>
      <c r="K301" s="71"/>
      <c r="L301" s="71"/>
      <c r="M301" s="71"/>
      <c r="N301" s="71"/>
      <c r="O301" s="71"/>
      <c r="P301" s="71"/>
      <c r="Q301" s="71"/>
      <c r="R301" s="71"/>
      <c r="S301" s="71"/>
      <c r="T301" s="71"/>
      <c r="U301" s="71"/>
      <c r="V301" s="71"/>
      <c r="W301" s="71"/>
      <c r="X301" s="71"/>
      <c r="Y301" s="71"/>
      <c r="Z301" s="71"/>
      <c r="AA301" s="354"/>
      <c r="AB301" s="389"/>
      <c r="AC301" s="357"/>
      <c r="AD301" s="357"/>
      <c r="AE301" s="357"/>
      <c r="AF301" s="357"/>
      <c r="AG301" s="357"/>
      <c r="AH301" s="357"/>
      <c r="AI301" s="314"/>
      <c r="AJ301" s="401">
        <f t="shared" si="109"/>
        <v>0</v>
      </c>
      <c r="AK301" s="116" t="str">
        <f>CONCATENATE(IF(D304&gt;D301," * EID Tested Positive 0-2 Months for Age "&amp;$D$20&amp;" "&amp;$D$21&amp;" is more than EID Tested 0-2 Months"&amp;CHAR(10),""),IF(E304&gt;E301," * EID Tested Positive 0-2 Months for Age "&amp;$D$20&amp;" "&amp;$E$21&amp;" is more than EID Tested 0-2 Months"&amp;CHAR(10),""))</f>
        <v/>
      </c>
      <c r="AL301" s="1085" t="str">
        <f>CONCATENATE(AK303,AK304,AK305,AK306,AK307,AK308,AK309,AK285,AK301,AK302)</f>
        <v/>
      </c>
      <c r="AM301" s="31"/>
      <c r="AN301" s="1062" t="str">
        <f>CONCATENATE(AM301,AM302,AM303,AM304,AM305,AM306,AM307,AM308,AM309)</f>
        <v/>
      </c>
      <c r="AO301" s="13">
        <v>218</v>
      </c>
      <c r="AP301" s="74"/>
      <c r="AQ301" s="75"/>
    </row>
    <row r="302" spans="1:43" s="61" customFormat="1" ht="25.5" hidden="1" x14ac:dyDescent="0.75">
      <c r="A302" s="1094"/>
      <c r="B302" s="76" t="s">
        <v>694</v>
      </c>
      <c r="C302" s="580" t="s">
        <v>525</v>
      </c>
      <c r="D302" s="202"/>
      <c r="E302" s="129"/>
      <c r="F302" s="78"/>
      <c r="G302" s="78"/>
      <c r="H302" s="78"/>
      <c r="I302" s="78"/>
      <c r="J302" s="78"/>
      <c r="K302" s="78"/>
      <c r="L302" s="78"/>
      <c r="M302" s="78"/>
      <c r="N302" s="78"/>
      <c r="O302" s="78"/>
      <c r="P302" s="78"/>
      <c r="Q302" s="78"/>
      <c r="R302" s="78"/>
      <c r="S302" s="78"/>
      <c r="T302" s="78"/>
      <c r="U302" s="78"/>
      <c r="V302" s="78"/>
      <c r="W302" s="78"/>
      <c r="X302" s="78"/>
      <c r="Y302" s="78"/>
      <c r="Z302" s="78"/>
      <c r="AA302" s="355"/>
      <c r="AB302" s="389"/>
      <c r="AC302" s="357"/>
      <c r="AD302" s="357"/>
      <c r="AE302" s="357"/>
      <c r="AF302" s="357"/>
      <c r="AG302" s="357"/>
      <c r="AH302" s="357"/>
      <c r="AI302" s="314"/>
      <c r="AJ302" s="399">
        <f t="shared" si="109"/>
        <v>0</v>
      </c>
      <c r="AK302" s="116" t="str">
        <f>CONCATENATE(IF(D305&gt;D302," * EID Tested Positive 2-12 Months for Age "&amp;$D$20&amp;" "&amp;$D$21&amp;" is more than EID Tested 2-12 Months"&amp;CHAR(10),""),IF(E305&gt;E302," * EID Tested Positive 2-12 Months for Age "&amp;$D$20&amp;" "&amp;$E$21&amp;" is more than EID Tested 2-12 Months"&amp;CHAR(10),""))</f>
        <v/>
      </c>
      <c r="AL302" s="1088"/>
      <c r="AM302" s="60"/>
      <c r="AN302" s="1081"/>
      <c r="AO302" s="13">
        <v>219</v>
      </c>
      <c r="AP302" s="80"/>
      <c r="AQ302" s="75"/>
    </row>
    <row r="303" spans="1:43" ht="25.9" hidden="1" thickBot="1" x14ac:dyDescent="0.8">
      <c r="A303" s="1095"/>
      <c r="B303" s="219" t="s">
        <v>510</v>
      </c>
      <c r="C303" s="581" t="s">
        <v>526</v>
      </c>
      <c r="D303" s="220">
        <f>D301+D302</f>
        <v>0</v>
      </c>
      <c r="E303" s="213">
        <f>E301+E302</f>
        <v>0</v>
      </c>
      <c r="F303" s="102"/>
      <c r="G303" s="102"/>
      <c r="H303" s="102"/>
      <c r="I303" s="102"/>
      <c r="J303" s="102"/>
      <c r="K303" s="102"/>
      <c r="L303" s="102"/>
      <c r="M303" s="102"/>
      <c r="N303" s="102"/>
      <c r="O303" s="102"/>
      <c r="P303" s="102"/>
      <c r="Q303" s="102"/>
      <c r="R303" s="102"/>
      <c r="S303" s="102"/>
      <c r="T303" s="102"/>
      <c r="U303" s="102"/>
      <c r="V303" s="102"/>
      <c r="W303" s="102"/>
      <c r="X303" s="102"/>
      <c r="Y303" s="102"/>
      <c r="Z303" s="102"/>
      <c r="AA303" s="325"/>
      <c r="AB303" s="389"/>
      <c r="AC303" s="357"/>
      <c r="AD303" s="357"/>
      <c r="AE303" s="357"/>
      <c r="AF303" s="357"/>
      <c r="AG303" s="357"/>
      <c r="AH303" s="357"/>
      <c r="AI303" s="314"/>
      <c r="AJ303" s="400">
        <f t="shared" si="109"/>
        <v>0</v>
      </c>
      <c r="AK303" s="116"/>
      <c r="AL303" s="1088"/>
      <c r="AM303" s="31" t="str">
        <f>IF(AJ303&gt;SUM(AJ294,AJ292,AJ290,AJ288,AJ286,AJ284,AJ280,AJ278)," EID Testing cannot be more than PMTCT HIV Positive Mothers (ANC 1 Other ANC, L&amp;D and PNC","")</f>
        <v/>
      </c>
      <c r="AN303" s="1081"/>
      <c r="AO303" s="13">
        <v>220</v>
      </c>
      <c r="AP303" s="74"/>
      <c r="AQ303" s="75"/>
    </row>
    <row r="304" spans="1:43" ht="25.5" hidden="1" x14ac:dyDescent="0.75">
      <c r="A304" s="1093" t="s">
        <v>511</v>
      </c>
      <c r="B304" s="91" t="s">
        <v>515</v>
      </c>
      <c r="C304" s="579" t="s">
        <v>527</v>
      </c>
      <c r="D304" s="221"/>
      <c r="E304" s="222"/>
      <c r="F304" s="99"/>
      <c r="G304" s="99"/>
      <c r="H304" s="99"/>
      <c r="I304" s="99"/>
      <c r="J304" s="99"/>
      <c r="K304" s="99"/>
      <c r="L304" s="99"/>
      <c r="M304" s="99"/>
      <c r="N304" s="99"/>
      <c r="O304" s="99"/>
      <c r="P304" s="99"/>
      <c r="Q304" s="99"/>
      <c r="R304" s="99"/>
      <c r="S304" s="99"/>
      <c r="T304" s="99"/>
      <c r="U304" s="99"/>
      <c r="V304" s="99"/>
      <c r="W304" s="99"/>
      <c r="X304" s="99"/>
      <c r="Y304" s="99"/>
      <c r="Z304" s="99"/>
      <c r="AA304" s="324"/>
      <c r="AB304" s="389"/>
      <c r="AC304" s="357"/>
      <c r="AD304" s="357"/>
      <c r="AE304" s="357"/>
      <c r="AF304" s="357"/>
      <c r="AG304" s="357"/>
      <c r="AH304" s="357"/>
      <c r="AI304" s="314"/>
      <c r="AJ304" s="401">
        <f t="shared" si="109"/>
        <v>0</v>
      </c>
      <c r="AK304" s="116" t="str">
        <f>CONCATENATE(IF(D307&gt;D304," * EID initiated on ART 0-2 Months for Age "&amp;$D$20&amp;" "&amp;$D$21&amp;" is more than EID Positive 0-2 Months"&amp;CHAR(10),""),IF(E307&gt;E304," * EID initiated on ART 0-2 Months for Age "&amp;$D$20&amp;" "&amp;$E$21&amp;" is more than EID Positive 0-2 Months"&amp;CHAR(10),""))</f>
        <v/>
      </c>
      <c r="AL304" s="1088"/>
      <c r="AM304" s="116" t="str">
        <f>CONCATENATE(IF(D307&lt;D304," * EID initiated on ART 0-2 Months for Age "&amp;$D$20&amp;" "&amp;$D$21&amp;" is less than EID Positive 0-2 Months"&amp;CHAR(10),""),IF(E307&lt;E304," * EID initiated on ART 0-2 Months for Age "&amp;$D$20&amp;" "&amp;$E$21&amp;" is less than EID Positive 0-2 Months"&amp;CHAR(10),""))</f>
        <v/>
      </c>
      <c r="AN304" s="1081"/>
      <c r="AO304" s="13">
        <v>221</v>
      </c>
      <c r="AP304" s="74"/>
      <c r="AQ304" s="75"/>
    </row>
    <row r="305" spans="1:43" s="61" customFormat="1" ht="25.5" hidden="1" x14ac:dyDescent="0.75">
      <c r="A305" s="1094"/>
      <c r="B305" s="76" t="s">
        <v>512</v>
      </c>
      <c r="C305" s="580" t="s">
        <v>528</v>
      </c>
      <c r="D305" s="223"/>
      <c r="E305" s="224"/>
      <c r="F305" s="78"/>
      <c r="G305" s="78"/>
      <c r="H305" s="78"/>
      <c r="I305" s="78"/>
      <c r="J305" s="78"/>
      <c r="K305" s="78"/>
      <c r="L305" s="78"/>
      <c r="M305" s="78"/>
      <c r="N305" s="78"/>
      <c r="O305" s="78"/>
      <c r="P305" s="78"/>
      <c r="Q305" s="78"/>
      <c r="R305" s="78"/>
      <c r="S305" s="78"/>
      <c r="T305" s="78"/>
      <c r="U305" s="78"/>
      <c r="V305" s="78"/>
      <c r="W305" s="78"/>
      <c r="X305" s="78"/>
      <c r="Y305" s="78"/>
      <c r="Z305" s="78"/>
      <c r="AA305" s="355"/>
      <c r="AB305" s="389"/>
      <c r="AC305" s="357"/>
      <c r="AD305" s="357"/>
      <c r="AE305" s="357"/>
      <c r="AF305" s="357"/>
      <c r="AG305" s="357"/>
      <c r="AH305" s="357"/>
      <c r="AI305" s="314"/>
      <c r="AJ305" s="399">
        <f t="shared" si="109"/>
        <v>0</v>
      </c>
      <c r="AK305" s="116" t="str">
        <f>CONCATENATE(IF(D308&gt;D305," * EID initiated on ART 2-12 Months for Age "&amp;$D$20&amp;" "&amp;$D$21&amp;" is more than EID Positive 2-12 Months"&amp;CHAR(10),""),IF(E308&gt;E305," * EID initiated on ART 2-12 Months for Age "&amp;$D$20&amp;" "&amp;$E$21&amp;" is more than EID Positive 2-12 Months"&amp;CHAR(10),""))</f>
        <v/>
      </c>
      <c r="AL305" s="1088"/>
      <c r="AM305" s="116" t="str">
        <f>CONCATENATE(IF(D308&lt;D305," * EID initiated on ART 2-12 Months for Age "&amp;$D$20&amp;" "&amp;$D$21&amp;" is less than EID Positive 2-12 Months"&amp;CHAR(10),""),IF(E308&lt;E305," * EID initiated on ART 2-12 Months for Age "&amp;$D$20&amp;" "&amp;$E$21&amp;" is less than EID Positive 2-12 Months"&amp;CHAR(10),""))</f>
        <v/>
      </c>
      <c r="AN305" s="1081"/>
      <c r="AO305" s="13">
        <v>222</v>
      </c>
      <c r="AP305" s="80"/>
      <c r="AQ305" s="75"/>
    </row>
    <row r="306" spans="1:43" ht="25.9" hidden="1" thickBot="1" x14ac:dyDescent="0.8">
      <c r="A306" s="1095"/>
      <c r="B306" s="219" t="s">
        <v>513</v>
      </c>
      <c r="C306" s="581" t="s">
        <v>529</v>
      </c>
      <c r="D306" s="220">
        <f>D304+D305</f>
        <v>0</v>
      </c>
      <c r="E306" s="213">
        <f>E304+E305</f>
        <v>0</v>
      </c>
      <c r="F306" s="102"/>
      <c r="G306" s="102"/>
      <c r="H306" s="102"/>
      <c r="I306" s="102"/>
      <c r="J306" s="102"/>
      <c r="K306" s="102"/>
      <c r="L306" s="102"/>
      <c r="M306" s="102"/>
      <c r="N306" s="102"/>
      <c r="O306" s="102"/>
      <c r="P306" s="102"/>
      <c r="Q306" s="102"/>
      <c r="R306" s="102"/>
      <c r="S306" s="102"/>
      <c r="T306" s="102"/>
      <c r="U306" s="102"/>
      <c r="V306" s="102"/>
      <c r="W306" s="102"/>
      <c r="X306" s="102"/>
      <c r="Y306" s="102"/>
      <c r="Z306" s="102"/>
      <c r="AA306" s="325"/>
      <c r="AB306" s="389"/>
      <c r="AC306" s="357"/>
      <c r="AD306" s="357"/>
      <c r="AE306" s="357"/>
      <c r="AF306" s="357"/>
      <c r="AG306" s="357"/>
      <c r="AH306" s="357"/>
      <c r="AI306" s="314"/>
      <c r="AJ306" s="400">
        <f t="shared" si="109"/>
        <v>0</v>
      </c>
      <c r="AK306" s="116" t="str">
        <f>CONCATENATE(IF(D309&gt;D306," * EID initiated on ART 0-12 Months for Age "&amp;$D$20&amp;" "&amp;$D$21&amp;" is more than EID Positive 0-12 Months"&amp;CHAR(10),""),IF(E309&gt;E306," * EID initiated on ART 0-12 Months for Age "&amp;$D$20&amp;" "&amp;$E$21&amp;" is more than EID Positive 0-12 Months"&amp;CHAR(10),""))</f>
        <v/>
      </c>
      <c r="AL306" s="1088"/>
      <c r="AM306" s="116" t="str">
        <f>CONCATENATE(IF(D309&lt;D306," * EID initiated on ART 0-12 Months for Age "&amp;$D$20&amp;" "&amp;$D$21&amp;" is less than EID Positive 0-12 Months"&amp;CHAR(10),""),IF(E309&lt;E306," * EID initiated on ART 0-12 Months for Age "&amp;$D$20&amp;" "&amp;$E$21&amp;" is less than EID Positive 0-12 Months"&amp;CHAR(10),""))</f>
        <v/>
      </c>
      <c r="AN306" s="1081"/>
      <c r="AO306" s="13">
        <v>223</v>
      </c>
      <c r="AP306" s="74"/>
      <c r="AQ306" s="75"/>
    </row>
    <row r="307" spans="1:43" ht="25.5" hidden="1" x14ac:dyDescent="0.75">
      <c r="A307" s="1093" t="s">
        <v>508</v>
      </c>
      <c r="B307" s="91" t="s">
        <v>918</v>
      </c>
      <c r="C307" s="579" t="s">
        <v>530</v>
      </c>
      <c r="D307" s="147"/>
      <c r="E307" s="148"/>
      <c r="F307" s="99"/>
      <c r="G307" s="99"/>
      <c r="H307" s="99"/>
      <c r="I307" s="99"/>
      <c r="J307" s="99"/>
      <c r="K307" s="99"/>
      <c r="L307" s="99"/>
      <c r="M307" s="99"/>
      <c r="N307" s="99"/>
      <c r="O307" s="99"/>
      <c r="P307" s="99"/>
      <c r="Q307" s="99"/>
      <c r="R307" s="99"/>
      <c r="S307" s="99"/>
      <c r="T307" s="99"/>
      <c r="U307" s="99"/>
      <c r="V307" s="99"/>
      <c r="W307" s="99"/>
      <c r="X307" s="99"/>
      <c r="Y307" s="99"/>
      <c r="Z307" s="99"/>
      <c r="AA307" s="324"/>
      <c r="AB307" s="389"/>
      <c r="AC307" s="357"/>
      <c r="AD307" s="357"/>
      <c r="AE307" s="357"/>
      <c r="AF307" s="357"/>
      <c r="AG307" s="357"/>
      <c r="AH307" s="357"/>
      <c r="AI307" s="314"/>
      <c r="AJ307" s="401">
        <f t="shared" si="109"/>
        <v>0</v>
      </c>
      <c r="AK307" s="116"/>
      <c r="AL307" s="1088"/>
      <c r="AM307" s="31"/>
      <c r="AN307" s="1081"/>
      <c r="AO307" s="13">
        <v>224</v>
      </c>
      <c r="AP307" s="74"/>
      <c r="AQ307" s="75"/>
    </row>
    <row r="308" spans="1:43" ht="25.5" hidden="1" x14ac:dyDescent="0.75">
      <c r="A308" s="1094"/>
      <c r="B308" s="76" t="s">
        <v>919</v>
      </c>
      <c r="C308" s="580" t="s">
        <v>531</v>
      </c>
      <c r="D308" s="202"/>
      <c r="E308" s="129"/>
      <c r="F308" s="78"/>
      <c r="G308" s="78"/>
      <c r="H308" s="78"/>
      <c r="I308" s="78"/>
      <c r="J308" s="78"/>
      <c r="K308" s="78"/>
      <c r="L308" s="78"/>
      <c r="M308" s="78"/>
      <c r="N308" s="78"/>
      <c r="O308" s="78"/>
      <c r="P308" s="78"/>
      <c r="Q308" s="78"/>
      <c r="R308" s="78"/>
      <c r="S308" s="78"/>
      <c r="T308" s="78"/>
      <c r="U308" s="78"/>
      <c r="V308" s="78"/>
      <c r="W308" s="78"/>
      <c r="X308" s="78"/>
      <c r="Y308" s="78"/>
      <c r="Z308" s="78"/>
      <c r="AA308" s="355"/>
      <c r="AB308" s="389"/>
      <c r="AC308" s="357"/>
      <c r="AD308" s="357"/>
      <c r="AE308" s="357"/>
      <c r="AF308" s="357"/>
      <c r="AG308" s="357"/>
      <c r="AH308" s="357"/>
      <c r="AI308" s="314"/>
      <c r="AJ308" s="399">
        <f t="shared" si="109"/>
        <v>0</v>
      </c>
      <c r="AK308" s="116"/>
      <c r="AL308" s="1088"/>
      <c r="AM308" s="31"/>
      <c r="AN308" s="1081"/>
      <c r="AO308" s="13">
        <v>225</v>
      </c>
      <c r="AP308" s="74"/>
      <c r="AQ308" s="75"/>
    </row>
    <row r="309" spans="1:43" ht="25.9" hidden="1" thickBot="1" x14ac:dyDescent="0.8">
      <c r="A309" s="1191"/>
      <c r="B309" s="225" t="s">
        <v>940</v>
      </c>
      <c r="C309" s="581" t="s">
        <v>532</v>
      </c>
      <c r="D309" s="226">
        <f>D307+D308</f>
        <v>0</v>
      </c>
      <c r="E309" s="226">
        <f>E307+E308</f>
        <v>0</v>
      </c>
      <c r="F309" s="120"/>
      <c r="G309" s="120"/>
      <c r="H309" s="120"/>
      <c r="I309" s="120"/>
      <c r="J309" s="120"/>
      <c r="K309" s="120"/>
      <c r="L309" s="120"/>
      <c r="M309" s="120"/>
      <c r="N309" s="120"/>
      <c r="O309" s="120"/>
      <c r="P309" s="120"/>
      <c r="Q309" s="120"/>
      <c r="R309" s="120"/>
      <c r="S309" s="120"/>
      <c r="T309" s="120"/>
      <c r="U309" s="120"/>
      <c r="V309" s="120"/>
      <c r="W309" s="120"/>
      <c r="X309" s="120"/>
      <c r="Y309" s="120"/>
      <c r="Z309" s="120"/>
      <c r="AA309" s="335"/>
      <c r="AB309" s="390"/>
      <c r="AC309" s="391"/>
      <c r="AD309" s="391"/>
      <c r="AE309" s="391"/>
      <c r="AF309" s="391"/>
      <c r="AG309" s="391"/>
      <c r="AH309" s="391"/>
      <c r="AI309" s="315"/>
      <c r="AJ309" s="402">
        <f t="shared" ref="AJ309" si="111">SUM(D309:AA309)</f>
        <v>0</v>
      </c>
      <c r="AK309" s="122" t="str">
        <f>CONCATENATE(IF(D309&lt;&gt;D331,"*Starting ART &lt; 1 M  Must be equals to Infants 0-12 Months HIV +ve started on ART"&amp;CHAR(10),""),IF(E309&lt;&gt;E331,"*Starting ART &lt; 1 F  Must be equals to Infants 0-12 Months +ve started on ART"&amp;CHAR(10),""))</f>
        <v/>
      </c>
      <c r="AL309" s="1089"/>
      <c r="AM309" s="123"/>
      <c r="AN309" s="1082"/>
      <c r="AO309" s="13">
        <v>226</v>
      </c>
      <c r="AP309" s="74"/>
      <c r="AQ309" s="75"/>
    </row>
    <row r="310" spans="1:43" ht="25.9" hidden="1" thickBot="1" x14ac:dyDescent="0.8">
      <c r="A310" s="1043" t="s">
        <v>127</v>
      </c>
      <c r="B310" s="1044"/>
      <c r="C310" s="1044"/>
      <c r="D310" s="1044"/>
      <c r="E310" s="1044"/>
      <c r="F310" s="1044"/>
      <c r="G310" s="1044"/>
      <c r="H310" s="1044"/>
      <c r="I310" s="1044"/>
      <c r="J310" s="1044"/>
      <c r="K310" s="1044"/>
      <c r="L310" s="1044"/>
      <c r="M310" s="1044"/>
      <c r="N310" s="1044"/>
      <c r="O310" s="1044"/>
      <c r="P310" s="1044"/>
      <c r="Q310" s="1044"/>
      <c r="R310" s="1044"/>
      <c r="S310" s="1044"/>
      <c r="T310" s="1044"/>
      <c r="U310" s="1044"/>
      <c r="V310" s="1044"/>
      <c r="W310" s="1044"/>
      <c r="X310" s="1044"/>
      <c r="Y310" s="1044"/>
      <c r="Z310" s="1044"/>
      <c r="AA310" s="1044"/>
      <c r="AB310" s="1045"/>
      <c r="AC310" s="1045"/>
      <c r="AD310" s="1045"/>
      <c r="AE310" s="1045"/>
      <c r="AF310" s="1045"/>
      <c r="AG310" s="1045"/>
      <c r="AH310" s="1045"/>
      <c r="AI310" s="1045"/>
      <c r="AJ310" s="1044"/>
      <c r="AK310" s="1044"/>
      <c r="AL310" s="1044"/>
      <c r="AM310" s="1044"/>
      <c r="AN310" s="1046"/>
      <c r="AO310" s="13">
        <v>227</v>
      </c>
      <c r="AP310" s="74"/>
      <c r="AQ310" s="75"/>
    </row>
    <row r="311" spans="1:43" ht="25.5" hidden="1" x14ac:dyDescent="0.75">
      <c r="A311" s="1039" t="s">
        <v>37</v>
      </c>
      <c r="B311" s="1041" t="s">
        <v>344</v>
      </c>
      <c r="C311" s="1049" t="s">
        <v>325</v>
      </c>
      <c r="D311" s="1013" t="s">
        <v>0</v>
      </c>
      <c r="E311" s="1057"/>
      <c r="F311" s="1057" t="s">
        <v>1</v>
      </c>
      <c r="G311" s="1057"/>
      <c r="H311" s="1057" t="s">
        <v>2</v>
      </c>
      <c r="I311" s="1057"/>
      <c r="J311" s="1057" t="s">
        <v>3</v>
      </c>
      <c r="K311" s="1057"/>
      <c r="L311" s="1057" t="s">
        <v>4</v>
      </c>
      <c r="M311" s="1057"/>
      <c r="N311" s="1057" t="s">
        <v>5</v>
      </c>
      <c r="O311" s="1057"/>
      <c r="P311" s="1057" t="s">
        <v>6</v>
      </c>
      <c r="Q311" s="1057"/>
      <c r="R311" s="1057" t="s">
        <v>7</v>
      </c>
      <c r="S311" s="1057"/>
      <c r="T311" s="1057" t="s">
        <v>8</v>
      </c>
      <c r="U311" s="1057"/>
      <c r="V311" s="1057" t="s">
        <v>23</v>
      </c>
      <c r="W311" s="1057"/>
      <c r="X311" s="1057" t="s">
        <v>24</v>
      </c>
      <c r="Y311" s="1057"/>
      <c r="Z311" s="1057" t="s">
        <v>9</v>
      </c>
      <c r="AA311" s="1012"/>
      <c r="AB311" s="1012" t="s">
        <v>1020</v>
      </c>
      <c r="AC311" s="1013"/>
      <c r="AD311" s="1012" t="s">
        <v>1021</v>
      </c>
      <c r="AE311" s="1013"/>
      <c r="AF311" s="1012" t="s">
        <v>1022</v>
      </c>
      <c r="AG311" s="1013"/>
      <c r="AH311" s="1012" t="s">
        <v>1022</v>
      </c>
      <c r="AI311" s="1016"/>
      <c r="AJ311" s="1194" t="s">
        <v>19</v>
      </c>
      <c r="AK311" s="1192" t="s">
        <v>378</v>
      </c>
      <c r="AL311" s="1183" t="s">
        <v>384</v>
      </c>
      <c r="AM311" s="1058" t="s">
        <v>385</v>
      </c>
      <c r="AN311" s="1047" t="s">
        <v>385</v>
      </c>
      <c r="AO311" s="13">
        <v>228</v>
      </c>
      <c r="AP311" s="74"/>
      <c r="AQ311" s="75"/>
    </row>
    <row r="312" spans="1:43" ht="25.9" hidden="1" thickBot="1" x14ac:dyDescent="0.8">
      <c r="A312" s="1040"/>
      <c r="B312" s="1176"/>
      <c r="C312" s="1050"/>
      <c r="D312" s="697" t="s">
        <v>10</v>
      </c>
      <c r="E312" s="295" t="s">
        <v>11</v>
      </c>
      <c r="F312" s="295" t="s">
        <v>10</v>
      </c>
      <c r="G312" s="295" t="s">
        <v>11</v>
      </c>
      <c r="H312" s="295" t="s">
        <v>10</v>
      </c>
      <c r="I312" s="295" t="s">
        <v>11</v>
      </c>
      <c r="J312" s="295" t="s">
        <v>10</v>
      </c>
      <c r="K312" s="295" t="s">
        <v>11</v>
      </c>
      <c r="L312" s="295" t="s">
        <v>10</v>
      </c>
      <c r="M312" s="295" t="s">
        <v>11</v>
      </c>
      <c r="N312" s="295" t="s">
        <v>10</v>
      </c>
      <c r="O312" s="295" t="s">
        <v>11</v>
      </c>
      <c r="P312" s="295" t="s">
        <v>10</v>
      </c>
      <c r="Q312" s="295" t="s">
        <v>11</v>
      </c>
      <c r="R312" s="295" t="s">
        <v>10</v>
      </c>
      <c r="S312" s="295" t="s">
        <v>11</v>
      </c>
      <c r="T312" s="295" t="s">
        <v>10</v>
      </c>
      <c r="U312" s="295" t="s">
        <v>11</v>
      </c>
      <c r="V312" s="295" t="s">
        <v>10</v>
      </c>
      <c r="W312" s="295" t="s">
        <v>11</v>
      </c>
      <c r="X312" s="295" t="s">
        <v>10</v>
      </c>
      <c r="Y312" s="295" t="s">
        <v>11</v>
      </c>
      <c r="Z312" s="295" t="s">
        <v>10</v>
      </c>
      <c r="AA312" s="506" t="s">
        <v>11</v>
      </c>
      <c r="AB312" s="295" t="s">
        <v>10</v>
      </c>
      <c r="AC312" s="295" t="s">
        <v>11</v>
      </c>
      <c r="AD312" s="295" t="s">
        <v>10</v>
      </c>
      <c r="AE312" s="295" t="s">
        <v>11</v>
      </c>
      <c r="AF312" s="295" t="s">
        <v>10</v>
      </c>
      <c r="AG312" s="295" t="s">
        <v>11</v>
      </c>
      <c r="AH312" s="295" t="s">
        <v>10</v>
      </c>
      <c r="AI312" s="698" t="s">
        <v>11</v>
      </c>
      <c r="AJ312" s="1195"/>
      <c r="AK312" s="1193"/>
      <c r="AL312" s="1127"/>
      <c r="AM312" s="1058"/>
      <c r="AN312" s="1048"/>
      <c r="AO312" s="13">
        <v>229</v>
      </c>
      <c r="AP312" s="74"/>
      <c r="AQ312" s="75"/>
    </row>
    <row r="313" spans="1:43" ht="25.5" hidden="1" x14ac:dyDescent="0.75">
      <c r="A313" s="1114" t="s">
        <v>480</v>
      </c>
      <c r="B313" s="1" t="s">
        <v>494</v>
      </c>
      <c r="C313" s="613" t="s">
        <v>370</v>
      </c>
      <c r="D313" s="708"/>
      <c r="E313" s="708"/>
      <c r="F313" s="708"/>
      <c r="G313" s="708"/>
      <c r="H313" s="708"/>
      <c r="I313" s="708"/>
      <c r="J313" s="743"/>
      <c r="K313" s="732"/>
      <c r="L313" s="708"/>
      <c r="M313" s="642"/>
      <c r="N313" s="708"/>
      <c r="O313" s="642"/>
      <c r="P313" s="708"/>
      <c r="Q313" s="642"/>
      <c r="R313" s="708"/>
      <c r="S313" s="642"/>
      <c r="T313" s="708"/>
      <c r="U313" s="642"/>
      <c r="V313" s="708"/>
      <c r="W313" s="642"/>
      <c r="X313" s="708"/>
      <c r="Y313" s="642"/>
      <c r="Z313" s="708"/>
      <c r="AA313" s="730">
        <f>SUM(AC313,AE313,AG313,AI313)</f>
        <v>0</v>
      </c>
      <c r="AB313" s="644"/>
      <c r="AC313" s="709"/>
      <c r="AD313" s="642"/>
      <c r="AE313" s="709"/>
      <c r="AF313" s="642"/>
      <c r="AG313" s="709"/>
      <c r="AH313" s="643"/>
      <c r="AI313" s="705"/>
      <c r="AJ313" s="702">
        <f>SUM(D313:AA313)</f>
        <v>0</v>
      </c>
      <c r="AK313" s="139" t="str">
        <f>CONCATENATE(IF(D314&gt;SUM(D331)," * Start HAART at ANC 1 for Age "&amp;D20&amp;" "&amp;D21&amp;" is more than Starting ART"&amp;CHAR(10),""),IF(E314&gt;SUM(E331)," * Start HAART at ANC 1  for Age "&amp;D20&amp;" "&amp;E21&amp;" is more than Starting ART"&amp;CHAR(10),""),IF(F314&gt;SUM(F331)," * Start HAART at ANC 1  for Age "&amp;F20&amp;" "&amp;F21&amp;" is more than Starting ART"&amp;CHAR(10),""),IF(G314&gt;SUM(G331)," * Start HAART at ANC 1  for Age "&amp;F20&amp;" "&amp;G21&amp;" is more than Starting ART"&amp;CHAR(10),""),IF(H314&gt;SUM(H331)," * Start HAART at ANC 1  for Age "&amp;H20&amp;" "&amp;H21&amp;" is more than Starting ART"&amp;CHAR(10),""),IF(I314&gt;SUM(I331)," * Start HAART at ANC 1  for Age "&amp;H20&amp;" "&amp;I21&amp;" is more than Starting ART"&amp;CHAR(10),""),IF(J314&gt;SUM(J331)," * Start HAART at ANC 1  for Age "&amp;J20&amp;" "&amp;J21&amp;" is more than Starting ART"&amp;CHAR(10),""),IF(K314&gt;SUM(K331)," * Start HAART at ANC 1  for Age "&amp;J20&amp;" "&amp;K21&amp;" is more than Starting ART"&amp;CHAR(10),""),IF(L314&gt;SUM(L331)," * Start HAART at ANC 1  for Age "&amp;L20&amp;" "&amp;L21&amp;" is more than Starting ART"&amp;CHAR(10),""),IF(M314&gt;SUM(M331)," * Start HAART at ANC 1  for Age "&amp;L20&amp;" "&amp;M21&amp;" is more than Starting ART"&amp;CHAR(10),""),IF(N314&gt;SUM(N331)," * Start HAART at ANC 1  for Age "&amp;N20&amp;" "&amp;N21&amp;" is more than Starting ART"&amp;CHAR(10),""),IF(O314&gt;SUM(O331)," * Start HAART at ANC 1  for Age "&amp;N20&amp;" "&amp;O21&amp;" is more than Starting ART"&amp;CHAR(10),""),IF(P314&gt;SUM(P331)," * Start HAART at ANC 1  for Age "&amp;P20&amp;" "&amp;P21&amp;" is more than Starting ART"&amp;CHAR(10),""),IF(Q314&gt;SUM(Q331)," * Start HAART at ANC 1  for Age "&amp;P20&amp;" "&amp;Q21&amp;" is more than Starting ART"&amp;CHAR(10),""),IF(R314&gt;SUM(R331)," * Start HAART at ANC 1  for Age "&amp;R20&amp;" "&amp;R21&amp;" is more than Starting ART"&amp;CHAR(10),""),IF(S314&gt;SUM(S331)," * Start HAART at ANC 1  for Age "&amp;R20&amp;" "&amp;S21&amp;" is more than Starting ART"&amp;CHAR(10),""),IF(T314&gt;SUM(T331)," * Start HAART at ANC 1  for Age "&amp;T20&amp;" "&amp;T21&amp;" is more than Starting ART"&amp;CHAR(10),""),IF(U314&gt;SUM(U331)," * Start HAART at ANC 1  for Age "&amp;T20&amp;" "&amp;U21&amp;" is more than Starting ART"&amp;CHAR(10),""),IF(V314&gt;SUM(V331)," * Start HAART at ANC 1  for Age "&amp;V20&amp;" "&amp;V21&amp;" is more than Starting ART"&amp;CHAR(10),""),IF(W314&gt;SUM(W331)," * Start HAART at ANC 1  for Age "&amp;V20&amp;" "&amp;W21&amp;" is more than Starting ART"&amp;CHAR(10),""),IF(X314&gt;SUM(X331)," * Start HAART at ANC 1  for Age "&amp;X20&amp;" "&amp;X21&amp;" is more than Starting ART"&amp;CHAR(10),""),IF(Y314&gt;SUM(Y331)," * Start HAART at ANC 1  for Age "&amp;X20&amp;" "&amp;Y21&amp;" is more than Starting ART"&amp;CHAR(10),""),IF(Z314&gt;SUM(Z331)," * Start HAART at ANC 1  for Age "&amp;Z20&amp;" "&amp;Z21&amp;" is more than Starting ART"&amp;CHAR(10),""),IF(AA314&gt;SUM(AA331)," * Start HAART at ANC 1  for Age "&amp;Z20&amp;" "&amp;AA21&amp;" is more than Starting ART"&amp;CHAR(10),""))</f>
        <v/>
      </c>
      <c r="AL313" s="1065" t="str">
        <f>CONCATENATE(AK313,AK314,AK318,AK320,AK324,AK325,AK326,AK327,AK319,AK321,AK322,AK316,AK315,AK317,AK323)</f>
        <v/>
      </c>
      <c r="AM313" s="73" t="str">
        <f>CONCATENATE(IF(D313&lt;D278," * ON HAART at 1st ANC for Age "&amp;D20&amp;" "&amp;D21&amp;" is less than KP at 1st ANC "&amp;CHAR(10),""),IF(E313&lt;E278," * ON HAART at 1st ANC for Age "&amp;D20&amp;" "&amp;E21&amp;" is less than KP at 1st ANC "&amp;CHAR(10),""),IF(F313&lt;F278," * ON HAART at 1st ANC for Age "&amp;F20&amp;" "&amp;F21&amp;" is less than KP at 1st ANC "&amp;CHAR(10),""),IF(G313&lt;G278," * ON HAART at 1st ANC for Age "&amp;F20&amp;" "&amp;G21&amp;" is less than KP at 1st ANC "&amp;CHAR(10),""),IF(H313&lt;H278," * ON HAART at 1st ANC for Age "&amp;H20&amp;" "&amp;H21&amp;" is less than KP at 1st ANC "&amp;CHAR(10),""),IF(I313&lt;I278," * ON HAART at 1st ANC for Age "&amp;H20&amp;" "&amp;I21&amp;" is less than KP at 1st ANC "&amp;CHAR(10),""),IF(J313&lt;J278," * ON HAART at 1st ANC for Age "&amp;J20&amp;" "&amp;J21&amp;" is less than KP at 1st ANC "&amp;CHAR(10),""),IF(K313&lt;K278," * ON HAART at 1st ANC for Age "&amp;J20&amp;" "&amp;K21&amp;" is less than KP at 1st ANC "&amp;CHAR(10),""),IF(L313&lt;L278," * ON HAART at 1st ANC for Age "&amp;L20&amp;" "&amp;L21&amp;" is less than KP at 1st ANC "&amp;CHAR(10),""),IF(M313&lt;M278," * ON HAART at 1st ANC for Age "&amp;L20&amp;" "&amp;M21&amp;" is less than KP at 1st ANC "&amp;CHAR(10),""),IF(N313&lt;N278," * ON HAART at 1st ANC for Age "&amp;N20&amp;" "&amp;N21&amp;" is less than KP at 1st ANC "&amp;CHAR(10),""),IF(O313&lt;O278," * ON HAART at 1st ANC for Age "&amp;N20&amp;" "&amp;O21&amp;" is less than KP at 1st ANC "&amp;CHAR(10),""),IF(P313&lt;P278," * ON HAART at 1st ANC for Age "&amp;P20&amp;" "&amp;P21&amp;" is less than KP at 1st ANC "&amp;CHAR(10),""),IF(Q313&lt;Q278," * ON HAART at 1st ANC for Age "&amp;P20&amp;" "&amp;Q21&amp;" is less than KP at 1st ANC "&amp;CHAR(10),""),IF(R313&lt;R278," * ON HAART at 1st ANC for Age "&amp;R20&amp;" "&amp;R21&amp;" is less than KP at 1st ANC "&amp;CHAR(10),""),IF(S313&lt;S278," * ON HAART at 1st ANC for Age "&amp;R20&amp;" "&amp;S21&amp;" is less than KP at 1st ANC "&amp;CHAR(10),""),IF(T313&lt;T278," * ON HAART at 1st ANC for Age "&amp;T20&amp;" "&amp;T21&amp;" is less than KP at 1st ANC "&amp;CHAR(10),""),IF(U313&lt;U278," * ON HAART at 1st ANC for Age "&amp;T20&amp;" "&amp;U21&amp;" is less than KP at 1st ANC "&amp;CHAR(10),""),IF(V313&lt;V278," * ON HAART at 1st ANC for Age "&amp;V20&amp;" "&amp;V21&amp;" is less than KP at 1st ANC "&amp;CHAR(10),""),IF(W313&lt;W278," * ON HAART at 1st ANC for Age "&amp;V20&amp;" "&amp;W21&amp;" is less than KP at 1st ANC "&amp;CHAR(10),""),IF(X313&lt;X278," * ON HAART at 1st ANC for Age "&amp;X20&amp;" "&amp;X21&amp;" is less than KP at 1st ANC "&amp;CHAR(10),""),IF(Y313&lt;Y278," * ON HAART at 1st ANC for Age "&amp;X20&amp;" "&amp;Y21&amp;" is less than KP at 1st ANC "&amp;CHAR(10),""),IF(Z313&lt;Z278," * ON HAART at 1st ANC for Age "&amp;Z20&amp;" "&amp;Z21&amp;" is less than KP at 1st ANC "&amp;CHAR(10),""),IF(AA313&lt;AA278," * ON HAART at 1st ANC for Age "&amp;Z20&amp;" "&amp;AA21&amp;" is less than KP at 1st ANC "&amp;CHAR(10),""))</f>
        <v/>
      </c>
      <c r="AN313" s="1051" t="str">
        <f>CONCATENATE(AM313,AM314,AM318,AM320,AM324,AM325,AM326,AM327,AM315,AM316,AM317,AM321,AM322)</f>
        <v/>
      </c>
      <c r="AO313" s="13">
        <v>230</v>
      </c>
      <c r="AP313" s="74"/>
      <c r="AQ313" s="75"/>
    </row>
    <row r="314" spans="1:43" ht="25.5" hidden="1" x14ac:dyDescent="0.75">
      <c r="A314" s="1115"/>
      <c r="B314" s="2" t="s">
        <v>495</v>
      </c>
      <c r="C314" s="592" t="s">
        <v>371</v>
      </c>
      <c r="D314" s="699"/>
      <c r="E314" s="699"/>
      <c r="F314" s="699"/>
      <c r="G314" s="699"/>
      <c r="H314" s="699"/>
      <c r="I314" s="699"/>
      <c r="J314" s="744"/>
      <c r="K314" s="742"/>
      <c r="L314" s="699"/>
      <c r="M314" s="700"/>
      <c r="N314" s="699"/>
      <c r="O314" s="700"/>
      <c r="P314" s="699"/>
      <c r="Q314" s="700"/>
      <c r="R314" s="699"/>
      <c r="S314" s="700"/>
      <c r="T314" s="699"/>
      <c r="U314" s="700"/>
      <c r="V314" s="699"/>
      <c r="W314" s="700"/>
      <c r="X314" s="699"/>
      <c r="Y314" s="700"/>
      <c r="Z314" s="699"/>
      <c r="AA314" s="752">
        <f t="shared" ref="AA314:AA323" si="112">SUM(AC314,AE314,AG314,AI314)</f>
        <v>0</v>
      </c>
      <c r="AB314" s="645"/>
      <c r="AC314" s="701"/>
      <c r="AD314" s="700"/>
      <c r="AE314" s="701"/>
      <c r="AF314" s="700"/>
      <c r="AG314" s="701"/>
      <c r="AH314" s="710"/>
      <c r="AI314" s="706"/>
      <c r="AJ314" s="702">
        <f t="shared" ref="AJ314:AJ327" si="113">SUM(D314:AA314)</f>
        <v>0</v>
      </c>
      <c r="AK314" s="116" t="str">
        <f>CONCATENATE(IF(D314&gt;SUM(D280)," * Start HAART at ANC 1 for Age "&amp;D20&amp;" "&amp;D21&amp;" is more than Positive Test at ANC 1"&amp;CHAR(10),""),IF(E314&gt;SUM(E280)," * Start HAART at ANC 1  for Age "&amp;D20&amp;" "&amp;E21&amp;" is more than Positive Test at ANC 1"&amp;CHAR(10),""),IF(F314&gt;SUM(F280)," * Start HAART at ANC 1  for Age "&amp;F20&amp;" "&amp;F21&amp;" is more than Positive Test at ANC 1"&amp;CHAR(10),""),IF(G314&gt;SUM(G280)," * Start HAART at ANC 1  for Age "&amp;F20&amp;" "&amp;G21&amp;" is more than Positive Test at ANC 1"&amp;CHAR(10),""),IF(H314&gt;SUM(H280)," * Start HAART at ANC 1  for Age "&amp;H20&amp;" "&amp;H21&amp;" is more than Positive Test at ANC 1"&amp;CHAR(10),""),IF(I314&gt;SUM(I280)," * Start HAART at ANC 1  for Age "&amp;H20&amp;" "&amp;I21&amp;" is more than Positive Test at ANC 1"&amp;CHAR(10),""),IF(J314&gt;SUM(J280)," * Start HAART at ANC 1  for Age "&amp;J20&amp;" "&amp;J21&amp;" is more than Positive Test at ANC 1"&amp;CHAR(10),""),IF(K314&gt;SUM(K280)," * Start HAART at ANC 1  for Age "&amp;J20&amp;" "&amp;K21&amp;" is more than Positive Test at ANC 1"&amp;CHAR(10),""),IF(L314&gt;SUM(L280)," * Start HAART at ANC 1  for Age "&amp;L20&amp;" "&amp;L21&amp;" is more than Positive Test at ANC 1"&amp;CHAR(10),""),IF(M314&gt;SUM(M280)," * Start HAART at ANC 1  for Age "&amp;L20&amp;" "&amp;M21&amp;" is more than Positive Test at ANC 1"&amp;CHAR(10),""),IF(N314&gt;SUM(N280)," * Start HAART at ANC 1  for Age "&amp;N20&amp;" "&amp;N21&amp;" is more than Positive Test at ANC 1"&amp;CHAR(10),""),IF(O314&gt;SUM(O280)," * Start HAART at ANC 1  for Age "&amp;N20&amp;" "&amp;O21&amp;" is more than Positive Test at ANC 1"&amp;CHAR(10),""),IF(P314&gt;SUM(P280)," * Start HAART at ANC 1  for Age "&amp;P20&amp;" "&amp;P21&amp;" is more than Positive Test at ANC 1"&amp;CHAR(10),""),IF(Q314&gt;SUM(Q280)," * Start HAART at ANC 1  for Age "&amp;P20&amp;" "&amp;Q21&amp;" is more than Positive Test at ANC 1"&amp;CHAR(10),""),IF(R314&gt;SUM(R280)," * Start HAART at ANC 1  for Age "&amp;R20&amp;" "&amp;R21&amp;" is more than Positive Test at ANC 1"&amp;CHAR(10),""),IF(S314&gt;SUM(S280)," * Start HAART at ANC 1  for Age "&amp;R20&amp;" "&amp;S21&amp;" is more than Positive Test at ANC 1"&amp;CHAR(10),""),IF(T314&gt;SUM(T280)," * Start HAART at ANC 1  for Age "&amp;T20&amp;" "&amp;T21&amp;" is more than Positive Test at ANC 1"&amp;CHAR(10),""),IF(U314&gt;SUM(U280)," * Start HAART at ANC 1  for Age "&amp;T20&amp;" "&amp;U21&amp;" is more than Positive Test at ANC 1"&amp;CHAR(10),""),IF(V314&gt;SUM(V280)," * Start HAART at ANC 1  for Age "&amp;V20&amp;" "&amp;V21&amp;" is more than Positive Test at ANC 1"&amp;CHAR(10),""),IF(W314&gt;SUM(W280)," * Start HAART at ANC 1  for Age "&amp;V20&amp;" "&amp;W21&amp;" is more than Positive Test at ANC 1"&amp;CHAR(10),""),IF(X314&gt;SUM(X280)," * Start HAART at ANC 1  for Age "&amp;X20&amp;" "&amp;X21&amp;" is more than Positive Test at ANC 1"&amp;CHAR(10),""),IF(Y314&gt;SUM(Y280)," * Start HAART at ANC 1  for Age "&amp;X20&amp;" "&amp;Y21&amp;" is more than Positive Test at ANC 1"&amp;CHAR(10),""),IF(Z314&gt;SUM(Z280)," * Start HAART at ANC 1  for Age "&amp;Z20&amp;" "&amp;Z21&amp;" is more than Positive Test at ANC 1"&amp;CHAR(10),""),IF(AA314&gt;SUM(AA280)," * Start HAART at ANC 1  for Age "&amp;Z20&amp;" "&amp;AA21&amp;" is more than Positive Test at ANC 1"&amp;CHAR(10),""),IF(AJ314&gt;SUM(AJ280)," * Total Start HAART at ANC 1  is more than Positive Test at ANC 1"&amp;CHAR(10),""))</f>
        <v/>
      </c>
      <c r="AL314" s="1066"/>
      <c r="AM314" s="31" t="str">
        <f>CONCATENATE(IF(D314&lt;SUM(D280)," * New positive at ANC1 for Age "&amp;D20&amp;" "&amp;D21&amp;" is greater than Start HAART ANC1"&amp;CHAR(10),""),IF(E314&lt;SUM(E280)," * New positive at ANC1 for Age "&amp;D20&amp;" "&amp;E21&amp;" is greater than Start HAART ANC1"&amp;CHAR(10),""),IF(F314&lt;SUM(F280)," * New positive at ANC1 for Age "&amp;F20&amp;" "&amp;F21&amp;" is greater than Start HAART ANC1"&amp;CHAR(10),""),IF(G314&lt;SUM(G280)," * New positive at ANC1 for Age "&amp;F20&amp;" "&amp;G21&amp;" is greater than Start HAART ANC1"&amp;CHAR(10),""),IF(H314&lt;SUM(H280)," * New positive at ANC1 for Age "&amp;H20&amp;" "&amp;H21&amp;" is greater than Start HAART ANC1"&amp;CHAR(10),""),IF(I314&lt;SUM(I280)," * New positive at ANC1 for Age "&amp;H20&amp;" "&amp;I21&amp;" is greater than Start HAART ANC1"&amp;CHAR(10),""),IF(J314&lt;SUM(J280)," * New positive at ANC1 for Age "&amp;J20&amp;" "&amp;J21&amp;" is greater than Start HAART ANC1"&amp;CHAR(10),""),IF(K314&lt;SUM(K280)," * New positive at ANC1 for Age "&amp;J20&amp;" "&amp;K21&amp;" is greater than Start HAART ANC1"&amp;CHAR(10),""),IF(L314&lt;SUM(L280)," * New positive at ANC1 for Age "&amp;L20&amp;" "&amp;L21&amp;" is greater than Start HAART ANC1"&amp;CHAR(10),""),IF(M314&lt;SUM(M280)," * New positive at ANC1 for Age "&amp;L20&amp;" "&amp;M21&amp;" is greater than Start HAART ANC1"&amp;CHAR(10),""),IF(N314&lt;SUM(N280)," * New positive at ANC1 for Age "&amp;N20&amp;" "&amp;N21&amp;" is greater than Start HAART ANC1"&amp;CHAR(10),""),IF(O314&lt;SUM(O280)," * New positive at ANC1 for Age "&amp;N20&amp;" "&amp;O21&amp;" is greater than Start HAART ANC1"&amp;CHAR(10),""),IF(P314&lt;SUM(P280)," * New positive at ANC1 for Age "&amp;P20&amp;" "&amp;P21&amp;" is greater than Start HAART ANC1"&amp;CHAR(10),""),IF(Q314&lt;SUM(Q280)," * New positive at ANC1 for Age "&amp;P20&amp;" "&amp;Q21&amp;" is greater than Start HAART ANC1"&amp;CHAR(10),""),IF(R314&lt;SUM(R280)," * New positive at ANC1 for Age "&amp;R20&amp;" "&amp;R21&amp;" is greater than Start HAART ANC1"&amp;CHAR(10),""),IF(S314&lt;SUM(S280)," * New positive at ANC1 for Age "&amp;R20&amp;" "&amp;S21&amp;" is greater than Start HAART ANC1"&amp;CHAR(10),""),IF(T314&lt;SUM(T280)," * New positive at ANC1 for Age "&amp;T20&amp;" "&amp;T21&amp;" is greater than Start HAART ANC1"&amp;CHAR(10),""),IF(U314&lt;SUM(U280)," * New positive at ANC1 for Age "&amp;T20&amp;" "&amp;U21&amp;" is greater than Start HAART ANC1"&amp;CHAR(10),""),IF(V314&lt;SUM(V280)," * New positive at ANC1 for Age "&amp;V20&amp;" "&amp;V21&amp;" is greater than Start HAART ANC1"&amp;CHAR(10),""),IF(W314&lt;SUM(W280)," * New positive at ANC1 for Age "&amp;V20&amp;" "&amp;W21&amp;" is greater than Start HAART ANC1"&amp;CHAR(10),""),IF(X314&lt;SUM(X280)," * New positive at ANC1 for Age "&amp;X20&amp;" "&amp;X21&amp;" is greater than Start HAART ANC1"&amp;CHAR(10),""),IF(Y314&lt;SUM(Y280)," * New positive at ANC1 for Age "&amp;X20&amp;" "&amp;Y21&amp;" is greater than Start HAART ANC1"&amp;CHAR(10),""),IF(Z314&lt;SUM(Z280)," * New positive at ANC1 for Age "&amp;Z20&amp;" "&amp;Z21&amp;" is greater than Start HAART ANC1"&amp;CHAR(10),""),IF(AA314&lt;SUM(AA280)," * New positive at ANC1 for Age "&amp;Z20&amp;" "&amp;AA21&amp;" is greater than Start HAART ANC1"&amp;CHAR(10),""))</f>
        <v/>
      </c>
      <c r="AN314" s="1052"/>
      <c r="AO314" s="13">
        <v>231</v>
      </c>
      <c r="AP314" s="74"/>
      <c r="AQ314" s="75"/>
    </row>
    <row r="315" spans="1:43" ht="25.9" hidden="1" thickBot="1" x14ac:dyDescent="0.8">
      <c r="A315" s="1116"/>
      <c r="B315" s="273" t="s">
        <v>496</v>
      </c>
      <c r="C315" s="614" t="s">
        <v>502</v>
      </c>
      <c r="D315" s="711"/>
      <c r="E315" s="711"/>
      <c r="F315" s="711"/>
      <c r="G315" s="711"/>
      <c r="H315" s="711"/>
      <c r="I315" s="711"/>
      <c r="J315" s="745"/>
      <c r="K315" s="753">
        <f>SUM(K313:K314)</f>
        <v>0</v>
      </c>
      <c r="L315" s="711"/>
      <c r="M315" s="712">
        <f>SUM(M313:M314)</f>
        <v>0</v>
      </c>
      <c r="N315" s="711"/>
      <c r="O315" s="712">
        <f>SUM(O313:O314)</f>
        <v>0</v>
      </c>
      <c r="P315" s="711"/>
      <c r="Q315" s="712">
        <f>SUM(Q313:Q314)</f>
        <v>0</v>
      </c>
      <c r="R315" s="711"/>
      <c r="S315" s="712">
        <f>SUM(S313:S314)</f>
        <v>0</v>
      </c>
      <c r="T315" s="711"/>
      <c r="U315" s="712">
        <f>SUM(U313:U314)</f>
        <v>0</v>
      </c>
      <c r="V315" s="711"/>
      <c r="W315" s="712">
        <f>SUM(W313:W314)</f>
        <v>0</v>
      </c>
      <c r="X315" s="711"/>
      <c r="Y315" s="712">
        <f>SUM(Y313:Y314)</f>
        <v>0</v>
      </c>
      <c r="Z315" s="711"/>
      <c r="AA315" s="731">
        <f t="shared" si="112"/>
        <v>0</v>
      </c>
      <c r="AB315" s="749">
        <f>SUM(AB313:AB314)</f>
        <v>0</v>
      </c>
      <c r="AC315" s="711"/>
      <c r="AD315" s="712">
        <f>SUM(AD313:AD314)</f>
        <v>0</v>
      </c>
      <c r="AE315" s="711"/>
      <c r="AF315" s="712">
        <f>SUM(AF313:AF314)</f>
        <v>0</v>
      </c>
      <c r="AG315" s="711"/>
      <c r="AH315" s="713">
        <f>SUM(AH313:AH314)</f>
        <v>0</v>
      </c>
      <c r="AI315" s="707"/>
      <c r="AJ315" s="702">
        <f t="shared" si="113"/>
        <v>0</v>
      </c>
      <c r="AK315" s="116"/>
      <c r="AL315" s="1066"/>
      <c r="AM315" s="31"/>
      <c r="AN315" s="1052"/>
      <c r="AO315" s="13">
        <v>232</v>
      </c>
      <c r="AP315" s="74"/>
      <c r="AQ315" s="75"/>
    </row>
    <row r="316" spans="1:43" ht="25.5" hidden="1" x14ac:dyDescent="0.75">
      <c r="A316" s="944" t="s">
        <v>1007</v>
      </c>
      <c r="B316" s="1" t="s">
        <v>696</v>
      </c>
      <c r="C316" s="613" t="s">
        <v>503</v>
      </c>
      <c r="D316" s="708"/>
      <c r="E316" s="708"/>
      <c r="F316" s="708"/>
      <c r="G316" s="708"/>
      <c r="H316" s="708"/>
      <c r="I316" s="708"/>
      <c r="J316" s="743"/>
      <c r="K316" s="732"/>
      <c r="L316" s="708"/>
      <c r="M316" s="642"/>
      <c r="N316" s="708"/>
      <c r="O316" s="642"/>
      <c r="P316" s="708"/>
      <c r="Q316" s="642"/>
      <c r="R316" s="708"/>
      <c r="S316" s="642"/>
      <c r="T316" s="708"/>
      <c r="U316" s="642"/>
      <c r="V316" s="708"/>
      <c r="W316" s="642"/>
      <c r="X316" s="708"/>
      <c r="Y316" s="642"/>
      <c r="Z316" s="708"/>
      <c r="AA316" s="730">
        <f t="shared" si="112"/>
        <v>0</v>
      </c>
      <c r="AB316" s="644"/>
      <c r="AC316" s="709"/>
      <c r="AD316" s="642"/>
      <c r="AE316" s="709"/>
      <c r="AF316" s="642"/>
      <c r="AG316" s="709"/>
      <c r="AH316" s="643"/>
      <c r="AI316" s="714"/>
      <c r="AJ316" s="628">
        <f t="shared" si="113"/>
        <v>0</v>
      </c>
      <c r="AK316" s="116"/>
      <c r="AL316" s="1066"/>
      <c r="AM316" s="60" t="str">
        <f>CONCATENATE(IF(D317&lt;&gt;SUM(D286)," * Retest Positive Result at ANC 2 and above for Age "&amp;D20&amp;" "&amp;D21&amp;" is not equal to Initial start HAART at ANC2 and above"&amp;CHAR(10),""),IF(E317&lt;&gt;SUM(E286)," * Retest Positive Result at ANC 2 and above for Age "&amp;D20&amp;" "&amp;E21&amp;" is not equal to Initial start HAART at ANC2 and above"&amp;CHAR(10),""),IF(F317&lt;&gt;SUM(F286)," * Retest Positive Result at ANC 2 and above for Age "&amp;F20&amp;" "&amp;F21&amp;" is not equal to Initial start HAART at ANC2 and above"&amp;CHAR(10),""),IF(G317&lt;&gt;SUM(G286)," * Retest Positive Result at ANC 2 and above for Age "&amp;F20&amp;" "&amp;G21&amp;" is not equal to Initial start HAART at ANC2 and above"&amp;CHAR(10),""),IF(H317&lt;&gt;SUM(H286)," * Retest Positive Result at ANC 2 and above for Age "&amp;H20&amp;" "&amp;H21&amp;" is not equal to Initial start HAART at ANC2 and above"&amp;CHAR(10),""),IF(I317&lt;&gt;SUM(I286)," * Retest Positive Result at ANC 2 and above for Age "&amp;H20&amp;" "&amp;I21&amp;" is not equal to Initial start HAART at ANC2 and above"&amp;CHAR(10),""),IF(J317&lt;&gt;SUM(J286)," * Retest Positive Result at ANC 2 and above for Age "&amp;J20&amp;" "&amp;J21&amp;" is not equal to Initial start HAART at ANC2 and above"&amp;CHAR(10),""),IF(K317&lt;&gt;K286," * Retest Positive Result at ANC 2 and above for Age "&amp;J20&amp;" "&amp;K21&amp;" is not equal to Initial start HAART at ANC2 and above"&amp;CHAR(10),""),IF(L317&lt;&gt;SUM(L286)," * Retest Positive Result at ANC 2 and above for Age "&amp;L20&amp;" "&amp;L21&amp;" is not equal to Initial start HAART at ANC2 and above"&amp;CHAR(10),""),IF(M317&lt;&gt;SUM(M286)," * Retest Positive Result at ANC 2 and above for Age "&amp;L20&amp;" "&amp;M21&amp;" is not equal to Initial start HAART at ANC2 and above"&amp;CHAR(10),""),IF(N317&lt;&gt;SUM(N286)," * Retest Positive Result at ANC 2 and above for Age "&amp;N20&amp;" "&amp;N21&amp;" is not equal to Initial start HAART at ANC2 and above"&amp;CHAR(10),""),IF(O317&lt;&gt;SUM(O286)," * Retest Positive Result at ANC 2 and above for Age "&amp;N20&amp;" "&amp;O21&amp;" is not equal to Initial start HAART at ANC2 and above"&amp;CHAR(10),""),IF(P317&lt;&gt;SUM(P286)," * Retest Positive Result at ANC 2 and above for Age "&amp;P20&amp;" "&amp;P21&amp;" is not equal to Initial start HAART at ANC2 and above"&amp;CHAR(10),""),IF(Q317&lt;&gt;SUM(Q286)," * Retest Positive Result at ANC 2 and above for Age "&amp;P20&amp;" "&amp;Q21&amp;" is not equal to Initial start HAART at ANC2 and above"&amp;CHAR(10),""),IF(R317&lt;&gt;SUM(R286)," * Retest Positive Result at ANC 2 and above for Age "&amp;R20&amp;" "&amp;R21&amp;" is not equal to Initial start HAART at ANC2 and above"&amp;CHAR(10),""),IF(S317&lt;&gt;SUM(S286)," * Retest Positive Result at ANC 2 and above for Age "&amp;R20&amp;" "&amp;S21&amp;" is not equal to Initial start HAART at ANC2 and above"&amp;CHAR(10),""),IF(T317&lt;&gt;SUM(T286)," * Retest Positive Result at ANC 2 and above for Age "&amp;T20&amp;" "&amp;T21&amp;" is not equal to Initial start HAART at ANC2 and above"&amp;CHAR(10),""),IF(U317&lt;&gt;SUM(U286)," * Retest Positive Result at ANC 2 and above for Age "&amp;T20&amp;" "&amp;U21&amp;" is not equal to Initial start HAART at ANC2 and above"&amp;CHAR(10),""),IF(V317&lt;&gt;SUM(V286)," * Retest Positive Result at ANC 2 and above for Age "&amp;V20&amp;" "&amp;V21&amp;" is not equal to Initial start HAART at ANC2 and above"&amp;CHAR(10),""),IF(W317&lt;&gt;SUM(W286)," * Retest Positive Result at ANC 2 and above for Age "&amp;V20&amp;" "&amp;W21&amp;" is not equal to Initial start HAART at ANC2 and above"&amp;CHAR(10),""),IF(X317&lt;&gt;SUM(X286)," * Retest Positive Result at ANC 2 and above for Age "&amp;X20&amp;" "&amp;X21&amp;" is not equal to Initial start HAART at ANC2 and above"&amp;CHAR(10),""),IF(Y317&lt;&gt;SUM(Y286)," * Retest Positive Result at ANC 2 and above for Age "&amp;X20&amp;" "&amp;Y21&amp;" is not equal to Initial start HAART at ANC2 and above"&amp;CHAR(10),""),IF(Z317&lt;&gt;SUM(Z286)," * Retest Positive Result at ANC 2 and above for Age "&amp;Z20&amp;" "&amp;Z21&amp;" is not equal to Initial start HAART at ANC2 and above"&amp;CHAR(10),""),IF(AA317&lt;&gt;SUM(AA286)," * Retest Positive Result at ANC 2 and above for Age "&amp;Z20&amp;" "&amp;AA21&amp;" is not equal to Initial start HAART at ANC2 and above"&amp;CHAR(10),""))</f>
        <v/>
      </c>
      <c r="AN316" s="1052"/>
      <c r="AO316" s="13">
        <v>233</v>
      </c>
      <c r="AP316" s="74"/>
      <c r="AQ316" s="75"/>
    </row>
    <row r="317" spans="1:43" ht="25.9" hidden="1" thickBot="1" x14ac:dyDescent="0.8">
      <c r="A317" s="1070"/>
      <c r="B317" s="3" t="s">
        <v>498</v>
      </c>
      <c r="C317" s="614" t="s">
        <v>504</v>
      </c>
      <c r="D317" s="711"/>
      <c r="E317" s="711"/>
      <c r="F317" s="711"/>
      <c r="G317" s="711"/>
      <c r="H317" s="711"/>
      <c r="I317" s="711"/>
      <c r="J317" s="745"/>
      <c r="K317" s="733"/>
      <c r="L317" s="711"/>
      <c r="M317" s="716"/>
      <c r="N317" s="711"/>
      <c r="O317" s="716"/>
      <c r="P317" s="711"/>
      <c r="Q317" s="716"/>
      <c r="R317" s="711"/>
      <c r="S317" s="716"/>
      <c r="T317" s="711"/>
      <c r="U317" s="716"/>
      <c r="V317" s="711"/>
      <c r="W317" s="716"/>
      <c r="X317" s="711"/>
      <c r="Y317" s="716"/>
      <c r="Z317" s="711"/>
      <c r="AA317" s="731">
        <f t="shared" si="112"/>
        <v>0</v>
      </c>
      <c r="AB317" s="750"/>
      <c r="AC317" s="717"/>
      <c r="AD317" s="716"/>
      <c r="AE317" s="717"/>
      <c r="AF317" s="716"/>
      <c r="AG317" s="717"/>
      <c r="AH317" s="718"/>
      <c r="AI317" s="715"/>
      <c r="AJ317" s="628">
        <f t="shared" si="113"/>
        <v>0</v>
      </c>
      <c r="AK317" s="116"/>
      <c r="AL317" s="1066"/>
      <c r="AM317" s="60" t="str">
        <f>CONCATENATE(IF(D317&lt;&gt;SUM(D286)," * Retest Positive Result at ANC 2 and above for Age "&amp;D20&amp;" "&amp;D21&amp;" is not equal to Retest start HAART at ANC2 and above"&amp;CHAR(10),""),IF(E317&lt;&gt;SUM(E286)," * Retest Positive Result at ANC 2 and above for Age "&amp;D20&amp;" "&amp;E21&amp;" is not equal to Retest start HAART at ANC2 and above"&amp;CHAR(10),""),IF(F317&lt;&gt;SUM(F286)," * Retest Positive Result at ANC 2 and above for Age "&amp;F20&amp;" "&amp;F21&amp;" is not equal to Retest start HAART at ANC2 and above"&amp;CHAR(10),""),IF(G317&lt;&gt;SUM(G286)," * Retest Positive Result at ANC 2 and above for Age "&amp;F20&amp;" "&amp;G21&amp;" is not equal to Retest start HAART at ANC2 and above"&amp;CHAR(10),""),IF(H317&lt;&gt;SUM(H286)," * Retest Positive Result at ANC 2 and above for Age "&amp;H20&amp;" "&amp;H21&amp;" is not equal to Retest start HAART at ANC2 and above"&amp;CHAR(10),""),IF(I317&lt;&gt;SUM(I286)," * Retest Positive Result at ANC 2 and above for Age "&amp;H20&amp;" "&amp;I21&amp;" is not equal to Retest start HAART at ANC2 and above"&amp;CHAR(10),""),IF(J317&lt;&gt;SUM(J286)," * Retest Positive Result at ANC 2 and above for Age "&amp;J20&amp;" "&amp;J21&amp;" is not equal to Retest start HAART at ANC2 and above"&amp;CHAR(10),""),IF(K317&lt;&gt;K286," * Retest Positive Result at ANC 2 and above for Age "&amp;J20&amp;" "&amp;K21&amp;" is not equal to Retest start HAART at ANC2 and above"&amp;CHAR(10),""),IF(L317&lt;&gt;SUM(L286)," * Retest Positive Result at ANC 2 and above for Age "&amp;L20&amp;" "&amp;L21&amp;" is not equal to Retest start HAART at ANC2 and above"&amp;CHAR(10),""),IF(M317&lt;&gt;SUM(M286)," * Retest Positive Result at ANC 2 and above for Age "&amp;L20&amp;" "&amp;M21&amp;" is not equal to Retest start HAART at ANC2 and above"&amp;CHAR(10),""),IF(N317&lt;&gt;SUM(N286)," * Retest Positive Result at ANC 2 and above for Age "&amp;N20&amp;" "&amp;N21&amp;" is not equal to Retest start HAART at ANC2 and above"&amp;CHAR(10),""),IF(O317&lt;&gt;SUM(O286)," * Retest Positive Result at ANC 2 and above for Age "&amp;N20&amp;" "&amp;O21&amp;" is not equal to Retest start HAART at ANC2 and above"&amp;CHAR(10),""),IF(P317&lt;&gt;SUM(P286)," * Retest Positive Result at ANC 2 and above for Age "&amp;P20&amp;" "&amp;P21&amp;" is not equal to Retest start HAART at ANC2 and above"&amp;CHAR(10),""),IF(Q317&lt;&gt;SUM(Q286)," * Retest Positive Result at ANC 2 and above for Age "&amp;P20&amp;" "&amp;Q21&amp;" is not equal to Retest start HAART at ANC2 and above"&amp;CHAR(10),""),IF(R317&lt;&gt;SUM(R286)," * Retest Positive Result at ANC 2 and above for Age "&amp;R20&amp;" "&amp;R21&amp;" is not equal to Retest start HAART at ANC2 and above"&amp;CHAR(10),""),IF(S317&lt;&gt;SUM(S286)," * Retest Positive Result at ANC 2 and above for Age "&amp;R20&amp;" "&amp;S21&amp;" is not equal to Retest start HAART at ANC2 and above"&amp;CHAR(10),""),IF(T317&lt;&gt;SUM(T286)," * Retest Positive Result at ANC 2 and above for Age "&amp;T20&amp;" "&amp;T21&amp;" is not equal to Retest start HAART at ANC2 and above"&amp;CHAR(10),""),IF(U317&lt;&gt;SUM(U286)," * Retest Positive Result at ANC 2 and above for Age "&amp;T20&amp;" "&amp;U21&amp;" is not equal to Retest start HAART at ANC2 and above"&amp;CHAR(10),""),IF(V317&lt;&gt;SUM(V286)," * Retest Positive Result at ANC 2 and above for Age "&amp;V20&amp;" "&amp;V21&amp;" is not equal to Retest start HAART at ANC2 and above"&amp;CHAR(10),""),IF(W317&lt;&gt;SUM(W286)," * Retest Positive Result at ANC 2 and above for Age "&amp;V20&amp;" "&amp;W21&amp;" is not equal to Retest start HAART at ANC2 and above"&amp;CHAR(10),""),IF(X317&lt;&gt;SUM(X286)," * Retest Positive Result at ANC 2 and above for Age "&amp;X20&amp;" "&amp;X21&amp;" is not equal to Retest start HAART at ANC2 and above"&amp;CHAR(10),""),IF(Y317&lt;&gt;SUM(Y286)," * Retest Positive Result at ANC 2 and above for Age "&amp;X20&amp;" "&amp;Y21&amp;" is not equal to Retest start HAART at ANC2 and above"&amp;CHAR(10),""),IF(Z317&lt;&gt;SUM(Z286)," * Retest Positive Result at ANC 2 and above for Age "&amp;Z20&amp;" "&amp;Z21&amp;" is not equal to Retest start HAART at ANC2 and above"&amp;CHAR(10),""),IF(AA317&lt;&gt;SUM(AA286)," * Retest Positive Result at ANC 2 and above for Age "&amp;Z20&amp;" "&amp;AA21&amp;" is not equal to Retest start HAART at ANC2 and above"&amp;CHAR(10),""))</f>
        <v/>
      </c>
      <c r="AN317" s="1052"/>
      <c r="AO317" s="13">
        <v>234</v>
      </c>
      <c r="AP317" s="74"/>
      <c r="AQ317" s="75"/>
    </row>
    <row r="318" spans="1:43" s="61" customFormat="1" ht="25.5" hidden="1" x14ac:dyDescent="0.75">
      <c r="A318" s="1068" t="s">
        <v>485</v>
      </c>
      <c r="B318" s="1" t="s">
        <v>1317</v>
      </c>
      <c r="C318" s="613" t="s">
        <v>372</v>
      </c>
      <c r="D318" s="708"/>
      <c r="E318" s="708"/>
      <c r="F318" s="708"/>
      <c r="G318" s="708"/>
      <c r="H318" s="708"/>
      <c r="I318" s="708"/>
      <c r="J318" s="743"/>
      <c r="K318" s="732"/>
      <c r="L318" s="708"/>
      <c r="M318" s="642"/>
      <c r="N318" s="708"/>
      <c r="O318" s="642"/>
      <c r="P318" s="708"/>
      <c r="Q318" s="642"/>
      <c r="R318" s="708"/>
      <c r="S318" s="642"/>
      <c r="T318" s="708"/>
      <c r="U318" s="642"/>
      <c r="V318" s="708"/>
      <c r="W318" s="642"/>
      <c r="X318" s="708"/>
      <c r="Y318" s="642"/>
      <c r="Z318" s="708"/>
      <c r="AA318" s="730">
        <f t="shared" si="112"/>
        <v>0</v>
      </c>
      <c r="AB318" s="644"/>
      <c r="AC318" s="709"/>
      <c r="AD318" s="642"/>
      <c r="AE318" s="709"/>
      <c r="AF318" s="642"/>
      <c r="AG318" s="709"/>
      <c r="AH318" s="643"/>
      <c r="AI318" s="715"/>
      <c r="AJ318" s="628">
        <f t="shared" si="113"/>
        <v>0</v>
      </c>
      <c r="AK318" s="227" t="str">
        <f>CONCATENATE(IF(D318&gt;D288," * start HAART L&amp;D  for Age "&amp;D20&amp;" "&amp;D21&amp;" is more than Positive Result L&amp;D "&amp;CHAR(10),""),IF(E318&gt;E288," * start HAART L&amp;D  for Age "&amp;D20&amp;" "&amp;E21&amp;" is more than Positive Result L&amp;D "&amp;CHAR(10),""),IF(F318&gt;F288," * start HAART L&amp;D  for Age "&amp;F20&amp;" "&amp;F21&amp;" is more than Positive Result L&amp;D "&amp;CHAR(10),""),IF(G318&gt;G288," * start HAART L&amp;D  for Age "&amp;F20&amp;" "&amp;G21&amp;" is more than Positive Result L&amp;D "&amp;CHAR(10),""),IF(H318&gt;H288," * start HAART L&amp;D  for Age "&amp;H20&amp;" "&amp;H21&amp;" is more than Positive Result L&amp;D "&amp;CHAR(10),""),IF(I318&gt;I288," * start HAART L&amp;D  for Age "&amp;H20&amp;" "&amp;I21&amp;" is more than Positive Result L&amp;D "&amp;CHAR(10),""),IF(J318&gt;J288," * start HAART L&amp;D  for Age "&amp;J20&amp;" "&amp;J21&amp;" is more than Positive Result L&amp;D "&amp;CHAR(10),""),IF(K318&gt;K288," * start HAART L&amp;D  for Age "&amp;J20&amp;" "&amp;K21&amp;" is more than Positive Result L&amp;D "&amp;CHAR(10),""),IF(L318&gt;L288," * start HAART L&amp;D  for Age "&amp;L20&amp;" "&amp;L21&amp;" is more than Positive Result L&amp;D "&amp;CHAR(10),""),IF(M318&gt;M288," * start HAART L&amp;D  for Age "&amp;L20&amp;" "&amp;M21&amp;" is more than Positive Result L&amp;D "&amp;CHAR(10),""),IF(N318&gt;N288," * start HAART L&amp;D  for Age "&amp;N20&amp;" "&amp;N21&amp;" is more than Positive Result L&amp;D "&amp;CHAR(10),""),IF(O318&gt;O288," * start HAART L&amp;D  for Age "&amp;N20&amp;" "&amp;O21&amp;" is more than Positive Result L&amp;D "&amp;CHAR(10),""),IF(P318&gt;P288," * start HAART L&amp;D  for Age "&amp;P20&amp;" "&amp;P21&amp;" is more than Positive Result L&amp;D "&amp;CHAR(10),""),IF(Q318&gt;Q288," * start HAART L&amp;D  for Age "&amp;P20&amp;" "&amp;Q21&amp;" is more than Positive Result L&amp;D "&amp;CHAR(10),""),IF(R318&gt;R288," * start HAART L&amp;D  for Age "&amp;R20&amp;" "&amp;R21&amp;" is more than Positive Result L&amp;D "&amp;CHAR(10),""),IF(S318&gt;S288," * start HAART L&amp;D  for Age "&amp;R20&amp;" "&amp;S21&amp;" is more than Positive Result L&amp;D "&amp;CHAR(10),""),IF(T318&gt;T288," * start HAART L&amp;D  for Age "&amp;T20&amp;" "&amp;T21&amp;" is more than Positive Result L&amp;D "&amp;CHAR(10),""),IF(U318&gt;U288," * start HAART L&amp;D  for Age "&amp;T20&amp;" "&amp;U21&amp;" is more than Positive Result L&amp;D "&amp;CHAR(10),""),IF(V318&gt;V288," * start HAART L&amp;D  for Age "&amp;V20&amp;" "&amp;V21&amp;" is more than Positive Result L&amp;D "&amp;CHAR(10),""),IF(W318&gt;W288," * start HAART L&amp;D  for Age "&amp;V20&amp;" "&amp;W21&amp;" is more than Positive Result L&amp;D "&amp;CHAR(10),""),IF(X318&gt;X288," * start HAART L&amp;D  for Age "&amp;X20&amp;" "&amp;X21&amp;" is more than Positive Result L&amp;D "&amp;CHAR(10),""),IF(Y318&gt;Y288," * start HAART L&amp;D  for Age "&amp;X20&amp;" "&amp;Y21&amp;" is more than Positive Result L&amp;D "&amp;CHAR(10),""),IF(Z318&gt;Z288," * start HAART L&amp;D  for Age "&amp;Z20&amp;" "&amp;Z21&amp;" is more than Positive Result L&amp;D "&amp;CHAR(10),""),IF(AA318&gt;AA288," * start HAART L&amp;D  for Age "&amp;Z20&amp;" "&amp;AA21&amp;" is more than Positive Result L&amp;D "&amp;CHAR(10),"")
)</f>
        <v/>
      </c>
      <c r="AL318" s="1066"/>
      <c r="AM318" s="60" t="str">
        <f>CONCATENATE(IF(D318&lt;D288," * start HAART L&amp;D  for Age "&amp;D20&amp;" "&amp;D21&amp;" is less than Positive Result L&amp;D "&amp;CHAR(10),""),IF(E318&lt;E288," * start HAART L&amp;D  for Age "&amp;D20&amp;" "&amp;E21&amp;" is less than Positive Result L&amp;D "&amp;CHAR(10),""),IF(F318&lt;F288," * start HAART L&amp;D  for Age "&amp;F20&amp;" "&amp;F21&amp;" is less than Positive Result L&amp;D "&amp;CHAR(10),""),IF(G318&lt;G288," * start HAART L&amp;D  for Age "&amp;F20&amp;" "&amp;G21&amp;" is less than Positive Result L&amp;D "&amp;CHAR(10),""),IF(H318&lt;H288," * start HAART L&amp;D  for Age "&amp;H20&amp;" "&amp;H21&amp;" is less than Positive Result L&amp;D "&amp;CHAR(10),""),IF(I318&lt;I288," * start HAART L&amp;D  for Age "&amp;H20&amp;" "&amp;I21&amp;" is less than Positive Result L&amp;D "&amp;CHAR(10),""),IF(J318&lt;J288," * start HAART L&amp;D  for Age "&amp;J20&amp;" "&amp;J21&amp;" is less than Positive Result L&amp;D "&amp;CHAR(10),""),IF(K318&lt;K288," * start HAART L&amp;D  for Age "&amp;J20&amp;" "&amp;K21&amp;" is less than Positive Result L&amp;D "&amp;CHAR(10),""),IF(L318&lt;L288," * start HAART L&amp;D  for Age "&amp;L20&amp;" "&amp;L21&amp;" is less than Positive Result L&amp;D "&amp;CHAR(10),""),IF(M318&lt;M288," * start HAART L&amp;D  for Age "&amp;L20&amp;" "&amp;M21&amp;" is less than Positive Result L&amp;D "&amp;CHAR(10),""),IF(N318&lt;N288," * start HAART L&amp;D  for Age "&amp;N20&amp;" "&amp;N21&amp;" is less than Positive Result L&amp;D "&amp;CHAR(10),""),IF(O318&lt;O288," * start HAART L&amp;D  for Age "&amp;N20&amp;" "&amp;O21&amp;" is less than Positive Result L&amp;D "&amp;CHAR(10),""),IF(P318&lt;P288," * start HAART L&amp;D  for Age "&amp;P20&amp;" "&amp;P21&amp;" is less than Positive Result L&amp;D "&amp;CHAR(10),""),IF(Q318&lt;Q288," * start HAART L&amp;D  for Age "&amp;P20&amp;" "&amp;Q21&amp;" is less than Positive Result L&amp;D "&amp;CHAR(10),""),IF(R318&lt;R288," * start HAART L&amp;D  for Age "&amp;R20&amp;" "&amp;R21&amp;" is less than Positive Result L&amp;D "&amp;CHAR(10),""),IF(S318&lt;S288," * start HAART L&amp;D  for Age "&amp;R20&amp;" "&amp;S21&amp;" is less than Positive Result L&amp;D "&amp;CHAR(10),""),IF(T318&lt;T288," * start HAART L&amp;D  for Age "&amp;T20&amp;" "&amp;T21&amp;" is less than Positive Result L&amp;D "&amp;CHAR(10),""),IF(U318&lt;U288," * start HAART L&amp;D  for Age "&amp;T20&amp;" "&amp;U21&amp;" is less than Positive Result L&amp;D "&amp;CHAR(10),""),IF(V318&lt;V288," * start HAART L&amp;D  for Age "&amp;V20&amp;" "&amp;V21&amp;" is less than Positive Result L&amp;D "&amp;CHAR(10),""),IF(W318&lt;W288," * start HAART L&amp;D  for Age "&amp;V20&amp;" "&amp;W21&amp;" is less than Positive Result L&amp;D "&amp;CHAR(10),""),IF(X318&lt;X288," * start HAART L&amp;D  for Age "&amp;X20&amp;" "&amp;X21&amp;" is less than Positive Result L&amp;D "&amp;CHAR(10),""),IF(Y318&lt;Y288," * start HAART L&amp;D  for Age "&amp;X20&amp;" "&amp;Y21&amp;" is less than Positive Result L&amp;D "&amp;CHAR(10),""),IF(Z318&lt;Z288," * start HAART L&amp;D  for Age "&amp;Z20&amp;" "&amp;Z21&amp;" is less than Positive Result L&amp;D "&amp;CHAR(10),""),IF(AA318&lt;AA288," * start HAART L&amp;D  for Age "&amp;Z20&amp;" "&amp;AA21&amp;" is less than Positive Result L&amp;D "&amp;CHAR(10),""))</f>
        <v/>
      </c>
      <c r="AN318" s="1052"/>
      <c r="AO318" s="13">
        <v>235</v>
      </c>
      <c r="AP318" s="80"/>
      <c r="AQ318" s="75"/>
    </row>
    <row r="319" spans="1:43" s="61" customFormat="1" ht="25.9" hidden="1" thickBot="1" x14ac:dyDescent="0.8">
      <c r="A319" s="1069"/>
      <c r="B319" s="3" t="s">
        <v>636</v>
      </c>
      <c r="C319" s="614" t="s">
        <v>637</v>
      </c>
      <c r="D319" s="711"/>
      <c r="E319" s="711"/>
      <c r="F319" s="711"/>
      <c r="G319" s="711"/>
      <c r="H319" s="711"/>
      <c r="I319" s="711"/>
      <c r="J319" s="745"/>
      <c r="K319" s="733"/>
      <c r="L319" s="711"/>
      <c r="M319" s="716"/>
      <c r="N319" s="711"/>
      <c r="O319" s="716"/>
      <c r="P319" s="711"/>
      <c r="Q319" s="716"/>
      <c r="R319" s="711"/>
      <c r="S319" s="716"/>
      <c r="T319" s="711"/>
      <c r="U319" s="716"/>
      <c r="V319" s="711"/>
      <c r="W319" s="716"/>
      <c r="X319" s="711"/>
      <c r="Y319" s="716"/>
      <c r="Z319" s="711"/>
      <c r="AA319" s="731">
        <f t="shared" si="112"/>
        <v>0</v>
      </c>
      <c r="AB319" s="750"/>
      <c r="AC319" s="717"/>
      <c r="AD319" s="716"/>
      <c r="AE319" s="717"/>
      <c r="AF319" s="716"/>
      <c r="AG319" s="717"/>
      <c r="AH319" s="718"/>
      <c r="AI319" s="715"/>
      <c r="AJ319" s="628">
        <f t="shared" si="113"/>
        <v>0</v>
      </c>
      <c r="AK319" s="227" t="str">
        <f>CONCATENATE(IF(D319&gt;D290," * Retested start HAART L&amp;D  for Age "&amp;D20&amp;" "&amp;D21&amp;" is more than Retested Positive Result L&amp;D "&amp;CHAR(10),""),IF(E319&gt;E290," * Retested start HAART L&amp;D  for Age "&amp;D20&amp;" "&amp;E21&amp;" is more than Retested Positive Result L&amp;D "&amp;CHAR(10),""),IF(F319&gt;F290," * Retested start HAART L&amp;D  for Age "&amp;F20&amp;" "&amp;F21&amp;" is more than Retested Positive Result L&amp;D "&amp;CHAR(10),""),IF(G319&gt;G290," * Retested start HAART L&amp;D  for Age "&amp;F20&amp;" "&amp;G21&amp;" is more than Retested Positive Result L&amp;D "&amp;CHAR(10),""),IF(H319&gt;H290," * Retested start HAART L&amp;D  for Age "&amp;H20&amp;" "&amp;H21&amp;" is more than Retested Positive Result L&amp;D "&amp;CHAR(10),""),IF(I319&gt;I290," * Retested start HAART L&amp;D  for Age "&amp;H20&amp;" "&amp;I21&amp;" is more than Retested Positive Result L&amp;D "&amp;CHAR(10),""),IF(J319&gt;J290," * Retested start HAART L&amp;D  for Age "&amp;J20&amp;" "&amp;J21&amp;" is more than Retested Positive Result L&amp;D "&amp;CHAR(10),""),IF(K319&gt;K290," * Retested start HAART L&amp;D  for Age "&amp;J20&amp;" "&amp;K21&amp;" is more than Retested Positive Result L&amp;D "&amp;CHAR(10),""),IF(L319&gt;L290," * Retested start HAART L&amp;D  for Age "&amp;L20&amp;" "&amp;L21&amp;" is more than Retested Positive Result L&amp;D "&amp;CHAR(10),""),IF(M319&gt;M290," * Retested start HAART L&amp;D  for Age "&amp;L20&amp;" "&amp;M21&amp;" is more than Retested Positive Result L&amp;D "&amp;CHAR(10),""),IF(N319&gt;N290," * Retested start HAART L&amp;D  for Age "&amp;N20&amp;" "&amp;N21&amp;" is more than Retested Positive Result L&amp;D "&amp;CHAR(10),""),IF(O319&gt;O290," * Retested start HAART L&amp;D  for Age "&amp;N20&amp;" "&amp;O21&amp;" is more than Retested Positive Result L&amp;D "&amp;CHAR(10),""),IF(P319&gt;P290," * Retested start HAART L&amp;D  for Age "&amp;P20&amp;" "&amp;P21&amp;" is more than Retested Positive Result L&amp;D "&amp;CHAR(10),""),IF(Q319&gt;Q290," * Retested start HAART L&amp;D  for Age "&amp;P20&amp;" "&amp;Q21&amp;" is more than Retested Positive Result L&amp;D "&amp;CHAR(10),""),IF(R319&gt;R290," * Retested start HAART L&amp;D  for Age "&amp;R20&amp;" "&amp;R21&amp;" is more than Retested Positive Result L&amp;D "&amp;CHAR(10),""),IF(S319&gt;S290," * Retested start HAART L&amp;D  for Age "&amp;R20&amp;" "&amp;S21&amp;" is more than Retested Positive Result L&amp;D "&amp;CHAR(10),""),IF(T319&gt;T290," * Retested start HAART L&amp;D  for Age "&amp;T20&amp;" "&amp;T21&amp;" is more than Retested Positive Result L&amp;D "&amp;CHAR(10),""),IF(U319&gt;U290," * Retested start HAART L&amp;D  for Age "&amp;T20&amp;" "&amp;U21&amp;" is more than Retested Positive Result L&amp;D "&amp;CHAR(10),""),IF(V319&gt;V290," * Retested start HAART L&amp;D  for Age "&amp;V20&amp;" "&amp;V21&amp;" is more than Retested Positive Result L&amp;D "&amp;CHAR(10),""),IF(W319&gt;W290," * Retested start HAART L&amp;D  for Age "&amp;V20&amp;" "&amp;W21&amp;" is more than Retested Positive Result L&amp;D "&amp;CHAR(10),""),IF(X319&gt;X290," * Retested start HAART L&amp;D  for Age "&amp;X20&amp;" "&amp;X21&amp;" is more than Retested Positive Result L&amp;D "&amp;CHAR(10),""),IF(Y319&gt;Y290," * Retested start HAART L&amp;D  for Age "&amp;X20&amp;" "&amp;Y21&amp;" is more than Retested Positive Result L&amp;D "&amp;CHAR(10),""),IF(Z319&gt;Z290," * Retested start HAART L&amp;D  for Age "&amp;Z20&amp;" "&amp;Z21&amp;" is more than Retested Positive Result L&amp;D "&amp;CHAR(10),""),IF(AA319&gt;AA290," * Retested start HAART L&amp;D  for Age "&amp;Z20&amp;" "&amp;AA21&amp;" is more than Retested Positive Result L&amp;D "&amp;CHAR(10),"")
)</f>
        <v/>
      </c>
      <c r="AL319" s="1066"/>
      <c r="AM319" s="60"/>
      <c r="AN319" s="1052"/>
      <c r="AO319" s="13">
        <v>236</v>
      </c>
      <c r="AP319" s="80"/>
      <c r="AQ319" s="75"/>
    </row>
    <row r="320" spans="1:43" ht="25.5" hidden="1" x14ac:dyDescent="0.75">
      <c r="A320" s="1285" t="s">
        <v>488</v>
      </c>
      <c r="B320" s="1" t="s">
        <v>500</v>
      </c>
      <c r="C320" s="613" t="s">
        <v>373</v>
      </c>
      <c r="D320" s="708"/>
      <c r="E320" s="708"/>
      <c r="F320" s="708"/>
      <c r="G320" s="708"/>
      <c r="H320" s="708"/>
      <c r="I320" s="708"/>
      <c r="J320" s="743"/>
      <c r="K320" s="732"/>
      <c r="L320" s="708"/>
      <c r="M320" s="642"/>
      <c r="N320" s="708"/>
      <c r="O320" s="642"/>
      <c r="P320" s="708"/>
      <c r="Q320" s="642"/>
      <c r="R320" s="708"/>
      <c r="S320" s="642"/>
      <c r="T320" s="708"/>
      <c r="U320" s="642"/>
      <c r="V320" s="708"/>
      <c r="W320" s="642"/>
      <c r="X320" s="708"/>
      <c r="Y320" s="642"/>
      <c r="Z320" s="708"/>
      <c r="AA320" s="730">
        <f t="shared" si="112"/>
        <v>0</v>
      </c>
      <c r="AB320" s="644"/>
      <c r="AC320" s="709"/>
      <c r="AD320" s="642"/>
      <c r="AE320" s="709"/>
      <c r="AF320" s="642"/>
      <c r="AG320" s="709"/>
      <c r="AH320" s="643"/>
      <c r="AI320" s="715"/>
      <c r="AJ320" s="628">
        <f t="shared" si="113"/>
        <v>0</v>
      </c>
      <c r="AK320" s="116" t="str">
        <f>CONCATENATE(IF(D320&gt;D292," * F06-16 for Age "&amp;D20&amp;" "&amp;D21&amp;" is more than F06-10"&amp;CHAR(10),""),IF(E320&gt;E292," * F06-16 for Age "&amp;D20&amp;" "&amp;E21&amp;" is more than F06-10"&amp;CHAR(10),""),IF(F320&gt;F292," * F06-16 for Age "&amp;F20&amp;" "&amp;F21&amp;" is more than F06-10"&amp;CHAR(10),""),IF(G320&gt;G292," * F06-16 for Age "&amp;F20&amp;" "&amp;G21&amp;" is more than F06-10"&amp;CHAR(10),""),IF(H320&gt;H292," * F06-16 for Age "&amp;H20&amp;" "&amp;H21&amp;" is more than F06-10"&amp;CHAR(10),""),IF(I320&gt;I292," * F06-16 for Age "&amp;H20&amp;" "&amp;I21&amp;" is more than F06-10"&amp;CHAR(10),""),IF(J320&gt;J292," * F06-16 for Age "&amp;J20&amp;" "&amp;J21&amp;" is more than F06-10"&amp;CHAR(10),""),IF(K320&gt;K292," * F06-16 for Age "&amp;J20&amp;" "&amp;K21&amp;" is more than F06-10"&amp;CHAR(10),""),IF(L320&gt;L292," * F06-16 for Age "&amp;L20&amp;" "&amp;L21&amp;" is more than F06-10"&amp;CHAR(10),""),IF(M320&gt;M292," * F06-16 for Age "&amp;L20&amp;" "&amp;M21&amp;" is more than F06-10"&amp;CHAR(10),""),IF(N320&gt;N292," * F06-16 for Age "&amp;N20&amp;" "&amp;N21&amp;" is more than F06-10"&amp;CHAR(10),""),IF(O320&gt;O292," * F06-16 for Age "&amp;N20&amp;" "&amp;O21&amp;" is more than F06-10"&amp;CHAR(10),""),IF(P320&gt;P292," * F06-16 for Age "&amp;P20&amp;" "&amp;P21&amp;" is more than F06-10"&amp;CHAR(10),""),IF(Q320&gt;Q292," * F06-16 for Age "&amp;P20&amp;" "&amp;Q21&amp;" is more than F06-10"&amp;CHAR(10),""),IF(R320&gt;R292," * F06-16 for Age "&amp;R20&amp;" "&amp;R21&amp;" is more than F06-10"&amp;CHAR(10),""),IF(S320&gt;S292," * F06-16 for Age "&amp;R20&amp;" "&amp;S21&amp;" is more than F06-10"&amp;CHAR(10),""),IF(T320&gt;T292," * F06-16 for Age "&amp;T20&amp;" "&amp;T21&amp;" is more than F06-10"&amp;CHAR(10),""),IF(U320&gt;U292," * F06-16 for Age "&amp;T20&amp;" "&amp;U21&amp;" is more than F06-10"&amp;CHAR(10),""),IF(V320&gt;V292," * F06-16 for Age "&amp;V20&amp;" "&amp;V21&amp;" is more than F06-10"&amp;CHAR(10),""),IF(W320&gt;W292," * F06-16 for Age "&amp;V20&amp;" "&amp;W21&amp;" is more than F06-10"&amp;CHAR(10),""),IF(X320&gt;X292," * F06-16 for Age "&amp;X20&amp;" "&amp;X21&amp;" is more than F06-10"&amp;CHAR(10),""),IF(Y320&gt;Y292," * F06-16 for Age "&amp;X20&amp;" "&amp;Y21&amp;" is more than F06-10"&amp;CHAR(10),""),IF(Z320&gt;Z292," * F06-16 for Age "&amp;Z20&amp;" "&amp;Z21&amp;" is more than F06-10"&amp;CHAR(10),""),IF(AA320&gt;AA292," * F06-16 for Age "&amp;Z20&amp;" "&amp;AA21&amp;" is more than F06-10"&amp;CHAR(10),""),IF(AJ320&gt;AJ292," * Total F06-16 is more than Total F06-10"&amp;CHAR(10),""))</f>
        <v/>
      </c>
      <c r="AL320" s="1066"/>
      <c r="AM320" s="31" t="str">
        <f>CONCATENATE(IF(D320&lt;D292," * F06-16 for Age "&amp;D20&amp;" "&amp;D21&amp;" is less than F06-10"&amp;CHAR(10),""),IF(E320&lt;E292," * F06-16 for Age "&amp;D20&amp;" "&amp;E21&amp;" is less than F06-10"&amp;CHAR(10),""),IF(F320&lt;F292," * F06-16 for Age "&amp;F20&amp;" "&amp;F21&amp;" is less than F06-10"&amp;CHAR(10),""),IF(G320&lt;G292," * F06-16 for Age "&amp;F20&amp;" "&amp;G21&amp;" is less than F06-10"&amp;CHAR(10),""),IF(H320&lt;H292," * F06-16 for Age "&amp;H20&amp;" "&amp;H21&amp;" is less than F06-10"&amp;CHAR(10),""),IF(I320&lt;I292," * F06-16 for Age "&amp;H20&amp;" "&amp;I21&amp;" is less than F06-10"&amp;CHAR(10),""),IF(J320&lt;J292," * F06-16 for Age "&amp;J20&amp;" "&amp;J21&amp;" is less than F06-10"&amp;CHAR(10),""),IF(K320&lt;K292," * F06-16 for Age "&amp;J20&amp;" "&amp;K21&amp;" is less than F06-10"&amp;CHAR(10),""),IF(L320&lt;L292," * F06-16 for Age "&amp;L20&amp;" "&amp;L21&amp;" is less than F06-10"&amp;CHAR(10),""),IF(M320&lt;M292," * F06-16 for Age "&amp;L20&amp;" "&amp;M21&amp;" is less than F06-10"&amp;CHAR(10),""),IF(N320&lt;N292," * F06-16 for Age "&amp;N20&amp;" "&amp;N21&amp;" is less than F06-10"&amp;CHAR(10),""),IF(O320&lt;O292," * F06-16 for Age "&amp;N20&amp;" "&amp;O21&amp;" is less than F06-10"&amp;CHAR(10),""),IF(P320&lt;P292," * F06-16 for Age "&amp;P20&amp;" "&amp;P21&amp;" is less than F06-10"&amp;CHAR(10),""),IF(Q320&lt;Q292," * F06-16 for Age "&amp;P20&amp;" "&amp;Q21&amp;" is less than F06-10"&amp;CHAR(10),""),IF(R320&lt;R292," * F06-16 for Age "&amp;R20&amp;" "&amp;R21&amp;" is less than F06-10"&amp;CHAR(10),""),IF(S320&lt;S292," * F06-16 for Age "&amp;R20&amp;" "&amp;S21&amp;" is less than F06-10"&amp;CHAR(10),""),IF(T320&lt;T292," * F06-16 for Age "&amp;T20&amp;" "&amp;T21&amp;" is less than F06-10"&amp;CHAR(10),""),IF(U320&lt;U292," * F06-16 for Age "&amp;T20&amp;" "&amp;U21&amp;" is less than F06-10"&amp;CHAR(10),""),IF(V320&lt;V292," * F06-16 for Age "&amp;V20&amp;" "&amp;V21&amp;" is less than F06-10"&amp;CHAR(10),""),IF(W320&lt;W292," * F06-16 for Age "&amp;V20&amp;" "&amp;W21&amp;" is less than F06-10"&amp;CHAR(10),""),IF(X320&lt;X292," * F06-16 for Age "&amp;X20&amp;" "&amp;X21&amp;" is less than F06-10"&amp;CHAR(10),""),IF(Y320&lt;Y292," * F06-16 for Age "&amp;X20&amp;" "&amp;Y21&amp;" is less than F06-10"&amp;CHAR(10),""),IF(Z320&lt;Z292," * F06-16 for Age "&amp;Z20&amp;" "&amp;Z21&amp;" is less than F06-10"&amp;CHAR(10),""),IF(AA320&lt;AA292," * F06-16 for Age "&amp;Z20&amp;" "&amp;AA21&amp;" is less than F06-10"&amp;CHAR(10),""),IF(AJ320&lt;AJ292," * Total F06-16 is less than Total F06-10"&amp;CHAR(10),""))</f>
        <v/>
      </c>
      <c r="AN320" s="1052"/>
      <c r="AO320" s="13">
        <v>237</v>
      </c>
      <c r="AP320" s="74"/>
      <c r="AQ320" s="75"/>
    </row>
    <row r="321" spans="1:43" ht="25.9" hidden="1" thickBot="1" x14ac:dyDescent="0.8">
      <c r="A321" s="1286"/>
      <c r="B321" s="3" t="s">
        <v>501</v>
      </c>
      <c r="C321" s="614" t="s">
        <v>505</v>
      </c>
      <c r="D321" s="711"/>
      <c r="E321" s="711"/>
      <c r="F321" s="711"/>
      <c r="G321" s="711"/>
      <c r="H321" s="711"/>
      <c r="I321" s="711"/>
      <c r="J321" s="745"/>
      <c r="K321" s="733"/>
      <c r="L321" s="711"/>
      <c r="M321" s="716"/>
      <c r="N321" s="711"/>
      <c r="O321" s="716"/>
      <c r="P321" s="711"/>
      <c r="Q321" s="716"/>
      <c r="R321" s="711"/>
      <c r="S321" s="716"/>
      <c r="T321" s="711"/>
      <c r="U321" s="716"/>
      <c r="V321" s="711"/>
      <c r="W321" s="716"/>
      <c r="X321" s="711"/>
      <c r="Y321" s="716"/>
      <c r="Z321" s="711"/>
      <c r="AA321" s="731">
        <f t="shared" si="112"/>
        <v>0</v>
      </c>
      <c r="AB321" s="750"/>
      <c r="AC321" s="717"/>
      <c r="AD321" s="716"/>
      <c r="AE321" s="717"/>
      <c r="AF321" s="716"/>
      <c r="AG321" s="717"/>
      <c r="AH321" s="718"/>
      <c r="AI321" s="715"/>
      <c r="AJ321" s="628">
        <f t="shared" si="113"/>
        <v>0</v>
      </c>
      <c r="AK321" s="116" t="str">
        <f>CONCATENATE(IF(D321&gt;D294," * Retest Start HAART at PNC &lt; = 6 weeks for Age "&amp;D20&amp;" "&amp;D21&amp;" is more than Retesting positive result at PNC &lt; = 6 weeks"&amp;CHAR(10),""),IF(E321&gt;E294," * Retest Start HAART at PNC &lt; = 6 weeks for Age "&amp;D20&amp;" "&amp;E21&amp;" is more than Retesting positive result at PNC &lt; = 6 weeks"&amp;CHAR(10),""),IF(F321&gt;F294," * Retest Start HAART at PNC &lt; = 6 weeks for Age "&amp;F20&amp;" "&amp;F21&amp;" is more than Retesting positive result at PNC &lt; = 6 weeks"&amp;CHAR(10),""),IF(G321&gt;G294," * Retest Start HAART at PNC &lt; = 6 weeks for Age "&amp;F20&amp;" "&amp;G21&amp;" is more than Retesting positive result at PNC &lt; = 6 weeks"&amp;CHAR(10),""),IF(H321&gt;H294," * Retest Start HAART at PNC &lt; = 6 weeks for Age "&amp;H20&amp;" "&amp;H21&amp;" is more than Retesting positive result at PNC &lt; = 6 weeks"&amp;CHAR(10),""),IF(I321&gt;I294," * Retest Start HAART at PNC &lt; = 6 weeks for Age "&amp;H20&amp;" "&amp;I21&amp;" is more than Retesting positive result at PNC &lt; = 6 weeks"&amp;CHAR(10),""),IF(J321&gt;J294," * Retest Start HAART at PNC &lt; = 6 weeks for Age "&amp;J20&amp;" "&amp;J21&amp;" is more than Retesting positive result at PNC &lt; = 6 weeks"&amp;CHAR(10),""),IF(K321&gt;K294," * Retest Start HAART at PNC &lt; = 6 weeks for Age "&amp;J20&amp;" "&amp;K21&amp;" is more than Retesting positive result at PNC &lt; = 6 weeks"&amp;CHAR(10),""),IF(L321&gt;L294," * Retest Start HAART at PNC &lt; = 6 weeks for Age "&amp;L20&amp;" "&amp;L21&amp;" is more than Retesting positive result at PNC &lt; = 6 weeks"&amp;CHAR(10),""),IF(M321&gt;M294," * Retest Start HAART at PNC &lt; = 6 weeks for Age "&amp;L20&amp;" "&amp;M21&amp;" is more than Retesting positive result at PNC &lt; = 6 weeks"&amp;CHAR(10),""),IF(N321&gt;N294," * Retest Start HAART at PNC &lt; = 6 weeks for Age "&amp;N20&amp;" "&amp;N21&amp;" is more than Retesting positive result at PNC &lt; = 6 weeks"&amp;CHAR(10),""),IF(O321&gt;O294," * Retest Start HAART at PNC &lt; = 6 weeks for Age "&amp;N20&amp;" "&amp;O21&amp;" is more than Retesting positive result at PNC &lt; = 6 weeks"&amp;CHAR(10),""),IF(P321&gt;P294," * Retest Start HAART at PNC &lt; = 6 weeks for Age "&amp;P20&amp;" "&amp;P21&amp;" is more than Retesting positive result at PNC &lt; = 6 weeks"&amp;CHAR(10),""),IF(Q321&gt;Q294," * Retest Start HAART at PNC &lt; = 6 weeks for Age "&amp;P20&amp;" "&amp;Q21&amp;" is more than Retesting positive result at PNC &lt; = 6 weeks"&amp;CHAR(10),""),IF(R321&gt;R294," * Retest Start HAART at PNC &lt; = 6 weeks for Age "&amp;R20&amp;" "&amp;R21&amp;" is more than Retesting positive result at PNC &lt; = 6 weeks"&amp;CHAR(10),""),IF(S321&gt;S294," * Retest Start HAART at PNC &lt; = 6 weeks for Age "&amp;R20&amp;" "&amp;S21&amp;" is more than Retesting positive result at PNC &lt; = 6 weeks"&amp;CHAR(10),""),IF(T321&gt;T294," * Retest Start HAART at PNC &lt; = 6 weeks for Age "&amp;T20&amp;" "&amp;T21&amp;" is more than Retesting positive result at PNC &lt; = 6 weeks"&amp;CHAR(10),""),IF(U321&gt;U294," * Retest Start HAART at PNC &lt; = 6 weeks for Age "&amp;T20&amp;" "&amp;U21&amp;" is more than Retesting positive result at PNC &lt; = 6 weeks"&amp;CHAR(10),""),IF(V321&gt;V294," * Retest Start HAART at PNC &lt; = 6 weeks for Age "&amp;V20&amp;" "&amp;V21&amp;" is more than Retesting positive result at PNC &lt; = 6 weeks"&amp;CHAR(10),""),IF(W321&gt;W294," * Retest Start HAART at PNC &lt; = 6 weeks for Age "&amp;V20&amp;" "&amp;W21&amp;" is more than Retesting positive result at PNC &lt; = 6 weeks"&amp;CHAR(10),""),IF(X321&gt;X294," * Retest Start HAART at PNC &lt; = 6 weeks for Age "&amp;X20&amp;" "&amp;X21&amp;" is more than Retesting positive result at PNC &lt; = 6 weeks"&amp;CHAR(10),""),IF(Y321&gt;Y294," * Retest Start HAART at PNC &lt; = 6 weeks for Age "&amp;X20&amp;" "&amp;Y21&amp;" is more than Retesting positive result at PNC &lt; = 6 weeks"&amp;CHAR(10),""),IF(Z321&gt;Z294," * Retest Start HAART at PNC &lt; = 6 weeks for Age "&amp;Z20&amp;" "&amp;Z21&amp;" is more than Retesting positive result at PNC &lt; = 6 weeks"&amp;CHAR(10),""),IF(AA321&gt;AA294," * Retest Start HAART at PNC &lt; = 6 weeks for Age "&amp;Z20&amp;" "&amp;AA21&amp;" is more than Retesting positive result at PNC &lt; = 6 weeks"&amp;CHAR(10),""))</f>
        <v/>
      </c>
      <c r="AL321" s="1066"/>
      <c r="AM321" s="31"/>
      <c r="AN321" s="1052"/>
      <c r="AO321" s="13">
        <v>238</v>
      </c>
      <c r="AP321" s="74"/>
      <c r="AQ321" s="75"/>
    </row>
    <row r="322" spans="1:43" s="61" customFormat="1" ht="25.5" hidden="1" x14ac:dyDescent="0.75">
      <c r="A322" s="1286"/>
      <c r="B322" s="729" t="s">
        <v>1280</v>
      </c>
      <c r="C322" s="613" t="s">
        <v>506</v>
      </c>
      <c r="D322" s="703"/>
      <c r="E322" s="703"/>
      <c r="F322" s="703"/>
      <c r="G322" s="703"/>
      <c r="H322" s="703"/>
      <c r="I322" s="703"/>
      <c r="J322" s="746"/>
      <c r="K322" s="754"/>
      <c r="L322" s="703"/>
      <c r="M322" s="704"/>
      <c r="N322" s="703"/>
      <c r="O322" s="704"/>
      <c r="P322" s="703"/>
      <c r="Q322" s="704"/>
      <c r="R322" s="703"/>
      <c r="S322" s="704"/>
      <c r="T322" s="703"/>
      <c r="U322" s="704"/>
      <c r="V322" s="703"/>
      <c r="W322" s="704"/>
      <c r="X322" s="703"/>
      <c r="Y322" s="704"/>
      <c r="Z322" s="703"/>
      <c r="AA322" s="755">
        <f t="shared" si="112"/>
        <v>0</v>
      </c>
      <c r="AB322" s="644"/>
      <c r="AC322" s="709"/>
      <c r="AD322" s="642"/>
      <c r="AE322" s="709"/>
      <c r="AF322" s="642"/>
      <c r="AG322" s="709"/>
      <c r="AH322" s="643"/>
      <c r="AI322" s="715"/>
      <c r="AJ322" s="628">
        <f t="shared" si="113"/>
        <v>0</v>
      </c>
      <c r="AK322" s="116" t="str">
        <f>CONCATENATE(IF(D322&gt;D296," * Initial Start HAART at PNC  &gt; 6 weeks for Age "&amp;D20&amp;" "&amp;D21&amp;" is more than Initial Tested Positive  at PNC  &gt; 6 weeks"&amp;CHAR(10),""),IF(E322&gt;E296," * Initial Start HAART at PNC  &gt; 6 weeks for Age "&amp;D20&amp;" "&amp;E21&amp;" is more than Initial Tested Positive  at PNC  &gt; 6 weeks"&amp;CHAR(10),""),IF(F322&gt;F296," * Initial Start HAART at PNC  &gt; 6 weeks for Age "&amp;F20&amp;" "&amp;F21&amp;" is more than Initial Tested Positive  at PNC  &gt; 6 weeks"&amp;CHAR(10),""),IF(G322&gt;G296," * Initial Start HAART at PNC  &gt; 6 weeks for Age "&amp;F20&amp;" "&amp;G21&amp;" is more than Initial Tested Positive  at PNC  &gt; 6 weeks"&amp;CHAR(10),""),IF(H322&gt;H296," * Initial Start HAART at PNC  &gt; 6 weeks for Age "&amp;H20&amp;" "&amp;H21&amp;" is more than Initial Tested Positive  at PNC  &gt; 6 weeks"&amp;CHAR(10),""),IF(I322&gt;I296," * Initial Start HAART at PNC  &gt; 6 weeks for Age "&amp;H20&amp;" "&amp;I21&amp;" is more than Initial Tested Positive  at PNC  &gt; 6 weeks"&amp;CHAR(10),""),IF(J322&gt;J296," * Initial Start HAART at PNC  &gt; 6 weeks for Age "&amp;J20&amp;" "&amp;J21&amp;" is more than Initial Tested Positive  at PNC  &gt; 6 weeks"&amp;CHAR(10),""),IF(K322&gt;K296," * Initial Start HAART at PNC  &gt; 6 weeks for Age "&amp;J20&amp;" "&amp;K21&amp;" is more than Initial Tested Positive  at PNC  &gt; 6 weeks"&amp;CHAR(10),""),IF(L322&gt;L296," * Initial Start HAART at PNC  &gt; 6 weeks for Age "&amp;L20&amp;" "&amp;L21&amp;" is more than Initial Tested Positive  at PNC  &gt; 6 weeks"&amp;CHAR(10),""),IF(M322&gt;M296," * Initial Start HAART at PNC  &gt; 6 weeks for Age "&amp;L20&amp;" "&amp;M21&amp;" is more than Initial Tested Positive  at PNC  &gt; 6 weeks"&amp;CHAR(10),""),IF(N322&gt;N296," * Initial Start HAART at PNC  &gt; 6 weeks for Age "&amp;N20&amp;" "&amp;N21&amp;" is more than Initial Tested Positive  at PNC  &gt; 6 weeks"&amp;CHAR(10),""),IF(O322&gt;O296," * Initial Start HAART at PNC  &gt; 6 weeks for Age "&amp;N20&amp;" "&amp;O21&amp;" is more than Initial Tested Positive  at PNC  &gt; 6 weeks"&amp;CHAR(10),""),IF(P322&gt;P296," * Initial Start HAART at PNC  &gt; 6 weeks for Age "&amp;P20&amp;" "&amp;P21&amp;" is more than Initial Tested Positive  at PNC  &gt; 6 weeks"&amp;CHAR(10),""),IF(Q322&gt;Q296," * Initial Start HAART at PNC  &gt; 6 weeks for Age "&amp;P20&amp;" "&amp;Q21&amp;" is more than Initial Tested Positive  at PNC  &gt; 6 weeks"&amp;CHAR(10),""),IF(R322&gt;R296," * Initial Start HAART at PNC  &gt; 6 weeks for Age "&amp;R20&amp;" "&amp;R21&amp;" is more than Initial Tested Positive  at PNC  &gt; 6 weeks"&amp;CHAR(10),""),IF(S322&gt;S296," * Initial Start HAART at PNC  &gt; 6 weeks for Age "&amp;R20&amp;" "&amp;S21&amp;" is more than Initial Tested Positive  at PNC  &gt; 6 weeks"&amp;CHAR(10),""),IF(T322&gt;T296," * Initial Start HAART at PNC  &gt; 6 weeks for Age "&amp;T20&amp;" "&amp;T21&amp;" is more than Initial Tested Positive  at PNC  &gt; 6 weeks"&amp;CHAR(10),""),IF(U322&gt;U296," * Initial Start HAART at PNC  &gt; 6 weeks for Age "&amp;T20&amp;" "&amp;U21&amp;" is more than Initial Tested Positive  at PNC  &gt; 6 weeks"&amp;CHAR(10),""),IF(V322&gt;V296," * Initial Start HAART at PNC  &gt; 6 weeks for Age "&amp;V20&amp;" "&amp;V21&amp;" is more than Initial Tested Positive  at PNC  &gt; 6 weeks"&amp;CHAR(10),""),IF(W322&gt;W296," * Initial Start HAART at PNC  &gt; 6 weeks for Age "&amp;V20&amp;" "&amp;W21&amp;" is more than Initial Tested Positive  at PNC  &gt; 6 weeks"&amp;CHAR(10),""),IF(X322&gt;X296," * Initial Start HAART at PNC  &gt; 6 weeks for Age "&amp;X20&amp;" "&amp;X21&amp;" is more than Initial Tested Positive  at PNC  &gt; 6 weeks"&amp;CHAR(10),""),IF(Y322&gt;Y296," * Initial Start HAART at PNC  &gt; 6 weeks for Age "&amp;X20&amp;" "&amp;Y21&amp;" is more than Initial Tested Positive  at PNC  &gt; 6 weeks"&amp;CHAR(10),""),IF(Z322&gt;Z296," * Initial Start HAART at PNC  &gt; 6 weeks for Age "&amp;Z20&amp;" "&amp;Z21&amp;" is more than Initial Tested Positive  at PNC  &gt; 6 weeks"&amp;CHAR(10),""),IF(AA322&gt;AA296," * Initial Start HAART at PNC  &gt; 6 weeks for Age "&amp;Z20&amp;" "&amp;AA21&amp;" is more than Initial Tested Positive  at PNC  &gt; 6 weeks"&amp;CHAR(10),""))</f>
        <v/>
      </c>
      <c r="AL322" s="1066"/>
      <c r="AM322" s="60"/>
      <c r="AN322" s="1052"/>
      <c r="AO322" s="13">
        <v>239</v>
      </c>
      <c r="AP322" s="80"/>
      <c r="AQ322" s="75"/>
    </row>
    <row r="323" spans="1:43" s="61" customFormat="1" ht="25.9" hidden="1" thickBot="1" x14ac:dyDescent="0.8">
      <c r="A323" s="1287"/>
      <c r="B323" s="3" t="s">
        <v>1279</v>
      </c>
      <c r="C323" s="721" t="s">
        <v>1278</v>
      </c>
      <c r="D323" s="723"/>
      <c r="E323" s="723"/>
      <c r="F323" s="723"/>
      <c r="G323" s="723"/>
      <c r="H323" s="723"/>
      <c r="I323" s="723"/>
      <c r="J323" s="747"/>
      <c r="K323" s="756"/>
      <c r="L323" s="723"/>
      <c r="M323" s="724"/>
      <c r="N323" s="723"/>
      <c r="O323" s="724"/>
      <c r="P323" s="723"/>
      <c r="Q323" s="724"/>
      <c r="R323" s="723"/>
      <c r="S323" s="724"/>
      <c r="T323" s="723"/>
      <c r="U323" s="724"/>
      <c r="V323" s="723"/>
      <c r="W323" s="724"/>
      <c r="X323" s="723"/>
      <c r="Y323" s="724"/>
      <c r="Z323" s="723"/>
      <c r="AA323" s="757">
        <f t="shared" si="112"/>
        <v>0</v>
      </c>
      <c r="AB323" s="750"/>
      <c r="AC323" s="717"/>
      <c r="AD323" s="716"/>
      <c r="AE323" s="717"/>
      <c r="AF323" s="716"/>
      <c r="AG323" s="717"/>
      <c r="AH323" s="718"/>
      <c r="AI323" s="715"/>
      <c r="AJ323" s="628">
        <f t="shared" ref="AJ323" si="114">SUM(D323:AA323)</f>
        <v>0</v>
      </c>
      <c r="AK323" s="612" t="str">
        <f>CONCATENATE(IF(D323&gt;D298," * Retest Start HAART at PNC &gt; 6 weeks to 6 months for Age "&amp;D21&amp;" "&amp;D22&amp;" is more than  Retesting positive result at PNC &gt; 6 weeks to 6 months"&amp;CHAR(10),""),IF(E323&gt;E298," * Retest Start HAART at PNC &gt; 6 weeks to 6 months for Age "&amp;D21&amp;" "&amp;E22&amp;" is more than  Retesting positive result at PNC &gt; 6 weeks to 6 months"&amp;CHAR(10),""),IF(F323&gt;F298," * Retest Start HAART at PNC &gt; 6 weeks to 6 months for Age "&amp;F21&amp;" "&amp;F22&amp;" is more than  Retesting positive result at PNC &gt; 6 weeks to 6 months"&amp;CHAR(10),""),IF(G323&gt;G298," * Retest Start HAART at PNC &gt; 6 weeks to 6 months for Age "&amp;F21&amp;" "&amp;G22&amp;" is more than  Retesting positive result at PNC &gt; 6 weeks to 6 months"&amp;CHAR(10),""),IF(H323&gt;H298," * Retest Start HAART at PNC &gt; 6 weeks to 6 months for Age "&amp;H21&amp;" "&amp;H22&amp;" is more than  Retesting positive result at PNC &gt; 6 weeks to 6 months"&amp;CHAR(10),""),IF(I323&gt;I298," * Retest Start HAART at PNC &gt; 6 weeks to 6 months for Age "&amp;H21&amp;" "&amp;I22&amp;" is more than  Retesting positive result at PNC &gt; 6 weeks to 6 months"&amp;CHAR(10),""),IF(J323&gt;J298," * Retest Start HAART at PNC &gt; 6 weeks to 6 months for Age "&amp;J21&amp;" "&amp;J22&amp;" is more than  Retesting positive result at PNC &gt; 6 weeks to 6 months"&amp;CHAR(10),""),IF(K323&gt;K298," * Retest Start HAART at PNC &gt; 6 weeks to 6 months for Age "&amp;J21&amp;" "&amp;K22&amp;" is more than  Retesting positive result at PNC &gt; 6 weeks to 6 months"&amp;CHAR(10),""),IF(L323&gt;L298," * Retest Start HAART at PNC &gt; 6 weeks to 6 months for Age "&amp;L21&amp;" "&amp;L22&amp;" is more than  Retesting positive result at PNC &gt; 6 weeks to 6 months"&amp;CHAR(10),""),IF(M323&gt;M298," * Retest Start HAART at PNC &gt; 6 weeks to 6 months for Age "&amp;L21&amp;" "&amp;M22&amp;" is more than  Retesting positive result at PNC &gt; 6 weeks to 6 months"&amp;CHAR(10),""),IF(N323&gt;N298," * Retest Start HAART at PNC &gt; 6 weeks to 6 months for Age "&amp;N21&amp;" "&amp;N22&amp;" is more than  Retesting positive result at PNC &gt; 6 weeks to 6 months"&amp;CHAR(10),""),IF(O323&gt;O298," * Retest Start HAART at PNC &gt; 6 weeks to 6 months for Age "&amp;N21&amp;" "&amp;O22&amp;" is more than  Retesting positive result at PNC &gt; 6 weeks to 6 months"&amp;CHAR(10),""),IF(P323&gt;P298," * Retest Start HAART at PNC &gt; 6 weeks to 6 months for Age "&amp;P21&amp;" "&amp;P22&amp;" is more than  Retesting positive result at PNC &gt; 6 weeks to 6 months"&amp;CHAR(10),""),IF(Q323&gt;Q298," * Retest Start HAART at PNC &gt; 6 weeks to 6 months for Age "&amp;P21&amp;" "&amp;Q22&amp;" is more than  Retesting positive result at PNC &gt; 6 weeks to 6 months"&amp;CHAR(10),""),IF(R323&gt;R298," * Retest Start HAART at PNC &gt; 6 weeks to 6 months for Age "&amp;R21&amp;" "&amp;R22&amp;" is more than  Retesting positive result at PNC &gt; 6 weeks to 6 months"&amp;CHAR(10),""),IF(S323&gt;S298," * Retest Start HAART at PNC &gt; 6 weeks to 6 months for Age "&amp;R21&amp;" "&amp;S22&amp;" is more than  Retesting positive result at PNC &gt; 6 weeks to 6 months"&amp;CHAR(10),""),IF(T323&gt;T298," * Retest Start HAART at PNC &gt; 6 weeks to 6 months for Age "&amp;T21&amp;" "&amp;T22&amp;" is more than  Retesting positive result at PNC &gt; 6 weeks to 6 months"&amp;CHAR(10),""),IF(U323&gt;U298," * Retest Start HAART at PNC &gt; 6 weeks to 6 months for Age "&amp;T21&amp;" "&amp;U22&amp;" is more than  Retesting positive result at PNC &gt; 6 weeks to 6 months"&amp;CHAR(10),""),IF(V323&gt;V298," * Retest Start HAART at PNC &gt; 6 weeks to 6 months for Age "&amp;V21&amp;" "&amp;V22&amp;" is more than  Retesting positive result at PNC &gt; 6 weeks to 6 months"&amp;CHAR(10),""),IF(W323&gt;W298," * Retest Start HAART at PNC &gt; 6 weeks to 6 months for Age "&amp;V21&amp;" "&amp;W22&amp;" is more than  Retesting positive result at PNC &gt; 6 weeks to 6 months"&amp;CHAR(10),""),IF(X323&gt;X298," * Retest Start HAART at PNC &gt; 6 weeks to 6 months for Age "&amp;X21&amp;" "&amp;X22&amp;" is more than  Retesting positive result at PNC &gt; 6 weeks to 6 months"&amp;CHAR(10),""),IF(Y323&gt;Y298," * Retest Start HAART at PNC &gt; 6 weeks to 6 months for Age "&amp;X21&amp;" "&amp;Y22&amp;" is more than  Retesting positive result at PNC &gt; 6 weeks to 6 months"&amp;CHAR(10),""),IF(Z323&gt;Z298," * Retest Start HAART at PNC &gt; 6 weeks to 6 months for Age "&amp;Z21&amp;" "&amp;Z22&amp;" is more than  Retesting positive result at PNC &gt; 6 weeks to 6 months"&amp;CHAR(10),""),IF(AA323&gt;AA298," * Retest Start HAART at PNC &gt; 6 weeks to 6 months for Age "&amp;Z21&amp;" "&amp;AA22&amp;" is more than  Retesting positive result at PNC &gt; 6 weeks to 6 months"&amp;CHAR(10),""))</f>
        <v/>
      </c>
      <c r="AL323" s="1066"/>
      <c r="AM323" s="60"/>
      <c r="AN323" s="1052"/>
      <c r="AO323" s="13">
        <v>239</v>
      </c>
      <c r="AP323" s="80"/>
      <c r="AQ323" s="75"/>
    </row>
    <row r="324" spans="1:43" ht="25.9" hidden="1" thickBot="1" x14ac:dyDescent="0.8">
      <c r="A324" s="674" t="s">
        <v>287</v>
      </c>
      <c r="B324" s="675" t="s">
        <v>287</v>
      </c>
      <c r="C324" s="696" t="s">
        <v>374</v>
      </c>
      <c r="D324" s="725"/>
      <c r="E324" s="726"/>
      <c r="F324" s="726"/>
      <c r="G324" s="726"/>
      <c r="H324" s="726"/>
      <c r="I324" s="726"/>
      <c r="J324" s="748"/>
      <c r="K324" s="758"/>
      <c r="L324" s="726"/>
      <c r="M324" s="727"/>
      <c r="N324" s="726"/>
      <c r="O324" s="727"/>
      <c r="P324" s="726"/>
      <c r="Q324" s="727"/>
      <c r="R324" s="726"/>
      <c r="S324" s="727"/>
      <c r="T324" s="726"/>
      <c r="U324" s="727"/>
      <c r="V324" s="726"/>
      <c r="W324" s="727"/>
      <c r="X324" s="726"/>
      <c r="Y324" s="727"/>
      <c r="Z324" s="726"/>
      <c r="AA324" s="728"/>
      <c r="AB324" s="734"/>
      <c r="AC324" s="735"/>
      <c r="AD324" s="735"/>
      <c r="AE324" s="735"/>
      <c r="AF324" s="735"/>
      <c r="AG324" s="735"/>
      <c r="AH324" s="736"/>
      <c r="AI324" s="715"/>
      <c r="AJ324" s="628">
        <f t="shared" si="113"/>
        <v>0</v>
      </c>
      <c r="AK324" s="116"/>
      <c r="AL324" s="1066"/>
      <c r="AM324" s="31"/>
      <c r="AN324" s="1052"/>
      <c r="AO324" s="13">
        <v>240</v>
      </c>
      <c r="AP324" s="74"/>
      <c r="AQ324" s="75"/>
    </row>
    <row r="325" spans="1:43" s="61" customFormat="1" ht="25.5" hidden="1" x14ac:dyDescent="0.75">
      <c r="A325" s="1054" t="s">
        <v>1008</v>
      </c>
      <c r="B325" s="69" t="s">
        <v>697</v>
      </c>
      <c r="C325" s="695" t="s">
        <v>375</v>
      </c>
      <c r="D325" s="737"/>
      <c r="E325" s="708"/>
      <c r="F325" s="708"/>
      <c r="G325" s="708"/>
      <c r="H325" s="708"/>
      <c r="I325" s="708"/>
      <c r="J325" s="743"/>
      <c r="K325" s="732"/>
      <c r="L325" s="708"/>
      <c r="M325" s="642"/>
      <c r="N325" s="708"/>
      <c r="O325" s="642"/>
      <c r="P325" s="708"/>
      <c r="Q325" s="642"/>
      <c r="R325" s="708"/>
      <c r="S325" s="642"/>
      <c r="T325" s="708"/>
      <c r="U325" s="642"/>
      <c r="V325" s="708"/>
      <c r="W325" s="642"/>
      <c r="X325" s="708"/>
      <c r="Y325" s="642"/>
      <c r="Z325" s="708"/>
      <c r="AA325" s="738"/>
      <c r="AB325" s="751"/>
      <c r="AC325" s="708"/>
      <c r="AD325" s="708"/>
      <c r="AE325" s="708"/>
      <c r="AF325" s="708"/>
      <c r="AG325" s="708"/>
      <c r="AH325" s="738"/>
      <c r="AI325" s="715"/>
      <c r="AJ325" s="628">
        <f t="shared" si="113"/>
        <v>0</v>
      </c>
      <c r="AK325" s="116" t="str">
        <f>CONCATENATE(IF(D325&gt;SUM(D280,D284,D278,D286)," * Infant Prophylaxis ANC for Age "&amp;D20&amp;" "&amp;D21&amp;" is more than Positive at ANC (F06-02+F06-04+F06-06+F06-062)"&amp;CHAR(10),""),IF(E325&gt;SUM(E280,E284,E278,E286)," * Infant Prophylaxis ANC  for Age "&amp;D20&amp;" "&amp;E21&amp;" is more than Positive at ANC (F06-02+F06-04+F06-06+F06-062)"&amp;CHAR(10),""),IF(F325&gt;SUM(F280,F284,F278,F286)," * Infant Prophylaxis ANC  for Age "&amp;F20&amp;" "&amp;F21&amp;" is more than Positive at ANC (F06-02+F06-04+F06-06+F06-062)"&amp;CHAR(10),""),IF(G325&gt;SUM(G280,G284,G278,F286)," * Infant Prophylaxis ANC  for Age "&amp;F20&amp;" "&amp;G21&amp;" is more than Positive at ANC (F06-02+F06-04+F06-06+F06-062)"&amp;CHAR(10),""),IF(H325&gt;SUM(H280,H284,H278)," * Infant Prophylaxis ANC  for Age "&amp;H20&amp;" "&amp;H21&amp;" is more than Positive at ANC (F06-02+F06-04+F06-06+F06-062)"&amp;CHAR(10),""),IF(I325&gt;SUM(I280,I284,I278)," * Infant Prophylaxis ANC  for Age "&amp;H20&amp;" "&amp;I21&amp;" is more than Positive at ANC (F06-02+F06-04+F06-06+F06-062)"&amp;CHAR(10),""),IF(J325&gt;SUM(J280,J284,J278)," * Infant Prophylaxis ANC  for Age "&amp;J20&amp;" "&amp;J21&amp;" is more than Positive at ANC (F06-02+F06-04+F06-06+F06-062)"&amp;CHAR(10),""),IF(K325&gt;SUM(K280,K284,K278,K286)," * Infant Prophylaxis ANC  for Age "&amp;J20&amp;" "&amp;K21&amp;" is more than Positive at ANC (F06-02+F06-04+F06-06+F06-062)"&amp;CHAR(10),""),IF(L325&gt;SUM(L280,L284,L278,L286)," * Infant Prophylaxis ANC  for Age "&amp;L20&amp;" "&amp;L21&amp;" is more than Positive at ANC (F06-02+F06-04+F06-06+F06-062)"&amp;CHAR(10),""),IF(M325&gt;SUM(M280,M284,M278,M286)," * Infant Prophylaxis ANC  for Age "&amp;L20&amp;" "&amp;M21&amp;" is more than Positive at ANC (F06-02+F06-04+F06-06+F06-062)"&amp;CHAR(10),""),IF(N325&gt;SUM(N280,N284,N278,N286)," * Infant Prophylaxis ANC  for Age "&amp;N20&amp;" "&amp;N21&amp;" is more than Positive at ANC (F06-02+F06-04+F06-06+F06-062)"&amp;CHAR(10),""),IF(O325&gt;SUM(O280,O284,O278,O286)," * Infant Prophylaxis ANC  for Age "&amp;N20&amp;" "&amp;O21&amp;" is more than Positive at ANC (F06-02+F06-04+F06-06+F06-062)"&amp;CHAR(10),""),IF(P325&gt;SUM(P280,P284,P278,P286)," * Infant Prophylaxis ANC  for Age "&amp;P20&amp;" "&amp;P21&amp;" is more than Positive at ANC (F06-02+F06-04+F06-06+F06-062)"&amp;CHAR(10),""),IF(Q325&gt;SUM(Q280,Q284,Q278,Q286)," * Infant Prophylaxis ANC  for Age "&amp;P20&amp;" "&amp;Q21&amp;" is more than Positive at ANC (F06-02+F06-04+F06-06+F06-062)"&amp;CHAR(10),""),IF(R325&gt;SUM(R280,R284,R278,R286)," * Infant Prophylaxis ANC  for Age "&amp;R20&amp;" "&amp;R21&amp;" is more than Positive at ANC (F06-02+F06-04+F06-06+F06-062)"&amp;CHAR(10),""),IF(S325&gt;SUM(S280,S284,S278,S286)," * Infant Prophylaxis ANC  for Age "&amp;R20&amp;" "&amp;S21&amp;" is more than Positive at ANC (F06-02+F06-04+F06-06+F06-062)"&amp;CHAR(10),""),IF(T325&gt;SUM(T280,T284,T278,T286)," * Infant Prophylaxis ANC  for Age "&amp;T20&amp;" "&amp;T21&amp;" is more than Positive at ANC (F06-02+F06-04+F06-06+F06-062)"&amp;CHAR(10),""),IF(U325&gt;SUM(U280,U284,U278,U286)," * Infant Prophylaxis ANC  for Age "&amp;T20&amp;" "&amp;U21&amp;" is more than Positive at ANC (F06-02+F06-04+F06-06+F06-062)"&amp;CHAR(10),""),IF(V325&gt;SUM(V280,V284,V278,V286)," * Infant Prophylaxis ANC  for Age "&amp;V20&amp;" "&amp;V21&amp;" is more than Positive at ANC (F06-02+F06-04+F06-06+F06-062)"&amp;CHAR(10),""),IF(W325&gt;SUM(W280,W284,W278,W286)," * Infant Prophylaxis ANC  for Age "&amp;V20&amp;" "&amp;W21&amp;" is more than Positive at ANC (F06-02+F06-04+F06-06+F06-062)"&amp;CHAR(10),""),IF(X325&gt;SUM(X280,X284,X278,X286)," * Infant Prophylaxis ANC  for Age "&amp;X20&amp;" "&amp;X21&amp;" is more than Positive at ANC (F06-02+F06-04+F06-06+F06-062)"&amp;CHAR(10),""),IF(Y325&gt;SUM(Y280,Y284,Y278,Y286)," * Infant Prophylaxis ANC  for Age "&amp;X20&amp;" "&amp;Y21&amp;" is more than Positive at ANC (F06-02+F06-04+F06-06+F06-062)"&amp;CHAR(10),""),IF(Z325&gt;SUM(Z280,Z284,Z278,Z286)," * Infant Prophylaxis ANC  for Age "&amp;Z20&amp;" "&amp;Z21&amp;" is more than Positive at ANC (F06-02+F06-04+F06-06+F06-062)"&amp;CHAR(10),""),IF(AA325&gt;SUM(AA280,AA284,AA278,AA286)," * Infant Prophylaxis ANC  for Age "&amp;Z20&amp;" "&amp;AA21&amp;" is more than Positive at ANC (F06-02+F06-04+F06-06+F06-062)"&amp;CHAR(10),""))</f>
        <v/>
      </c>
      <c r="AL325" s="1066"/>
      <c r="AM325" s="60" t="str">
        <f>CONCATENATE(IF(D325&lt;SUM(D280,D278,D284,D286)," * Sum of (KP at 1st ANC +New positive at ANC1 + New positive at ANC2 or More+Retesting positive Result at ANC2 or More) for Age "&amp;D20&amp;" "&amp;D21&amp;" is greater than Infant Prophylaxis ANC"&amp;CHAR(10),""),IF(E325&lt;SUM(E280,E278,E284,E286)," * Sum of (KP at 1st ANC +New positive at ANC1 + New positive at ANC2 or More+Retesting positive Result at ANC2 or More) for Age "&amp;D20&amp;" "&amp;E21&amp;" is greater than Infant Prophylaxis ANC"&amp;CHAR(10),""),IF(F325&lt;SUM(F280,F278,F284,F286)," * Sum of (KP at 1st ANC +New positive at ANC1 + New positive at ANC2 or More+Retesting positive Result at ANC2 or More) for Age "&amp;F20&amp;" "&amp;F21&amp;" is greater than Infant Prophylaxis ANC"&amp;CHAR(10),""),IF(G325&lt;SUM(G280,G278,G284,G286)," * Sum of (KP at 1st ANC +New positive at ANC1 + New positive at ANC2 or More+Retesting positive Result at ANC2 or More) for Age "&amp;F20&amp;" "&amp;G21&amp;" is greater than Infant Prophylaxis ANC"&amp;CHAR(10),""),IF(H325&lt;SUM(H280,H278,H284,H286)," * Sum of (KP at 1st ANC +New positive at ANC1 + New positive at ANC2 or More+Retesting positive Result at ANC2 or More) for Age "&amp;H20&amp;" "&amp;H21&amp;" is greater than Infant Prophylaxis ANC"&amp;CHAR(10),""),IF(I325&lt;SUM(I280,I278,I284,I286)," * Sum of (KP at 1st ANC +New positive at ANC1 + New positive at ANC2 or More+Retesting positive Result at ANC2 or More) for Age "&amp;H20&amp;" "&amp;I21&amp;" is greater than Infant Prophylaxis ANC"&amp;CHAR(10),""),IF(J325&lt;SUM(J280,J278,J284,J286)," * Sum of (KP at 1st ANC +New positive at ANC1 + New positive at ANC2 or More+Retesting positive Result at ANC2 or More) for Age "&amp;J20&amp;" "&amp;J21&amp;" is greater than Infant Prophylaxis ANC"&amp;CHAR(10),""),IF(K325&lt;SUM(K280,K278,K284,K286)," * Sum of (KP at 1st ANC +New positive at ANC1 + New positive at ANC2 or More+Retesting positive Result at ANC2 or More) for Age "&amp;J20&amp;" "&amp;K21&amp;" is greater than Infant Prophylaxis ANC"&amp;CHAR(10),""),IF(L325&lt;SUM(L280,L278,L284,L286)," * Sum of (KP at 1st ANC +New positive at ANC1 + New positive at ANC2 or More+Retesting positive Result at ANC2 or More) for Age "&amp;L20&amp;" "&amp;L21&amp;" is greater than Infant Prophylaxis ANC"&amp;CHAR(10),""),IF(M325&lt;SUM(M280,M278,M284,M286)," * Sum of (KP at 1st ANC +New positive at ANC1 + New positive at ANC2 or More+Retesting positive Result at ANC2 or More) for Age "&amp;L20&amp;" "&amp;M21&amp;" is greater than Infant Prophylaxis ANC"&amp;CHAR(10),""),IF(N325&lt;SUM(N280,N278,N284,N286)," * Sum of (KP at 1st ANC +New positive at ANC1 + New positive at ANC2 or More+Retesting positive Result at ANC2 or More) for Age "&amp;N20&amp;" "&amp;N21&amp;" is greater than Infant Prophylaxis ANC"&amp;CHAR(10),""),IF(O325&lt;SUM(O280,O278,O284,O286)," * Sum of (KP at 1st ANC +New positive at ANC1 + New positive at ANC2 or More+Retesting positive Result at ANC2 or More) for Age "&amp;N20&amp;" "&amp;O21&amp;" is greater than Infant Prophylaxis ANC"&amp;CHAR(10),""),IF(P325&lt;SUM(P280,P278,P284,P286)," * Sum of (KP at 1st ANC +New positive at ANC1 + New positive at ANC2 or More+Retesting positive Result at ANC2 or More) for Age "&amp;P20&amp;" "&amp;P21&amp;" is greater than Infant Prophylaxis ANC"&amp;CHAR(10),""),IF(Q325&lt;SUM(Q280,Q278,Q284,Q286)," * Sum of (KP at 1st ANC +New positive at ANC1 + New positive at ANC2 or More+Retesting positive Result at ANC2 or More) for Age "&amp;P20&amp;" "&amp;Q21&amp;" is greater than Infant Prophylaxis ANC"&amp;CHAR(10),""),IF(R325&lt;SUM(R280,R278,R284,R286)," * Sum of (KP at 1st ANC +New positive at ANC1 + New positive at ANC2 or More+Retesting positive Result at ANC2 or More) for Age "&amp;R20&amp;" "&amp;R21&amp;" is greater than Infant Prophylaxis ANC"&amp;CHAR(10),""),IF(S325&lt;SUM(S280,S278,S284,S286)," * Sum of (KP at 1st ANC +New positive at ANC1 + New positive at ANC2 or More+Retesting positive Result at ANC2 or More) for Age "&amp;R20&amp;" "&amp;S21&amp;" is greater than Infant Prophylaxis ANC"&amp;CHAR(10),""),IF(T325&lt;SUM(T280,T278,T284&lt;T286)," * Sum of (KP at 1st ANC +New positive at ANC1 + New positive at ANC2 or More+Retesting positive Result at ANC2 or More) for Age "&amp;T20&amp;" "&amp;T21&amp;" is greater than Infant Prophylaxis ANC"&amp;CHAR(10),""),IF(U325&lt;SUM(U280,U278,U284,U286)," * Sum of (KP at 1st ANC +New positive at ANC1 + New positive at ANC2 or More+Retesting positive Result at ANC2 or More) for Age "&amp;T20&amp;" "&amp;U21&amp;" is greater than Infant Prophylaxis ANC"&amp;CHAR(10),""),IF(V325&lt;SUM(V280,V278,V284,V286)," * Sum of (KP at 1st ANC +New positive at ANC1 + New positive at ANC2 or More+Retesting positive Result at ANC2 or More) for Age "&amp;V20&amp;" "&amp;V21&amp;" is greater than Infant Prophylaxis ANC"&amp;CHAR(10),""),IF(W325&lt;SUM(W280,W278,W284,W286)," * Sum of (KP at 1st ANC +New positive at ANC1 + New positive at ANC2 or More+Retesting positive Result at ANC2 or More) for Age "&amp;V20&amp;" "&amp;W21&amp;" is greater than Infant Prophylaxis ANC"&amp;CHAR(10),""),IF(X325&lt;SUM(X280,X278,X284,X286)," * Sum of (KP at 1st ANC +New positive at ANC1 + New positive at ANC2 or More+Retesting positive Result at ANC2 or More) for Age "&amp;X20&amp;" "&amp;X21&amp;" is greater than Infant Prophylaxis ANC"&amp;CHAR(10),""),IF(Y325&lt;SUM(Y280,Y278,Y284,Y286)," * Sum of (KP at 1st ANC +New positive at ANC1 + New positive at ANC2 or More+Retesting positive Result at ANC2 or More) for Age "&amp;X20&amp;" "&amp;Y21&amp;" is greater than Infant Prophylaxis ANC"&amp;CHAR(10),""),IF(Z325&lt;SUM(Z280,Z278,Z284,Z286)," * Sum of (KP at 1st ANC +New positive at ANC1 + New positive at ANC2 or More+Retesting positive Result at ANC2 or More) for Age "&amp;Z20&amp;" "&amp;Z21&amp;" is greater than Infant Prophylaxis ANC"&amp;CHAR(10),""),IF(AA325&lt;SUM(AA280,AA278,AA284,AA286)," * Sum of (KP at 1st ANC +New positive at ANC1 + New positive at ANC2 or More+Retesting positive Result at ANC2 or More) for Age "&amp;Z20&amp;" "&amp;AA21&amp;" is greater than Infant Prophylaxis ANC"&amp;CHAR(10),""))</f>
        <v/>
      </c>
      <c r="AN325" s="1052"/>
      <c r="AO325" s="13">
        <v>241</v>
      </c>
      <c r="AP325" s="80"/>
      <c r="AQ325" s="75"/>
    </row>
    <row r="326" spans="1:43" ht="25.5" hidden="1" x14ac:dyDescent="0.75">
      <c r="A326" s="1055"/>
      <c r="B326" s="76" t="s">
        <v>698</v>
      </c>
      <c r="C326" s="592" t="s">
        <v>376</v>
      </c>
      <c r="D326" s="739"/>
      <c r="E326" s="699"/>
      <c r="F326" s="699"/>
      <c r="G326" s="699"/>
      <c r="H326" s="699"/>
      <c r="I326" s="699"/>
      <c r="J326" s="744"/>
      <c r="K326" s="742"/>
      <c r="L326" s="699"/>
      <c r="M326" s="700"/>
      <c r="N326" s="699"/>
      <c r="O326" s="700"/>
      <c r="P326" s="699"/>
      <c r="Q326" s="700"/>
      <c r="R326" s="699"/>
      <c r="S326" s="700"/>
      <c r="T326" s="699"/>
      <c r="U326" s="700"/>
      <c r="V326" s="699"/>
      <c r="W326" s="700"/>
      <c r="X326" s="699"/>
      <c r="Y326" s="700"/>
      <c r="Z326" s="699"/>
      <c r="AA326" s="740"/>
      <c r="AB326" s="715"/>
      <c r="AC326" s="699"/>
      <c r="AD326" s="699"/>
      <c r="AE326" s="699"/>
      <c r="AF326" s="699"/>
      <c r="AG326" s="699"/>
      <c r="AH326" s="740"/>
      <c r="AI326" s="715"/>
      <c r="AJ326" s="628">
        <f t="shared" si="113"/>
        <v>0</v>
      </c>
      <c r="AK326" s="116" t="str">
        <f>CONCATENATE(IF(D326&gt;(D288+D290)," * Infant Prophylaxis LD for Age "&amp;D20&amp;" "&amp;D21&amp;" is more than Initial LD Positive + Retest LD positive"&amp;CHAR(10),""),IF(E326&gt;(E288+E290)," * Infant Prophylaxis LD for Age "&amp;D20&amp;" "&amp;E21&amp;" is more than Initial LD Positive + Retest LD positive"&amp;CHAR(10),""),IF(F326&gt;(F288+F290)," * Infant Prophylaxis LD for Age "&amp;F20&amp;" "&amp;F21&amp;" is more than Initial LD Positive + Retest LD positive"&amp;CHAR(10),""),IF(G326&gt;(G288+G290)," * Infant Prophylaxis LD for Age "&amp;F20&amp;" "&amp;G21&amp;" is more than Initial LD Positive + Retest LD positive"&amp;CHAR(10),""),IF(H326&gt;(H288+H290)," * Infant Prophylaxis LD for Age "&amp;H20&amp;" "&amp;H21&amp;" is more than Initial LD Positive + Retest LD positive"&amp;CHAR(10),""),IF(I326&gt;(I288+I290)," * Infant Prophylaxis LD for Age "&amp;H20&amp;" "&amp;I21&amp;" is more than Initial LD Positive + Retest LD positive"&amp;CHAR(10),""),IF(J326&gt;(J288+J290)," * Infant Prophylaxis LD for Age "&amp;J20&amp;" "&amp;J21&amp;" is more than Initial LD Positive + Retest LD positive"&amp;CHAR(10),""),IF(K326&gt;(K288+K290)," * Infant Prophylaxis LD for Age "&amp;J20&amp;" "&amp;K21&amp;" is more than Initial LD Positive + Retest LD positive"&amp;CHAR(10),""),IF(L326&gt;(L288+L290)," * Infant Prophylaxis LD for Age "&amp;L20&amp;" "&amp;L21&amp;" is more than Initial LD Positive + Retest LD positive"&amp;CHAR(10),""),IF(M326&gt;(M288+M290)," * Infant Prophylaxis LD for Age "&amp;L20&amp;" "&amp;M21&amp;" is more than Initial LD Positive + Retest LD positive"&amp;CHAR(10),""),IF(N326&gt;(N288+N290)," * Infant Prophylaxis LD for Age "&amp;N20&amp;" "&amp;N21&amp;" is more than Initial LD Positive + Retest LD positive"&amp;CHAR(10),""),IF(O326&gt;(O288+O290)," * Infant Prophylaxis LD for Age "&amp;N20&amp;" "&amp;O21&amp;" is more than Initial LD Positive + Retest LD positive"&amp;CHAR(10),""),IF(P326&gt;(P288+P290)," * Infant Prophylaxis LD for Age "&amp;P20&amp;" "&amp;P21&amp;" is more than Initial LD Positive + Retest LD positive"&amp;CHAR(10),""),IF(Q326&gt;(Q288+Q290)," * Infant Prophylaxis LD for Age "&amp;P20&amp;" "&amp;Q21&amp;" is more than Initial LD Positive + Retest LD positive"&amp;CHAR(10),""),IF(R326&gt;(R288+R290)," * Infant Prophylaxis LD for Age "&amp;R20&amp;" "&amp;R21&amp;" is more than Initial LD Positive + Retest LD positive"&amp;CHAR(10),""),IF(S326&gt;(S288+S290)," * Infant Prophylaxis LD for Age "&amp;R20&amp;" "&amp;S21&amp;" is more than Initial LD Positive + Retest LD positive"&amp;CHAR(10),""),IF(T326&gt;(T288+T290)," * Infant Prophylaxis LD for Age "&amp;T20&amp;" "&amp;T21&amp;" is more than Initial LD Positive + Retest LD positive"&amp;CHAR(10),""),IF(U326&gt;(U288+U290)," * Infant Prophylaxis LD for Age "&amp;T20&amp;" "&amp;U21&amp;" is more than Initial LD Positive + Retest LD positive"&amp;CHAR(10),""),IF(V326&gt;(V288+V290)," * Infant Prophylaxis LD for Age "&amp;V20&amp;" "&amp;V21&amp;" is more than Initial LD Positive + Retest LD positive"&amp;CHAR(10),""),IF(W326&gt;(W288+W290)," * Infant Prophylaxis LD for Age "&amp;V20&amp;" "&amp;W21&amp;" is more than Initial LD Positive + Retest LD positive"&amp;CHAR(10),""),IF(X326&gt;X288," * Infant Prophylaxis LD for Age "&amp;X20&amp;" "&amp;X21&amp;" is more than Initial LD Positive + Retest LD positive"&amp;CHAR(10),""),IF(Y326&gt;(Y288+Y290)," * Infant Prophylaxis LD for Age "&amp;X20&amp;" "&amp;Y21&amp;" is more than Initial LD Positive + Retest LD positive"&amp;CHAR(10),""),IF(Z326&gt;(Z288+Z290)," * Infant Prophylaxis LD for Age "&amp;Z20&amp;" "&amp;Z21&amp;" is more than Initial LD Positive + Retest LD positive"&amp;CHAR(10),""),IF(AA326&gt;(AA288+AA290)," * Infant Prophylaxis LD for Age "&amp;Z20&amp;" "&amp;AA21&amp;" is more than Initial LD Positive + Retest LD positive"&amp;CHAR(10),""),IF(AJ326&gt;(AJ288+AJ290)," * Total Infant Prophylaxis LD is more than Total Initial LD Positive + Retest LD positive"&amp;CHAR(10),""))</f>
        <v/>
      </c>
      <c r="AL326" s="1066"/>
      <c r="AM326" s="31" t="str">
        <f>CONCATENATE(IF(D326&lt;(D288+D290)," * Infant Prophylaxis LD for Age "&amp;D20&amp;" "&amp;D21&amp;" is less than Initial LD Positive + Retest LD positive"&amp;CHAR(10),""),IF(E326&lt;(E288+E290)," * Infant Prophylaxis LD for Age "&amp;D20&amp;" "&amp;E21&amp;" is less than Initial LD Positive + Retest LD positive"&amp;CHAR(10),""),IF(F326&lt;(F288+F290)," * Infant Prophylaxis LD for Age "&amp;F20&amp;" "&amp;F21&amp;" is less than Initial LD Positive + Retest LD positive"&amp;CHAR(10),""),IF(G326&lt;(G288+G290)," * Infant Prophylaxis LD for Age "&amp;F20&amp;" "&amp;G21&amp;" is less than Initial LD Positive + Retest LD positive"&amp;CHAR(10),""),IF(H326&lt;(H288+H290)," * Infant Prophylaxis LD for Age "&amp;H20&amp;" "&amp;H21&amp;" is less than Initial LD Positive + Retest LD positive"&amp;CHAR(10),""),IF(I326&lt;(I288+I290)," * Infant Prophylaxis LD for Age "&amp;H20&amp;" "&amp;I21&amp;" is less than Initial LD Positive + Retest LD positive"&amp;CHAR(10),""),IF(J326&lt;(J288+J290)," * Infant Prophylaxis LD for Age "&amp;J20&amp;" "&amp;J21&amp;" is less than Initial LD Positive + Retest LD positive"&amp;CHAR(10),""),IF(K326&lt;(K288+K290)," * Infant Prophylaxis LD for Age "&amp;J20&amp;" "&amp;K21&amp;" is less than Initial LD Positive + Retest LD positive"&amp;CHAR(10),""),IF(L326&lt;(L288+L290)," * Infant Prophylaxis LD for Age "&amp;L20&amp;" "&amp;L21&amp;" is less than Initial LD Positive + Retest LD positive"&amp;CHAR(10),""),IF(M326&lt;(M288+M290)," * Infant Prophylaxis LD for Age "&amp;L20&amp;" "&amp;M21&amp;" is less than Initial LD Positive + Retest LD positive"&amp;CHAR(10),""),IF(N326&lt;(N288+N290)," * Infant Prophylaxis LD for Age "&amp;N20&amp;" "&amp;N21&amp;" is less than Initial LD Positive + Retest LD positive"&amp;CHAR(10),""),IF(O326&lt;(O288+O290)," * Infant Prophylaxis LD for Age "&amp;N20&amp;" "&amp;O21&amp;" is less than Initial LD Positive + Retest LD positive"&amp;CHAR(10),""),IF(P326&lt;(P288+P290)," * Infant Prophylaxis LD for Age "&amp;P20&amp;" "&amp;P21&amp;" is less than Initial LD Positive + Retest LD positive"&amp;CHAR(10),""),IF(Q326&lt;(Q288+Q290)," * Infant Prophylaxis LD for Age "&amp;P20&amp;" "&amp;Q21&amp;" is less than Initial LD Positive + Retest LD positive"&amp;CHAR(10),""),IF(R326&lt;(R288+R290)," * Infant Prophylaxis LD for Age "&amp;R20&amp;" "&amp;R21&amp;" is less than Initial LD Positive + Retest LD positive"&amp;CHAR(10),""),IF(S326&lt;(S288+S290)," * Infant Prophylaxis LD for Age "&amp;R20&amp;" "&amp;S21&amp;" is less than Initial LD Positive + Retest LD positive"&amp;CHAR(10),""),IF(T326&lt;(T288+T290)," * Infant Prophylaxis LD for Age "&amp;T20&amp;" "&amp;T21&amp;" is less than Initial LD Positive + Retest LD positive"&amp;CHAR(10),""),IF(U326&lt;(U288+U290)," * Infant Prophylaxis LD for Age "&amp;T20&amp;" "&amp;U21&amp;" is less than Initial LD Positive + Retest LD positive"&amp;CHAR(10),""),IF(V326&lt;(V288+V290)," * Infant Prophylaxis LD for Age "&amp;V20&amp;" "&amp;V21&amp;" is less than Initial LD Positive + Retest LD positive"&amp;CHAR(10),""),IF(W326&lt;(W288+W290)," * Infant Prophylaxis LD for Age "&amp;V20&amp;" "&amp;W21&amp;" is less than Initial LD Positive + Retest LD positive"&amp;CHAR(10),""),IF(X326&lt;X288," * Infant Prophylaxis LD for Age "&amp;X20&amp;" "&amp;X21&amp;" is less than Initial LD Positive + Retest LD positive"&amp;CHAR(10),""),IF(Y326&lt;(Y288+Y290)," * Infant Prophylaxis LD for Age "&amp;X20&amp;" "&amp;Y21&amp;" is less than Initial LD Positive + Retest LD positive"&amp;CHAR(10),""),IF(Z326&lt;(Z288+Z290)," * Infant Prophylaxis LD for Age "&amp;Z20&amp;" "&amp;Z21&amp;" is less than Initial LD Positive + Retest LD positive"&amp;CHAR(10),""),IF(AA326&lt;(AA288+AA290)," * Infant Prophylaxis LD for Age "&amp;Z20&amp;" "&amp;AA21&amp;" is less than Initial LD Positive + Retest LD positive"&amp;CHAR(10),""),IF(AJ326&lt;(AJ288+AJ290)," * Total Infant Prophylaxis LD is less than Total Initial LD Positive + Retest LD positive"&amp;CHAR(10),""))</f>
        <v/>
      </c>
      <c r="AN326" s="1052"/>
      <c r="AO326" s="13">
        <v>242</v>
      </c>
      <c r="AP326" s="74"/>
      <c r="AQ326" s="75"/>
    </row>
    <row r="327" spans="1:43" ht="25.9" hidden="1" thickBot="1" x14ac:dyDescent="0.8">
      <c r="A327" s="1056"/>
      <c r="B327" s="118" t="s">
        <v>699</v>
      </c>
      <c r="C327" s="614" t="s">
        <v>377</v>
      </c>
      <c r="D327" s="741"/>
      <c r="E327" s="711"/>
      <c r="F327" s="711"/>
      <c r="G327" s="711"/>
      <c r="H327" s="711"/>
      <c r="I327" s="711"/>
      <c r="J327" s="745"/>
      <c r="K327" s="733"/>
      <c r="L327" s="711"/>
      <c r="M327" s="716"/>
      <c r="N327" s="711"/>
      <c r="O327" s="716"/>
      <c r="P327" s="711"/>
      <c r="Q327" s="716"/>
      <c r="R327" s="711"/>
      <c r="S327" s="716"/>
      <c r="T327" s="711"/>
      <c r="U327" s="716"/>
      <c r="V327" s="711"/>
      <c r="W327" s="716"/>
      <c r="X327" s="711"/>
      <c r="Y327" s="716"/>
      <c r="Z327" s="711"/>
      <c r="AA327" s="720"/>
      <c r="AB327" s="722"/>
      <c r="AC327" s="711"/>
      <c r="AD327" s="711"/>
      <c r="AE327" s="711"/>
      <c r="AF327" s="711"/>
      <c r="AG327" s="711"/>
      <c r="AH327" s="720"/>
      <c r="AI327" s="715"/>
      <c r="AJ327" s="628">
        <f t="shared" si="113"/>
        <v>0</v>
      </c>
      <c r="AK327" s="122" t="str">
        <f>CONCATENATE(IF(D327&gt;D292+D294," * Infant Prophylaxis PNC &lt; 6 Weeks for Age "&amp;D20&amp;" "&amp;D21&amp;" is more than Positive PNC &lt;= 6 weeks"&amp;CHAR(10),""),IF(E327&gt;E292+E294," * Infant Prophylaxis PNC &lt; 6 Weeks for Age "&amp;D20&amp;" "&amp;E21&amp;" is more than Positive PNC &lt;= 6 weeks"&amp;CHAR(10),""),IF(F327&gt;F292+F294," * Infant Prophylaxis PNC &lt; 6 Weeks for Age "&amp;F20&amp;" "&amp;F21&amp;" is more than Positive PNC &lt;= 6 weeks"&amp;CHAR(10),""),IF(G327&gt;G292+G294," * Infant Prophylaxis PNC &lt; 6 Weeks for Age "&amp;F20&amp;" "&amp;G21&amp;" is more than Positive PNC &lt;= 6 weeks"&amp;CHAR(10),""),IF(H327&gt;H292+H294," * Infant Prophylaxis PNC &lt; 6 Weeks for Age "&amp;H20&amp;" "&amp;H21&amp;" is more than Positive PNC &lt;= 6 weeks"&amp;CHAR(10),""),IF(I327&gt;I292+I294," * Infant Prophylaxis PNC &lt; 6 Weeks for Age "&amp;H20&amp;" "&amp;I21&amp;" is more than Positive PNC &lt;= 6 weeks"&amp;CHAR(10),""),IF(J327&gt;J292+J294," * Infant Prophylaxis PNC &lt; 6 Weeks for Age "&amp;J20&amp;" "&amp;J21&amp;" is more than Positive PNC &lt;= 6 weeks"&amp;CHAR(10),""),IF(K327&gt;K292+K294," * Infant Prophylaxis PNC &lt; 6 Weeks for Age "&amp;J20&amp;" "&amp;K21&amp;" is more than Positive PNC &lt;= 6 weeks"&amp;CHAR(10),""),IF(L327&gt;L292+L294," * Infant Prophylaxis PNC &lt; 6 Weeks for Age "&amp;L20&amp;" "&amp;L21&amp;" is more than Positive PNC &lt;= 6 weeks"&amp;CHAR(10),""),IF(M327&gt;M292+M294," * Infant Prophylaxis PNC &lt; 6 Weeks for Age "&amp;L20&amp;" "&amp;M21&amp;" is more than Positive PNC &lt;= 6 weeks"&amp;CHAR(10),""),IF(N327&gt;N292+N294," * Infant Prophylaxis PNC &lt; 6 Weeks for Age "&amp;N20&amp;" "&amp;N21&amp;" is more than Positive PNC &lt;= 6 weeks"&amp;CHAR(10),""),IF(O327&gt;O292+O294," * Infant Prophylaxis PNC &lt; 6 Weeks for Age "&amp;N20&amp;" "&amp;O21&amp;" is more than Positive PNC &lt;= 6 weeks"&amp;CHAR(10),""),IF(P327&gt;P292+P294," * Infant Prophylaxis PNC &lt; 6 Weeks for Age "&amp;P20&amp;" "&amp;P21&amp;" is more than Positive PNC &lt;= 6 weeks"&amp;CHAR(10),""),IF(Q327&gt;Q292+Q294," * Infant Prophylaxis PNC &lt; 6 Weeks for Age "&amp;P20&amp;" "&amp;Q21&amp;" is more than Positive PNC &lt;= 6 weeks"&amp;CHAR(10),""),IF(R327&gt;R292+R294," * Infant Prophylaxis PNC &lt; 6 Weeks for Age "&amp;R20&amp;" "&amp;R21&amp;" is more than Positive PNC &lt;= 6 weeks"&amp;CHAR(10),""),IF(S327&gt;S292+S294+S294," * Infant Prophylaxis PNC &lt; 6 Weeks for Age "&amp;R20&amp;" "&amp;S21&amp;" is more than Positive PNC &lt;= 6 weeks"&amp;CHAR(10),""),IF(T327&gt;T292+T294," * Infant Prophylaxis PNC &lt; 6 Weeks for Age "&amp;T20&amp;" "&amp;T21&amp;" is more than Positive PNC &lt;= 6 weeks"&amp;CHAR(10),""),IF(U327&gt;U292+U294," * Infant Prophylaxis PNC &lt; 6 Weeks for Age "&amp;T20&amp;" "&amp;U21&amp;" is more than Positive PNC &lt;= 6 weeks"&amp;CHAR(10),""),IF(V327&gt;V292+V294," * Infant Prophylaxis PNC &lt; 6 Weeks for Age "&amp;V20&amp;" "&amp;V21&amp;" is more than Positive PNC &lt;= 6 weeks"&amp;CHAR(10),""),IF(W327&gt;W292+W294," * Infant Prophylaxis PNC &lt; 6 Weeks for Age "&amp;V20&amp;" "&amp;W21&amp;" is more than Positive PNC &lt;= 6 weeks"&amp;CHAR(10),""),IF(X327&gt;X292+X294," * Infant Prophylaxis PNC &lt; 6 Weeks for Age "&amp;X20&amp;" "&amp;X21&amp;" is more than Positive PNC &lt;= 6 weeks"&amp;CHAR(10),""),IF(Y327&gt;Y292+Y294," * Infant Prophylaxis PNC &lt; 6 Weeks for Age "&amp;X20&amp;" "&amp;Y21&amp;" is more than Positive PNC &lt;= 6 weeks"&amp;CHAR(10),""),IF(Z327&gt;Z292+Z294," * Infant Prophylaxis PNC &lt; 6 Weeks for Age "&amp;Z20&amp;" "&amp;Z21&amp;" is more than Positive PNC &lt;= 6 weeks"&amp;CHAR(10),""),IF(AA327&gt;AA292+AA294," * Infant Prophylaxis PNC &lt; 6 Weeks for Age "&amp;Z20&amp;" "&amp;AA21&amp;" is more than Positive PNC &lt;= 6 weeks"&amp;CHAR(10),""))</f>
        <v/>
      </c>
      <c r="AL327" s="1067"/>
      <c r="AM327" s="123" t="str">
        <f>CONCATENATE(IF(D327&lt;D292," * F06-20 for Age "&amp;D20&amp;" "&amp;D21&amp;" is less than F06-10"&amp;CHAR(10),""),IF(E327&lt;E292," * F06-20 for Age "&amp;D20&amp;" "&amp;E21&amp;" is less than F06-10"&amp;CHAR(10),""),IF(F327&lt;F292," * F06-20 for Age "&amp;F20&amp;" "&amp;F21&amp;" is less than F06-10"&amp;CHAR(10),""),IF(G327&lt;G292," * F06-20 for Age "&amp;F20&amp;" "&amp;G21&amp;" is less than F06-10"&amp;CHAR(10),""),IF(H327&lt;H292," * F06-20 for Age "&amp;H20&amp;" "&amp;H21&amp;" is less than F06-10"&amp;CHAR(10),""),IF(I327&lt;I292," * F06-20 for Age "&amp;H20&amp;" "&amp;I21&amp;" is less than F06-10"&amp;CHAR(10),""),IF(J327&lt;J292," * F06-20 for Age "&amp;J20&amp;" "&amp;J21&amp;" is less than F06-10"&amp;CHAR(10),""),IF(K327&lt;K292," * F06-20 for Age "&amp;J20&amp;" "&amp;K21&amp;" is less than F06-10"&amp;CHAR(10),""),IF(L327&lt;L292," * F06-20 for Age "&amp;L20&amp;" "&amp;L21&amp;" is less than F06-10"&amp;CHAR(10),""),IF(M327&lt;M292," * F06-20 for Age "&amp;L20&amp;" "&amp;M21&amp;" is less than F06-10"&amp;CHAR(10),""),IF(N327&lt;N292," * F06-20 for Age "&amp;N20&amp;" "&amp;N21&amp;" is less than F06-10"&amp;CHAR(10),""),IF(O327&lt;O292," * F06-20 for Age "&amp;N20&amp;" "&amp;O21&amp;" is less than F06-10"&amp;CHAR(10),""),IF(P327&lt;P292," * F06-20 for Age "&amp;P20&amp;" "&amp;P21&amp;" is less than F06-10"&amp;CHAR(10),""),IF(Q327&lt;Q292," * F06-20 for Age "&amp;P20&amp;" "&amp;Q21&amp;" is less than F06-10"&amp;CHAR(10),""),IF(R327&lt;R292," * F06-20 for Age "&amp;R20&amp;" "&amp;R21&amp;" is less than F06-10"&amp;CHAR(10),""),IF(S327&lt;S292," * F06-20 for Age "&amp;R20&amp;" "&amp;S21&amp;" is less than F06-10"&amp;CHAR(10),""),IF(T327&lt;T292," * F06-20 for Age "&amp;T20&amp;" "&amp;T21&amp;" is less than F06-10"&amp;CHAR(10),""),IF(U327&lt;U292," * F06-20 for Age "&amp;T20&amp;" "&amp;U21&amp;" is less than F06-10"&amp;CHAR(10),""),IF(V327&lt;V292," * F06-20 for Age "&amp;V20&amp;" "&amp;V21&amp;" is less than F06-10"&amp;CHAR(10),""),IF(W327&lt;W292," * F06-20 for Age "&amp;V20&amp;" "&amp;W21&amp;" is less than F06-10"&amp;CHAR(10),""),IF(X327&lt;X292," * F06-20 for Age "&amp;X20&amp;" "&amp;X21&amp;" is less than F06-10"&amp;CHAR(10),""),IF(Y327&lt;Y292," * F06-20 for Age "&amp;X20&amp;" "&amp;Y21&amp;" is less than F06-10"&amp;CHAR(10),""),IF(Z327&lt;Z292," * F06-20 for Age "&amp;Z20&amp;" "&amp;Z21&amp;" is less than F06-10"&amp;CHAR(10),""),IF(AA327&lt;AA292," * F06-20 for Age "&amp;Z20&amp;" "&amp;AA21&amp;" is less than F06-10"&amp;CHAR(10),""),IF(AJ327&lt;AJ292," * Total F06-20 is less than Total F06-10"&amp;CHAR(10),""))</f>
        <v/>
      </c>
      <c r="AN327" s="1053"/>
      <c r="AO327" s="13">
        <v>243</v>
      </c>
      <c r="AP327" s="74"/>
      <c r="AQ327" s="75"/>
    </row>
    <row r="328" spans="1:43" ht="25.9" hidden="1" thickBot="1" x14ac:dyDescent="0.8">
      <c r="A328" s="1043" t="s">
        <v>129</v>
      </c>
      <c r="B328" s="1044"/>
      <c r="C328" s="1044"/>
      <c r="D328" s="1077"/>
      <c r="E328" s="1077"/>
      <c r="F328" s="1077"/>
      <c r="G328" s="1077"/>
      <c r="H328" s="1077"/>
      <c r="I328" s="1077"/>
      <c r="J328" s="1077"/>
      <c r="K328" s="1077"/>
      <c r="L328" s="1077"/>
      <c r="M328" s="1077"/>
      <c r="N328" s="1077"/>
      <c r="O328" s="1077"/>
      <c r="P328" s="1077"/>
      <c r="Q328" s="1077"/>
      <c r="R328" s="1077"/>
      <c r="S328" s="1077"/>
      <c r="T328" s="1077"/>
      <c r="U328" s="1077"/>
      <c r="V328" s="1077"/>
      <c r="W328" s="1077"/>
      <c r="X328" s="1077"/>
      <c r="Y328" s="1077"/>
      <c r="Z328" s="1077"/>
      <c r="AA328" s="1077"/>
      <c r="AB328" s="1077"/>
      <c r="AC328" s="1077"/>
      <c r="AD328" s="1077"/>
      <c r="AE328" s="1077"/>
      <c r="AF328" s="1077"/>
      <c r="AG328" s="1077"/>
      <c r="AH328" s="1077"/>
      <c r="AI328" s="1077"/>
      <c r="AJ328" s="1077"/>
      <c r="AK328" s="1044"/>
      <c r="AL328" s="1044"/>
      <c r="AM328" s="1044"/>
      <c r="AN328" s="1046"/>
      <c r="AO328" s="13">
        <v>244</v>
      </c>
      <c r="AP328" s="74"/>
      <c r="AQ328" s="75"/>
    </row>
    <row r="329" spans="1:43" ht="26.25" hidden="1" customHeight="1" x14ac:dyDescent="0.75">
      <c r="A329" s="1039" t="s">
        <v>37</v>
      </c>
      <c r="B329" s="1041" t="s">
        <v>344</v>
      </c>
      <c r="C329" s="1049" t="s">
        <v>325</v>
      </c>
      <c r="D329" s="1020" t="s">
        <v>0</v>
      </c>
      <c r="E329" s="1020"/>
      <c r="F329" s="1020" t="s">
        <v>1</v>
      </c>
      <c r="G329" s="1020"/>
      <c r="H329" s="1020" t="s">
        <v>2</v>
      </c>
      <c r="I329" s="1020"/>
      <c r="J329" s="1020" t="s">
        <v>3</v>
      </c>
      <c r="K329" s="1020"/>
      <c r="L329" s="1020" t="s">
        <v>4</v>
      </c>
      <c r="M329" s="1020"/>
      <c r="N329" s="1020" t="s">
        <v>5</v>
      </c>
      <c r="O329" s="1020"/>
      <c r="P329" s="1020" t="s">
        <v>6</v>
      </c>
      <c r="Q329" s="1020"/>
      <c r="R329" s="1020" t="s">
        <v>7</v>
      </c>
      <c r="S329" s="1020"/>
      <c r="T329" s="1020" t="s">
        <v>8</v>
      </c>
      <c r="U329" s="1020"/>
      <c r="V329" s="1020" t="s">
        <v>23</v>
      </c>
      <c r="W329" s="1020"/>
      <c r="X329" s="1020" t="s">
        <v>24</v>
      </c>
      <c r="Y329" s="1020"/>
      <c r="Z329" s="1020" t="s">
        <v>9</v>
      </c>
      <c r="AA329" s="1020"/>
      <c r="AB329" s="1012" t="s">
        <v>1020</v>
      </c>
      <c r="AC329" s="1013"/>
      <c r="AD329" s="1012" t="s">
        <v>1021</v>
      </c>
      <c r="AE329" s="1013"/>
      <c r="AF329" s="1012" t="s">
        <v>1022</v>
      </c>
      <c r="AG329" s="1013"/>
      <c r="AH329" s="1012" t="s">
        <v>1022</v>
      </c>
      <c r="AI329" s="1013"/>
      <c r="AJ329" s="1063" t="s">
        <v>19</v>
      </c>
      <c r="AK329" s="1259" t="s">
        <v>378</v>
      </c>
      <c r="AL329" s="1126" t="s">
        <v>384</v>
      </c>
      <c r="AM329" s="1121" t="s">
        <v>385</v>
      </c>
      <c r="AN329" s="1120" t="s">
        <v>385</v>
      </c>
      <c r="AO329" s="13">
        <v>245</v>
      </c>
      <c r="AP329" s="74"/>
      <c r="AQ329" s="75"/>
    </row>
    <row r="330" spans="1:43" ht="27" hidden="1" customHeight="1" thickBot="1" x14ac:dyDescent="0.8">
      <c r="A330" s="1040"/>
      <c r="B330" s="1042"/>
      <c r="C330" s="1059"/>
      <c r="D330" s="295" t="s">
        <v>10</v>
      </c>
      <c r="E330" s="295" t="s">
        <v>11</v>
      </c>
      <c r="F330" s="295" t="s">
        <v>10</v>
      </c>
      <c r="G330" s="295" t="s">
        <v>11</v>
      </c>
      <c r="H330" s="295" t="s">
        <v>10</v>
      </c>
      <c r="I330" s="295" t="s">
        <v>11</v>
      </c>
      <c r="J330" s="295" t="s">
        <v>10</v>
      </c>
      <c r="K330" s="295" t="s">
        <v>11</v>
      </c>
      <c r="L330" s="295" t="s">
        <v>10</v>
      </c>
      <c r="M330" s="295" t="s">
        <v>11</v>
      </c>
      <c r="N330" s="295" t="s">
        <v>10</v>
      </c>
      <c r="O330" s="295" t="s">
        <v>11</v>
      </c>
      <c r="P330" s="295" t="s">
        <v>10</v>
      </c>
      <c r="Q330" s="295" t="s">
        <v>11</v>
      </c>
      <c r="R330" s="295" t="s">
        <v>10</v>
      </c>
      <c r="S330" s="295" t="s">
        <v>11</v>
      </c>
      <c r="T330" s="295" t="s">
        <v>10</v>
      </c>
      <c r="U330" s="295" t="s">
        <v>11</v>
      </c>
      <c r="V330" s="295" t="s">
        <v>10</v>
      </c>
      <c r="W330" s="295" t="s">
        <v>11</v>
      </c>
      <c r="X330" s="295" t="s">
        <v>10</v>
      </c>
      <c r="Y330" s="295" t="s">
        <v>11</v>
      </c>
      <c r="Z330" s="295" t="s">
        <v>10</v>
      </c>
      <c r="AA330" s="295" t="s">
        <v>11</v>
      </c>
      <c r="AB330" s="295" t="s">
        <v>10</v>
      </c>
      <c r="AC330" s="295" t="s">
        <v>11</v>
      </c>
      <c r="AD330" s="295" t="s">
        <v>10</v>
      </c>
      <c r="AE330" s="295" t="s">
        <v>11</v>
      </c>
      <c r="AF330" s="295" t="s">
        <v>10</v>
      </c>
      <c r="AG330" s="295" t="s">
        <v>11</v>
      </c>
      <c r="AH330" s="295" t="s">
        <v>10</v>
      </c>
      <c r="AI330" s="295" t="s">
        <v>11</v>
      </c>
      <c r="AJ330" s="1064"/>
      <c r="AK330" s="1260"/>
      <c r="AL330" s="1127"/>
      <c r="AM330" s="1058"/>
      <c r="AN330" s="1048"/>
      <c r="AO330" s="13">
        <v>246</v>
      </c>
      <c r="AP330" s="74"/>
      <c r="AQ330" s="75"/>
    </row>
    <row r="331" spans="1:43" s="236" customFormat="1" ht="25.9" hidden="1" thickBot="1" x14ac:dyDescent="0.8">
      <c r="A331" s="660" t="s">
        <v>295</v>
      </c>
      <c r="B331" s="231" t="s">
        <v>843</v>
      </c>
      <c r="C331" s="601" t="s">
        <v>296</v>
      </c>
      <c r="D331" s="232">
        <f>SUM(D332:D337)</f>
        <v>0</v>
      </c>
      <c r="E331" s="233">
        <f>SUM(E332:E337)</f>
        <v>0</v>
      </c>
      <c r="F331" s="233">
        <f t="shared" ref="F331:AI331" si="115">SUM(F332:F337)</f>
        <v>0</v>
      </c>
      <c r="G331" s="233">
        <f t="shared" si="115"/>
        <v>0</v>
      </c>
      <c r="H331" s="233">
        <f t="shared" si="115"/>
        <v>0</v>
      </c>
      <c r="I331" s="233">
        <f t="shared" si="115"/>
        <v>0</v>
      </c>
      <c r="J331" s="233">
        <f t="shared" si="115"/>
        <v>0</v>
      </c>
      <c r="K331" s="233">
        <f t="shared" si="115"/>
        <v>0</v>
      </c>
      <c r="L331" s="233">
        <f t="shared" si="115"/>
        <v>0</v>
      </c>
      <c r="M331" s="233">
        <f t="shared" si="115"/>
        <v>0</v>
      </c>
      <c r="N331" s="233">
        <f t="shared" si="115"/>
        <v>0</v>
      </c>
      <c r="O331" s="233">
        <f t="shared" si="115"/>
        <v>0</v>
      </c>
      <c r="P331" s="233">
        <f t="shared" si="115"/>
        <v>0</v>
      </c>
      <c r="Q331" s="233">
        <f t="shared" si="115"/>
        <v>0</v>
      </c>
      <c r="R331" s="233">
        <f t="shared" si="115"/>
        <v>0</v>
      </c>
      <c r="S331" s="233">
        <f t="shared" si="115"/>
        <v>0</v>
      </c>
      <c r="T331" s="233">
        <f t="shared" si="115"/>
        <v>0</v>
      </c>
      <c r="U331" s="233">
        <f t="shared" si="115"/>
        <v>0</v>
      </c>
      <c r="V331" s="233">
        <f t="shared" si="115"/>
        <v>0</v>
      </c>
      <c r="W331" s="233">
        <f t="shared" si="115"/>
        <v>0</v>
      </c>
      <c r="X331" s="233">
        <f t="shared" si="115"/>
        <v>0</v>
      </c>
      <c r="Y331" s="233">
        <f t="shared" si="115"/>
        <v>0</v>
      </c>
      <c r="Z331" s="233">
        <f t="shared" si="115"/>
        <v>0</v>
      </c>
      <c r="AA331" s="233">
        <f t="shared" si="115"/>
        <v>0</v>
      </c>
      <c r="AB331" s="233">
        <f t="shared" si="115"/>
        <v>0</v>
      </c>
      <c r="AC331" s="233">
        <f t="shared" si="115"/>
        <v>0</v>
      </c>
      <c r="AD331" s="233">
        <f t="shared" si="115"/>
        <v>0</v>
      </c>
      <c r="AE331" s="233">
        <f t="shared" si="115"/>
        <v>0</v>
      </c>
      <c r="AF331" s="233">
        <f t="shared" si="115"/>
        <v>0</v>
      </c>
      <c r="AG331" s="233">
        <f t="shared" si="115"/>
        <v>0</v>
      </c>
      <c r="AH331" s="233">
        <f t="shared" si="115"/>
        <v>0</v>
      </c>
      <c r="AI331" s="233">
        <f t="shared" si="115"/>
        <v>0</v>
      </c>
      <c r="AJ331" s="417">
        <f>SUM(D331:AA331)</f>
        <v>0</v>
      </c>
      <c r="AK331" s="116" t="str">
        <f>CONCATENATE(IF(D331&gt;D341," * Starting ART for Age "&amp;D20&amp;" "&amp;D21&amp;" is more than Current On ART"&amp;CHAR(10),""),IF(E331&gt;E341," * Starting ART for Age "&amp;D20&amp;" "&amp;E21&amp;" is more than Current On ART"&amp;CHAR(10),""),IF(F331&gt;F341," * Starting ART for Age "&amp;F20&amp;" "&amp;F21&amp;" is more than Current On ART"&amp;CHAR(10),""),IF(G331&gt;G341," * Starting ART for Age "&amp;F20&amp;" "&amp;G21&amp;" is more than Current On ART"&amp;CHAR(10),""),IF(H331&gt;H341," * Starting ART for Age "&amp;H20&amp;" "&amp;H21&amp;" is more than Current On ART"&amp;CHAR(10),""),IF(I331&gt;I341," * Starting ART for Age "&amp;H20&amp;" "&amp;I21&amp;" is more than Current On ART"&amp;CHAR(10),""),IF(J331&gt;J341," * Starting ART for Age "&amp;J20&amp;" "&amp;J21&amp;" is more than Current On ART"&amp;CHAR(10),""),IF(K331&gt;K341," * Starting ART for Age "&amp;J20&amp;" "&amp;K21&amp;" is more than Current On ART"&amp;CHAR(10),""),IF(L331&gt;L341," * Starting ART for Age "&amp;L20&amp;" "&amp;L21&amp;" is more than Current On ART"&amp;CHAR(10),""),IF(M331&gt;M341," * Starting ART for Age "&amp;L20&amp;" "&amp;M21&amp;" is more than Current On ART"&amp;CHAR(10),""),IF(N331&gt;N341," * Starting ART for Age "&amp;N20&amp;" "&amp;N21&amp;" is more than Current On ART"&amp;CHAR(10),""),IF(O331&gt;O341," * Starting ART for Age "&amp;N20&amp;" "&amp;O21&amp;" is more than Current On ART"&amp;CHAR(10),""),IF(P331&gt;P341," * Starting ART for Age "&amp;P20&amp;" "&amp;P21&amp;" is more than Current On ART"&amp;CHAR(10),""),IF(Q331&gt;Q341," * Starting ART for Age "&amp;P20&amp;" "&amp;Q21&amp;" is more than Current On ART"&amp;CHAR(10),""),IF(R331&gt;R341," * Starting ART for Age "&amp;R20&amp;" "&amp;R21&amp;" is more than Current On ART"&amp;CHAR(10),""),IF(S331&gt;S341," * Starting ART for Age "&amp;R20&amp;" "&amp;S21&amp;" is more than Current On ART"&amp;CHAR(10),""),IF(T331&gt;T341," * Starting ART for Age "&amp;T20&amp;" "&amp;T21&amp;" is more than Current On ART"&amp;CHAR(10),""),IF(U331&gt;U341," * Starting ART for Age "&amp;T20&amp;" "&amp;U21&amp;" is more than Current On ART"&amp;CHAR(10),""),IF(V331&gt;V341," * Starting ART for Age "&amp;V20&amp;" "&amp;V21&amp;" is more than Current On ART"&amp;CHAR(10),""),IF(W331&gt;W341," * Starting ART for Age "&amp;V20&amp;" "&amp;W21&amp;" is more than Current On ART"&amp;CHAR(10),""),IF(X331&gt;X341," * Starting ART for Age "&amp;X20&amp;" "&amp;X21&amp;" is more than Current On ART"&amp;CHAR(10),""),IF(Y331&gt;Y341," * Starting ART for Age "&amp;X20&amp;" "&amp;Y21&amp;" is more than Current On ART"&amp;CHAR(10),""),IF(Z331&gt;Z341," * Starting ART for Age "&amp;Z20&amp;" "&amp;Z21&amp;" is more than Current On ART"&amp;CHAR(10),""),IF(AA331&gt;AA341," * Starting ART for Age "&amp;Z20&amp;" "&amp;AA21&amp;" is more than Current On ART"&amp;CHAR(10),""))</f>
        <v/>
      </c>
      <c r="AL331" s="1099" t="str">
        <f>CONCATENATE(AK331,AK332,AK333,AK334,AK335,AK336,AK337,AK338,AK340,AK341,AK342,AK343,AK344,AK345,AK346,AK347,AK348,AK350,AK349,AK351,AK352,AK353,AK354,AK355)</f>
        <v/>
      </c>
      <c r="AM331" s="31"/>
      <c r="AN331" s="1090" t="str">
        <f>CONCATENATE(AM331,AM332,AM333,AM334,AM335,AM336,AM337,AM338,AM340,AM341,AM342,AM343,AM344,AM345,AM346,AM347,AM348,AM349,AM350,AM351,AM352,AM353,AM354,AM355)</f>
        <v/>
      </c>
      <c r="AO331" s="13">
        <v>247</v>
      </c>
      <c r="AP331" s="234"/>
      <c r="AQ331" s="235"/>
    </row>
    <row r="332" spans="1:43" ht="25.5" hidden="1" x14ac:dyDescent="0.75">
      <c r="A332" s="944" t="s">
        <v>570</v>
      </c>
      <c r="B332" s="1" t="s">
        <v>393</v>
      </c>
      <c r="C332" s="579" t="s">
        <v>564</v>
      </c>
      <c r="D332" s="237"/>
      <c r="E332" s="94"/>
      <c r="F332" s="94"/>
      <c r="G332" s="94"/>
      <c r="H332" s="94"/>
      <c r="I332" s="94"/>
      <c r="J332" s="94"/>
      <c r="K332" s="94"/>
      <c r="L332" s="94"/>
      <c r="M332" s="94"/>
      <c r="N332" s="94"/>
      <c r="O332" s="94"/>
      <c r="P332" s="94"/>
      <c r="Q332" s="94"/>
      <c r="R332" s="94"/>
      <c r="S332" s="94"/>
      <c r="T332" s="94"/>
      <c r="U332" s="94"/>
      <c r="V332" s="94"/>
      <c r="W332" s="94"/>
      <c r="X332" s="94"/>
      <c r="Y332" s="94"/>
      <c r="Z332" s="505">
        <f t="shared" ref="Z332:Z336" si="116">SUM(AB332,AD332,AF332,AH332)</f>
        <v>0</v>
      </c>
      <c r="AA332" s="505">
        <f t="shared" ref="AA332:AA336" si="117">SUM(AC332,AE332,AG332,AI332)</f>
        <v>0</v>
      </c>
      <c r="AB332" s="322"/>
      <c r="AC332" s="322"/>
      <c r="AD332" s="322"/>
      <c r="AE332" s="322"/>
      <c r="AF332" s="322"/>
      <c r="AG332" s="322"/>
      <c r="AH332" s="322"/>
      <c r="AI332" s="322"/>
      <c r="AJ332" s="616">
        <f t="shared" ref="AJ332:AJ337" si="118">SUM(D332:AA332)</f>
        <v>0</v>
      </c>
      <c r="AK332" s="116"/>
      <c r="AL332" s="1100"/>
      <c r="AM332" s="31"/>
      <c r="AN332" s="1081"/>
      <c r="AO332" s="13">
        <v>248</v>
      </c>
      <c r="AP332" s="74"/>
      <c r="AQ332" s="75"/>
    </row>
    <row r="333" spans="1:43" ht="25.5" hidden="1" x14ac:dyDescent="0.75">
      <c r="A333" s="1021"/>
      <c r="B333" s="2" t="s">
        <v>388</v>
      </c>
      <c r="C333" s="580" t="s">
        <v>565</v>
      </c>
      <c r="D333" s="238"/>
      <c r="E333" s="79"/>
      <c r="F333" s="79"/>
      <c r="G333" s="79"/>
      <c r="H333" s="79"/>
      <c r="I333" s="79"/>
      <c r="J333" s="79"/>
      <c r="K333" s="79"/>
      <c r="L333" s="79"/>
      <c r="M333" s="79"/>
      <c r="N333" s="79"/>
      <c r="O333" s="79"/>
      <c r="P333" s="79"/>
      <c r="Q333" s="79"/>
      <c r="R333" s="79"/>
      <c r="S333" s="79"/>
      <c r="T333" s="79"/>
      <c r="U333" s="79"/>
      <c r="V333" s="79"/>
      <c r="W333" s="79"/>
      <c r="X333" s="79"/>
      <c r="Y333" s="79"/>
      <c r="Z333" s="505">
        <f t="shared" si="116"/>
        <v>0</v>
      </c>
      <c r="AA333" s="505">
        <f t="shared" si="117"/>
        <v>0</v>
      </c>
      <c r="AB333" s="319"/>
      <c r="AC333" s="319"/>
      <c r="AD333" s="319"/>
      <c r="AE333" s="319"/>
      <c r="AF333" s="319"/>
      <c r="AG333" s="319"/>
      <c r="AH333" s="319"/>
      <c r="AI333" s="319"/>
      <c r="AJ333" s="617">
        <f t="shared" si="118"/>
        <v>0</v>
      </c>
      <c r="AK333" s="116"/>
      <c r="AL333" s="1100"/>
      <c r="AM333" s="31"/>
      <c r="AN333" s="1081"/>
      <c r="AO333" s="13">
        <v>249</v>
      </c>
      <c r="AP333" s="74"/>
      <c r="AQ333" s="75"/>
    </row>
    <row r="334" spans="1:43" ht="25.5" hidden="1" x14ac:dyDescent="0.75">
      <c r="A334" s="1021"/>
      <c r="B334" s="2" t="s">
        <v>389</v>
      </c>
      <c r="C334" s="580" t="s">
        <v>566</v>
      </c>
      <c r="D334" s="238"/>
      <c r="E334" s="79"/>
      <c r="F334" s="79"/>
      <c r="G334" s="79"/>
      <c r="H334" s="79"/>
      <c r="I334" s="79"/>
      <c r="J334" s="79"/>
      <c r="K334" s="79"/>
      <c r="L334" s="79"/>
      <c r="M334" s="79"/>
      <c r="N334" s="79"/>
      <c r="O334" s="79"/>
      <c r="P334" s="79"/>
      <c r="Q334" s="79"/>
      <c r="R334" s="79"/>
      <c r="S334" s="79"/>
      <c r="T334" s="79"/>
      <c r="U334" s="79"/>
      <c r="V334" s="79"/>
      <c r="W334" s="79"/>
      <c r="X334" s="79"/>
      <c r="Y334" s="79"/>
      <c r="Z334" s="505">
        <f t="shared" si="116"/>
        <v>0</v>
      </c>
      <c r="AA334" s="505">
        <f t="shared" si="117"/>
        <v>0</v>
      </c>
      <c r="AB334" s="319"/>
      <c r="AC334" s="319"/>
      <c r="AD334" s="319"/>
      <c r="AE334" s="319"/>
      <c r="AF334" s="319"/>
      <c r="AG334" s="319"/>
      <c r="AH334" s="319"/>
      <c r="AI334" s="319"/>
      <c r="AJ334" s="617">
        <f t="shared" si="118"/>
        <v>0</v>
      </c>
      <c r="AK334" s="116"/>
      <c r="AL334" s="1100"/>
      <c r="AM334" s="31"/>
      <c r="AN334" s="1081"/>
      <c r="AO334" s="13">
        <v>250</v>
      </c>
      <c r="AP334" s="74"/>
      <c r="AQ334" s="75"/>
    </row>
    <row r="335" spans="1:43" ht="25.5" hidden="1" x14ac:dyDescent="0.75">
      <c r="A335" s="1021"/>
      <c r="B335" s="2" t="s">
        <v>390</v>
      </c>
      <c r="C335" s="580" t="s">
        <v>567</v>
      </c>
      <c r="D335" s="238"/>
      <c r="E335" s="79"/>
      <c r="F335" s="79"/>
      <c r="G335" s="79"/>
      <c r="H335" s="79"/>
      <c r="I335" s="79"/>
      <c r="J335" s="79"/>
      <c r="K335" s="79"/>
      <c r="L335" s="79"/>
      <c r="M335" s="79"/>
      <c r="N335" s="79"/>
      <c r="O335" s="79"/>
      <c r="P335" s="79"/>
      <c r="Q335" s="79"/>
      <c r="R335" s="79"/>
      <c r="S335" s="79"/>
      <c r="T335" s="79"/>
      <c r="U335" s="79"/>
      <c r="V335" s="79"/>
      <c r="W335" s="79"/>
      <c r="X335" s="79"/>
      <c r="Y335" s="79"/>
      <c r="Z335" s="505">
        <f t="shared" si="116"/>
        <v>0</v>
      </c>
      <c r="AA335" s="505">
        <f t="shared" si="117"/>
        <v>0</v>
      </c>
      <c r="AB335" s="319"/>
      <c r="AC335" s="319"/>
      <c r="AD335" s="319"/>
      <c r="AE335" s="319"/>
      <c r="AF335" s="319"/>
      <c r="AG335" s="319"/>
      <c r="AH335" s="319"/>
      <c r="AI335" s="319"/>
      <c r="AJ335" s="617">
        <f t="shared" si="118"/>
        <v>0</v>
      </c>
      <c r="AK335" s="116"/>
      <c r="AL335" s="1100"/>
      <c r="AM335" s="31"/>
      <c r="AN335" s="1081"/>
      <c r="AO335" s="13">
        <v>251</v>
      </c>
      <c r="AP335" s="74"/>
      <c r="AQ335" s="75"/>
    </row>
    <row r="336" spans="1:43" ht="25.5" hidden="1" x14ac:dyDescent="0.75">
      <c r="A336" s="1021"/>
      <c r="B336" s="2" t="s">
        <v>391</v>
      </c>
      <c r="C336" s="580" t="s">
        <v>568</v>
      </c>
      <c r="D336" s="238"/>
      <c r="E336" s="79"/>
      <c r="F336" s="79"/>
      <c r="G336" s="79"/>
      <c r="H336" s="79"/>
      <c r="I336" s="79"/>
      <c r="J336" s="79"/>
      <c r="K336" s="79"/>
      <c r="L336" s="79"/>
      <c r="M336" s="79"/>
      <c r="N336" s="79"/>
      <c r="O336" s="79"/>
      <c r="P336" s="79"/>
      <c r="Q336" s="79"/>
      <c r="R336" s="79"/>
      <c r="S336" s="79"/>
      <c r="T336" s="79"/>
      <c r="U336" s="79"/>
      <c r="V336" s="79"/>
      <c r="W336" s="79"/>
      <c r="X336" s="79"/>
      <c r="Y336" s="79"/>
      <c r="Z336" s="505">
        <f t="shared" si="116"/>
        <v>0</v>
      </c>
      <c r="AA336" s="505">
        <f t="shared" si="117"/>
        <v>0</v>
      </c>
      <c r="AB336" s="319"/>
      <c r="AC336" s="319"/>
      <c r="AD336" s="319"/>
      <c r="AE336" s="319"/>
      <c r="AF336" s="319"/>
      <c r="AG336" s="319"/>
      <c r="AH336" s="319"/>
      <c r="AI336" s="319"/>
      <c r="AJ336" s="617">
        <f t="shared" si="118"/>
        <v>0</v>
      </c>
      <c r="AK336" s="116"/>
      <c r="AL336" s="1100"/>
      <c r="AM336" s="31"/>
      <c r="AN336" s="1081"/>
      <c r="AO336" s="13">
        <v>252</v>
      </c>
      <c r="AP336" s="74"/>
      <c r="AQ336" s="75"/>
    </row>
    <row r="337" spans="1:43" ht="25.9" hidden="1" thickBot="1" x14ac:dyDescent="0.8">
      <c r="A337" s="1070"/>
      <c r="B337" s="3" t="s">
        <v>392</v>
      </c>
      <c r="C337" s="581" t="s">
        <v>569</v>
      </c>
      <c r="D337" s="141"/>
      <c r="E337" s="89"/>
      <c r="F337" s="89"/>
      <c r="G337" s="89"/>
      <c r="H337" s="89"/>
      <c r="I337" s="89"/>
      <c r="J337" s="89"/>
      <c r="K337" s="89"/>
      <c r="L337" s="89"/>
      <c r="M337" s="89"/>
      <c r="N337" s="89"/>
      <c r="O337" s="89"/>
      <c r="P337" s="89"/>
      <c r="Q337" s="89"/>
      <c r="R337" s="89"/>
      <c r="S337" s="89"/>
      <c r="T337" s="89"/>
      <c r="U337" s="89"/>
      <c r="V337" s="89"/>
      <c r="W337" s="89"/>
      <c r="X337" s="89"/>
      <c r="Y337" s="89"/>
      <c r="Z337" s="505">
        <f>SUM(AB337,AD337,AF337,AH337)</f>
        <v>0</v>
      </c>
      <c r="AA337" s="505">
        <f>SUM(AC337,AE337,AG337,AI337)</f>
        <v>0</v>
      </c>
      <c r="AB337" s="321"/>
      <c r="AC337" s="321"/>
      <c r="AD337" s="321"/>
      <c r="AE337" s="321"/>
      <c r="AF337" s="321"/>
      <c r="AG337" s="321"/>
      <c r="AH337" s="321"/>
      <c r="AI337" s="321"/>
      <c r="AJ337" s="618">
        <f t="shared" si="118"/>
        <v>0</v>
      </c>
      <c r="AK337" s="116"/>
      <c r="AL337" s="1100"/>
      <c r="AM337" s="31"/>
      <c r="AN337" s="1081"/>
      <c r="AO337" s="13">
        <v>253</v>
      </c>
      <c r="AP337" s="74"/>
      <c r="AQ337" s="75"/>
    </row>
    <row r="338" spans="1:43" ht="25.9" hidden="1" thickBot="1" x14ac:dyDescent="0.8">
      <c r="A338" s="660" t="s">
        <v>571</v>
      </c>
      <c r="B338" s="239" t="s">
        <v>700</v>
      </c>
      <c r="C338" s="601" t="s">
        <v>297</v>
      </c>
      <c r="D338" s="240"/>
      <c r="E338" s="229"/>
      <c r="F338" s="229"/>
      <c r="G338" s="229"/>
      <c r="H338" s="229"/>
      <c r="I338" s="229"/>
      <c r="J338" s="229"/>
      <c r="K338" s="230"/>
      <c r="L338" s="229"/>
      <c r="M338" s="230"/>
      <c r="N338" s="229"/>
      <c r="O338" s="230"/>
      <c r="P338" s="229"/>
      <c r="Q338" s="230"/>
      <c r="R338" s="229"/>
      <c r="S338" s="230"/>
      <c r="T338" s="229"/>
      <c r="U338" s="230"/>
      <c r="V338" s="229"/>
      <c r="W338" s="230"/>
      <c r="X338" s="229"/>
      <c r="Y338" s="230"/>
      <c r="Z338" s="229"/>
      <c r="AA338" s="356"/>
      <c r="AB338" s="390"/>
      <c r="AC338" s="391"/>
      <c r="AD338" s="391"/>
      <c r="AE338" s="391"/>
      <c r="AF338" s="391"/>
      <c r="AG338" s="391"/>
      <c r="AH338" s="391"/>
      <c r="AI338" s="315"/>
      <c r="AJ338" s="502">
        <f t="shared" ref="AJ338:AJ366" si="119">SUM(D338:AA338)</f>
        <v>0</v>
      </c>
      <c r="AK338" s="306" t="str">
        <f>CONCATENATE(IF(D338&gt;D331," * F07-02 for Age "&amp;D20&amp;" "&amp;D21&amp;" is more than F07-01"&amp;CHAR(10),""),IF(E338&gt;E331," * F07-02 for Age "&amp;D20&amp;" "&amp;E21&amp;" is more than F07-01"&amp;CHAR(10),""),IF(F338&gt;F331," * F07-02 for Age "&amp;F20&amp;" "&amp;F21&amp;" is more than F07-01"&amp;CHAR(10),""),IF(G338&gt;G331," * F07-02 for Age "&amp;F20&amp;" "&amp;G21&amp;" is more than F07-01"&amp;CHAR(10),""),IF(H338&gt;H331," * F07-02 for Age "&amp;H20&amp;" "&amp;H21&amp;" is more than F07-01"&amp;CHAR(10),""),IF(I338&gt;I331," * F07-02 for Age "&amp;H20&amp;" "&amp;I21&amp;" is more than F07-01"&amp;CHAR(10),""),IF(J338&gt;J331," * F07-02 for Age "&amp;J20&amp;" "&amp;J21&amp;" is more than F07-01"&amp;CHAR(10),""),IF(K338&gt;K331," * F07-02 for Age "&amp;J20&amp;" "&amp;K21&amp;" is more than F07-01"&amp;CHAR(10),""),IF(L338&gt;L331," * F07-02 for Age "&amp;L20&amp;" "&amp;L21&amp;" is more than F07-01"&amp;CHAR(10),""),IF(M338&gt;M331," * F07-02 for Age "&amp;L20&amp;" "&amp;M21&amp;" is more than F07-01"&amp;CHAR(10),""),IF(N338&gt;N331," * F07-02 for Age "&amp;N20&amp;" "&amp;N21&amp;" is more than F07-01"&amp;CHAR(10),""),IF(O338&gt;O331," * F07-02 for Age "&amp;N20&amp;" "&amp;O21&amp;" is more than F07-01"&amp;CHAR(10),""),IF(P338&gt;P331," * F07-02 for Age "&amp;P20&amp;" "&amp;P21&amp;" is more than F07-01"&amp;CHAR(10),""),IF(Q338&gt;Q331," * F07-02 for Age "&amp;P20&amp;" "&amp;Q21&amp;" is more than F07-01"&amp;CHAR(10),""),IF(R338&gt;R331," * F07-02 for Age "&amp;R20&amp;" "&amp;R21&amp;" is more than F07-01"&amp;CHAR(10),""),IF(S338&gt;S331," * F07-02 for Age "&amp;R20&amp;" "&amp;S21&amp;" is more than F07-01"&amp;CHAR(10),""),IF(T338&gt;T331," * F07-02 for Age "&amp;T20&amp;" "&amp;T21&amp;" is more than F07-01"&amp;CHAR(10),""),IF(U338&gt;U331," * F07-02 for Age "&amp;T20&amp;" "&amp;U21&amp;" is more than F07-01"&amp;CHAR(10),""),IF(V338&gt;V331," * F07-02 for Age "&amp;V20&amp;" "&amp;V21&amp;" is more than F07-01"&amp;CHAR(10),""),IF(W338&gt;W331," * F07-02 for Age "&amp;V20&amp;" "&amp;W21&amp;" is more than F07-01"&amp;CHAR(10),""),IF(X338&gt;X331," * F07-02 for Age "&amp;X20&amp;" "&amp;X21&amp;" is more than F07-01"&amp;CHAR(10),""),IF(Y338&gt;Y331," * F07-02 for Age "&amp;X20&amp;" "&amp;Y21&amp;" is more than F07-01"&amp;CHAR(10),""),IF(Z338&gt;Z331," * F07-02 for Age "&amp;Z20&amp;" "&amp;Z21&amp;" is more than F07-01"&amp;CHAR(10),""),IF(AA338&gt;AA331," * F07-02 for Age "&amp;Z20&amp;" "&amp;AA21&amp;" is more than F07-01"&amp;CHAR(10),""),IF(AJ338&gt;AJ331," * Total F07-02 is more than Total F07-01"&amp;CHAR(10),""))</f>
        <v/>
      </c>
      <c r="AL338" s="1100"/>
      <c r="AM338" s="60" t="str">
        <f>CONCATENATE(IF(AND(AJ331&gt;0,OR(SUM(AJ28,AJ34,AJ36,AJ38,AJ40,AJ42,AJ44,AJ46,AJ48,AJ50,AJ280,AJ284,AJ288,AJ292)=0,SUM(AJ27,AJ33,AJ35,AJ37,AJ39,AJ41,AJ43,AJ45,AJ47,AJ49,AJ279,AJ283,AJ287,AJ291)=0))," * This site started patients on ART yet it has 0 positives or zero tested "&amp;CHAR(10),""),"")</f>
        <v/>
      </c>
      <c r="AN338" s="1081"/>
      <c r="AO338" s="13">
        <v>254</v>
      </c>
      <c r="AP338" s="74"/>
      <c r="AQ338" s="75"/>
    </row>
    <row r="339" spans="1:43" ht="25.9" hidden="1" thickBot="1" x14ac:dyDescent="0.8">
      <c r="A339" s="661" t="s">
        <v>971</v>
      </c>
      <c r="B339" s="482" t="s">
        <v>972</v>
      </c>
      <c r="C339" s="582" t="s">
        <v>973</v>
      </c>
      <c r="D339" s="411"/>
      <c r="E339" s="230"/>
      <c r="F339" s="230"/>
      <c r="G339" s="230"/>
      <c r="H339" s="230"/>
      <c r="I339" s="230"/>
      <c r="J339" s="230"/>
      <c r="K339" s="230"/>
      <c r="L339" s="230"/>
      <c r="M339" s="230"/>
      <c r="N339" s="230"/>
      <c r="O339" s="230"/>
      <c r="P339" s="230"/>
      <c r="Q339" s="230"/>
      <c r="R339" s="230"/>
      <c r="S339" s="230"/>
      <c r="T339" s="230"/>
      <c r="U339" s="230"/>
      <c r="V339" s="230"/>
      <c r="W339" s="230"/>
      <c r="X339" s="230"/>
      <c r="Y339" s="230"/>
      <c r="Z339" s="545">
        <f t="shared" ref="Z339:AA341" si="120">SUM(AB339,AD339,AF339,AH339)</f>
        <v>0</v>
      </c>
      <c r="AA339" s="545">
        <f t="shared" si="120"/>
        <v>0</v>
      </c>
      <c r="AB339" s="546"/>
      <c r="AC339" s="547"/>
      <c r="AD339" s="547"/>
      <c r="AE339" s="547"/>
      <c r="AF339" s="547"/>
      <c r="AG339" s="547"/>
      <c r="AH339" s="547"/>
      <c r="AI339" s="547"/>
      <c r="AJ339" s="309">
        <f t="shared" si="119"/>
        <v>0</v>
      </c>
      <c r="AK339" s="116"/>
      <c r="AL339" s="1100"/>
      <c r="AM339" s="60"/>
      <c r="AN339" s="1081"/>
      <c r="AO339" s="13">
        <v>255</v>
      </c>
      <c r="AP339" s="74"/>
      <c r="AQ339" s="75"/>
    </row>
    <row r="340" spans="1:43" ht="25.9" hidden="1" thickBot="1" x14ac:dyDescent="0.8">
      <c r="A340" s="944" t="s">
        <v>572</v>
      </c>
      <c r="B340" s="543" t="s">
        <v>966</v>
      </c>
      <c r="C340" s="575" t="s">
        <v>555</v>
      </c>
      <c r="D340" s="544"/>
      <c r="E340" s="241"/>
      <c r="F340" s="241"/>
      <c r="G340" s="241"/>
      <c r="H340" s="241"/>
      <c r="I340" s="241"/>
      <c r="J340" s="241"/>
      <c r="K340" s="241"/>
      <c r="L340" s="241"/>
      <c r="M340" s="241"/>
      <c r="N340" s="241"/>
      <c r="O340" s="241"/>
      <c r="P340" s="241"/>
      <c r="Q340" s="241"/>
      <c r="R340" s="241"/>
      <c r="S340" s="241"/>
      <c r="T340" s="241"/>
      <c r="U340" s="241"/>
      <c r="V340" s="241"/>
      <c r="W340" s="241"/>
      <c r="X340" s="241"/>
      <c r="Y340" s="334"/>
      <c r="Z340" s="545">
        <f t="shared" si="120"/>
        <v>0</v>
      </c>
      <c r="AA340" s="545">
        <f t="shared" si="120"/>
        <v>0</v>
      </c>
      <c r="AB340" s="546"/>
      <c r="AC340" s="547"/>
      <c r="AD340" s="547"/>
      <c r="AE340" s="547"/>
      <c r="AF340" s="547"/>
      <c r="AG340" s="547"/>
      <c r="AH340" s="547"/>
      <c r="AI340" s="547"/>
      <c r="AJ340" s="548">
        <f t="shared" ref="AJ340" si="121">SUM(D340:AA340)</f>
        <v>0</v>
      </c>
      <c r="AK340" s="116" t="str">
        <f>CONCATENATE(IF(D340&gt;D341," * &lt; 28 Days Defaulters for Age "&amp;D20&amp;" "&amp;D21&amp;" is more than Current On ART"&amp;CHAR(10),""),IF(E340&gt;E341," * &lt; 28 Days Defaulters for Age "&amp;D20&amp;" "&amp;E21&amp;" is more than Current On ART"&amp;CHAR(10),""),IF(F340&gt;F341," * &lt; 28 Days Defaulters for Age "&amp;F20&amp;" "&amp;F21&amp;" is more than Current On ART"&amp;CHAR(10),""),IF(G340&gt;G341," * &lt; 28 Days Defaulters for Age "&amp;F20&amp;" "&amp;G21&amp;" is more than Current On ART"&amp;CHAR(10),""),IF(H340&gt;H341," * &lt; 28 Days Defaulters for Age "&amp;H20&amp;" "&amp;H21&amp;" is more than Current On ART"&amp;CHAR(10),""),IF(I340&gt;I341," * &lt; 28 Days Defaulters for Age "&amp;H20&amp;" "&amp;I21&amp;" is more than Current On ART"&amp;CHAR(10),""),IF(J340&gt;J341," * &lt; 28 Days Defaulters for Age "&amp;J20&amp;" "&amp;J21&amp;" is more than Current On ART"&amp;CHAR(10),""),IF(K340&gt;K341," * &lt; 28 Days Defaulters for Age "&amp;J20&amp;" "&amp;K21&amp;" is more than Current On ART"&amp;CHAR(10),""),IF(L340&gt;L341," * &lt; 28 Days Defaulters for Age "&amp;L20&amp;" "&amp;L21&amp;" is more than Current On ART"&amp;CHAR(10),""),IF(M340&gt;M341," * &lt; 28 Days Defaulters for Age "&amp;L20&amp;" "&amp;M21&amp;" is more than Current On ART"&amp;CHAR(10),""),IF(N340&gt;N341," * &lt; 28 Days Defaulters for Age "&amp;N20&amp;" "&amp;N21&amp;" is more than Current On ART"&amp;CHAR(10),""),IF(O340&gt;O341," * &lt; 28 Days Defaulters for Age "&amp;N20&amp;" "&amp;O21&amp;" is more than Current On ART"&amp;CHAR(10),""),IF(P340&gt;P341," * &lt; 28 Days Defaulters for Age "&amp;P20&amp;" "&amp;P21&amp;" is more than Current On ART"&amp;CHAR(10),""),IF(Q340&gt;Q341," * &lt; 28 Days Defaulters for Age "&amp;P20&amp;" "&amp;Q21&amp;" is more than Current On ART"&amp;CHAR(10),""),IF(R340&gt;R341," * &lt; 28 Days Defaulters for Age "&amp;R20&amp;" "&amp;R21&amp;" is more than Current On ART"&amp;CHAR(10),""),IF(S340&gt;S341," * &lt; 28 Days Defaulters for Age "&amp;R20&amp;" "&amp;S21&amp;" is more than Current On ART"&amp;CHAR(10),""),IF(T340&gt;T341," * &lt; 28 Days Defaulters for Age "&amp;T20&amp;" "&amp;T21&amp;" is more than Current On ART"&amp;CHAR(10),""),IF(U340&gt;U341," * &lt; 28 Days Defaulters for Age "&amp;T20&amp;" "&amp;U21&amp;" is more than Current On ART"&amp;CHAR(10),""),IF(V340&gt;V341," * &lt; 28 Days Defaulters for Age "&amp;V20&amp;" "&amp;V21&amp;" is more than Current On ART"&amp;CHAR(10),""),IF(W340&gt;W341," * &lt; 28 Days Defaulters for Age "&amp;V20&amp;" "&amp;W21&amp;" is more than Current On ART"&amp;CHAR(10),""),IF(X340&gt;X341," * &lt; 28 Days Defaulters for Age "&amp;X20&amp;" "&amp;X21&amp;" is more than Current On ART"&amp;CHAR(10),""),IF(Y340&gt;Y341," * &lt; 28 Days Defaulters for Age "&amp;X20&amp;" "&amp;Y21&amp;" is more than Current On ART"&amp;CHAR(10),""),IF(Z340&gt;Z341," * &lt; 28 Days Defaulters for Age "&amp;Z20&amp;" "&amp;Z21&amp;" is more than Current On ART"&amp;CHAR(10),""),IF(AA340&gt;AA341," * &lt; 28 Days Defaulters for Age "&amp;Z20&amp;" "&amp;AA21&amp;" is more than Current On ART"&amp;CHAR(10),""))</f>
        <v/>
      </c>
      <c r="AL340" s="1100"/>
      <c r="AM340" s="31"/>
      <c r="AN340" s="1081"/>
      <c r="AO340" s="13">
        <v>256</v>
      </c>
      <c r="AP340" s="74"/>
      <c r="AQ340" s="75"/>
    </row>
    <row r="341" spans="1:43" ht="25.9" hidden="1" thickBot="1" x14ac:dyDescent="0.8">
      <c r="A341" s="1070"/>
      <c r="B341" s="231" t="s">
        <v>842</v>
      </c>
      <c r="C341" s="601" t="s">
        <v>299</v>
      </c>
      <c r="D341" s="551">
        <f>SUM(D342:D347)</f>
        <v>0</v>
      </c>
      <c r="E341" s="552">
        <f t="shared" ref="E341:AG341" si="122">SUM(E342:E347)</f>
        <v>0</v>
      </c>
      <c r="F341" s="552">
        <f t="shared" si="122"/>
        <v>0</v>
      </c>
      <c r="G341" s="552">
        <f t="shared" si="122"/>
        <v>0</v>
      </c>
      <c r="H341" s="552">
        <f t="shared" si="122"/>
        <v>0</v>
      </c>
      <c r="I341" s="552">
        <f t="shared" si="122"/>
        <v>0</v>
      </c>
      <c r="J341" s="552">
        <f t="shared" si="122"/>
        <v>0</v>
      </c>
      <c r="K341" s="552">
        <f t="shared" si="122"/>
        <v>0</v>
      </c>
      <c r="L341" s="552">
        <f t="shared" si="122"/>
        <v>0</v>
      </c>
      <c r="M341" s="552">
        <f t="shared" si="122"/>
        <v>0</v>
      </c>
      <c r="N341" s="552">
        <f t="shared" si="122"/>
        <v>0</v>
      </c>
      <c r="O341" s="552">
        <f t="shared" si="122"/>
        <v>0</v>
      </c>
      <c r="P341" s="552">
        <f t="shared" si="122"/>
        <v>0</v>
      </c>
      <c r="Q341" s="552">
        <f t="shared" si="122"/>
        <v>0</v>
      </c>
      <c r="R341" s="552">
        <f t="shared" si="122"/>
        <v>0</v>
      </c>
      <c r="S341" s="552">
        <f t="shared" si="122"/>
        <v>0</v>
      </c>
      <c r="T341" s="552">
        <f t="shared" si="122"/>
        <v>0</v>
      </c>
      <c r="U341" s="552">
        <f t="shared" si="122"/>
        <v>0</v>
      </c>
      <c r="V341" s="552">
        <f t="shared" si="122"/>
        <v>0</v>
      </c>
      <c r="W341" s="552">
        <f t="shared" si="122"/>
        <v>0</v>
      </c>
      <c r="X341" s="552">
        <f t="shared" si="122"/>
        <v>0</v>
      </c>
      <c r="Y341" s="553">
        <f t="shared" si="122"/>
        <v>0</v>
      </c>
      <c r="Z341" s="540">
        <f t="shared" si="120"/>
        <v>0</v>
      </c>
      <c r="AA341" s="540">
        <f t="shared" si="120"/>
        <v>0</v>
      </c>
      <c r="AB341" s="551">
        <f t="shared" si="122"/>
        <v>0</v>
      </c>
      <c r="AC341" s="552">
        <f t="shared" si="122"/>
        <v>0</v>
      </c>
      <c r="AD341" s="552">
        <f t="shared" si="122"/>
        <v>0</v>
      </c>
      <c r="AE341" s="552">
        <f t="shared" si="122"/>
        <v>0</v>
      </c>
      <c r="AF341" s="552">
        <f t="shared" si="122"/>
        <v>0</v>
      </c>
      <c r="AG341" s="552">
        <f t="shared" si="122"/>
        <v>0</v>
      </c>
      <c r="AH341" s="552">
        <f t="shared" ref="AH341:AI341" si="123">SUM(AH342:AH347)</f>
        <v>0</v>
      </c>
      <c r="AI341" s="552">
        <f t="shared" si="123"/>
        <v>0</v>
      </c>
      <c r="AJ341" s="554">
        <f>SUM(AJ342:AJ347)</f>
        <v>0</v>
      </c>
      <c r="AK341" s="116" t="str">
        <f>CONCATENATE(IF(D341&lt;&gt;D354,""&amp;CHAR(10)&amp;"  * Current on ART by month of dispense F07-16 for age "&amp;D329&amp;" "&amp;D330&amp;" is not equal to Clients current On ART F07-03 age  "&amp;D329&amp;" "&amp;D330&amp;"",""),IF(E341&lt;&gt;E354,""&amp;CHAR(10)&amp;"  * Current on ART by month of dispense F07-16 for age "&amp;D329&amp;" "&amp;E330&amp;" is not equal to Clients current On ART F07-03 age  "&amp;D329&amp;" "&amp;E330&amp;"",""),IF(F341&lt;&gt;F354,""&amp;CHAR(10)&amp;"  * Current on ART by month of dispense F07-16 for age "&amp;F329&amp;" "&amp;F330&amp;" is not equal to Clients current On ART F07-03 age  "&amp;F329&amp;" "&amp;F330&amp;"",""),IF(G341&lt;&gt;G354,""&amp;CHAR(10)&amp;"  * Current on ART by month of dispense F07-16 for age "&amp;F329&amp;" "&amp;G330&amp;" is not equal to Clients current On ART F07-03 age  "&amp;F329&amp;" "&amp;G330&amp;"",""),IF(H341&lt;&gt;H354,""&amp;CHAR(10)&amp;"  * Current on ART by month of dispense F07-16 for age "&amp;H329&amp;" "&amp;H330&amp;" is not equal to Clients current On ART F07-03 age  "&amp;H329&amp;" "&amp;H330&amp;"",""),IF(I341&lt;&gt;I354,""&amp;CHAR(10)&amp;"  * Current on ART by month of dispense F07-16 for age "&amp;H329&amp;" "&amp;I330&amp;" is not equal to Clients current On ART F07-03 age  "&amp;H329&amp;" "&amp;I330&amp;"",""),IF(J341&lt;&gt;J354,""&amp;CHAR(10)&amp;"  * Current on ART by month of dispense F07-16 for age "&amp;J329&amp;" "&amp;J330&amp;" is not equal to Clients current On ART F07-03 age  "&amp;J329&amp;" "&amp;J330&amp;"",""),IF(K341&lt;&gt;K354,""&amp;CHAR(10)&amp;"  * Current on ART by month of dispense F07-16 for age "&amp;J329&amp;" "&amp;K330&amp;" is not equal to Clients current On ART F07-03 age  "&amp;J329&amp;" "&amp;K330&amp;"",""),IF(L341&lt;&gt;L354,""&amp;CHAR(10)&amp;"  * Current on ART by month of dispense F07-16 for age "&amp;L329&amp;" "&amp;L330&amp;" is not equal to Clients current On ART F07-03 age  "&amp;L329&amp;" "&amp;L330&amp;"",""),IF(M341&lt;&gt;M354,""&amp;CHAR(10)&amp;"  * Current on ART by month of dispense F07-16 for age "&amp;L329&amp;" "&amp;M330&amp;" is not equal to Clients current On ART F07-03 age  "&amp;L329&amp;" "&amp;M330&amp;"",""),IF(N341&lt;&gt;N354,""&amp;CHAR(10)&amp;"  * Current on ART by month of dispense F07-16 for age "&amp;N329&amp;" "&amp;N330&amp;" is not equal to Clients current On ART F07-03 age  "&amp;N329&amp;" "&amp;N330&amp;"",""),IF(O341&lt;&gt;O354,""&amp;CHAR(10)&amp;"  * Current on ART by month of dispense F07-16 for age "&amp;N329&amp;" "&amp;O330&amp;" is not equal to Clients current On ART F07-03 age  "&amp;N329&amp;" "&amp;O330&amp;"",""),IF(P341&lt;&gt;P354,""&amp;CHAR(10)&amp;"  * Current on ART by month of dispense F07-16 for age "&amp;P329&amp;" "&amp;P330&amp;" is not equal to Clients current On ART F07-03 age  "&amp;P329&amp;" "&amp;P330&amp;"",""),IF(Q341&lt;&gt;Q354,""&amp;CHAR(10)&amp;"  * Current on ART by month of dispense F07-16 for age "&amp;P329&amp;" "&amp;Q330&amp;" is not equal to Clients current On ART F07-03 age  "&amp;P329&amp;" "&amp;Q330&amp;"",""),IF(R341&lt;&gt;R354,""&amp;CHAR(10)&amp;"  * Current on ART by month of dispense F07-16 for age "&amp;R329&amp;" "&amp;R330&amp;" is not equal to Clients current On ART F07-03 age  "&amp;R329&amp;" "&amp;R330&amp;"",""),IF(S341&lt;&gt;S354,""&amp;CHAR(10)&amp;"  * Current on ART by month of dispense F07-16 for age "&amp;R329&amp;" "&amp;S330&amp;" is not equal to Clients current On ART F07-03 age  "&amp;R329&amp;" "&amp;S330&amp;"",""),IF(T341&lt;&gt;T354,""&amp;CHAR(10)&amp;"  * Current on ART by month of dispense F07-16 for age "&amp;T329&amp;" "&amp;T330&amp;" is not equal to Clients current On ART F07-03 age  "&amp;T329&amp;" "&amp;T330&amp;"",""),IF(U341&lt;&gt;U354,""&amp;CHAR(10)&amp;"  * Current on ART by month of dispense F07-16 for age "&amp;T329&amp;" "&amp;U330&amp;" is not equal to Clients current On ART F07-03 age  "&amp;T329&amp;" "&amp;U330&amp;"",""),IF(V341&lt;&gt;V354,""&amp;CHAR(10)&amp;"  * Current on ART by month of dispense F07-16 for age "&amp;V329&amp;" "&amp;V330&amp;" is not equal to Clients current On ART F07-03 age  "&amp;V329&amp;" "&amp;V330&amp;"",""),IF(W341&lt;&gt;W354,""&amp;CHAR(10)&amp;"  * Current on ART by month of dispense F07-16 for age "&amp;V329&amp;" "&amp;W330&amp;" is not equal to Clients current On ART F07-03 age  "&amp;V329&amp;" "&amp;W330&amp;"",""),IF(X341&lt;&gt;X354,""&amp;CHAR(10)&amp;"  * Current on ART by month of dispense F07-16 for age "&amp;X329&amp;" "&amp;X330&amp;" is not equal to Clients current On ART F07-03 age  "&amp;X329&amp;" "&amp;X330&amp;"",""),IF(Y341&lt;&gt;Y354,""&amp;CHAR(10)&amp;"  * Current on ART by month of dispense F07-16 for age "&amp;X329&amp;" "&amp;Y330&amp;" is not equal to Clients current On ART F07-03 age  "&amp;X329&amp;" "&amp;Y330&amp;"",""),IF(Z341&lt;&gt;Z354,""&amp;CHAR(10)&amp;"  * Current on ART by month of dispense F07-16 for age "&amp;Z329&amp;" "&amp;Z330&amp;" is not equal to Clients current On ART F07-03 age  "&amp;Z329&amp;" "&amp;Z330&amp;"",""),IF(AA341&lt;&gt;AA354,""&amp;CHAR(10)&amp;"  * Current on ART by month of dispense F07-16 for age "&amp;Z329&amp;" "&amp;AA330&amp;" is not equal to Clients current On ART F07-03 age  "&amp;Z329&amp;" "&amp;AA330&amp;"",""))</f>
        <v/>
      </c>
      <c r="AL341" s="1100"/>
      <c r="AM341" s="31"/>
      <c r="AN341" s="1081"/>
      <c r="AO341" s="13">
        <v>257</v>
      </c>
      <c r="AP341" s="74"/>
      <c r="AQ341" s="75"/>
    </row>
    <row r="342" spans="1:43" ht="25.5" hidden="1" x14ac:dyDescent="0.75">
      <c r="A342" s="1078" t="s">
        <v>438</v>
      </c>
      <c r="B342" s="246" t="s">
        <v>393</v>
      </c>
      <c r="C342" s="599" t="s">
        <v>407</v>
      </c>
      <c r="D342" s="549"/>
      <c r="E342" s="72"/>
      <c r="F342" s="72"/>
      <c r="G342" s="72"/>
      <c r="H342" s="72"/>
      <c r="I342" s="72"/>
      <c r="J342" s="72"/>
      <c r="K342" s="72"/>
      <c r="L342" s="72"/>
      <c r="M342" s="72"/>
      <c r="N342" s="72"/>
      <c r="O342" s="72"/>
      <c r="P342" s="72"/>
      <c r="Q342" s="72"/>
      <c r="R342" s="72"/>
      <c r="S342" s="72"/>
      <c r="T342" s="72"/>
      <c r="U342" s="72"/>
      <c r="V342" s="72"/>
      <c r="W342" s="72"/>
      <c r="X342" s="72"/>
      <c r="Y342" s="318"/>
      <c r="Z342" s="542">
        <f t="shared" ref="Z342:Z353" si="124">SUM(AB342,AD342,AF342,AH342)</f>
        <v>0</v>
      </c>
      <c r="AA342" s="542">
        <f t="shared" ref="AA342:AA353" si="125">SUM(AC342,AE342,AG342,AI342)</f>
        <v>0</v>
      </c>
      <c r="AB342" s="550"/>
      <c r="AC342" s="318"/>
      <c r="AD342" s="318"/>
      <c r="AE342" s="318"/>
      <c r="AF342" s="318"/>
      <c r="AG342" s="318"/>
      <c r="AH342" s="318"/>
      <c r="AI342" s="318"/>
      <c r="AJ342" s="66">
        <f t="shared" si="119"/>
        <v>0</v>
      </c>
      <c r="AK342" s="116"/>
      <c r="AL342" s="1100"/>
      <c r="AM342" s="31"/>
      <c r="AN342" s="1081"/>
      <c r="AO342" s="13">
        <v>258</v>
      </c>
      <c r="AP342" s="74"/>
      <c r="AQ342" s="75"/>
    </row>
    <row r="343" spans="1:43" ht="25.5" hidden="1" x14ac:dyDescent="0.75">
      <c r="A343" s="1079"/>
      <c r="B343" s="2" t="s">
        <v>388</v>
      </c>
      <c r="C343" s="580" t="s">
        <v>408</v>
      </c>
      <c r="D343" s="414"/>
      <c r="E343" s="79"/>
      <c r="F343" s="79"/>
      <c r="G343" s="79"/>
      <c r="H343" s="79"/>
      <c r="I343" s="79"/>
      <c r="J343" s="79"/>
      <c r="K343" s="79"/>
      <c r="L343" s="79"/>
      <c r="M343" s="79"/>
      <c r="N343" s="79"/>
      <c r="O343" s="79"/>
      <c r="P343" s="79"/>
      <c r="Q343" s="79"/>
      <c r="R343" s="79"/>
      <c r="S343" s="79"/>
      <c r="T343" s="79"/>
      <c r="U343" s="79"/>
      <c r="V343" s="79"/>
      <c r="W343" s="79"/>
      <c r="X343" s="79"/>
      <c r="Y343" s="319"/>
      <c r="Z343" s="505">
        <f t="shared" si="124"/>
        <v>0</v>
      </c>
      <c r="AA343" s="505">
        <f t="shared" si="125"/>
        <v>0</v>
      </c>
      <c r="AB343" s="362"/>
      <c r="AC343" s="319"/>
      <c r="AD343" s="319"/>
      <c r="AE343" s="319"/>
      <c r="AF343" s="319"/>
      <c r="AG343" s="319"/>
      <c r="AH343" s="319"/>
      <c r="AI343" s="319"/>
      <c r="AJ343" s="29">
        <f t="shared" si="119"/>
        <v>0</v>
      </c>
      <c r="AK343" s="116"/>
      <c r="AL343" s="1100"/>
      <c r="AM343" s="31"/>
      <c r="AN343" s="1081"/>
      <c r="AO343" s="13">
        <v>259</v>
      </c>
      <c r="AP343" s="74"/>
      <c r="AQ343" s="75"/>
    </row>
    <row r="344" spans="1:43" ht="25.5" hidden="1" x14ac:dyDescent="0.75">
      <c r="A344" s="1079"/>
      <c r="B344" s="2" t="s">
        <v>389</v>
      </c>
      <c r="C344" s="580" t="s">
        <v>409</v>
      </c>
      <c r="D344" s="414"/>
      <c r="E344" s="79"/>
      <c r="F344" s="79"/>
      <c r="G344" s="79"/>
      <c r="H344" s="79"/>
      <c r="I344" s="79"/>
      <c r="J344" s="79"/>
      <c r="K344" s="79"/>
      <c r="L344" s="79"/>
      <c r="M344" s="79"/>
      <c r="N344" s="79"/>
      <c r="O344" s="79"/>
      <c r="P344" s="79"/>
      <c r="Q344" s="79"/>
      <c r="R344" s="79"/>
      <c r="S344" s="79"/>
      <c r="T344" s="79"/>
      <c r="U344" s="79"/>
      <c r="V344" s="79"/>
      <c r="W344" s="79"/>
      <c r="X344" s="79"/>
      <c r="Y344" s="319"/>
      <c r="Z344" s="505">
        <f t="shared" si="124"/>
        <v>0</v>
      </c>
      <c r="AA344" s="505">
        <f t="shared" si="125"/>
        <v>0</v>
      </c>
      <c r="AB344" s="362"/>
      <c r="AC344" s="319"/>
      <c r="AD344" s="319"/>
      <c r="AE344" s="319"/>
      <c r="AF344" s="319"/>
      <c r="AG344" s="319"/>
      <c r="AH344" s="319"/>
      <c r="AI344" s="319"/>
      <c r="AJ344" s="29">
        <f t="shared" si="119"/>
        <v>0</v>
      </c>
      <c r="AK344" s="116"/>
      <c r="AL344" s="1100"/>
      <c r="AM344" s="31"/>
      <c r="AN344" s="1081"/>
      <c r="AO344" s="13">
        <v>260</v>
      </c>
      <c r="AP344" s="74"/>
      <c r="AQ344" s="75"/>
    </row>
    <row r="345" spans="1:43" ht="25.5" hidden="1" x14ac:dyDescent="0.75">
      <c r="A345" s="1079"/>
      <c r="B345" s="2" t="s">
        <v>390</v>
      </c>
      <c r="C345" s="580" t="s">
        <v>410</v>
      </c>
      <c r="D345" s="414"/>
      <c r="E345" s="79"/>
      <c r="F345" s="79"/>
      <c r="G345" s="79"/>
      <c r="H345" s="79"/>
      <c r="I345" s="79"/>
      <c r="J345" s="79"/>
      <c r="K345" s="79"/>
      <c r="L345" s="79"/>
      <c r="M345" s="79"/>
      <c r="N345" s="79"/>
      <c r="O345" s="79"/>
      <c r="P345" s="79"/>
      <c r="Q345" s="79"/>
      <c r="R345" s="79"/>
      <c r="S345" s="79"/>
      <c r="T345" s="79"/>
      <c r="U345" s="79"/>
      <c r="V345" s="79"/>
      <c r="W345" s="79"/>
      <c r="X345" s="79"/>
      <c r="Y345" s="319"/>
      <c r="Z345" s="505">
        <f t="shared" si="124"/>
        <v>0</v>
      </c>
      <c r="AA345" s="505">
        <f t="shared" si="125"/>
        <v>0</v>
      </c>
      <c r="AB345" s="362"/>
      <c r="AC345" s="319"/>
      <c r="AD345" s="319"/>
      <c r="AE345" s="319"/>
      <c r="AF345" s="319"/>
      <c r="AG345" s="319"/>
      <c r="AH345" s="319"/>
      <c r="AI345" s="319"/>
      <c r="AJ345" s="29">
        <f t="shared" si="119"/>
        <v>0</v>
      </c>
      <c r="AK345" s="116"/>
      <c r="AL345" s="1100"/>
      <c r="AM345" s="31"/>
      <c r="AN345" s="1081"/>
      <c r="AO345" s="13">
        <v>261</v>
      </c>
      <c r="AP345" s="74"/>
      <c r="AQ345" s="75"/>
    </row>
    <row r="346" spans="1:43" ht="25.5" hidden="1" x14ac:dyDescent="0.75">
      <c r="A346" s="1079"/>
      <c r="B346" s="2" t="s">
        <v>391</v>
      </c>
      <c r="C346" s="580" t="s">
        <v>411</v>
      </c>
      <c r="D346" s="414"/>
      <c r="E346" s="79"/>
      <c r="F346" s="79"/>
      <c r="G346" s="79"/>
      <c r="H346" s="79"/>
      <c r="I346" s="79"/>
      <c r="J346" s="79"/>
      <c r="K346" s="79"/>
      <c r="L346" s="79"/>
      <c r="M346" s="79"/>
      <c r="N346" s="79"/>
      <c r="O346" s="79"/>
      <c r="P346" s="79"/>
      <c r="Q346" s="79"/>
      <c r="R346" s="79"/>
      <c r="S346" s="79"/>
      <c r="T346" s="79"/>
      <c r="U346" s="79"/>
      <c r="V346" s="79"/>
      <c r="W346" s="79"/>
      <c r="X346" s="79"/>
      <c r="Y346" s="319"/>
      <c r="Z346" s="505">
        <f t="shared" si="124"/>
        <v>0</v>
      </c>
      <c r="AA346" s="505">
        <f t="shared" si="125"/>
        <v>0</v>
      </c>
      <c r="AB346" s="362"/>
      <c r="AC346" s="319"/>
      <c r="AD346" s="319"/>
      <c r="AE346" s="319"/>
      <c r="AF346" s="319"/>
      <c r="AG346" s="319"/>
      <c r="AH346" s="319"/>
      <c r="AI346" s="319"/>
      <c r="AJ346" s="29">
        <f t="shared" si="119"/>
        <v>0</v>
      </c>
      <c r="AK346" s="116"/>
      <c r="AL346" s="1100"/>
      <c r="AM346" s="31"/>
      <c r="AN346" s="1081"/>
      <c r="AO346" s="13">
        <v>262</v>
      </c>
      <c r="AP346" s="74"/>
      <c r="AQ346" s="75"/>
    </row>
    <row r="347" spans="1:43" ht="25.9" hidden="1" thickBot="1" x14ac:dyDescent="0.8">
      <c r="A347" s="1080"/>
      <c r="B347" s="3" t="s">
        <v>392</v>
      </c>
      <c r="C347" s="581" t="s">
        <v>412</v>
      </c>
      <c r="D347" s="415"/>
      <c r="E347" s="89"/>
      <c r="F347" s="89"/>
      <c r="G347" s="89"/>
      <c r="H347" s="89"/>
      <c r="I347" s="89"/>
      <c r="J347" s="89"/>
      <c r="K347" s="89"/>
      <c r="L347" s="89"/>
      <c r="M347" s="89"/>
      <c r="N347" s="89"/>
      <c r="O347" s="89"/>
      <c r="P347" s="89"/>
      <c r="Q347" s="89"/>
      <c r="R347" s="89"/>
      <c r="S347" s="89"/>
      <c r="T347" s="89"/>
      <c r="U347" s="89"/>
      <c r="V347" s="89"/>
      <c r="W347" s="89"/>
      <c r="X347" s="89"/>
      <c r="Y347" s="321"/>
      <c r="Z347" s="505">
        <f t="shared" si="124"/>
        <v>0</v>
      </c>
      <c r="AA347" s="505">
        <f t="shared" si="125"/>
        <v>0</v>
      </c>
      <c r="AB347" s="412"/>
      <c r="AC347" s="321"/>
      <c r="AD347" s="321"/>
      <c r="AE347" s="321"/>
      <c r="AF347" s="321"/>
      <c r="AG347" s="321"/>
      <c r="AH347" s="321"/>
      <c r="AI347" s="321"/>
      <c r="AJ347" s="90">
        <f t="shared" si="119"/>
        <v>0</v>
      </c>
      <c r="AK347" s="116"/>
      <c r="AL347" s="1100"/>
      <c r="AM347" s="31"/>
      <c r="AN347" s="1081"/>
      <c r="AO347" s="13">
        <v>263</v>
      </c>
      <c r="AP347" s="74"/>
      <c r="AQ347" s="75"/>
    </row>
    <row r="348" spans="1:43" ht="30.75" hidden="1" customHeight="1" x14ac:dyDescent="0.75">
      <c r="A348" s="1078" t="s">
        <v>439</v>
      </c>
      <c r="B348" s="1" t="s">
        <v>442</v>
      </c>
      <c r="C348" s="579" t="s">
        <v>418</v>
      </c>
      <c r="D348" s="413"/>
      <c r="E348" s="94"/>
      <c r="F348" s="94"/>
      <c r="G348" s="94"/>
      <c r="H348" s="94"/>
      <c r="I348" s="94"/>
      <c r="J348" s="94"/>
      <c r="K348" s="94"/>
      <c r="L348" s="94"/>
      <c r="M348" s="94"/>
      <c r="N348" s="94"/>
      <c r="O348" s="94"/>
      <c r="P348" s="94"/>
      <c r="Q348" s="94"/>
      <c r="R348" s="94"/>
      <c r="S348" s="94"/>
      <c r="T348" s="94"/>
      <c r="U348" s="94"/>
      <c r="V348" s="94"/>
      <c r="W348" s="94"/>
      <c r="X348" s="94"/>
      <c r="Y348" s="322"/>
      <c r="Z348" s="505">
        <f t="shared" si="124"/>
        <v>0</v>
      </c>
      <c r="AA348" s="505">
        <f t="shared" si="125"/>
        <v>0</v>
      </c>
      <c r="AB348" s="361"/>
      <c r="AC348" s="322"/>
      <c r="AD348" s="322"/>
      <c r="AE348" s="322"/>
      <c r="AF348" s="322"/>
      <c r="AG348" s="322"/>
      <c r="AH348" s="322"/>
      <c r="AI348" s="322"/>
      <c r="AJ348" s="65">
        <f t="shared" si="119"/>
        <v>0</v>
      </c>
      <c r="AK348" s="116"/>
      <c r="AL348" s="1100"/>
      <c r="AM348" s="31"/>
      <c r="AN348" s="1081"/>
      <c r="AO348" s="13">
        <v>264</v>
      </c>
      <c r="AP348" s="74"/>
      <c r="AQ348" s="75"/>
    </row>
    <row r="349" spans="1:43" ht="25.5" hidden="1" x14ac:dyDescent="0.75">
      <c r="A349" s="1079"/>
      <c r="B349" s="2" t="s">
        <v>413</v>
      </c>
      <c r="C349" s="580" t="s">
        <v>419</v>
      </c>
      <c r="D349" s="414"/>
      <c r="E349" s="79"/>
      <c r="F349" s="79"/>
      <c r="G349" s="79"/>
      <c r="H349" s="79"/>
      <c r="I349" s="79"/>
      <c r="J349" s="79"/>
      <c r="K349" s="79"/>
      <c r="L349" s="79"/>
      <c r="M349" s="79"/>
      <c r="N349" s="79"/>
      <c r="O349" s="79"/>
      <c r="P349" s="79"/>
      <c r="Q349" s="79"/>
      <c r="R349" s="79"/>
      <c r="S349" s="79"/>
      <c r="T349" s="79"/>
      <c r="U349" s="79"/>
      <c r="V349" s="79"/>
      <c r="W349" s="79"/>
      <c r="X349" s="79"/>
      <c r="Y349" s="319"/>
      <c r="Z349" s="505">
        <f t="shared" si="124"/>
        <v>0</v>
      </c>
      <c r="AA349" s="505">
        <f t="shared" si="125"/>
        <v>0</v>
      </c>
      <c r="AB349" s="362"/>
      <c r="AC349" s="319"/>
      <c r="AD349" s="319"/>
      <c r="AE349" s="319"/>
      <c r="AF349" s="319"/>
      <c r="AG349" s="319"/>
      <c r="AH349" s="319"/>
      <c r="AI349" s="319"/>
      <c r="AJ349" s="29">
        <f t="shared" si="119"/>
        <v>0</v>
      </c>
      <c r="AK349" s="116"/>
      <c r="AL349" s="1100"/>
      <c r="AM349" s="31"/>
      <c r="AN349" s="1081"/>
      <c r="AO349" s="13">
        <v>265</v>
      </c>
      <c r="AP349" s="74"/>
      <c r="AQ349" s="75"/>
    </row>
    <row r="350" spans="1:43" ht="25.5" hidden="1" x14ac:dyDescent="0.75">
      <c r="A350" s="1079"/>
      <c r="B350" s="2" t="s">
        <v>414</v>
      </c>
      <c r="C350" s="580" t="s">
        <v>420</v>
      </c>
      <c r="D350" s="414"/>
      <c r="E350" s="79"/>
      <c r="F350" s="79"/>
      <c r="G350" s="79"/>
      <c r="H350" s="79"/>
      <c r="I350" s="79"/>
      <c r="J350" s="79"/>
      <c r="K350" s="79"/>
      <c r="L350" s="79"/>
      <c r="M350" s="79"/>
      <c r="N350" s="79"/>
      <c r="O350" s="79"/>
      <c r="P350" s="79"/>
      <c r="Q350" s="79"/>
      <c r="R350" s="79"/>
      <c r="S350" s="79"/>
      <c r="T350" s="79"/>
      <c r="U350" s="79"/>
      <c r="V350" s="79"/>
      <c r="W350" s="79"/>
      <c r="X350" s="79"/>
      <c r="Y350" s="319"/>
      <c r="Z350" s="505">
        <f t="shared" si="124"/>
        <v>0</v>
      </c>
      <c r="AA350" s="505">
        <f t="shared" si="125"/>
        <v>0</v>
      </c>
      <c r="AB350" s="362"/>
      <c r="AC350" s="319"/>
      <c r="AD350" s="319"/>
      <c r="AE350" s="319"/>
      <c r="AF350" s="319"/>
      <c r="AG350" s="319"/>
      <c r="AH350" s="319"/>
      <c r="AI350" s="319"/>
      <c r="AJ350" s="29">
        <f t="shared" si="119"/>
        <v>0</v>
      </c>
      <c r="AK350" s="116"/>
      <c r="AL350" s="1100"/>
      <c r="AM350" s="31"/>
      <c r="AN350" s="1081"/>
      <c r="AO350" s="13">
        <v>266</v>
      </c>
      <c r="AP350" s="74"/>
      <c r="AQ350" s="75"/>
    </row>
    <row r="351" spans="1:43" ht="25.5" hidden="1" x14ac:dyDescent="0.75">
      <c r="A351" s="1079"/>
      <c r="B351" s="2" t="s">
        <v>415</v>
      </c>
      <c r="C351" s="580" t="s">
        <v>421</v>
      </c>
      <c r="D351" s="414"/>
      <c r="E351" s="79"/>
      <c r="F351" s="79"/>
      <c r="G351" s="79"/>
      <c r="H351" s="79"/>
      <c r="I351" s="79"/>
      <c r="J351" s="79"/>
      <c r="K351" s="79"/>
      <c r="L351" s="79"/>
      <c r="M351" s="79"/>
      <c r="N351" s="79"/>
      <c r="O351" s="79"/>
      <c r="P351" s="79"/>
      <c r="Q351" s="79"/>
      <c r="R351" s="79"/>
      <c r="S351" s="79"/>
      <c r="T351" s="79"/>
      <c r="U351" s="79"/>
      <c r="V351" s="79"/>
      <c r="W351" s="79"/>
      <c r="X351" s="79"/>
      <c r="Y351" s="319"/>
      <c r="Z351" s="505">
        <f t="shared" si="124"/>
        <v>0</v>
      </c>
      <c r="AA351" s="505">
        <f t="shared" si="125"/>
        <v>0</v>
      </c>
      <c r="AB351" s="362"/>
      <c r="AC351" s="319"/>
      <c r="AD351" s="319"/>
      <c r="AE351" s="319"/>
      <c r="AF351" s="319"/>
      <c r="AG351" s="319"/>
      <c r="AH351" s="319"/>
      <c r="AI351" s="319"/>
      <c r="AJ351" s="29">
        <f t="shared" si="119"/>
        <v>0</v>
      </c>
      <c r="AK351" s="116"/>
      <c r="AL351" s="1100"/>
      <c r="AM351" s="31"/>
      <c r="AN351" s="1081"/>
      <c r="AO351" s="13">
        <v>267</v>
      </c>
      <c r="AP351" s="74"/>
      <c r="AQ351" s="75"/>
    </row>
    <row r="352" spans="1:43" ht="25.5" hidden="1" x14ac:dyDescent="0.75">
      <c r="A352" s="1079"/>
      <c r="B352" s="2" t="s">
        <v>416</v>
      </c>
      <c r="C352" s="580" t="s">
        <v>422</v>
      </c>
      <c r="D352" s="414"/>
      <c r="E352" s="79"/>
      <c r="F352" s="79"/>
      <c r="G352" s="79"/>
      <c r="H352" s="79"/>
      <c r="I352" s="79"/>
      <c r="J352" s="79"/>
      <c r="K352" s="79"/>
      <c r="L352" s="79"/>
      <c r="M352" s="79"/>
      <c r="N352" s="79"/>
      <c r="O352" s="79"/>
      <c r="P352" s="79"/>
      <c r="Q352" s="79"/>
      <c r="R352" s="79"/>
      <c r="S352" s="79"/>
      <c r="T352" s="79"/>
      <c r="U352" s="79"/>
      <c r="V352" s="79"/>
      <c r="W352" s="79"/>
      <c r="X352" s="79"/>
      <c r="Y352" s="319"/>
      <c r="Z352" s="505">
        <f t="shared" si="124"/>
        <v>0</v>
      </c>
      <c r="AA352" s="505">
        <f t="shared" si="125"/>
        <v>0</v>
      </c>
      <c r="AB352" s="362"/>
      <c r="AC352" s="319"/>
      <c r="AD352" s="319"/>
      <c r="AE352" s="319"/>
      <c r="AF352" s="319"/>
      <c r="AG352" s="319"/>
      <c r="AH352" s="319"/>
      <c r="AI352" s="319"/>
      <c r="AJ352" s="29">
        <f t="shared" si="119"/>
        <v>0</v>
      </c>
      <c r="AK352" s="116"/>
      <c r="AL352" s="1100"/>
      <c r="AM352" s="31"/>
      <c r="AN352" s="1081"/>
      <c r="AO352" s="13">
        <v>268</v>
      </c>
      <c r="AP352" s="74"/>
      <c r="AQ352" s="75"/>
    </row>
    <row r="353" spans="1:43" ht="25.5" hidden="1" x14ac:dyDescent="0.75">
      <c r="A353" s="1079"/>
      <c r="B353" s="2" t="s">
        <v>417</v>
      </c>
      <c r="C353" s="580" t="s">
        <v>423</v>
      </c>
      <c r="D353" s="414"/>
      <c r="E353" s="79"/>
      <c r="F353" s="79"/>
      <c r="G353" s="79"/>
      <c r="H353" s="79"/>
      <c r="I353" s="79"/>
      <c r="J353" s="79"/>
      <c r="K353" s="79"/>
      <c r="L353" s="79"/>
      <c r="M353" s="79"/>
      <c r="N353" s="79"/>
      <c r="O353" s="79"/>
      <c r="P353" s="79"/>
      <c r="Q353" s="79"/>
      <c r="R353" s="79"/>
      <c r="S353" s="79"/>
      <c r="T353" s="79"/>
      <c r="U353" s="79"/>
      <c r="V353" s="79"/>
      <c r="W353" s="79"/>
      <c r="X353" s="79"/>
      <c r="Y353" s="319"/>
      <c r="Z353" s="505">
        <f t="shared" si="124"/>
        <v>0</v>
      </c>
      <c r="AA353" s="505">
        <f t="shared" si="125"/>
        <v>0</v>
      </c>
      <c r="AB353" s="362"/>
      <c r="AC353" s="319"/>
      <c r="AD353" s="319"/>
      <c r="AE353" s="319"/>
      <c r="AF353" s="319"/>
      <c r="AG353" s="319"/>
      <c r="AH353" s="319"/>
      <c r="AI353" s="319"/>
      <c r="AJ353" s="29">
        <f t="shared" si="119"/>
        <v>0</v>
      </c>
      <c r="AK353" s="116"/>
      <c r="AL353" s="1100"/>
      <c r="AM353" s="31"/>
      <c r="AN353" s="1081"/>
      <c r="AO353" s="13">
        <v>269</v>
      </c>
      <c r="AP353" s="74"/>
      <c r="AQ353" s="75"/>
    </row>
    <row r="354" spans="1:43" ht="25.9" hidden="1" thickBot="1" x14ac:dyDescent="0.8">
      <c r="A354" s="1079"/>
      <c r="B354" s="244" t="s">
        <v>437</v>
      </c>
      <c r="C354" s="581" t="s">
        <v>441</v>
      </c>
      <c r="D354" s="533">
        <f>SUM(D348:D353)</f>
        <v>0</v>
      </c>
      <c r="E354" s="534">
        <f t="shared" ref="E354:Y354" si="126">SUM(E348:E353)</f>
        <v>0</v>
      </c>
      <c r="F354" s="534">
        <f t="shared" si="126"/>
        <v>0</v>
      </c>
      <c r="G354" s="534">
        <f t="shared" si="126"/>
        <v>0</v>
      </c>
      <c r="H354" s="534">
        <f t="shared" si="126"/>
        <v>0</v>
      </c>
      <c r="I354" s="534">
        <f t="shared" si="126"/>
        <v>0</v>
      </c>
      <c r="J354" s="534">
        <f t="shared" si="126"/>
        <v>0</v>
      </c>
      <c r="K354" s="534">
        <f t="shared" si="126"/>
        <v>0</v>
      </c>
      <c r="L354" s="534">
        <f t="shared" si="126"/>
        <v>0</v>
      </c>
      <c r="M354" s="534">
        <f t="shared" si="126"/>
        <v>0</v>
      </c>
      <c r="N354" s="534">
        <f t="shared" si="126"/>
        <v>0</v>
      </c>
      <c r="O354" s="534">
        <f t="shared" si="126"/>
        <v>0</v>
      </c>
      <c r="P354" s="534">
        <f t="shared" si="126"/>
        <v>0</v>
      </c>
      <c r="Q354" s="534">
        <f t="shared" si="126"/>
        <v>0</v>
      </c>
      <c r="R354" s="534">
        <f t="shared" si="126"/>
        <v>0</v>
      </c>
      <c r="S354" s="534">
        <f t="shared" si="126"/>
        <v>0</v>
      </c>
      <c r="T354" s="534">
        <f t="shared" si="126"/>
        <v>0</v>
      </c>
      <c r="U354" s="534">
        <f t="shared" si="126"/>
        <v>0</v>
      </c>
      <c r="V354" s="534">
        <f t="shared" si="126"/>
        <v>0</v>
      </c>
      <c r="W354" s="534">
        <f t="shared" si="126"/>
        <v>0</v>
      </c>
      <c r="X354" s="534">
        <f t="shared" si="126"/>
        <v>0</v>
      </c>
      <c r="Y354" s="535">
        <f t="shared" si="126"/>
        <v>0</v>
      </c>
      <c r="Z354" s="536">
        <f t="shared" ref="Z354" si="127">SUM(AB354,AD354,AF354,AH354)</f>
        <v>0</v>
      </c>
      <c r="AA354" s="536">
        <f t="shared" ref="AA354" si="128">SUM(AC354,AE354,AG354,AI354)</f>
        <v>0</v>
      </c>
      <c r="AB354" s="537">
        <f t="shared" ref="AB354:AG354" si="129">SUM(AB348:AB353)</f>
        <v>0</v>
      </c>
      <c r="AC354" s="534">
        <f t="shared" si="129"/>
        <v>0</v>
      </c>
      <c r="AD354" s="534">
        <f t="shared" si="129"/>
        <v>0</v>
      </c>
      <c r="AE354" s="534">
        <f t="shared" si="129"/>
        <v>0</v>
      </c>
      <c r="AF354" s="534">
        <f t="shared" si="129"/>
        <v>0</v>
      </c>
      <c r="AG354" s="534">
        <f t="shared" si="129"/>
        <v>0</v>
      </c>
      <c r="AH354" s="534">
        <f t="shared" ref="AH354:AI354" si="130">SUM(AH348:AH353)</f>
        <v>0</v>
      </c>
      <c r="AI354" s="534">
        <f t="shared" si="130"/>
        <v>0</v>
      </c>
      <c r="AJ354" s="538">
        <f t="shared" si="119"/>
        <v>0</v>
      </c>
      <c r="AK354" s="116"/>
      <c r="AL354" s="1100"/>
      <c r="AM354" s="31"/>
      <c r="AN354" s="1081"/>
      <c r="AO354" s="13">
        <v>270</v>
      </c>
      <c r="AP354" s="74"/>
      <c r="AQ354" s="75"/>
    </row>
    <row r="355" spans="1:43" ht="25.9" hidden="1" thickBot="1" x14ac:dyDescent="0.8">
      <c r="A355" s="1080"/>
      <c r="B355" s="228" t="s">
        <v>459</v>
      </c>
      <c r="C355" s="601" t="s">
        <v>443</v>
      </c>
      <c r="D355" s="411"/>
      <c r="E355" s="230"/>
      <c r="F355" s="230"/>
      <c r="G355" s="230"/>
      <c r="H355" s="230"/>
      <c r="I355" s="230"/>
      <c r="J355" s="230"/>
      <c r="K355" s="230"/>
      <c r="L355" s="230"/>
      <c r="M355" s="230"/>
      <c r="N355" s="230"/>
      <c r="O355" s="230"/>
      <c r="P355" s="230"/>
      <c r="Q355" s="230"/>
      <c r="R355" s="230"/>
      <c r="S355" s="230"/>
      <c r="T355" s="230"/>
      <c r="U355" s="230"/>
      <c r="V355" s="230"/>
      <c r="W355" s="230"/>
      <c r="X355" s="230"/>
      <c r="Y355" s="539"/>
      <c r="Z355" s="540">
        <f t="shared" ref="Z355" si="131">SUM(AB355,AD355,AF355,AH355)</f>
        <v>0</v>
      </c>
      <c r="AA355" s="540">
        <f t="shared" ref="AA355" si="132">SUM(AC355,AE355,AG355,AI355)</f>
        <v>0</v>
      </c>
      <c r="AB355" s="360"/>
      <c r="AC355" s="539"/>
      <c r="AD355" s="539"/>
      <c r="AE355" s="539"/>
      <c r="AF355" s="539"/>
      <c r="AG355" s="539"/>
      <c r="AH355" s="539"/>
      <c r="AI355" s="539"/>
      <c r="AJ355" s="541">
        <f t="shared" si="119"/>
        <v>0</v>
      </c>
      <c r="AK355" s="116"/>
      <c r="AL355" s="1101"/>
      <c r="AM355" s="31"/>
      <c r="AN355" s="1091"/>
      <c r="AO355" s="13">
        <v>271</v>
      </c>
      <c r="AP355" s="74"/>
      <c r="AQ355" s="75"/>
    </row>
    <row r="356" spans="1:43" s="61" customFormat="1" ht="25.5" hidden="1" x14ac:dyDescent="0.75">
      <c r="A356" s="1072" t="s">
        <v>604</v>
      </c>
      <c r="B356" s="565" t="s">
        <v>964</v>
      </c>
      <c r="C356" s="579" t="s">
        <v>552</v>
      </c>
      <c r="D356" s="72"/>
      <c r="E356" s="72"/>
      <c r="F356" s="72"/>
      <c r="G356" s="72"/>
      <c r="H356" s="72"/>
      <c r="I356" s="72"/>
      <c r="J356" s="72"/>
      <c r="K356" s="72"/>
      <c r="L356" s="72"/>
      <c r="M356" s="72"/>
      <c r="N356" s="72"/>
      <c r="O356" s="72"/>
      <c r="P356" s="72"/>
      <c r="Q356" s="72"/>
      <c r="R356" s="72"/>
      <c r="S356" s="72"/>
      <c r="T356" s="72"/>
      <c r="U356" s="72"/>
      <c r="V356" s="72"/>
      <c r="W356" s="72"/>
      <c r="X356" s="72"/>
      <c r="Y356" s="72"/>
      <c r="Z356" s="72"/>
      <c r="AA356" s="318"/>
      <c r="AB356" s="389"/>
      <c r="AC356" s="357"/>
      <c r="AD356" s="357"/>
      <c r="AE356" s="357"/>
      <c r="AF356" s="357"/>
      <c r="AG356" s="357"/>
      <c r="AH356" s="357"/>
      <c r="AI356" s="314"/>
      <c r="AJ356" s="52">
        <f t="shared" si="119"/>
        <v>0</v>
      </c>
      <c r="AK356" s="30" t="str">
        <f>CONCATENATE(IF(D367&gt;D356," *  confirmed TB positive newly started on TB treatment "&amp;$D$20&amp;" "&amp;$D$21&amp;" is more than Screening positive for TB Newly enrolled on ART"&amp;CHAR(10),""),IF(E367&gt;E356," *  confirmed TB positive newly started on TB treatment "&amp;$D$20&amp;" "&amp;$E$21&amp;" is more than Screening positive for TB Newly enrolled on ART"&amp;CHAR(10),""),IF(F367&gt;F356," *  confirmed TB positive newly started on TB treatment "&amp;$F$20&amp;" "&amp;$F$21&amp;" is more than Screening positive for TB Newly enrolled on ART"&amp;CHAR(10),""),IF(G367&gt;G356," *  confirmed TB positive newly started on TB treatment "&amp;$F$20&amp;" "&amp;$G$21&amp;" is more than Screening positive for TB Newly enrolled on ART"&amp;CHAR(10),""),IF(H367&gt;H356," *  confirmed TB positive newly started on TB treatment "&amp;$H$20&amp;" "&amp;$H$21&amp;" is more than Screening positive for TB Newly enrolled on ART"&amp;CHAR(10),""),IF(I367&gt;I356," *  confirmed TB positive newly started on TB treatment "&amp;$H$20&amp;" "&amp;$I$21&amp;" is more than Screening positive for TB Newly enrolled on ART"&amp;CHAR(10),""),IF(J367&gt;J356," *  confirmed TB positive newly started on TB treatment "&amp;$J$20&amp;" "&amp;$J$21&amp;" is more than Screening positive for TB Newly enrolled on ART"&amp;CHAR(10),""),IF(K367&gt;K356," *  confirmed TB positive newly started on TB treatment "&amp;$J$20&amp;" "&amp;$K$21&amp;" is more than Screening positive for TB Newly enrolled on ART"&amp;CHAR(10),""),IF(L367&gt;L356," *  confirmed TB positive newly started on TB treatment "&amp;$L$20&amp;" "&amp;$L$21&amp;" is more than Screening positive for TB Newly enrolled on ART"&amp;CHAR(10),""),IF(M367&gt;M356," *  confirmed TB positive newly started on TB treatment "&amp;$L$20&amp;" "&amp;$M$21&amp;" is more than Screening positive for TB Newly enrolled on ART"&amp;CHAR(10),""),IF(N367&gt;N356," *  confirmed TB positive newly started on TB treatment "&amp;$N$20&amp;" "&amp;$N$21&amp;" is more than Screening positive for TB Newly enrolled on ART"&amp;CHAR(10),""),IF(O367&gt;O356," *  confirmed TB positive newly started on TB treatment "&amp;$N$20&amp;" "&amp;$O$21&amp;" is more than Screening positive for TB Newly enrolled on ART"&amp;CHAR(10),""),IF(P367&gt;P356," *  confirmed TB positive newly started on TB treatment "&amp;$P$20&amp;" "&amp;$P$21&amp;" is more than Screening positive for TB Newly enrolled on ART"&amp;CHAR(10),""),IF(Q367&gt;Q356," *  confirmed TB positive newly started on TB treatment "&amp;$P$20&amp;" "&amp;$Q$21&amp;" is more than Screening positive for TB Newly enrolled on ART"&amp;CHAR(10),""),IF(R367&gt;R356," *  confirmed TB positive newly started on TB treatment "&amp;$R$20&amp;" "&amp;$R$21&amp;" is more than Screening positive for TB Newly enrolled on ART"&amp;CHAR(10),""),IF(S367&gt;S356," *  confirmed TB positive newly started on TB treatment "&amp;$R$20&amp;" "&amp;$S$21&amp;" is more than Screening positive for TB Newly enrolled on ART"&amp;CHAR(10),""),IF(T367&gt;T356," *  confirmed TB positive newly started on TB treatment "&amp;$T$20&amp;" "&amp;$T$21&amp;" is more than Screening positive for TB Newly enrolled on ART"&amp;CHAR(10),""),IF(U367&gt;U356," *  confirmed TB positive newly started on TB treatment "&amp;$T$20&amp;" "&amp;$U$21&amp;" is more than Screening positive for TB Newly enrolled on ART"&amp;CHAR(10),""),IF(V367&gt;V356," *  confirmed TB positive newly started on TB treatment "&amp;$V$20&amp;" "&amp;$V$21&amp;" is more than Screening positive for TB Newly enrolled on ART"&amp;CHAR(10),""),IF(W367&gt;W356," *  confirmed TB positive newly started on TB treatment "&amp;$V$20&amp;" "&amp;$W$21&amp;" is more than Screening positive for TB Newly enrolled on ART"&amp;CHAR(10),""),IF(X367&gt;X356," *  confirmed TB positive newly started on TB treatment "&amp;$X$20&amp;" "&amp;$X$21&amp;" is more than Screening positive for TB Newly enrolled on ART"&amp;CHAR(10),""),IF(Y367&gt;Y356," *  confirmed TB positive newly started on TB treatment "&amp;$X$20&amp;" "&amp;$Y$21&amp;" is more than Screening positive for TB Newly enrolled on ART"&amp;CHAR(10),""),IF(Z367&gt;Z356," *  confirmed TB positive newly started on TB treatment "&amp;$Z$20&amp;" "&amp;$Z$21&amp;" is more than Screening positive for TB Newly enrolled on ART"&amp;CHAR(10),""),IF(AA367&gt;AA356," *  confirmed TB positive newly started on TB treatment "&amp;$Z$20&amp;" "&amp;$AA$21&amp;" is more than Screening positive for TB Newly enrolled on ART"&amp;CHAR(10),""))</f>
        <v/>
      </c>
      <c r="AL356" s="1102" t="str">
        <f>CONCATENATE(AK356,AK357,AK358,AK359,AK360,AK361,AK362,AK363,AK364,AK365,AK366,AK367,AK368,AK369)</f>
        <v/>
      </c>
      <c r="AM356" s="60" t="str">
        <f>CONCATENATE(IF(D367&lt;D356," *  confirmed TB positive newly started on TB treatment "&amp;$D$20&amp;" "&amp;$D$21&amp;" is less than Screening positive for TB Newly enrolled on ART"&amp;CHAR(10),""),IF(E367&lt;E356," *  confirmed TB positive newly started on TB treatment "&amp;$D$20&amp;" "&amp;$E$21&amp;" is less than Screening positive for TB Newly enrolled on ART"&amp;CHAR(10),""),IF(F367&lt;F356," *  confirmed TB positive newly started on TB treatment "&amp;$F$20&amp;" "&amp;$F$21&amp;" is less than Screening positive for TB Newly enrolled on ART"&amp;CHAR(10),""),IF(G367&lt;G356," *  confirmed TB positive newly started on TB treatment "&amp;$F$20&amp;" "&amp;$G$21&amp;" is less than Screening positive for TB Newly enrolled on ART"&amp;CHAR(10),""),IF(H367&lt;H356," *  confirmed TB positive newly started on TB treatment "&amp;$H$20&amp;" "&amp;$H$21&amp;" is less than Screening positive for TB Newly enrolled on ART"&amp;CHAR(10),""),IF(I367&lt;I356," *  confirmed TB positive newly started on TB treatment "&amp;$H$20&amp;" "&amp;$I$21&amp;" is less than Screening positive for TB Newly enrolled on ART"&amp;CHAR(10),""),IF(J367&lt;J356," *  confirmed TB positive newly started on TB treatment "&amp;$J$20&amp;" "&amp;$J$21&amp;" is less than Screening positive for TB Newly enrolled on ART"&amp;CHAR(10),""),IF(K367&lt;K356," *  confirmed TB positive newly started on TB treatment "&amp;$J$20&amp;" "&amp;$K$21&amp;" is less than Screening positive for TB Newly enrolled on ART"&amp;CHAR(10),""),IF(L367&lt;L356," *  confirmed TB positive newly started on TB treatment "&amp;$L$20&amp;" "&amp;$L$21&amp;" is less than Screening positive for TB Newly enrolled on ART"&amp;CHAR(10),""),IF(M367&lt;M356," *  confirmed TB positive newly started on TB treatment "&amp;$L$20&amp;" "&amp;$M$21&amp;" is less than Screening positive for TB Newly enrolled on ART"&amp;CHAR(10),""),IF(N367&lt;N356," *  confirmed TB positive newly started on TB treatment "&amp;$N$20&amp;" "&amp;$N$21&amp;" is less than Screening positive for TB Newly enrolled on ART"&amp;CHAR(10),""),IF(O367&lt;O356," *  confirmed TB positive newly started on TB treatment "&amp;$N$20&amp;" "&amp;$O$21&amp;" is less than Screening positive for TB Newly enrolled on ART"&amp;CHAR(10),""),IF(P367&lt;P356," *  confirmed TB positive newly started on TB treatment "&amp;$P$20&amp;" "&amp;$P$21&amp;" is less than Screening positive for TB Newly enrolled on ART"&amp;CHAR(10),""),IF(Q367&lt;Q356," *  confirmed TB positive newly started on TB treatment "&amp;$P$20&amp;" "&amp;$Q$21&amp;" is less than Screening positive for TB Newly enrolled on ART"&amp;CHAR(10),""),IF(R367&lt;R356," *  confirmed TB positive newly started on TB treatment "&amp;$R$20&amp;" "&amp;$R$21&amp;" is less than Screening positive for TB Newly enrolled on ART"&amp;CHAR(10),""),IF(S367&lt;S356," *  confirmed TB positive newly started on TB treatment "&amp;$R$20&amp;" "&amp;$S$21&amp;" is less than Screening positive for TB Newly enrolled on ART"&amp;CHAR(10),""),IF(T367&lt;T356," *  confirmed TB positive newly started on TB treatment "&amp;$T$20&amp;" "&amp;$T$21&amp;" is less than Screening positive for TB Newly enrolled on ART"&amp;CHAR(10),""),IF(U367&lt;U356," *  confirmed TB positive newly started on TB treatment "&amp;$T$20&amp;" "&amp;$U$21&amp;" is less than Screening positive for TB Newly enrolled on ART"&amp;CHAR(10),""),IF(V367&lt;V356," *  confirmed TB positive newly started on TB treatment "&amp;$V$20&amp;" "&amp;$V$21&amp;" is less than Screening positive for TB Newly enrolled on ART"&amp;CHAR(10),""),IF(W367&lt;W356," *  confirmed TB positive newly started on TB treatment "&amp;$V$20&amp;" "&amp;$W$21&amp;" is less than Screening positive for TB Newly enrolled on ART"&amp;CHAR(10),""),IF(X367&lt;X356," *  confirmed TB positive newly started on TB treatment "&amp;$X$20&amp;" "&amp;$X$21&amp;" is less than Screening positive for TB Newly enrolled on ART"&amp;CHAR(10),""),IF(Y367&lt;Y356," *  confirmed TB positive newly started on TB treatment "&amp;$X$20&amp;" "&amp;$Y$21&amp;" is less than Screening positive for TB Newly enrolled on ART"&amp;CHAR(10),""),IF(Z367&lt;Z356," *  confirmed TB positive newly started on TB treatment "&amp;$Z$20&amp;" "&amp;$Z$21&amp;" is less than Screening positive for TB Newly enrolled on ART"&amp;CHAR(10),""),IF(AA367&lt;AA356," *  confirmed TB positive newly started on TB treatment "&amp;$Z$20&amp;" "&amp;$AA$21&amp;" is less than Screening positive for TB Newly enrolled on ART"&amp;CHAR(10),""))</f>
        <v/>
      </c>
      <c r="AN356" s="1062" t="str">
        <f>CONCATENATE(AM356,AM357,AM358,AM359,AM360,AM361,AM362,AM363,AM364,AM365,AM366,AM367,AM368,AM369)</f>
        <v/>
      </c>
      <c r="AO356" s="13">
        <v>272</v>
      </c>
      <c r="AP356" s="80"/>
      <c r="AQ356" s="75"/>
    </row>
    <row r="357" spans="1:43" ht="25.5" hidden="1" x14ac:dyDescent="0.75">
      <c r="A357" s="1073"/>
      <c r="B357" s="564" t="s">
        <v>998</v>
      </c>
      <c r="C357" s="580" t="s">
        <v>553</v>
      </c>
      <c r="D357" s="79"/>
      <c r="E357" s="79"/>
      <c r="F357" s="79"/>
      <c r="G357" s="79"/>
      <c r="H357" s="79"/>
      <c r="I357" s="79"/>
      <c r="J357" s="79"/>
      <c r="K357" s="79"/>
      <c r="L357" s="79"/>
      <c r="M357" s="79"/>
      <c r="N357" s="79"/>
      <c r="O357" s="79"/>
      <c r="P357" s="79"/>
      <c r="Q357" s="79"/>
      <c r="R357" s="79"/>
      <c r="S357" s="79"/>
      <c r="T357" s="79"/>
      <c r="U357" s="79"/>
      <c r="V357" s="79"/>
      <c r="W357" s="79"/>
      <c r="X357" s="79"/>
      <c r="Y357" s="79"/>
      <c r="Z357" s="79"/>
      <c r="AA357" s="319"/>
      <c r="AB357" s="389"/>
      <c r="AC357" s="357"/>
      <c r="AD357" s="357"/>
      <c r="AE357" s="357"/>
      <c r="AF357" s="357"/>
      <c r="AG357" s="357"/>
      <c r="AH357" s="357"/>
      <c r="AI357" s="314"/>
      <c r="AJ357" s="174">
        <f t="shared" si="119"/>
        <v>0</v>
      </c>
      <c r="AK357" s="563" t="str">
        <f>CONCATENATE(IF(D368&gt;D357," *  Confirmed TB positive already on ART and on TB treatment "&amp;$D$20&amp;" "&amp;$D$21&amp;" is more than Screening positive for TB Previously enrolled on ART"&amp;CHAR(10),""),IF(E368&gt;E357," *  Confirmed TB positive already on ART and on TB treatment "&amp;$D$20&amp;" "&amp;$E$21&amp;" is more than Screening positive for TB Previously enrolled on ART"&amp;CHAR(10),""),IF(F368&gt;F357," *  Confirmed TB positive already on ART and on TB treatment "&amp;$F$20&amp;" "&amp;$F$21&amp;" is more than Screening positive for TB Previously enrolled on ART"&amp;CHAR(10),""),IF(G368&gt;G357," *  Confirmed TB positive already on ART and on TB treatment "&amp;$F$20&amp;" "&amp;$G$21&amp;" is more than Screening positive for TB Previously enrolled on ART"&amp;CHAR(10),""),IF(H368&gt;H357," *  Confirmed TB positive already on ART and on TB treatment "&amp;$H$20&amp;" "&amp;$H$21&amp;" is more than Screening positive for TB Previously enrolled on ART"&amp;CHAR(10),""),IF(I368&gt;I357," *  Confirmed TB positive already on ART and on TB treatment "&amp;$H$20&amp;" "&amp;$I$21&amp;" is more than Screening positive for TB Previously enrolled on ART"&amp;CHAR(10),""),IF(J368&gt;J357," *  Confirmed TB positive already on ART and on TB treatment "&amp;$J$20&amp;" "&amp;$J$21&amp;" is more than Screening positive for TB Previously enrolled on ART"&amp;CHAR(10),""),IF(K368&gt;K357," *  Confirmed TB positive already on ART and on TB treatment "&amp;$J$20&amp;" "&amp;$K$21&amp;" is more than Screening positive for TB Previously enrolled on ART"&amp;CHAR(10),""),IF(L368&gt;L357," *  Confirmed TB positive already on ART and on TB treatment "&amp;$L$20&amp;" "&amp;$L$21&amp;" is more than Screening positive for TB Previously enrolled on ART"&amp;CHAR(10),""),IF(M368&gt;M357," *  Confirmed TB positive already on ART and on TB treatment "&amp;$L$20&amp;" "&amp;$M$21&amp;" is more than Screening positive for TB Previously enrolled on ART"&amp;CHAR(10),""),IF(N368&gt;N357," *  Confirmed TB positive already on ART and on TB treatment "&amp;$N$20&amp;" "&amp;$N$21&amp;" is more than Screening positive for TB Previously enrolled on ART"&amp;CHAR(10),""),IF(O368&gt;O357," *  Confirmed TB positive already on ART and on TB treatment "&amp;$N$20&amp;" "&amp;$O$21&amp;" is more than Screening positive for TB Previously enrolled on ART"&amp;CHAR(10),""),IF(P368&gt;P357," *  Confirmed TB positive already on ART and on TB treatment "&amp;$P$20&amp;" "&amp;$P$21&amp;" is more than Screening positive for TB Previously enrolled on ART"&amp;CHAR(10),""),IF(Q368&gt;Q357," *  Confirmed TB positive already on ART and on TB treatment "&amp;$P$20&amp;" "&amp;$Q$21&amp;" is more than Screening positive for TB Previously enrolled on ART"&amp;CHAR(10),""),IF(R368&gt;R357," *  Confirmed TB positive already on ART and on TB treatment "&amp;$R$20&amp;" "&amp;$R$21&amp;" is more than Screening positive for TB Previously enrolled on ART"&amp;CHAR(10),""),IF(S368&gt;S357," *  Confirmed TB positive already on ART and on TB treatment "&amp;$R$20&amp;" "&amp;$S$21&amp;" is more than Screening positive for TB Previously enrolled on ART"&amp;CHAR(10),""),IF(T368&gt;T357," *  Confirmed TB positive already on ART and on TB treatment "&amp;$T$20&amp;" "&amp;$T$21&amp;" is more than Screening positive for TB Previously enrolled on ART"&amp;CHAR(10),""),IF(U368&gt;U357," *  Confirmed TB positive already on ART and on TB treatment "&amp;$T$20&amp;" "&amp;$U$21&amp;" is more than Screening positive for TB Previously enrolled on ART"&amp;CHAR(10),""),IF(V368&gt;V357," *  Confirmed TB positive already on ART and on TB treatment "&amp;$V$20&amp;" "&amp;$V$21&amp;" is more than Screening positive for TB Previously enrolled on ART"&amp;CHAR(10),""),IF(W368&gt;W357," *  Confirmed TB positive already on ART and on TB treatment "&amp;$V$20&amp;" "&amp;$W$21&amp;" is more than Screening positive for TB Previously enrolled on ART"&amp;CHAR(10),""),IF(X368&gt;X357," *  Confirmed TB positive already on ART and on TB treatment "&amp;$X$20&amp;" "&amp;$X$21&amp;" is more than Screening positive for TB Previously enrolled on ART"&amp;CHAR(10),""),IF(Y368&gt;Y357," *  Confirmed TB positive already on ART and on TB treatment "&amp;$X$20&amp;" "&amp;$Y$21&amp;" is more than Screening positive for TB Previously enrolled on ART"&amp;CHAR(10),""),IF(Z368&gt;Z357," *  Confirmed TB positive already on ART and on TB treatment "&amp;$Z$20&amp;" "&amp;$Z$21&amp;" is more than Screening positive for TB Previously enrolled on ART"&amp;CHAR(10),""),IF(AA368&gt;AA357," *  Confirmed TB positive already on ART and on TB treatment "&amp;$Z$20&amp;" "&amp;$AA$21&amp;" is more than Screening positive for TB Previously enrolled on ART"&amp;CHAR(10),""))</f>
        <v/>
      </c>
      <c r="AL357" s="1100"/>
      <c r="AM357" s="31" t="str">
        <f>CONCATENATE(IF(D368&lt;D357," *  Confirmed TB positive already on ART and on TB treatment "&amp;$D$20&amp;" "&amp;$D$21&amp;" is less than Screening positive for TB Previously enrolled on ART"&amp;CHAR(10),""),IF(E368&lt;E357," *  Confirmed TB positive already on ART and on TB treatment "&amp;$D$20&amp;" "&amp;$E$21&amp;" is less than Screening positive for TB Previously enrolled on ART"&amp;CHAR(10),""),IF(F368&lt;F357," *  Confirmed TB positive already on ART and on TB treatment "&amp;$F$20&amp;" "&amp;$F$21&amp;" is less than Screening positive for TB Previously enrolled on ART"&amp;CHAR(10),""),IF(G368&lt;G357," *  Confirmed TB positive already on ART and on TB treatment "&amp;$F$20&amp;" "&amp;$G$21&amp;" is less than Screening positive for TB Previously enrolled on ART"&amp;CHAR(10),""),IF(H368&lt;H357," *  Confirmed TB positive already on ART and on TB treatment "&amp;$H$20&amp;" "&amp;$H$21&amp;" is less than Screening positive for TB Previously enrolled on ART"&amp;CHAR(10),""),IF(I368&lt;I357," *  Confirmed TB positive already on ART and on TB treatment "&amp;$H$20&amp;" "&amp;$I$21&amp;" is less than Screening positive for TB Previously enrolled on ART"&amp;CHAR(10),""),IF(J368&lt;J357," *  Confirmed TB positive already on ART and on TB treatment "&amp;$J$20&amp;" "&amp;$J$21&amp;" is less than Screening positive for TB Previously enrolled on ART"&amp;CHAR(10),""),IF(K368&lt;K357," *  Confirmed TB positive already on ART and on TB treatment "&amp;$J$20&amp;" "&amp;$K$21&amp;" is less than Screening positive for TB Previously enrolled on ART"&amp;CHAR(10),""),IF(L368&lt;L357," *  Confirmed TB positive already on ART and on TB treatment "&amp;$L$20&amp;" "&amp;$L$21&amp;" is less than Screening positive for TB Previously enrolled on ART"&amp;CHAR(10),""),IF(M368&lt;M357," *  Confirmed TB positive already on ART and on TB treatment "&amp;$L$20&amp;" "&amp;$M$21&amp;" is less than Screening positive for TB Previously enrolled on ART"&amp;CHAR(10),""),IF(N368&lt;N357," *  Confirmed TB positive already on ART and on TB treatment "&amp;$N$20&amp;" "&amp;$N$21&amp;" is less than Screening positive for TB Previously enrolled on ART"&amp;CHAR(10),""),IF(O368&lt;O357," *  Confirmed TB positive already on ART and on TB treatment "&amp;$N$20&amp;" "&amp;$O$21&amp;" is less than Screening positive for TB Previously enrolled on ART"&amp;CHAR(10),""),IF(P368&lt;P357," *  Confirmed TB positive already on ART and on TB treatment "&amp;$P$20&amp;" "&amp;$P$21&amp;" is less than Screening positive for TB Previously enrolled on ART"&amp;CHAR(10),""),IF(Q368&lt;Q357," *  Confirmed TB positive already on ART and on TB treatment "&amp;$P$20&amp;" "&amp;$Q$21&amp;" is less than Screening positive for TB Previously enrolled on ART"&amp;CHAR(10),""),IF(R368&lt;R357," *  Confirmed TB positive already on ART and on TB treatment "&amp;$R$20&amp;" "&amp;$R$21&amp;" is less than Screening positive for TB Previously enrolled on ART"&amp;CHAR(10),""),IF(S368&lt;S357," *  Confirmed TB positive already on ART and on TB treatment "&amp;$R$20&amp;" "&amp;$S$21&amp;" is less than Screening positive for TB Previously enrolled on ART"&amp;CHAR(10),""),IF(T368&lt;T357," *  Confirmed TB positive already on ART and on TB treatment "&amp;$T$20&amp;" "&amp;$T$21&amp;" is less than Screening positive for TB Previously enrolled on ART"&amp;CHAR(10),""),IF(U368&lt;U357," *  Confirmed TB positive already on ART and on TB treatment "&amp;$T$20&amp;" "&amp;$U$21&amp;" is less than Screening positive for TB Previously enrolled on ART"&amp;CHAR(10),""),IF(V368&lt;V357," *  Confirmed TB positive already on ART and on TB treatment "&amp;$V$20&amp;" "&amp;$V$21&amp;" is less than Screening positive for TB Previously enrolled on ART"&amp;CHAR(10),""),IF(W368&lt;W357," *  Confirmed TB positive already on ART and on TB treatment "&amp;$V$20&amp;" "&amp;$W$21&amp;" is less than Screening positive for TB Previously enrolled on ART"&amp;CHAR(10),""),IF(X368&lt;X357," *  Confirmed TB positive already on ART and on TB treatment "&amp;$X$20&amp;" "&amp;$X$21&amp;" is less than Screening positive for TB Previously enrolled on ART"&amp;CHAR(10),""),IF(Y368&lt;Y357," *  Confirmed TB positive already on ART and on TB treatment "&amp;$X$20&amp;" "&amp;$Y$21&amp;" is less than Screening positive for TB Previously enrolled on ART"&amp;CHAR(10),""),IF(Z368&lt;Z357," *  Confirmed TB positive already on ART and on TB treatment "&amp;$Z$20&amp;" "&amp;$Z$21&amp;" is less than Screening positive for TB Previously enrolled on ART"&amp;CHAR(10),""),IF(AA368&lt;AA357," *  Confirmed TB positive already on ART and on TB treatment "&amp;$Z$20&amp;" "&amp;$AA$21&amp;" is less than Screening positive for TB Previously enrolled on ART"&amp;CHAR(10),""))</f>
        <v/>
      </c>
      <c r="AN357" s="1081"/>
      <c r="AO357" s="13">
        <v>273</v>
      </c>
      <c r="AP357" s="74"/>
      <c r="AQ357" s="75"/>
    </row>
    <row r="358" spans="1:43" ht="25.9" hidden="1" thickBot="1" x14ac:dyDescent="0.8">
      <c r="A358" s="1073"/>
      <c r="B358" s="244" t="s">
        <v>832</v>
      </c>
      <c r="C358" s="581" t="s">
        <v>551</v>
      </c>
      <c r="D358" s="243">
        <f t="shared" ref="D358:AA358" si="133">D356+D357</f>
        <v>0</v>
      </c>
      <c r="E358" s="243">
        <f t="shared" si="133"/>
        <v>0</v>
      </c>
      <c r="F358" s="243">
        <f t="shared" si="133"/>
        <v>0</v>
      </c>
      <c r="G358" s="243">
        <f t="shared" si="133"/>
        <v>0</v>
      </c>
      <c r="H358" s="243">
        <f t="shared" si="133"/>
        <v>0</v>
      </c>
      <c r="I358" s="243">
        <f t="shared" si="133"/>
        <v>0</v>
      </c>
      <c r="J358" s="243">
        <f t="shared" si="133"/>
        <v>0</v>
      </c>
      <c r="K358" s="243">
        <f t="shared" si="133"/>
        <v>0</v>
      </c>
      <c r="L358" s="243">
        <f t="shared" si="133"/>
        <v>0</v>
      </c>
      <c r="M358" s="243">
        <f t="shared" si="133"/>
        <v>0</v>
      </c>
      <c r="N358" s="243">
        <f t="shared" si="133"/>
        <v>0</v>
      </c>
      <c r="O358" s="243">
        <f t="shared" si="133"/>
        <v>0</v>
      </c>
      <c r="P358" s="243">
        <f t="shared" si="133"/>
        <v>0</v>
      </c>
      <c r="Q358" s="243">
        <f t="shared" si="133"/>
        <v>0</v>
      </c>
      <c r="R358" s="243">
        <f t="shared" si="133"/>
        <v>0</v>
      </c>
      <c r="S358" s="243">
        <f t="shared" si="133"/>
        <v>0</v>
      </c>
      <c r="T358" s="243">
        <f t="shared" si="133"/>
        <v>0</v>
      </c>
      <c r="U358" s="243">
        <f t="shared" si="133"/>
        <v>0</v>
      </c>
      <c r="V358" s="243">
        <f t="shared" si="133"/>
        <v>0</v>
      </c>
      <c r="W358" s="243">
        <f t="shared" si="133"/>
        <v>0</v>
      </c>
      <c r="X358" s="243">
        <f t="shared" si="133"/>
        <v>0</v>
      </c>
      <c r="Y358" s="243">
        <f t="shared" si="133"/>
        <v>0</v>
      </c>
      <c r="Z358" s="243">
        <f t="shared" si="133"/>
        <v>0</v>
      </c>
      <c r="AA358" s="358">
        <f t="shared" si="133"/>
        <v>0</v>
      </c>
      <c r="AB358" s="389"/>
      <c r="AC358" s="357"/>
      <c r="AD358" s="357"/>
      <c r="AE358" s="357"/>
      <c r="AF358" s="357"/>
      <c r="AG358" s="357"/>
      <c r="AH358" s="357"/>
      <c r="AI358" s="314"/>
      <c r="AJ358" s="193">
        <f t="shared" si="119"/>
        <v>0</v>
      </c>
      <c r="AK358" s="116"/>
      <c r="AL358" s="1100"/>
      <c r="AM358" s="31"/>
      <c r="AN358" s="1081"/>
      <c r="AO358" s="13">
        <v>274</v>
      </c>
      <c r="AP358" s="74"/>
      <c r="AQ358" s="75"/>
    </row>
    <row r="359" spans="1:43" ht="25.5" hidden="1" x14ac:dyDescent="0.75">
      <c r="A359" s="1073"/>
      <c r="B359" s="246" t="s">
        <v>598</v>
      </c>
      <c r="C359" s="599" t="s">
        <v>554</v>
      </c>
      <c r="D359" s="138"/>
      <c r="E359" s="72"/>
      <c r="F359" s="72"/>
      <c r="G359" s="72"/>
      <c r="H359" s="72"/>
      <c r="I359" s="72"/>
      <c r="J359" s="72"/>
      <c r="K359" s="72"/>
      <c r="L359" s="72"/>
      <c r="M359" s="72"/>
      <c r="N359" s="72"/>
      <c r="O359" s="72"/>
      <c r="P359" s="72"/>
      <c r="Q359" s="72"/>
      <c r="R359" s="72"/>
      <c r="S359" s="72"/>
      <c r="T359" s="72"/>
      <c r="U359" s="72"/>
      <c r="V359" s="72"/>
      <c r="W359" s="72"/>
      <c r="X359" s="72"/>
      <c r="Y359" s="72"/>
      <c r="Z359" s="72"/>
      <c r="AA359" s="318"/>
      <c r="AB359" s="389"/>
      <c r="AC359" s="357"/>
      <c r="AD359" s="357"/>
      <c r="AE359" s="357"/>
      <c r="AF359" s="357"/>
      <c r="AG359" s="357"/>
      <c r="AH359" s="357"/>
      <c r="AI359" s="314"/>
      <c r="AJ359" s="52">
        <f t="shared" si="119"/>
        <v>0</v>
      </c>
      <c r="AK359" s="116"/>
      <c r="AL359" s="1100"/>
      <c r="AM359" s="31"/>
      <c r="AN359" s="1081"/>
      <c r="AO359" s="13">
        <v>275</v>
      </c>
      <c r="AP359" s="74"/>
      <c r="AQ359" s="75"/>
    </row>
    <row r="360" spans="1:43" ht="25.5" hidden="1" x14ac:dyDescent="0.75">
      <c r="A360" s="1073"/>
      <c r="B360" s="2" t="s">
        <v>599</v>
      </c>
      <c r="C360" s="580" t="s">
        <v>592</v>
      </c>
      <c r="D360" s="238"/>
      <c r="E360" s="79"/>
      <c r="F360" s="79"/>
      <c r="G360" s="79"/>
      <c r="H360" s="79"/>
      <c r="I360" s="79"/>
      <c r="J360" s="79"/>
      <c r="K360" s="79"/>
      <c r="L360" s="79"/>
      <c r="M360" s="79"/>
      <c r="N360" s="79"/>
      <c r="O360" s="79"/>
      <c r="P360" s="79"/>
      <c r="Q360" s="79"/>
      <c r="R360" s="79"/>
      <c r="S360" s="79"/>
      <c r="T360" s="79"/>
      <c r="U360" s="79"/>
      <c r="V360" s="79"/>
      <c r="W360" s="79"/>
      <c r="X360" s="79"/>
      <c r="Y360" s="79"/>
      <c r="Z360" s="79"/>
      <c r="AA360" s="319"/>
      <c r="AB360" s="389"/>
      <c r="AC360" s="357"/>
      <c r="AD360" s="357"/>
      <c r="AE360" s="357"/>
      <c r="AF360" s="357"/>
      <c r="AG360" s="357"/>
      <c r="AH360" s="357"/>
      <c r="AI360" s="314"/>
      <c r="AJ360" s="174">
        <f t="shared" si="119"/>
        <v>0</v>
      </c>
      <c r="AK360" s="116" t="str">
        <f>IF(AJ341&gt;0,IF(AJ361&lt;1," No Patient was screened for TB",""),"")</f>
        <v/>
      </c>
      <c r="AL360" s="1100"/>
      <c r="AM360" s="31"/>
      <c r="AN360" s="1081"/>
      <c r="AO360" s="13">
        <v>276</v>
      </c>
      <c r="AP360" s="74"/>
      <c r="AQ360" s="75"/>
    </row>
    <row r="361" spans="1:43" ht="25.9" hidden="1" thickBot="1" x14ac:dyDescent="0.8">
      <c r="A361" s="1073"/>
      <c r="B361" s="244" t="s">
        <v>833</v>
      </c>
      <c r="C361" s="581" t="s">
        <v>301</v>
      </c>
      <c r="D361" s="247">
        <f>SUM(D360,D359,D358)</f>
        <v>0</v>
      </c>
      <c r="E361" s="248">
        <f t="shared" ref="E361:AA361" si="134">SUM(E360,E359,E358)</f>
        <v>0</v>
      </c>
      <c r="F361" s="248">
        <f t="shared" si="134"/>
        <v>0</v>
      </c>
      <c r="G361" s="248">
        <f t="shared" si="134"/>
        <v>0</v>
      </c>
      <c r="H361" s="248">
        <f t="shared" si="134"/>
        <v>0</v>
      </c>
      <c r="I361" s="248">
        <f t="shared" si="134"/>
        <v>0</v>
      </c>
      <c r="J361" s="248">
        <f t="shared" si="134"/>
        <v>0</v>
      </c>
      <c r="K361" s="248">
        <f t="shared" si="134"/>
        <v>0</v>
      </c>
      <c r="L361" s="248">
        <f t="shared" si="134"/>
        <v>0</v>
      </c>
      <c r="M361" s="248">
        <f t="shared" si="134"/>
        <v>0</v>
      </c>
      <c r="N361" s="248">
        <f t="shared" si="134"/>
        <v>0</v>
      </c>
      <c r="O361" s="248">
        <f t="shared" si="134"/>
        <v>0</v>
      </c>
      <c r="P361" s="248">
        <f t="shared" si="134"/>
        <v>0</v>
      </c>
      <c r="Q361" s="248">
        <f t="shared" si="134"/>
        <v>0</v>
      </c>
      <c r="R361" s="248">
        <f t="shared" si="134"/>
        <v>0</v>
      </c>
      <c r="S361" s="248">
        <f t="shared" si="134"/>
        <v>0</v>
      </c>
      <c r="T361" s="248">
        <f t="shared" si="134"/>
        <v>0</v>
      </c>
      <c r="U361" s="248">
        <f t="shared" si="134"/>
        <v>0</v>
      </c>
      <c r="V361" s="248">
        <f t="shared" si="134"/>
        <v>0</v>
      </c>
      <c r="W361" s="248">
        <f t="shared" si="134"/>
        <v>0</v>
      </c>
      <c r="X361" s="248">
        <f t="shared" si="134"/>
        <v>0</v>
      </c>
      <c r="Y361" s="248">
        <f t="shared" si="134"/>
        <v>0</v>
      </c>
      <c r="Z361" s="248">
        <f t="shared" si="134"/>
        <v>0</v>
      </c>
      <c r="AA361" s="359">
        <f t="shared" si="134"/>
        <v>0</v>
      </c>
      <c r="AB361" s="389"/>
      <c r="AC361" s="357"/>
      <c r="AD361" s="357"/>
      <c r="AE361" s="357"/>
      <c r="AF361" s="357"/>
      <c r="AG361" s="357"/>
      <c r="AH361" s="357"/>
      <c r="AI361" s="314"/>
      <c r="AJ361" s="193">
        <f t="shared" si="119"/>
        <v>0</v>
      </c>
      <c r="AK361" s="116" t="str">
        <f>CONCATENATE(IF(D361&gt;D341," * Total Screened For TB  for Age "&amp;D20&amp;" "&amp;D21&amp;" is more than Current On ART "&amp;CHAR(10),""),IF(E361&gt;E341," * Total Screened For TB  for Age "&amp;D20&amp;" "&amp;E21&amp;" is more than Current On ART "&amp;CHAR(10),""),IF(F361&gt;F341," * Total Screened For TB  for Age "&amp;F20&amp;" "&amp;F21&amp;" is more than Current On ART "&amp;CHAR(10),""),IF(G361&gt;G341," * Total Screened For TB  for Age "&amp;F20&amp;" "&amp;G21&amp;" is more than Current On ART "&amp;CHAR(10),""),IF(H361&gt;H341," * Total Screened For TB  for Age "&amp;H20&amp;" "&amp;H21&amp;" is more than Current On ART "&amp;CHAR(10),""),IF(I361&gt;I341," * Total Screened For TB  for Age "&amp;H20&amp;" "&amp;I21&amp;" is more than Current On ART "&amp;CHAR(10),""),IF(J361&gt;J341," * Total Screened For TB  for Age "&amp;J20&amp;" "&amp;J21&amp;" is more than Current On ART "&amp;CHAR(10),""),IF(K361&gt;K341," * Total Screened For TB  for Age "&amp;J20&amp;" "&amp;K21&amp;" is more than Current On ART "&amp;CHAR(10),""),IF(L361&gt;L341," * Total Screened For TB  for Age "&amp;L20&amp;" "&amp;L21&amp;" is more than Current On ART "&amp;CHAR(10),""),IF(M361&gt;M341," * Total Screened For TB  for Age "&amp;L20&amp;" "&amp;M21&amp;" is more than Current On ART "&amp;CHAR(10),""),IF(N361&gt;N341," * Total Screened For TB  for Age "&amp;N20&amp;" "&amp;N21&amp;" is more than Current On ART "&amp;CHAR(10),""),IF(O361&gt;O341," * Total Screened For TB  for Age "&amp;N20&amp;" "&amp;O21&amp;" is more than Current On ART "&amp;CHAR(10),""),IF(P361&gt;P341," * Total Screened For TB  for Age "&amp;P20&amp;" "&amp;P21&amp;" is more than Current On ART "&amp;CHAR(10),""),IF(Q361&gt;Q341," * Total Screened For TB  for Age "&amp;P20&amp;" "&amp;Q21&amp;" is more than Current On ART "&amp;CHAR(10),""),IF(R361&gt;R341," * Total Screened For TB  for Age "&amp;R20&amp;" "&amp;R21&amp;" is more than Current On ART "&amp;CHAR(10),""),IF(S361&gt;S341," * Total Screened For TB  for Age "&amp;R20&amp;" "&amp;S21&amp;" is more than Current On ART "&amp;CHAR(10),""),IF(T361&gt;T341," * Total Screened For TB  for Age "&amp;T20&amp;" "&amp;T21&amp;" is more than Current On ART "&amp;CHAR(10),""),IF(U361&gt;U341," * Total Screened For TB  for Age "&amp;T20&amp;" "&amp;U21&amp;" is more than Current On ART "&amp;CHAR(10),""),IF(V361&gt;V341," * Total Screened For TB  for Age "&amp;V20&amp;" "&amp;V21&amp;" is more than Current On ART "&amp;CHAR(10),""),IF(W361&gt;W341," * Total Screened For TB  for Age "&amp;V20&amp;" "&amp;W21&amp;" is more than Current On ART "&amp;CHAR(10),""),IF(X361&gt;X341," * Total Screened For TB  for Age "&amp;X20&amp;" "&amp;X21&amp;" is more than Current On ART "&amp;CHAR(10),""),IF(Y361&gt;Y341," * Total Screened For TB  for Age "&amp;X20&amp;" "&amp;Y21&amp;" is more than Current On ART "&amp;CHAR(10),""),IF(Z361&gt;Z341," * Total Screened For TB  for Age "&amp;Z20&amp;" "&amp;Z21&amp;" is more than Current On ART "&amp;CHAR(10),""),IF(AA361&gt;AA341," * Total Screened For TB  for Age "&amp;Z20&amp;" "&amp;AA21&amp;" is more than Current On ART "&amp;CHAR(10),""))</f>
        <v/>
      </c>
      <c r="AL361" s="1100"/>
      <c r="AM361" s="31" t="str">
        <f>CONCATENATE(IF(D361&lt;D341," * Screened for TB for Age "&amp;D20&amp;" "&amp;D21&amp;" is less than Current On ART"&amp;CHAR(10),""),IF(E361&lt;E341," * Screened for TB for Age "&amp;D20&amp;" "&amp;E21&amp;" is less than Current On ART"&amp;CHAR(10),""),IF(F361&lt;F341," * Screened for TB for Age "&amp;F20&amp;" "&amp;F21&amp;" is less than Current On ART"&amp;CHAR(10),""),IF(G361&lt;G341," * Screened for TB for Age "&amp;F20&amp;" "&amp;G21&amp;" is less than Current On ART"&amp;CHAR(10),""),IF(H361&lt;H341," * Screened for TB for Age "&amp;H20&amp;" "&amp;H21&amp;" is less than Current On ART"&amp;CHAR(10),""),IF(I361&lt;I341," * Screened for TB for Age "&amp;H20&amp;" "&amp;I21&amp;" is less than Current On ART"&amp;CHAR(10),""),IF(J361&lt;J341," * Screened for TB for Age "&amp;J20&amp;" "&amp;J21&amp;" is less than Current On ART"&amp;CHAR(10),""),IF(K361&lt;K341," * Screened for TB for Age "&amp;J20&amp;" "&amp;K21&amp;" is less than Current On ART"&amp;CHAR(10),""),IF(L361&lt;L341," * Screened for TB for Age "&amp;L20&amp;" "&amp;L21&amp;" is less than Current On ART"&amp;CHAR(10),""),IF(M361&lt;M341," * Screened for TB for Age "&amp;L20&amp;" "&amp;M21&amp;" is less than Current On ART"&amp;CHAR(10),""),IF(N361&lt;N341," * Screened for TB for Age "&amp;N20&amp;" "&amp;N21&amp;" is less than Current On ART"&amp;CHAR(10),""),IF(O361&lt;O341," * Screened for TB for Age "&amp;N20&amp;" "&amp;O21&amp;" is less than Current On ART"&amp;CHAR(10),""),IF(P361&lt;P341," * Screened for TB for Age "&amp;P20&amp;" "&amp;P21&amp;" is less than Current On ART"&amp;CHAR(10),""),IF(Q361&lt;Q341," * Screened for TB for Age "&amp;P20&amp;" "&amp;Q21&amp;" is less than Current On ART"&amp;CHAR(10),""),IF(R361&lt;R341," * Screened for TB for Age "&amp;R20&amp;" "&amp;R21&amp;" is less than Current On ART"&amp;CHAR(10),""),IF(S361&lt;S341," * Screened for TB for Age "&amp;R20&amp;" "&amp;S21&amp;" is less than Current On ART"&amp;CHAR(10),""),IF(T361&lt;T341," * Screened for TB for Age "&amp;T20&amp;" "&amp;T21&amp;" is less than Current On ART"&amp;CHAR(10),""),IF(U361&lt;U341," * Screened for TB for Age "&amp;T20&amp;" "&amp;U21&amp;" is less than Current On ART"&amp;CHAR(10),""),IF(V361&lt;V341," * Screened for TB for Age "&amp;V20&amp;" "&amp;V21&amp;" is less than Current On ART"&amp;CHAR(10),""),IF(W361&lt;W341," * Screened for TB for Age "&amp;V20&amp;" "&amp;W21&amp;" is less than Current On ART"&amp;CHAR(10),""),IF(X361&lt;X341," * Screened for TB for Age "&amp;X20&amp;" "&amp;X21&amp;" is less than Current On ART"&amp;CHAR(10),""),IF(Y361&lt;Y341," * Screened for TB for Age "&amp;X20&amp;" "&amp;Y21&amp;" is less than Current On ART"&amp;CHAR(10),""),IF(Z361&lt;Z341," * Screened for TB for Age "&amp;Z20&amp;" "&amp;Z21&amp;" is less than Current On ART"&amp;CHAR(10),""),IF(AA361&lt;AA341," * Screened for TB for Age "&amp;Z20&amp;" "&amp;AA21&amp;" is less than Current On ART"&amp;CHAR(10),""))</f>
        <v/>
      </c>
      <c r="AN361" s="1081"/>
      <c r="AO361" s="13">
        <v>277</v>
      </c>
      <c r="AP361" s="74"/>
      <c r="AQ361" s="75"/>
    </row>
    <row r="362" spans="1:43" ht="25.5" hidden="1" x14ac:dyDescent="0.75">
      <c r="A362" s="1073"/>
      <c r="B362" s="1" t="s">
        <v>1009</v>
      </c>
      <c r="C362" s="579" t="s">
        <v>593</v>
      </c>
      <c r="D362" s="237"/>
      <c r="E362" s="94"/>
      <c r="F362" s="94"/>
      <c r="G362" s="94"/>
      <c r="H362" s="94"/>
      <c r="I362" s="94"/>
      <c r="J362" s="94"/>
      <c r="K362" s="94"/>
      <c r="L362" s="94"/>
      <c r="M362" s="94"/>
      <c r="N362" s="94"/>
      <c r="O362" s="94"/>
      <c r="P362" s="94"/>
      <c r="Q362" s="94"/>
      <c r="R362" s="94"/>
      <c r="S362" s="94"/>
      <c r="T362" s="94"/>
      <c r="U362" s="94"/>
      <c r="V362" s="94"/>
      <c r="W362" s="94"/>
      <c r="X362" s="94"/>
      <c r="Y362" s="94"/>
      <c r="Z362" s="94"/>
      <c r="AA362" s="322"/>
      <c r="AB362" s="389"/>
      <c r="AC362" s="357"/>
      <c r="AD362" s="357"/>
      <c r="AE362" s="357"/>
      <c r="AF362" s="357"/>
      <c r="AG362" s="357"/>
      <c r="AH362" s="357"/>
      <c r="AI362" s="314"/>
      <c r="AJ362" s="189">
        <f t="shared" si="119"/>
        <v>0</v>
      </c>
      <c r="AK362" s="116"/>
      <c r="AL362" s="1100"/>
      <c r="AM362" s="31"/>
      <c r="AN362" s="1081"/>
      <c r="AO362" s="13">
        <v>278</v>
      </c>
      <c r="AP362" s="74"/>
      <c r="AQ362" s="75"/>
    </row>
    <row r="363" spans="1:43" s="61" customFormat="1" ht="25.5" hidden="1" x14ac:dyDescent="0.75">
      <c r="A363" s="1073"/>
      <c r="B363" s="2" t="s">
        <v>1010</v>
      </c>
      <c r="C363" s="580" t="s">
        <v>594</v>
      </c>
      <c r="D363" s="238"/>
      <c r="E363" s="79"/>
      <c r="F363" s="79"/>
      <c r="G363" s="79"/>
      <c r="H363" s="79"/>
      <c r="I363" s="79"/>
      <c r="J363" s="79"/>
      <c r="K363" s="79"/>
      <c r="L363" s="79"/>
      <c r="M363" s="79"/>
      <c r="N363" s="79"/>
      <c r="O363" s="79"/>
      <c r="P363" s="79"/>
      <c r="Q363" s="79"/>
      <c r="R363" s="79"/>
      <c r="S363" s="79"/>
      <c r="T363" s="79"/>
      <c r="U363" s="79"/>
      <c r="V363" s="79"/>
      <c r="W363" s="79"/>
      <c r="X363" s="79"/>
      <c r="Y363" s="79"/>
      <c r="Z363" s="79"/>
      <c r="AA363" s="319"/>
      <c r="AB363" s="389"/>
      <c r="AC363" s="357"/>
      <c r="AD363" s="357"/>
      <c r="AE363" s="357"/>
      <c r="AF363" s="357"/>
      <c r="AG363" s="357"/>
      <c r="AH363" s="357"/>
      <c r="AI363" s="314"/>
      <c r="AJ363" s="174">
        <f t="shared" si="119"/>
        <v>0</v>
      </c>
      <c r="AK363" s="116"/>
      <c r="AL363" s="1100"/>
      <c r="AM363" s="60"/>
      <c r="AN363" s="1081"/>
      <c r="AO363" s="13">
        <v>279</v>
      </c>
      <c r="AP363" s="80"/>
      <c r="AQ363" s="75"/>
    </row>
    <row r="364" spans="1:43" ht="25.5" hidden="1" x14ac:dyDescent="0.75">
      <c r="A364" s="1073"/>
      <c r="B364" s="2" t="s">
        <v>1011</v>
      </c>
      <c r="C364" s="580" t="s">
        <v>595</v>
      </c>
      <c r="D364" s="238"/>
      <c r="E364" s="79"/>
      <c r="F364" s="79"/>
      <c r="G364" s="79"/>
      <c r="H364" s="79"/>
      <c r="I364" s="79"/>
      <c r="J364" s="79"/>
      <c r="K364" s="79"/>
      <c r="L364" s="79"/>
      <c r="M364" s="79"/>
      <c r="N364" s="79"/>
      <c r="O364" s="79"/>
      <c r="P364" s="79"/>
      <c r="Q364" s="79"/>
      <c r="R364" s="79"/>
      <c r="S364" s="79"/>
      <c r="T364" s="79"/>
      <c r="U364" s="79"/>
      <c r="V364" s="79"/>
      <c r="W364" s="79"/>
      <c r="X364" s="79"/>
      <c r="Y364" s="79"/>
      <c r="Z364" s="79"/>
      <c r="AA364" s="319"/>
      <c r="AB364" s="389"/>
      <c r="AC364" s="357"/>
      <c r="AD364" s="357"/>
      <c r="AE364" s="357"/>
      <c r="AF364" s="357"/>
      <c r="AG364" s="357"/>
      <c r="AH364" s="357"/>
      <c r="AI364" s="314"/>
      <c r="AJ364" s="174">
        <f t="shared" si="119"/>
        <v>0</v>
      </c>
      <c r="AK364" s="116"/>
      <c r="AL364" s="1100"/>
      <c r="AM364" s="31"/>
      <c r="AN364" s="1081"/>
      <c r="AO364" s="13">
        <v>280</v>
      </c>
      <c r="AP364" s="74"/>
      <c r="AQ364" s="75"/>
    </row>
    <row r="365" spans="1:43" ht="32.25" hidden="1" customHeight="1" thickBot="1" x14ac:dyDescent="0.8">
      <c r="A365" s="1073"/>
      <c r="B365" s="244" t="s">
        <v>834</v>
      </c>
      <c r="C365" s="581" t="s">
        <v>602</v>
      </c>
      <c r="D365" s="248">
        <f t="shared" ref="D365:AA365" si="135">SUM(D362:D364)</f>
        <v>0</v>
      </c>
      <c r="E365" s="248">
        <f t="shared" si="135"/>
        <v>0</v>
      </c>
      <c r="F365" s="248">
        <f t="shared" si="135"/>
        <v>0</v>
      </c>
      <c r="G365" s="248">
        <f t="shared" si="135"/>
        <v>0</v>
      </c>
      <c r="H365" s="248">
        <f t="shared" si="135"/>
        <v>0</v>
      </c>
      <c r="I365" s="248">
        <f t="shared" si="135"/>
        <v>0</v>
      </c>
      <c r="J365" s="248">
        <f t="shared" si="135"/>
        <v>0</v>
      </c>
      <c r="K365" s="248">
        <f t="shared" si="135"/>
        <v>0</v>
      </c>
      <c r="L365" s="248">
        <f t="shared" si="135"/>
        <v>0</v>
      </c>
      <c r="M365" s="248">
        <f t="shared" si="135"/>
        <v>0</v>
      </c>
      <c r="N365" s="248">
        <f t="shared" si="135"/>
        <v>0</v>
      </c>
      <c r="O365" s="248">
        <f t="shared" si="135"/>
        <v>0</v>
      </c>
      <c r="P365" s="248">
        <f t="shared" si="135"/>
        <v>0</v>
      </c>
      <c r="Q365" s="248">
        <f t="shared" si="135"/>
        <v>0</v>
      </c>
      <c r="R365" s="248">
        <f t="shared" si="135"/>
        <v>0</v>
      </c>
      <c r="S365" s="248">
        <f t="shared" si="135"/>
        <v>0</v>
      </c>
      <c r="T365" s="248">
        <f t="shared" si="135"/>
        <v>0</v>
      </c>
      <c r="U365" s="248">
        <f t="shared" si="135"/>
        <v>0</v>
      </c>
      <c r="V365" s="248">
        <f t="shared" si="135"/>
        <v>0</v>
      </c>
      <c r="W365" s="248">
        <f t="shared" si="135"/>
        <v>0</v>
      </c>
      <c r="X365" s="248">
        <f t="shared" si="135"/>
        <v>0</v>
      </c>
      <c r="Y365" s="248">
        <f t="shared" si="135"/>
        <v>0</v>
      </c>
      <c r="Z365" s="248">
        <f t="shared" si="135"/>
        <v>0</v>
      </c>
      <c r="AA365" s="359">
        <f t="shared" si="135"/>
        <v>0</v>
      </c>
      <c r="AB365" s="389"/>
      <c r="AC365" s="357"/>
      <c r="AD365" s="357"/>
      <c r="AE365" s="357"/>
      <c r="AF365" s="357"/>
      <c r="AG365" s="357"/>
      <c r="AH365" s="357"/>
      <c r="AI365" s="314"/>
      <c r="AJ365" s="193">
        <f t="shared" si="119"/>
        <v>0</v>
      </c>
      <c r="AK365" s="30" t="str">
        <f>CONCATENATE(IF(D366&gt;D365," *  Positive Result Returned For bacteriologic diagnosis "&amp;$D$20&amp;" "&amp;$D$21&amp;" is more than Total Patients whose specimens were sent"&amp;CHAR(10),""),IF(E366&gt;E365," *  Positive Result Returned For bacteriologic diagnosis "&amp;$D$20&amp;" "&amp;$E$21&amp;" is more than Total Patients whose specimens were sent"&amp;CHAR(10),""),IF(F366&gt;F365," *  Positive Result Returned For bacteriologic diagnosis "&amp;$F$20&amp;" "&amp;$F$21&amp;" is more than Total Patients whose specimens were sent"&amp;CHAR(10),""),IF(G366&gt;G365," *  Positive Result Returned For bacteriologic diagnosis "&amp;$F$20&amp;" "&amp;$G$21&amp;" is more than Total Patients whose specimens were sent"&amp;CHAR(10),""),IF(H366&gt;H365," *  Positive Result Returned For bacteriologic diagnosis "&amp;$H$20&amp;" "&amp;$H$21&amp;" is more than Total Patients whose specimens were sent"&amp;CHAR(10),""),IF(I366&gt;I365," *  Positive Result Returned For bacteriologic diagnosis "&amp;$H$20&amp;" "&amp;$I$21&amp;" is more than Total Patients whose specimens were sent"&amp;CHAR(10),""),IF(J366&gt;J365," *  Positive Result Returned For bacteriologic diagnosis "&amp;$J$20&amp;" "&amp;$J$21&amp;" is more than Total Patients whose specimens were sent"&amp;CHAR(10),""),IF(K366&gt;K365," *  Positive Result Returned For bacteriologic diagnosis "&amp;$J$20&amp;" "&amp;$K$21&amp;" is more than Total Patients whose specimens were sent"&amp;CHAR(10),""),IF(L366&gt;L365," *  Positive Result Returned For bacteriologic diagnosis "&amp;$L$20&amp;" "&amp;$L$21&amp;" is more than Total Patients whose specimens were sent"&amp;CHAR(10),""),IF(M366&gt;M365," *  Positive Result Returned For bacteriologic diagnosis "&amp;$L$20&amp;" "&amp;$M$21&amp;" is more than Total Patients whose specimens were sent"&amp;CHAR(10),""),IF(N366&gt;N365," *  Positive Result Returned For bacteriologic diagnosis "&amp;$N$20&amp;" "&amp;$N$21&amp;" is more than Total Patients whose specimens were sent"&amp;CHAR(10),""),IF(O366&gt;O365," *  Positive Result Returned For bacteriologic diagnosis "&amp;$N$20&amp;" "&amp;$O$21&amp;" is more than Total Patients whose specimens were sent"&amp;CHAR(10),""),IF(P366&gt;P365," *  Positive Result Returned For bacteriologic diagnosis "&amp;$P$20&amp;" "&amp;$P$21&amp;" is more than Total Patients whose specimens were sent"&amp;CHAR(10),""),IF(Q366&gt;Q365," *  Positive Result Returned For bacteriologic diagnosis "&amp;$P$20&amp;" "&amp;$Q$21&amp;" is more than Total Patients whose specimens were sent"&amp;CHAR(10),""),IF(R366&gt;R365," *  Positive Result Returned For bacteriologic diagnosis "&amp;$R$20&amp;" "&amp;$R$21&amp;" is more than Total Patients whose specimens were sent"&amp;CHAR(10),""),IF(S366&gt;S365," *  Positive Result Returned For bacteriologic diagnosis "&amp;$R$20&amp;" "&amp;$S$21&amp;" is more than Total Patients whose specimens were sent"&amp;CHAR(10),""),IF(T366&gt;T365," *  Positive Result Returned For bacteriologic diagnosis "&amp;$T$20&amp;" "&amp;$T$21&amp;" is more than Total Patients whose specimens were sent"&amp;CHAR(10),""),IF(U366&gt;U365," *  Positive Result Returned For bacteriologic diagnosis "&amp;$T$20&amp;" "&amp;$U$21&amp;" is more than Total Patients whose specimens were sent"&amp;CHAR(10),""),IF(V366&gt;V365," *  Positive Result Returned For bacteriologic diagnosis "&amp;$V$20&amp;" "&amp;$V$21&amp;" is more than Total Patients whose specimens were sent"&amp;CHAR(10),""),IF(W366&gt;W365," *  Positive Result Returned For bacteriologic diagnosis "&amp;$V$20&amp;" "&amp;$W$21&amp;" is more than Total Patients whose specimens were sent"&amp;CHAR(10),""),IF(X366&gt;X365," *  Positive Result Returned For bacteriologic diagnosis "&amp;$X$20&amp;" "&amp;$X$21&amp;" is more than Total Patients whose specimens were sent"&amp;CHAR(10),""),IF(Y366&gt;Y365," *  Positive Result Returned For bacteriologic diagnosis "&amp;$X$20&amp;" "&amp;$Y$21&amp;" is more than Total Patients whose specimens were sent"&amp;CHAR(10),""),IF(Z366&gt;Z365," *  Positive Result Returned For bacteriologic diagnosis "&amp;$Z$20&amp;" "&amp;$Z$21&amp;" is more than Total Patients whose specimens were sent"&amp;CHAR(10),""),IF(AA366&gt;AA365," *  Positive Result Returned For bacteriologic diagnosis "&amp;$Z$20&amp;" "&amp;$AA$21&amp;" is more than Total Patients whose specimens were sent"&amp;CHAR(10),""))</f>
        <v/>
      </c>
      <c r="AL365" s="1100"/>
      <c r="AM365" s="31"/>
      <c r="AN365" s="1081"/>
      <c r="AO365" s="13">
        <v>281</v>
      </c>
      <c r="AP365" s="74"/>
      <c r="AQ365" s="75"/>
    </row>
    <row r="366" spans="1:43" ht="51.4" hidden="1" thickBot="1" x14ac:dyDescent="0.8">
      <c r="A366" s="1074"/>
      <c r="B366" s="228" t="s">
        <v>600</v>
      </c>
      <c r="C366" s="601" t="s">
        <v>603</v>
      </c>
      <c r="D366" s="245"/>
      <c r="E366" s="245"/>
      <c r="F366" s="245"/>
      <c r="G366" s="245"/>
      <c r="H366" s="245"/>
      <c r="I366" s="245"/>
      <c r="J366" s="245"/>
      <c r="K366" s="245"/>
      <c r="L366" s="245"/>
      <c r="M366" s="245"/>
      <c r="N366" s="245"/>
      <c r="O366" s="245"/>
      <c r="P366" s="245"/>
      <c r="Q366" s="245"/>
      <c r="R366" s="245"/>
      <c r="S366" s="245"/>
      <c r="T366" s="245"/>
      <c r="U366" s="245"/>
      <c r="V366" s="245"/>
      <c r="W366" s="245"/>
      <c r="X366" s="245"/>
      <c r="Y366" s="245"/>
      <c r="Z366" s="245"/>
      <c r="AA366" s="360"/>
      <c r="AB366" s="389"/>
      <c r="AC366" s="357"/>
      <c r="AD366" s="357"/>
      <c r="AE366" s="357"/>
      <c r="AF366" s="357"/>
      <c r="AG366" s="357"/>
      <c r="AH366" s="357"/>
      <c r="AI366" s="314"/>
      <c r="AJ366" s="477">
        <f t="shared" si="119"/>
        <v>0</v>
      </c>
      <c r="AK366" s="30" t="str">
        <f>CONCATENATE(IF(D358&lt;D365," *  Total Screening positive for TB ( Presumptive TB Clients ) "&amp;$D$20&amp;" "&amp;$D$21&amp;" is less than Total Patients whose specimens were sent"&amp;CHAR(10),""),IF(E358&lt;E365," *  Total Screening positive for TB ( Presumptive TB Clients ) "&amp;$D$20&amp;" "&amp;$E$21&amp;" is less than Total Patients whose specimens were sent"&amp;CHAR(10),""),IF(F358&lt;F365," *  Total Screening positive for TB ( Presumptive TB Clients ) "&amp;$F$20&amp;" "&amp;$F$21&amp;" is less than Total Patients whose specimens were sent"&amp;CHAR(10),""),IF(G358&lt;G365," *  Total Screening positive for TB ( Presumptive TB Clients ) "&amp;$F$20&amp;" "&amp;$G$21&amp;" is less than Total Patients whose specimens were sent"&amp;CHAR(10),""),IF(H358&lt;H365," *  Total Screening positive for TB ( Presumptive TB Clients ) "&amp;$H$20&amp;" "&amp;$H$21&amp;" is less than Total Patients whose specimens were sent"&amp;CHAR(10),""),IF(I358&lt;I365," *  Total Screening positive for TB ( Presumptive TB Clients ) "&amp;$H$20&amp;" "&amp;$I$21&amp;" is less than Total Patients whose specimens were sent"&amp;CHAR(10),""),IF(J358&lt;J365," *  Total Screening positive for TB ( Presumptive TB Clients ) "&amp;$J$20&amp;" "&amp;$J$21&amp;" is less than Total Patients whose specimens were sent"&amp;CHAR(10),""),IF(K358&lt;K365," *  Total Screening positive for TB ( Presumptive TB Clients ) "&amp;$J$20&amp;" "&amp;$K$21&amp;" is less than Total Patients whose specimens were sent"&amp;CHAR(10),""),IF(L358&lt;L365," *  Total Screening positive for TB ( Presumptive TB Clients ) "&amp;$L$20&amp;" "&amp;$L$21&amp;" is less than Total Patients whose specimens were sent"&amp;CHAR(10),""),IF(M358&lt;M365," *  Total Screening positive for TB ( Presumptive TB Clients ) "&amp;$L$20&amp;" "&amp;$M$21&amp;" is less than Total Patients whose specimens were sent"&amp;CHAR(10),""),IF(N358&lt;N365," *  Total Screening positive for TB ( Presumptive TB Clients ) "&amp;$N$20&amp;" "&amp;$N$21&amp;" is less than Total Patients whose specimens were sent"&amp;CHAR(10),""),IF(O358&lt;O365," *  Total Screening positive for TB ( Presumptive TB Clients ) "&amp;$N$20&amp;" "&amp;$O$21&amp;" is less than Total Patients whose specimens were sent"&amp;CHAR(10),""),IF(P358&lt;P365," *  Total Screening positive for TB ( Presumptive TB Clients ) "&amp;$P$20&amp;" "&amp;$P$21&amp;" is less than Total Patients whose specimens were sent"&amp;CHAR(10),""),IF(Q358&lt;Q365," *  Total Screening positive for TB ( Presumptive TB Clients ) "&amp;$P$20&amp;" "&amp;$Q$21&amp;" is less than Total Patients whose specimens were sent"&amp;CHAR(10),""),IF(R358&lt;R365," *  Total Screening positive for TB ( Presumptive TB Clients ) "&amp;$R$20&amp;" "&amp;$R$21&amp;" is less than Total Patients whose specimens were sent"&amp;CHAR(10),""),IF(S358&lt;S365," *  Total Screening positive for TB ( Presumptive TB Clients ) "&amp;$R$20&amp;" "&amp;$S$21&amp;" is less than Total Patients whose specimens were sent"&amp;CHAR(10),""),IF(T358&lt;T365," *  Total Screening positive for TB ( Presumptive TB Clients ) "&amp;$T$20&amp;" "&amp;$T$21&amp;" is less than Total Patients whose specimens were sent"&amp;CHAR(10),""),IF(U358&lt;U365," *  Total Screening positive for TB ( Presumptive TB Clients ) "&amp;$T$20&amp;" "&amp;$U$21&amp;" is less than Total Patients whose specimens were sent"&amp;CHAR(10),""),IF(V358&lt;V365," *  Total Screening positive for TB ( Presumptive TB Clients ) "&amp;$V$20&amp;" "&amp;$V$21&amp;" is less than Total Patients whose specimens were sent"&amp;CHAR(10),""),IF(W358&lt;W365," *  Total Screening positive for TB ( Presumptive TB Clients ) "&amp;$V$20&amp;" "&amp;$W$21&amp;" is less than Total Patients whose specimens were sent"&amp;CHAR(10),""),IF(X358&lt;X365," *  Total Screening positive for TB ( Presumptive TB Clients ) "&amp;$X$20&amp;" "&amp;$X$21&amp;" is less than Total Patients whose specimens were sent"&amp;CHAR(10),""),IF(Y358&lt;Y365," *  Total Screening positive for TB ( Presumptive TB Clients ) "&amp;$X$20&amp;" "&amp;$Y$21&amp;" is less than Total Patients whose specimens were sent"&amp;CHAR(10),""),IF(Z358&lt;Z365," *  Total Screening positive for TB ( Presumptive TB Clients ) "&amp;$Z$20&amp;" "&amp;$Z$21&amp;" is less than Total Patients whose specimens were sent"&amp;CHAR(10),""),IF(AA358&lt;AA365," *  Total Screening positive for TB ( Presumptive TB Clients ) "&amp;$Z$20&amp;" "&amp;$AA$21&amp;" is less than Total Patients whose specimens were sent"&amp;CHAR(10),""))</f>
        <v/>
      </c>
      <c r="AL366" s="1100"/>
      <c r="AM366" s="31"/>
      <c r="AN366" s="1081"/>
      <c r="AO366" s="13">
        <v>282</v>
      </c>
      <c r="AP366" s="74"/>
      <c r="AQ366" s="75"/>
    </row>
    <row r="367" spans="1:43" ht="25.5" hidden="1" x14ac:dyDescent="0.75">
      <c r="A367" s="1054" t="s">
        <v>838</v>
      </c>
      <c r="B367" s="91" t="s">
        <v>601</v>
      </c>
      <c r="C367" s="579" t="s">
        <v>606</v>
      </c>
      <c r="D367" s="237"/>
      <c r="E367" s="237"/>
      <c r="F367" s="237"/>
      <c r="G367" s="237"/>
      <c r="H367" s="237"/>
      <c r="I367" s="237"/>
      <c r="J367" s="237"/>
      <c r="K367" s="237"/>
      <c r="L367" s="237"/>
      <c r="M367" s="237"/>
      <c r="N367" s="237"/>
      <c r="O367" s="237"/>
      <c r="P367" s="237"/>
      <c r="Q367" s="237"/>
      <c r="R367" s="237"/>
      <c r="S367" s="237"/>
      <c r="T367" s="237"/>
      <c r="U367" s="237"/>
      <c r="V367" s="237"/>
      <c r="W367" s="237"/>
      <c r="X367" s="237"/>
      <c r="Y367" s="237"/>
      <c r="Z367" s="505">
        <f t="shared" ref="Z367" si="136">SUM(AB367,AD367,AF367,AH367)</f>
        <v>0</v>
      </c>
      <c r="AA367" s="505">
        <f t="shared" ref="AA367" si="137">SUM(AC367,AE367,AG367,AI367)</f>
        <v>0</v>
      </c>
      <c r="AB367" s="237"/>
      <c r="AC367" s="237"/>
      <c r="AD367" s="237"/>
      <c r="AE367" s="237"/>
      <c r="AF367" s="237"/>
      <c r="AG367" s="237"/>
      <c r="AH367" s="237"/>
      <c r="AI367" s="361"/>
      <c r="AJ367" s="409">
        <f t="shared" ref="AJ367" si="138">SUM(D367:AA367)</f>
        <v>0</v>
      </c>
      <c r="AK367" s="116"/>
      <c r="AL367" s="1100"/>
      <c r="AM367" s="31"/>
      <c r="AN367" s="1081"/>
      <c r="AO367" s="13">
        <v>283</v>
      </c>
      <c r="AP367" s="74"/>
      <c r="AQ367" s="75"/>
    </row>
    <row r="368" spans="1:43" ht="25.5" hidden="1" x14ac:dyDescent="0.75">
      <c r="A368" s="1055"/>
      <c r="B368" s="76" t="s">
        <v>837</v>
      </c>
      <c r="C368" s="580" t="s">
        <v>607</v>
      </c>
      <c r="D368" s="79"/>
      <c r="E368" s="79"/>
      <c r="F368" s="79"/>
      <c r="G368" s="79"/>
      <c r="H368" s="79"/>
      <c r="I368" s="79"/>
      <c r="J368" s="79"/>
      <c r="K368" s="79"/>
      <c r="L368" s="79"/>
      <c r="M368" s="79"/>
      <c r="N368" s="79"/>
      <c r="O368" s="79"/>
      <c r="P368" s="79"/>
      <c r="Q368" s="79"/>
      <c r="R368" s="79"/>
      <c r="S368" s="79"/>
      <c r="T368" s="79"/>
      <c r="U368" s="79"/>
      <c r="V368" s="79"/>
      <c r="W368" s="79"/>
      <c r="X368" s="79"/>
      <c r="Y368" s="79"/>
      <c r="Z368" s="505">
        <f t="shared" ref="Z368" si="139">SUM(AB368,AD368,AF368,AH368)</f>
        <v>0</v>
      </c>
      <c r="AA368" s="505">
        <f t="shared" ref="AA368" si="140">SUM(AC368,AE368,AG368,AI368)</f>
        <v>0</v>
      </c>
      <c r="AB368" s="79"/>
      <c r="AC368" s="79"/>
      <c r="AD368" s="79"/>
      <c r="AE368" s="79"/>
      <c r="AF368" s="79"/>
      <c r="AG368" s="79"/>
      <c r="AH368" s="79"/>
      <c r="AI368" s="319"/>
      <c r="AJ368" s="619">
        <f t="shared" ref="AJ368" si="141">SUM(D368:AA368)</f>
        <v>0</v>
      </c>
      <c r="AK368" s="116" t="str">
        <f>CONCATENATE(IF(D369&gt;D366," *  Confirmed ART Patients TB positive and started on TB treatment "&amp;$D$20&amp;" "&amp;$D$21&amp;" is less than  ART patients who had a positive result returned F07-50"&amp;CHAR(10),""),IF(E369&gt;E366," *  Confirmed ART Patients TB positive and started on TB treatment "&amp;$D$20&amp;" "&amp;$E$21&amp;" is less than  ART patients who had a positive result returned F07-50"&amp;CHAR(10),""),IF(F369&gt;F366," *  Confirmed ART Patients TB positive and started on TB treatment "&amp;$F$20&amp;" "&amp;$F$21&amp;" is less than  ART patients who had a positive result returned F07-50"&amp;CHAR(10),""),IF(G369&gt;G366," *  Confirmed ART Patients TB positive and started on TB treatment "&amp;$F$20&amp;" "&amp;$G$21&amp;" is less than  ART patients who had a positive result returned F07-50"&amp;CHAR(10),""),IF(H369&gt;H366," *  Confirmed ART Patients TB positive and started on TB treatment "&amp;$H$20&amp;" "&amp;$H$21&amp;" is less than  ART patients who had a positive result returned F07-50"&amp;CHAR(10),""),IF(I369&gt;I366," *  Confirmed ART Patients TB positive and started on TB treatment "&amp;$H$20&amp;" "&amp;$I$21&amp;" is less than  ART patients who had a positive result returned F07-50"&amp;CHAR(10),""),IF(J369&gt;J366," *  Confirmed ART Patients TB positive and started on TB treatment "&amp;$J$20&amp;" "&amp;$J$21&amp;" is less than  ART patients who had a positive result returned F07-50"&amp;CHAR(10),""),IF(K369&gt;K366," *  Confirmed ART Patients TB positive and started on TB treatment "&amp;$J$20&amp;" "&amp;$K$21&amp;" is less than  ART patients who had a positive result returned F07-50"&amp;CHAR(10),""),IF(L369&gt;L366," *  Confirmed ART Patients TB positive and started on TB treatment "&amp;$L$20&amp;" "&amp;$L$21&amp;" is less than  ART patients who had a positive result returned F07-50"&amp;CHAR(10),""),IF(M369&gt;M366," *  Confirmed ART Patients TB positive and started on TB treatment "&amp;$L$20&amp;" "&amp;$M$21&amp;" is less than  ART patients who had a positive result returned F07-50"&amp;CHAR(10),""),IF(N369&gt;N366," *  Confirmed ART Patients TB positive and started on TB treatment "&amp;$N$20&amp;" "&amp;$N$21&amp;" is less than  ART patients who had a positive result returned F07-50"&amp;CHAR(10),""),IF(O369&gt;O366," *  Confirmed ART Patients TB positive and started on TB treatment "&amp;$N$20&amp;" "&amp;$O$21&amp;" is less than  ART patients who had a positive result returned F07-50"&amp;CHAR(10),""),IF(P369&gt;P366," *  Confirmed ART Patients TB positive and started on TB treatment "&amp;$P$20&amp;" "&amp;$P$21&amp;" is less than  ART patients who had a positive result returned F07-50"&amp;CHAR(10),""),IF(Q369&gt;Q366," *  Confirmed ART Patients TB positive and started on TB treatment "&amp;$P$20&amp;" "&amp;$Q$21&amp;" is less than  ART patients who had a positive result returned F07-50"&amp;CHAR(10),""),IF(R369&gt;R366," *  Confirmed ART Patients TB positive and started on TB treatment "&amp;$R$20&amp;" "&amp;$R$21&amp;" is less than  ART patients who had a positive result returned F07-50"&amp;CHAR(10),""),IF(S369&gt;S366," *  Confirmed ART Patients TB positive and started on TB treatment "&amp;$R$20&amp;" "&amp;$S$21&amp;" is less than  ART patients who had a positive result returned F07-50"&amp;CHAR(10),""),IF(T369&gt;T366," *  Confirmed ART Patients TB positive and started on TB treatment "&amp;$T$20&amp;" "&amp;$T$21&amp;" is less than  ART patients who had a positive result returned F07-50"&amp;CHAR(10),""),IF(U369&gt;U366," *  Confirmed ART Patients TB positive and started on TB treatment "&amp;$T$20&amp;" "&amp;$U$21&amp;" is less than  ART patients who had a positive result returned F07-50"&amp;CHAR(10),""),IF(V369&gt;V366," *  Confirmed ART Patients TB positive and started on TB treatment "&amp;$V$20&amp;" "&amp;$V$21&amp;" is less than  ART patients who had a positive result returned F07-50"&amp;CHAR(10),""),IF(W369&gt;W366," *  Confirmed ART Patients TB positive and started on TB treatment "&amp;$V$20&amp;" "&amp;$W$21&amp;" is less than  ART patients who had a positive result returned F07-50"&amp;CHAR(10),""),IF(X369&gt;X366," *  Confirmed ART Patients TB positive and started on TB treatment "&amp;$X$20&amp;" "&amp;$X$21&amp;" is less than  ART patients who had a positive result returned F07-50"&amp;CHAR(10),""),IF(Y369&gt;Y366," *  Confirmed ART Patients TB positive and started on TB treatment "&amp;$X$20&amp;" "&amp;$Y$21&amp;" is less than  ART patients who had a positive result returned F07-50"&amp;CHAR(10),""),IF(Z369&gt;Z366," *  Confirmed ART Patients TB positive and started on TB treatment "&amp;$Z$20&amp;" "&amp;$Z$21&amp;" is less than  ART patients who had a positive result returned F07-50"&amp;CHAR(10),""),IF(AA369&gt;AA366," *  Confirmed ART Patients TB positive and started on TB treatment "&amp;$Z$20&amp;" "&amp;$AA$21&amp;" is less than  ART patients who had a positive result returned F07-50"&amp;CHAR(10),""))</f>
        <v/>
      </c>
      <c r="AL368" s="1100"/>
      <c r="AM368" s="31"/>
      <c r="AN368" s="1081"/>
      <c r="AO368" s="13">
        <v>284</v>
      </c>
      <c r="AP368" s="74"/>
      <c r="AQ368" s="75"/>
    </row>
    <row r="369" spans="1:43" ht="51.4" hidden="1" thickBot="1" x14ac:dyDescent="0.8">
      <c r="A369" s="1071"/>
      <c r="B369" s="242" t="s">
        <v>836</v>
      </c>
      <c r="C369" s="581" t="s">
        <v>608</v>
      </c>
      <c r="D369" s="243">
        <f>D367+D368</f>
        <v>0</v>
      </c>
      <c r="E369" s="243">
        <f t="shared" ref="E369:Z369" si="142">E367+E368</f>
        <v>0</v>
      </c>
      <c r="F369" s="243">
        <f t="shared" si="142"/>
        <v>0</v>
      </c>
      <c r="G369" s="243">
        <f t="shared" si="142"/>
        <v>0</v>
      </c>
      <c r="H369" s="243">
        <f t="shared" si="142"/>
        <v>0</v>
      </c>
      <c r="I369" s="243">
        <f t="shared" si="142"/>
        <v>0</v>
      </c>
      <c r="J369" s="243">
        <f t="shared" si="142"/>
        <v>0</v>
      </c>
      <c r="K369" s="243">
        <f t="shared" si="142"/>
        <v>0</v>
      </c>
      <c r="L369" s="243">
        <f t="shared" si="142"/>
        <v>0</v>
      </c>
      <c r="M369" s="243">
        <f t="shared" si="142"/>
        <v>0</v>
      </c>
      <c r="N369" s="243">
        <f t="shared" si="142"/>
        <v>0</v>
      </c>
      <c r="O369" s="243">
        <f t="shared" si="142"/>
        <v>0</v>
      </c>
      <c r="P369" s="243">
        <f t="shared" si="142"/>
        <v>0</v>
      </c>
      <c r="Q369" s="243">
        <f t="shared" si="142"/>
        <v>0</v>
      </c>
      <c r="R369" s="243">
        <f t="shared" si="142"/>
        <v>0</v>
      </c>
      <c r="S369" s="243">
        <f t="shared" si="142"/>
        <v>0</v>
      </c>
      <c r="T369" s="243">
        <f t="shared" si="142"/>
        <v>0</v>
      </c>
      <c r="U369" s="243">
        <f t="shared" si="142"/>
        <v>0</v>
      </c>
      <c r="V369" s="243">
        <f t="shared" si="142"/>
        <v>0</v>
      </c>
      <c r="W369" s="243">
        <f t="shared" si="142"/>
        <v>0</v>
      </c>
      <c r="X369" s="243">
        <f t="shared" si="142"/>
        <v>0</v>
      </c>
      <c r="Y369" s="243">
        <f t="shared" si="142"/>
        <v>0</v>
      </c>
      <c r="Z369" s="243">
        <f t="shared" si="142"/>
        <v>0</v>
      </c>
      <c r="AA369" s="243">
        <f t="shared" ref="AA369:AI369" si="143">AA367+AA368</f>
        <v>0</v>
      </c>
      <c r="AB369" s="243">
        <f t="shared" si="143"/>
        <v>0</v>
      </c>
      <c r="AC369" s="243">
        <f t="shared" si="143"/>
        <v>0</v>
      </c>
      <c r="AD369" s="243">
        <f t="shared" si="143"/>
        <v>0</v>
      </c>
      <c r="AE369" s="243">
        <f t="shared" si="143"/>
        <v>0</v>
      </c>
      <c r="AF369" s="243">
        <f t="shared" si="143"/>
        <v>0</v>
      </c>
      <c r="AG369" s="243">
        <f t="shared" si="143"/>
        <v>0</v>
      </c>
      <c r="AH369" s="243">
        <f t="shared" si="143"/>
        <v>0</v>
      </c>
      <c r="AI369" s="358">
        <f t="shared" si="143"/>
        <v>0</v>
      </c>
      <c r="AJ369" s="410">
        <f t="shared" ref="AJ369" si="144">SUM(D369:AA369)</f>
        <v>0</v>
      </c>
      <c r="AK369" s="116" t="str">
        <f>CONCATENATE(IF(D369&gt;D361," * ART Patients TB positive and started on TB Treatment  for Age "&amp;D20&amp;" "&amp;D21&amp;" is more than Total Screened for TB"&amp;CHAR(10),""),IF(E369&gt;E361," * ART Patients TB positive and started on TB Treatment  for Age "&amp;D20&amp;" "&amp;E21&amp;" is more than Total Screened for TB"&amp;CHAR(10),""),IF(F369&gt;F361," * ART Patients TB positive and started on TB Treatment  for Age "&amp;F20&amp;" "&amp;F21&amp;" is more than Total Screened for TB"&amp;CHAR(10),""),IF(G369&gt;G361," * ART Patients TB positive and started on TB Treatment  for Age "&amp;F20&amp;" "&amp;G21&amp;" is more than Total Screened for TB"&amp;CHAR(10),""),IF(H369&gt;H361," * ART Patients TB positive and started on TB Treatment  for Age "&amp;H20&amp;" "&amp;H21&amp;" is more than Total Screened for TB"&amp;CHAR(10),""),IF(I369&gt;I361," * ART Patients TB positive and started on TB Treatment  for Age "&amp;H20&amp;" "&amp;I21&amp;" is more than Total Screened for TB"&amp;CHAR(10),""),IF(J369&gt;J361," * ART Patients TB positive and started on TB Treatment  for Age "&amp;J20&amp;" "&amp;J21&amp;" is more than Total Screened for TB"&amp;CHAR(10),""),IF(K369&gt;K361," * ART Patients TB positive and started on TB Treatment  for Age "&amp;J20&amp;" "&amp;K21&amp;" is more than Total Screened for TB"&amp;CHAR(10),""),IF(L369&gt;L361," * ART Patients TB positive and started on TB Treatment  for Age "&amp;L20&amp;" "&amp;L21&amp;" is more than Total Screened for TB"&amp;CHAR(10),""),IF(M369&gt;M361," * ART Patients TB positive and started on TB Treatment  for Age "&amp;L20&amp;" "&amp;M21&amp;" is more than Total Screened for TB"&amp;CHAR(10),""),IF(N369&gt;N361," * ART Patients TB positive and started on TB Treatment  for Age "&amp;N20&amp;" "&amp;N21&amp;" is more than Total Screened for TB"&amp;CHAR(10),""),IF(O369&gt;O361," * ART Patients TB positive and started on TB Treatment  for Age "&amp;N20&amp;" "&amp;O21&amp;" is more than Total Screened for TB"&amp;CHAR(10),""),IF(P369&gt;P361," * ART Patients TB positive and started on TB Treatment  for Age "&amp;P20&amp;" "&amp;P21&amp;" is more than Total Screened for TB"&amp;CHAR(10),""),IF(Q369&gt;Q361," * ART Patients TB positive and started on TB Treatment  for Age "&amp;P20&amp;" "&amp;Q21&amp;" is more than Total Screened for TB"&amp;CHAR(10),""),IF(R369&gt;R361," * ART Patients TB positive and started on TB Treatment  for Age "&amp;R20&amp;" "&amp;R21&amp;" is more than Total Screened for TB"&amp;CHAR(10),""),IF(S369&gt;S361," * ART Patients TB positive and started on TB Treatment  for Age "&amp;R20&amp;" "&amp;S21&amp;" is more than Total Screened for TB"&amp;CHAR(10),""),IF(T369&gt;T361," * ART Patients TB positive and started on TB Treatment  for Age "&amp;T20&amp;" "&amp;T21&amp;" is more than Total Screened for TB"&amp;CHAR(10),""),IF(U369&gt;U361," * ART Patients TB positive and started on TB Treatment  for Age "&amp;T20&amp;" "&amp;U21&amp;" is more than Total Screened for TB"&amp;CHAR(10),""),IF(V369&gt;V361," * ART Patients TB positive and started on TB Treatment  for Age "&amp;V20&amp;" "&amp;V21&amp;" is more than Total Screened for TB"&amp;CHAR(10),""),IF(W369&gt;W361," * ART Patients TB positive and started on TB Treatment  for Age "&amp;V20&amp;" "&amp;W21&amp;" is more than Total Screened for TB"&amp;CHAR(10),""),IF(X369&gt;X361," * ART Patients TB positive and started on TB Treatment  for Age "&amp;X20&amp;" "&amp;X21&amp;" is more than Total Screened for TB"&amp;CHAR(10),""),IF(Y369&gt;Y361," * ART Patients TB positive and started on TB Treatment  for Age "&amp;X20&amp;" "&amp;Y21&amp;" is more than Total Screened for TB"&amp;CHAR(10),""),IF(Z369&gt;Z361," * ART Patients TB positive and started on TB Treatment  for Age "&amp;Z20&amp;" "&amp;Z21&amp;" is more than Total Screened for TB"&amp;CHAR(10),""),IF(AA369&gt;AA361," * ART Patients TB positive and started on TB Treatment  for Age "&amp;Z20&amp;" "&amp;AA21&amp;" is more than Total Screened for TB"&amp;CHAR(10),""))</f>
        <v/>
      </c>
      <c r="AL369" s="1101"/>
      <c r="AM369" s="31"/>
      <c r="AN369" s="1091"/>
      <c r="AO369" s="13">
        <v>285</v>
      </c>
      <c r="AP369" s="74"/>
      <c r="AQ369" s="75"/>
    </row>
    <row r="370" spans="1:43" ht="25.5" hidden="1" x14ac:dyDescent="0.75">
      <c r="A370" s="1054" t="s">
        <v>605</v>
      </c>
      <c r="B370" s="107" t="s">
        <v>944</v>
      </c>
      <c r="C370" s="579" t="s">
        <v>609</v>
      </c>
      <c r="D370" s="249">
        <f t="shared" ref="D370:AA370" si="145">D8+D11+D15</f>
        <v>0</v>
      </c>
      <c r="E370" s="249">
        <f t="shared" si="145"/>
        <v>0</v>
      </c>
      <c r="F370" s="249">
        <f t="shared" si="145"/>
        <v>0</v>
      </c>
      <c r="G370" s="249">
        <f t="shared" si="145"/>
        <v>0</v>
      </c>
      <c r="H370" s="249">
        <f t="shared" si="145"/>
        <v>0</v>
      </c>
      <c r="I370" s="249">
        <f t="shared" si="145"/>
        <v>0</v>
      </c>
      <c r="J370" s="249">
        <f t="shared" si="145"/>
        <v>0</v>
      </c>
      <c r="K370" s="249">
        <f t="shared" si="145"/>
        <v>0</v>
      </c>
      <c r="L370" s="249">
        <f t="shared" si="145"/>
        <v>0</v>
      </c>
      <c r="M370" s="249">
        <f t="shared" si="145"/>
        <v>0</v>
      </c>
      <c r="N370" s="249">
        <f t="shared" si="145"/>
        <v>0</v>
      </c>
      <c r="O370" s="249">
        <f t="shared" si="145"/>
        <v>0</v>
      </c>
      <c r="P370" s="249">
        <f t="shared" si="145"/>
        <v>0</v>
      </c>
      <c r="Q370" s="249">
        <f t="shared" si="145"/>
        <v>0</v>
      </c>
      <c r="R370" s="249">
        <f t="shared" si="145"/>
        <v>0</v>
      </c>
      <c r="S370" s="249">
        <f t="shared" si="145"/>
        <v>0</v>
      </c>
      <c r="T370" s="249">
        <f t="shared" si="145"/>
        <v>0</v>
      </c>
      <c r="U370" s="249">
        <f t="shared" si="145"/>
        <v>0</v>
      </c>
      <c r="V370" s="249">
        <f t="shared" si="145"/>
        <v>0</v>
      </c>
      <c r="W370" s="249">
        <f t="shared" si="145"/>
        <v>0</v>
      </c>
      <c r="X370" s="249">
        <f t="shared" si="145"/>
        <v>0</v>
      </c>
      <c r="Y370" s="249">
        <f t="shared" si="145"/>
        <v>0</v>
      </c>
      <c r="Z370" s="249">
        <f t="shared" si="145"/>
        <v>0</v>
      </c>
      <c r="AA370" s="478">
        <f t="shared" si="145"/>
        <v>0</v>
      </c>
      <c r="AB370" s="480"/>
      <c r="AC370" s="479"/>
      <c r="AD370" s="479"/>
      <c r="AE370" s="479"/>
      <c r="AF370" s="479"/>
      <c r="AG370" s="479"/>
      <c r="AH370" s="479"/>
      <c r="AI370" s="481"/>
      <c r="AJ370" s="249">
        <f>AJ8+AJ11+AJ15</f>
        <v>0</v>
      </c>
      <c r="AK370" s="116"/>
      <c r="AL370" s="1102" t="str">
        <f>CONCATENATE(AK370,AK371,AK372,AK373,AK374,AK375,AK376,AK377)</f>
        <v/>
      </c>
      <c r="AM370" s="31"/>
      <c r="AN370" s="1062" t="str">
        <f>CONCATENATE(AM370,AM371,AM372,AM373,AM374,AM375,AM376,AM377)</f>
        <v/>
      </c>
      <c r="AO370" s="13">
        <v>286</v>
      </c>
      <c r="AP370" s="74"/>
      <c r="AQ370" s="75"/>
    </row>
    <row r="371" spans="1:43" ht="30.75" hidden="1" customHeight="1" x14ac:dyDescent="0.75">
      <c r="A371" s="1055"/>
      <c r="B371" s="76" t="s">
        <v>956</v>
      </c>
      <c r="C371" s="580" t="s">
        <v>610</v>
      </c>
      <c r="D371" s="238"/>
      <c r="E371" s="79"/>
      <c r="F371" s="79"/>
      <c r="G371" s="79"/>
      <c r="H371" s="79"/>
      <c r="I371" s="79"/>
      <c r="J371" s="79"/>
      <c r="K371" s="79"/>
      <c r="L371" s="79"/>
      <c r="M371" s="79"/>
      <c r="N371" s="79"/>
      <c r="O371" s="79"/>
      <c r="P371" s="79"/>
      <c r="Q371" s="79"/>
      <c r="R371" s="79"/>
      <c r="S371" s="79"/>
      <c r="T371" s="79"/>
      <c r="U371" s="79"/>
      <c r="V371" s="79"/>
      <c r="W371" s="79"/>
      <c r="X371" s="79"/>
      <c r="Y371" s="79"/>
      <c r="Z371" s="79"/>
      <c r="AA371" s="319"/>
      <c r="AB371" s="389"/>
      <c r="AC371" s="357"/>
      <c r="AD371" s="357"/>
      <c r="AE371" s="357"/>
      <c r="AF371" s="357"/>
      <c r="AG371" s="357"/>
      <c r="AH371" s="357"/>
      <c r="AI371" s="314"/>
      <c r="AJ371" s="174">
        <f>SUM(D371:AA371)</f>
        <v>0</v>
      </c>
      <c r="AK371" s="116"/>
      <c r="AL371" s="1100"/>
      <c r="AM371" s="31"/>
      <c r="AN371" s="1081"/>
      <c r="AO371" s="13">
        <v>287</v>
      </c>
      <c r="AP371" s="74"/>
      <c r="AQ371" s="75"/>
    </row>
    <row r="372" spans="1:43" ht="25.5" hidden="1" x14ac:dyDescent="0.75">
      <c r="A372" s="1055"/>
      <c r="B372" s="76" t="s">
        <v>591</v>
      </c>
      <c r="C372" s="580" t="s">
        <v>611</v>
      </c>
      <c r="D372" s="238"/>
      <c r="E372" s="238"/>
      <c r="F372" s="238"/>
      <c r="G372" s="238"/>
      <c r="H372" s="238"/>
      <c r="I372" s="238"/>
      <c r="J372" s="238"/>
      <c r="K372" s="238"/>
      <c r="L372" s="238"/>
      <c r="M372" s="238"/>
      <c r="N372" s="238"/>
      <c r="O372" s="238"/>
      <c r="P372" s="238"/>
      <c r="Q372" s="238"/>
      <c r="R372" s="238"/>
      <c r="S372" s="238"/>
      <c r="T372" s="238"/>
      <c r="U372" s="238"/>
      <c r="V372" s="238"/>
      <c r="W372" s="238"/>
      <c r="X372" s="238"/>
      <c r="Y372" s="238"/>
      <c r="Z372" s="238"/>
      <c r="AA372" s="362"/>
      <c r="AB372" s="389"/>
      <c r="AC372" s="357"/>
      <c r="AD372" s="357"/>
      <c r="AE372" s="357"/>
      <c r="AF372" s="357"/>
      <c r="AG372" s="357"/>
      <c r="AH372" s="357"/>
      <c r="AI372" s="314"/>
      <c r="AJ372" s="174">
        <f t="shared" ref="AJ372:AJ377" si="146">SUM(D372:AA372)</f>
        <v>0</v>
      </c>
      <c r="AK372" s="116"/>
      <c r="AL372" s="1100"/>
      <c r="AM372" s="31"/>
      <c r="AN372" s="1081"/>
      <c r="AO372" s="13">
        <v>288</v>
      </c>
      <c r="AP372" s="74"/>
      <c r="AQ372" s="75"/>
    </row>
    <row r="373" spans="1:43" ht="25.5" hidden="1" x14ac:dyDescent="0.75">
      <c r="A373" s="1055"/>
      <c r="B373" s="76" t="s">
        <v>1009</v>
      </c>
      <c r="C373" s="580" t="s">
        <v>612</v>
      </c>
      <c r="D373" s="238"/>
      <c r="E373" s="238"/>
      <c r="F373" s="238"/>
      <c r="G373" s="238"/>
      <c r="H373" s="238"/>
      <c r="I373" s="238"/>
      <c r="J373" s="238"/>
      <c r="K373" s="238"/>
      <c r="L373" s="238"/>
      <c r="M373" s="238"/>
      <c r="N373" s="238"/>
      <c r="O373" s="238"/>
      <c r="P373" s="238"/>
      <c r="Q373" s="238"/>
      <c r="R373" s="238"/>
      <c r="S373" s="238"/>
      <c r="T373" s="238"/>
      <c r="U373" s="238"/>
      <c r="V373" s="238"/>
      <c r="W373" s="238"/>
      <c r="X373" s="238"/>
      <c r="Y373" s="238"/>
      <c r="Z373" s="238"/>
      <c r="AA373" s="362"/>
      <c r="AB373" s="389"/>
      <c r="AC373" s="357"/>
      <c r="AD373" s="357"/>
      <c r="AE373" s="357"/>
      <c r="AF373" s="357"/>
      <c r="AG373" s="357"/>
      <c r="AH373" s="357"/>
      <c r="AI373" s="314"/>
      <c r="AJ373" s="174">
        <f t="shared" si="146"/>
        <v>0</v>
      </c>
      <c r="AK373" s="116"/>
      <c r="AL373" s="1100"/>
      <c r="AM373" s="31"/>
      <c r="AN373" s="1081"/>
      <c r="AO373" s="13">
        <v>289</v>
      </c>
      <c r="AP373" s="74"/>
      <c r="AQ373" s="75"/>
    </row>
    <row r="374" spans="1:43" ht="25.5" hidden="1" x14ac:dyDescent="0.75">
      <c r="A374" s="1055"/>
      <c r="B374" s="76" t="s">
        <v>1010</v>
      </c>
      <c r="C374" s="580" t="s">
        <v>613</v>
      </c>
      <c r="D374" s="238"/>
      <c r="E374" s="238"/>
      <c r="F374" s="238"/>
      <c r="G374" s="238"/>
      <c r="H374" s="238"/>
      <c r="I374" s="238"/>
      <c r="J374" s="238"/>
      <c r="K374" s="238"/>
      <c r="L374" s="238"/>
      <c r="M374" s="238"/>
      <c r="N374" s="238"/>
      <c r="O374" s="238"/>
      <c r="P374" s="238"/>
      <c r="Q374" s="238"/>
      <c r="R374" s="238"/>
      <c r="S374" s="238"/>
      <c r="T374" s="238"/>
      <c r="U374" s="238"/>
      <c r="V374" s="238"/>
      <c r="W374" s="238"/>
      <c r="X374" s="238"/>
      <c r="Y374" s="238"/>
      <c r="Z374" s="238"/>
      <c r="AA374" s="362"/>
      <c r="AB374" s="389"/>
      <c r="AC374" s="357"/>
      <c r="AD374" s="357"/>
      <c r="AE374" s="357"/>
      <c r="AF374" s="357"/>
      <c r="AG374" s="357"/>
      <c r="AH374" s="357"/>
      <c r="AI374" s="314"/>
      <c r="AJ374" s="174">
        <f t="shared" si="146"/>
        <v>0</v>
      </c>
      <c r="AK374" s="116"/>
      <c r="AL374" s="1100"/>
      <c r="AM374" s="31"/>
      <c r="AN374" s="1081"/>
      <c r="AO374" s="13">
        <v>290</v>
      </c>
      <c r="AP374" s="74"/>
      <c r="AQ374" s="75"/>
    </row>
    <row r="375" spans="1:43" ht="25.5" hidden="1" x14ac:dyDescent="0.75">
      <c r="A375" s="1055"/>
      <c r="B375" s="76" t="s">
        <v>1011</v>
      </c>
      <c r="C375" s="580" t="s">
        <v>614</v>
      </c>
      <c r="D375" s="238"/>
      <c r="E375" s="238"/>
      <c r="F375" s="238"/>
      <c r="G375" s="238"/>
      <c r="H375" s="238"/>
      <c r="I375" s="238"/>
      <c r="J375" s="238"/>
      <c r="K375" s="238"/>
      <c r="L375" s="238"/>
      <c r="M375" s="238"/>
      <c r="N375" s="238"/>
      <c r="O375" s="238"/>
      <c r="P375" s="238"/>
      <c r="Q375" s="238"/>
      <c r="R375" s="238"/>
      <c r="S375" s="238"/>
      <c r="T375" s="238"/>
      <c r="U375" s="238"/>
      <c r="V375" s="238"/>
      <c r="W375" s="238"/>
      <c r="X375" s="238"/>
      <c r="Y375" s="238"/>
      <c r="Z375" s="238"/>
      <c r="AA375" s="362"/>
      <c r="AB375" s="389"/>
      <c r="AC375" s="357"/>
      <c r="AD375" s="357"/>
      <c r="AE375" s="357"/>
      <c r="AF375" s="357"/>
      <c r="AG375" s="357"/>
      <c r="AH375" s="357"/>
      <c r="AI375" s="314"/>
      <c r="AJ375" s="174">
        <f t="shared" si="146"/>
        <v>0</v>
      </c>
      <c r="AK375" s="116"/>
      <c r="AL375" s="1100"/>
      <c r="AM375" s="31"/>
      <c r="AN375" s="1081"/>
      <c r="AO375" s="13">
        <v>291</v>
      </c>
      <c r="AP375" s="74"/>
      <c r="AQ375" s="75"/>
    </row>
    <row r="376" spans="1:43" ht="51" hidden="1" x14ac:dyDescent="0.75">
      <c r="A376" s="1055"/>
      <c r="B376" s="76" t="s">
        <v>961</v>
      </c>
      <c r="C376" s="580" t="s">
        <v>615</v>
      </c>
      <c r="D376" s="238"/>
      <c r="E376" s="238"/>
      <c r="F376" s="238"/>
      <c r="G376" s="238"/>
      <c r="H376" s="238"/>
      <c r="I376" s="238"/>
      <c r="J376" s="238"/>
      <c r="K376" s="238"/>
      <c r="L376" s="238"/>
      <c r="M376" s="238"/>
      <c r="N376" s="238"/>
      <c r="O376" s="238"/>
      <c r="P376" s="238"/>
      <c r="Q376" s="238"/>
      <c r="R376" s="238"/>
      <c r="S376" s="238"/>
      <c r="T376" s="238"/>
      <c r="U376" s="238"/>
      <c r="V376" s="238"/>
      <c r="W376" s="238"/>
      <c r="X376" s="238"/>
      <c r="Y376" s="238"/>
      <c r="Z376" s="238"/>
      <c r="AA376" s="362"/>
      <c r="AB376" s="389"/>
      <c r="AC376" s="357"/>
      <c r="AD376" s="357"/>
      <c r="AE376" s="357"/>
      <c r="AF376" s="357"/>
      <c r="AG376" s="357"/>
      <c r="AH376" s="357"/>
      <c r="AI376" s="314"/>
      <c r="AJ376" s="174">
        <f t="shared" si="146"/>
        <v>0</v>
      </c>
      <c r="AK376" s="116"/>
      <c r="AL376" s="1100"/>
      <c r="AM376" s="31"/>
      <c r="AN376" s="1081"/>
      <c r="AO376" s="13">
        <v>292</v>
      </c>
      <c r="AP376" s="74"/>
      <c r="AQ376" s="75"/>
    </row>
    <row r="377" spans="1:43" ht="25.9" hidden="1" thickBot="1" x14ac:dyDescent="0.8">
      <c r="A377" s="1056"/>
      <c r="B377" s="118" t="s">
        <v>960</v>
      </c>
      <c r="C377" s="581" t="s">
        <v>839</v>
      </c>
      <c r="D377" s="250"/>
      <c r="E377" s="250"/>
      <c r="F377" s="250"/>
      <c r="G377" s="250"/>
      <c r="H377" s="250"/>
      <c r="I377" s="250"/>
      <c r="J377" s="250"/>
      <c r="K377" s="250"/>
      <c r="L377" s="250"/>
      <c r="M377" s="250"/>
      <c r="N377" s="250"/>
      <c r="O377" s="250"/>
      <c r="P377" s="250"/>
      <c r="Q377" s="250"/>
      <c r="R377" s="250"/>
      <c r="S377" s="250"/>
      <c r="T377" s="250"/>
      <c r="U377" s="250"/>
      <c r="V377" s="250"/>
      <c r="W377" s="250"/>
      <c r="X377" s="250"/>
      <c r="Y377" s="250"/>
      <c r="Z377" s="250"/>
      <c r="AA377" s="363"/>
      <c r="AB377" s="390"/>
      <c r="AC377" s="391"/>
      <c r="AD377" s="391"/>
      <c r="AE377" s="391"/>
      <c r="AF377" s="391"/>
      <c r="AG377" s="391"/>
      <c r="AH377" s="391"/>
      <c r="AI377" s="315"/>
      <c r="AJ377" s="174">
        <f t="shared" si="146"/>
        <v>0</v>
      </c>
      <c r="AK377" s="122"/>
      <c r="AL377" s="1258"/>
      <c r="AM377" s="123"/>
      <c r="AN377" s="1082"/>
      <c r="AO377" s="13">
        <v>293</v>
      </c>
      <c r="AP377" s="74"/>
      <c r="AQ377" s="75"/>
    </row>
    <row r="378" spans="1:43" ht="25.9" hidden="1" thickBot="1" x14ac:dyDescent="0.8">
      <c r="A378" s="1043" t="s">
        <v>130</v>
      </c>
      <c r="B378" s="1044"/>
      <c r="C378" s="1044"/>
      <c r="D378" s="1044"/>
      <c r="E378" s="1044"/>
      <c r="F378" s="1044"/>
      <c r="G378" s="1044"/>
      <c r="H378" s="1044"/>
      <c r="I378" s="1044"/>
      <c r="J378" s="1044"/>
      <c r="K378" s="1044"/>
      <c r="L378" s="1044"/>
      <c r="M378" s="1044"/>
      <c r="N378" s="1044"/>
      <c r="O378" s="1044"/>
      <c r="P378" s="1044"/>
      <c r="Q378" s="1044"/>
      <c r="R378" s="1044"/>
      <c r="S378" s="1044"/>
      <c r="T378" s="1044"/>
      <c r="U378" s="1044"/>
      <c r="V378" s="1044"/>
      <c r="W378" s="1044"/>
      <c r="X378" s="1044"/>
      <c r="Y378" s="1044"/>
      <c r="Z378" s="1044"/>
      <c r="AA378" s="1044"/>
      <c r="AB378" s="1077"/>
      <c r="AC378" s="1077"/>
      <c r="AD378" s="1077"/>
      <c r="AE378" s="1077"/>
      <c r="AF378" s="1077"/>
      <c r="AG378" s="1077"/>
      <c r="AH378" s="1077"/>
      <c r="AI378" s="1077"/>
      <c r="AJ378" s="1044"/>
      <c r="AK378" s="1044"/>
      <c r="AL378" s="1044"/>
      <c r="AM378" s="1044"/>
      <c r="AN378" s="1046"/>
      <c r="AO378" s="13">
        <v>294</v>
      </c>
      <c r="AP378" s="74"/>
      <c r="AQ378" s="75"/>
    </row>
    <row r="379" spans="1:43" ht="26.25" hidden="1" customHeight="1" x14ac:dyDescent="0.75">
      <c r="A379" s="1039" t="s">
        <v>37</v>
      </c>
      <c r="B379" s="1041" t="s">
        <v>344</v>
      </c>
      <c r="C379" s="1049" t="s">
        <v>325</v>
      </c>
      <c r="D379" s="1022" t="s">
        <v>0</v>
      </c>
      <c r="E379" s="1022"/>
      <c r="F379" s="1022" t="s">
        <v>1</v>
      </c>
      <c r="G379" s="1022"/>
      <c r="H379" s="1022" t="s">
        <v>2</v>
      </c>
      <c r="I379" s="1022"/>
      <c r="J379" s="1022" t="s">
        <v>3</v>
      </c>
      <c r="K379" s="1022"/>
      <c r="L379" s="1022" t="s">
        <v>4</v>
      </c>
      <c r="M379" s="1022"/>
      <c r="N379" s="1022" t="s">
        <v>5</v>
      </c>
      <c r="O379" s="1022"/>
      <c r="P379" s="1022" t="s">
        <v>6</v>
      </c>
      <c r="Q379" s="1022"/>
      <c r="R379" s="1022" t="s">
        <v>7</v>
      </c>
      <c r="S379" s="1022"/>
      <c r="T379" s="1022" t="s">
        <v>8</v>
      </c>
      <c r="U379" s="1022"/>
      <c r="V379" s="1022" t="s">
        <v>23</v>
      </c>
      <c r="W379" s="1022"/>
      <c r="X379" s="1022" t="s">
        <v>24</v>
      </c>
      <c r="Y379" s="1022"/>
      <c r="Z379" s="1022" t="s">
        <v>9</v>
      </c>
      <c r="AA379" s="1022"/>
      <c r="AB379" s="308"/>
      <c r="AC379" s="308"/>
      <c r="AD379" s="308"/>
      <c r="AE379" s="308"/>
      <c r="AF379" s="308"/>
      <c r="AG379" s="308"/>
      <c r="AH379" s="500"/>
      <c r="AI379" s="500"/>
      <c r="AJ379" s="1031" t="s">
        <v>19</v>
      </c>
      <c r="AK379" s="1037" t="s">
        <v>378</v>
      </c>
      <c r="AL379" s="1126" t="s">
        <v>384</v>
      </c>
      <c r="AM379" s="1121" t="s">
        <v>385</v>
      </c>
      <c r="AN379" s="1075" t="s">
        <v>385</v>
      </c>
      <c r="AO379" s="13">
        <v>295</v>
      </c>
      <c r="AP379" s="74"/>
      <c r="AQ379" s="75"/>
    </row>
    <row r="380" spans="1:43" ht="27" hidden="1" customHeight="1" thickBot="1" x14ac:dyDescent="0.8">
      <c r="A380" s="1040"/>
      <c r="B380" s="1042"/>
      <c r="C380" s="1059"/>
      <c r="D380" s="115" t="s">
        <v>10</v>
      </c>
      <c r="E380" s="115" t="s">
        <v>11</v>
      </c>
      <c r="F380" s="115" t="s">
        <v>10</v>
      </c>
      <c r="G380" s="115" t="s">
        <v>11</v>
      </c>
      <c r="H380" s="115" t="s">
        <v>10</v>
      </c>
      <c r="I380" s="115" t="s">
        <v>11</v>
      </c>
      <c r="J380" s="115" t="s">
        <v>10</v>
      </c>
      <c r="K380" s="115" t="s">
        <v>11</v>
      </c>
      <c r="L380" s="115" t="s">
        <v>10</v>
      </c>
      <c r="M380" s="115" t="s">
        <v>11</v>
      </c>
      <c r="N380" s="115" t="s">
        <v>10</v>
      </c>
      <c r="O380" s="115" t="s">
        <v>11</v>
      </c>
      <c r="P380" s="115" t="s">
        <v>10</v>
      </c>
      <c r="Q380" s="115" t="s">
        <v>11</v>
      </c>
      <c r="R380" s="115" t="s">
        <v>10</v>
      </c>
      <c r="S380" s="115" t="s">
        <v>11</v>
      </c>
      <c r="T380" s="115" t="s">
        <v>10</v>
      </c>
      <c r="U380" s="115" t="s">
        <v>11</v>
      </c>
      <c r="V380" s="115" t="s">
        <v>10</v>
      </c>
      <c r="W380" s="115" t="s">
        <v>11</v>
      </c>
      <c r="X380" s="115" t="s">
        <v>10</v>
      </c>
      <c r="Y380" s="115" t="s">
        <v>11</v>
      </c>
      <c r="Z380" s="115" t="s">
        <v>10</v>
      </c>
      <c r="AA380" s="115" t="s">
        <v>11</v>
      </c>
      <c r="AB380" s="115"/>
      <c r="AC380" s="115"/>
      <c r="AD380" s="115"/>
      <c r="AE380" s="115"/>
      <c r="AF380" s="115"/>
      <c r="AG380" s="115"/>
      <c r="AH380" s="115"/>
      <c r="AI380" s="115"/>
      <c r="AJ380" s="1032"/>
      <c r="AK380" s="1038"/>
      <c r="AL380" s="1127"/>
      <c r="AM380" s="1058"/>
      <c r="AN380" s="1076"/>
      <c r="AO380" s="13">
        <v>296</v>
      </c>
      <c r="AP380" s="74"/>
      <c r="AQ380" s="75"/>
    </row>
    <row r="381" spans="1:43" ht="25.5" hidden="1" x14ac:dyDescent="0.75">
      <c r="A381" s="1028" t="s">
        <v>387</v>
      </c>
      <c r="B381" s="91" t="s">
        <v>393</v>
      </c>
      <c r="C381" s="579" t="s">
        <v>394</v>
      </c>
      <c r="D381" s="251"/>
      <c r="E381" s="252"/>
      <c r="F381" s="252"/>
      <c r="G381" s="252"/>
      <c r="H381" s="252"/>
      <c r="I381" s="252"/>
      <c r="J381" s="252"/>
      <c r="K381" s="252"/>
      <c r="L381" s="252"/>
      <c r="M381" s="252"/>
      <c r="N381" s="252"/>
      <c r="O381" s="252"/>
      <c r="P381" s="252"/>
      <c r="Q381" s="252"/>
      <c r="R381" s="252"/>
      <c r="S381" s="252"/>
      <c r="T381" s="252"/>
      <c r="U381" s="252"/>
      <c r="V381" s="252"/>
      <c r="W381" s="252"/>
      <c r="X381" s="252"/>
      <c r="Y381" s="252"/>
      <c r="Z381" s="252"/>
      <c r="AA381" s="252"/>
      <c r="AB381" s="364"/>
      <c r="AC381" s="364"/>
      <c r="AD381" s="364"/>
      <c r="AE381" s="364"/>
      <c r="AF381" s="364"/>
      <c r="AG381" s="364"/>
      <c r="AH381" s="364"/>
      <c r="AI381" s="364"/>
      <c r="AJ381" s="65">
        <f t="shared" ref="AJ381:AJ391" si="147">SUM(D381:AA381)</f>
        <v>0</v>
      </c>
      <c r="AK381" s="253"/>
      <c r="AL381" s="1083" t="str">
        <f>CONCATENATE(AK387,AK390,AK392,AK393,AK394,AK395,AK396,AK397,AK398,AK399)</f>
        <v/>
      </c>
      <c r="AM381" s="254"/>
      <c r="AN381" s="1060" t="str">
        <f>CONCATENATE(AM387,AM390,AM392,AM393,AM394,AM395,AM396,AM397,AM398,AM399)</f>
        <v/>
      </c>
      <c r="AO381" s="13">
        <v>297</v>
      </c>
      <c r="AP381" s="74"/>
      <c r="AQ381" s="75"/>
    </row>
    <row r="382" spans="1:43" ht="25.5" hidden="1" x14ac:dyDescent="0.75">
      <c r="A382" s="1029"/>
      <c r="B382" s="76" t="s">
        <v>388</v>
      </c>
      <c r="C382" s="580" t="s">
        <v>395</v>
      </c>
      <c r="D382" s="255"/>
      <c r="E382" s="256"/>
      <c r="F382" s="256"/>
      <c r="G382" s="256"/>
      <c r="H382" s="256"/>
      <c r="I382" s="256"/>
      <c r="J382" s="256"/>
      <c r="K382" s="256"/>
      <c r="L382" s="256"/>
      <c r="M382" s="256"/>
      <c r="N382" s="256"/>
      <c r="O382" s="256"/>
      <c r="P382" s="256"/>
      <c r="Q382" s="256"/>
      <c r="R382" s="256"/>
      <c r="S382" s="256"/>
      <c r="T382" s="256"/>
      <c r="U382" s="256"/>
      <c r="V382" s="256"/>
      <c r="W382" s="256"/>
      <c r="X382" s="256"/>
      <c r="Y382" s="256"/>
      <c r="Z382" s="256"/>
      <c r="AA382" s="256"/>
      <c r="AB382" s="365"/>
      <c r="AC382" s="365"/>
      <c r="AD382" s="365"/>
      <c r="AE382" s="365"/>
      <c r="AF382" s="365"/>
      <c r="AG382" s="365"/>
      <c r="AH382" s="365"/>
      <c r="AI382" s="365"/>
      <c r="AJ382" s="29">
        <f t="shared" si="147"/>
        <v>0</v>
      </c>
      <c r="AK382" s="253"/>
      <c r="AL382" s="1084"/>
      <c r="AM382" s="254"/>
      <c r="AN382" s="1061"/>
      <c r="AO382" s="13">
        <v>298</v>
      </c>
      <c r="AP382" s="74"/>
      <c r="AQ382" s="75"/>
    </row>
    <row r="383" spans="1:43" ht="25.5" hidden="1" x14ac:dyDescent="0.75">
      <c r="A383" s="1029"/>
      <c r="B383" s="76" t="s">
        <v>389</v>
      </c>
      <c r="C383" s="580" t="s">
        <v>396</v>
      </c>
      <c r="D383" s="255"/>
      <c r="E383" s="256"/>
      <c r="F383" s="256"/>
      <c r="G383" s="256"/>
      <c r="H383" s="256"/>
      <c r="I383" s="256"/>
      <c r="J383" s="256"/>
      <c r="K383" s="256"/>
      <c r="L383" s="256"/>
      <c r="M383" s="256"/>
      <c r="N383" s="256"/>
      <c r="O383" s="256"/>
      <c r="P383" s="256"/>
      <c r="Q383" s="256"/>
      <c r="R383" s="256"/>
      <c r="S383" s="256"/>
      <c r="T383" s="256"/>
      <c r="U383" s="256"/>
      <c r="V383" s="256"/>
      <c r="W383" s="256"/>
      <c r="X383" s="256"/>
      <c r="Y383" s="256"/>
      <c r="Z383" s="256"/>
      <c r="AA383" s="256"/>
      <c r="AB383" s="365"/>
      <c r="AC383" s="365"/>
      <c r="AD383" s="365"/>
      <c r="AE383" s="365"/>
      <c r="AF383" s="365"/>
      <c r="AG383" s="365"/>
      <c r="AH383" s="365"/>
      <c r="AI383" s="365"/>
      <c r="AJ383" s="29">
        <f t="shared" si="147"/>
        <v>0</v>
      </c>
      <c r="AK383" s="253"/>
      <c r="AL383" s="1084"/>
      <c r="AM383" s="254"/>
      <c r="AN383" s="1061"/>
      <c r="AO383" s="13">
        <v>299</v>
      </c>
      <c r="AP383" s="74"/>
      <c r="AQ383" s="75"/>
    </row>
    <row r="384" spans="1:43" ht="25.5" hidden="1" x14ac:dyDescent="0.75">
      <c r="A384" s="1029"/>
      <c r="B384" s="76" t="s">
        <v>390</v>
      </c>
      <c r="C384" s="580" t="s">
        <v>397</v>
      </c>
      <c r="D384" s="255"/>
      <c r="E384" s="256"/>
      <c r="F384" s="256"/>
      <c r="G384" s="256"/>
      <c r="H384" s="256"/>
      <c r="I384" s="256"/>
      <c r="J384" s="256"/>
      <c r="K384" s="256"/>
      <c r="L384" s="256"/>
      <c r="M384" s="256"/>
      <c r="N384" s="256"/>
      <c r="O384" s="256"/>
      <c r="P384" s="256"/>
      <c r="Q384" s="256"/>
      <c r="R384" s="256"/>
      <c r="S384" s="256"/>
      <c r="T384" s="256"/>
      <c r="U384" s="256"/>
      <c r="V384" s="256"/>
      <c r="W384" s="256"/>
      <c r="X384" s="256"/>
      <c r="Y384" s="256"/>
      <c r="Z384" s="256"/>
      <c r="AA384" s="256"/>
      <c r="AB384" s="365"/>
      <c r="AC384" s="365"/>
      <c r="AD384" s="365"/>
      <c r="AE384" s="365"/>
      <c r="AF384" s="365"/>
      <c r="AG384" s="365"/>
      <c r="AH384" s="365"/>
      <c r="AI384" s="365"/>
      <c r="AJ384" s="29">
        <f t="shared" si="147"/>
        <v>0</v>
      </c>
      <c r="AK384" s="253"/>
      <c r="AL384" s="1084"/>
      <c r="AM384" s="254"/>
      <c r="AN384" s="1061"/>
      <c r="AO384" s="13">
        <v>300</v>
      </c>
      <c r="AP384" s="74"/>
      <c r="AQ384" s="75"/>
    </row>
    <row r="385" spans="1:43" ht="25.5" hidden="1" x14ac:dyDescent="0.75">
      <c r="A385" s="1029"/>
      <c r="B385" s="76" t="s">
        <v>391</v>
      </c>
      <c r="C385" s="580" t="s">
        <v>398</v>
      </c>
      <c r="D385" s="255"/>
      <c r="E385" s="256"/>
      <c r="F385" s="256"/>
      <c r="G385" s="256"/>
      <c r="H385" s="256"/>
      <c r="I385" s="256"/>
      <c r="J385" s="256"/>
      <c r="K385" s="256"/>
      <c r="L385" s="256"/>
      <c r="M385" s="256"/>
      <c r="N385" s="256"/>
      <c r="O385" s="256"/>
      <c r="P385" s="256"/>
      <c r="Q385" s="256"/>
      <c r="R385" s="256"/>
      <c r="S385" s="256"/>
      <c r="T385" s="256"/>
      <c r="U385" s="256"/>
      <c r="V385" s="256"/>
      <c r="W385" s="256"/>
      <c r="X385" s="256"/>
      <c r="Y385" s="256"/>
      <c r="Z385" s="256"/>
      <c r="AA385" s="256"/>
      <c r="AB385" s="365"/>
      <c r="AC385" s="365"/>
      <c r="AD385" s="365"/>
      <c r="AE385" s="365"/>
      <c r="AF385" s="365"/>
      <c r="AG385" s="365"/>
      <c r="AH385" s="365"/>
      <c r="AI385" s="365"/>
      <c r="AJ385" s="29">
        <f t="shared" si="147"/>
        <v>0</v>
      </c>
      <c r="AK385" s="253"/>
      <c r="AL385" s="1084"/>
      <c r="AM385" s="254"/>
      <c r="AN385" s="1061"/>
      <c r="AO385" s="13">
        <v>301</v>
      </c>
      <c r="AP385" s="74"/>
      <c r="AQ385" s="75"/>
    </row>
    <row r="386" spans="1:43" ht="25.9" hidden="1" thickBot="1" x14ac:dyDescent="0.8">
      <c r="A386" s="1030"/>
      <c r="B386" s="87" t="s">
        <v>392</v>
      </c>
      <c r="C386" s="581" t="s">
        <v>399</v>
      </c>
      <c r="D386" s="257"/>
      <c r="E386" s="258"/>
      <c r="F386" s="258"/>
      <c r="G386" s="258"/>
      <c r="H386" s="258"/>
      <c r="I386" s="258"/>
      <c r="J386" s="258"/>
      <c r="K386" s="258"/>
      <c r="L386" s="258"/>
      <c r="M386" s="258"/>
      <c r="N386" s="258"/>
      <c r="O386" s="258"/>
      <c r="P386" s="258"/>
      <c r="Q386" s="258"/>
      <c r="R386" s="258"/>
      <c r="S386" s="258"/>
      <c r="T386" s="258"/>
      <c r="U386" s="258"/>
      <c r="V386" s="258"/>
      <c r="W386" s="258"/>
      <c r="X386" s="258"/>
      <c r="Y386" s="258"/>
      <c r="Z386" s="258"/>
      <c r="AA386" s="258"/>
      <c r="AB386" s="366"/>
      <c r="AC386" s="366"/>
      <c r="AD386" s="366"/>
      <c r="AE386" s="366"/>
      <c r="AF386" s="366"/>
      <c r="AG386" s="366"/>
      <c r="AH386" s="366"/>
      <c r="AI386" s="366"/>
      <c r="AJ386" s="90">
        <f t="shared" si="147"/>
        <v>0</v>
      </c>
      <c r="AK386" s="253"/>
      <c r="AL386" s="1084"/>
      <c r="AM386" s="254"/>
      <c r="AN386" s="1061"/>
      <c r="AO386" s="13">
        <v>302</v>
      </c>
      <c r="AP386" s="74"/>
      <c r="AQ386" s="75"/>
    </row>
    <row r="387" spans="1:43" ht="25.5" hidden="1" x14ac:dyDescent="0.75">
      <c r="A387" s="944" t="s">
        <v>27</v>
      </c>
      <c r="B387" s="91" t="s">
        <v>701</v>
      </c>
      <c r="C387" s="579" t="s">
        <v>302</v>
      </c>
      <c r="D387" s="237"/>
      <c r="E387" s="94"/>
      <c r="F387" s="94"/>
      <c r="G387" s="94"/>
      <c r="H387" s="94"/>
      <c r="I387" s="94"/>
      <c r="J387" s="94"/>
      <c r="K387" s="94"/>
      <c r="L387" s="94"/>
      <c r="M387" s="94"/>
      <c r="N387" s="94"/>
      <c r="O387" s="94"/>
      <c r="P387" s="94"/>
      <c r="Q387" s="94"/>
      <c r="R387" s="94"/>
      <c r="S387" s="94"/>
      <c r="T387" s="94"/>
      <c r="U387" s="94"/>
      <c r="V387" s="94"/>
      <c r="W387" s="94"/>
      <c r="X387" s="94"/>
      <c r="Y387" s="94"/>
      <c r="Z387" s="94"/>
      <c r="AA387" s="94"/>
      <c r="AB387" s="322"/>
      <c r="AC387" s="322"/>
      <c r="AD387" s="322"/>
      <c r="AE387" s="322"/>
      <c r="AF387" s="322"/>
      <c r="AG387" s="322"/>
      <c r="AH387" s="322"/>
      <c r="AI387" s="322"/>
      <c r="AJ387" s="65">
        <f t="shared" si="147"/>
        <v>0</v>
      </c>
      <c r="AK387" s="116" t="str">
        <f>CONCATENATE(IF(D387&lt;SUM(D393,D394,D395,D396,D397,D398,D399)," * Total Died  for Age "&amp;D20&amp;" "&amp;D21&amp;" is less than sum of Total Causes of Death F08-05 to F08-11"&amp;CHAR(10),""),IF(E387&lt;SUM(E393,E394,E395,E396,E397,E398,E399)," * Total Died  for Age "&amp;D20&amp;" "&amp;E21&amp;" is less than sum of Total Causes of Death F08-05 to F08-11"&amp;CHAR(10),""),IF(F387&lt;SUM(F393,F394,F395,F396,F397,F398,F399)," * Total Died  for Age "&amp;F20&amp;" "&amp;F21&amp;" is less than sum of Total Causes of Death F08-05 to F08-11"&amp;CHAR(10),""),IF(G387&lt;SUM(G393,G394,G395,G396,G397,G398,G399)," * Total Died  for Age "&amp;F20&amp;" "&amp;G21&amp;" is less than sum of Total Causes of Death F08-05 to F08-11"&amp;CHAR(10),""),IF(H387&lt;SUM(H393,H394,H395,H396,H397,H398,H399)," * Total Died  for Age "&amp;H20&amp;" "&amp;H21&amp;" is less than sum of Total Causes of Death F08-05 to F08-11"&amp;CHAR(10),""),IF(I387&lt;SUM(I393,I394,I395,I396,I397,I398,I399)," * Total Died  for Age "&amp;H20&amp;" "&amp;I21&amp;" is less than sum of Total Causes of Death F08-05 to F08-11"&amp;CHAR(10),""),IF(J387&lt;SUM(J393,J394,J395,J396,J397,J398,J399)," * Total Died  for Age "&amp;J20&amp;" "&amp;J21&amp;" is less than sum of Total Causes of Death F08-05 to F08-11"&amp;CHAR(10),""),IF(K387&lt;SUM(K393,K394,K395,K396,K397,K398,K399)," * Total Died  for Age "&amp;J20&amp;" "&amp;K21&amp;" is less than sum of Total Causes of Death F08-05 to F08-11"&amp;CHAR(10),""),IF(L387&lt;SUM(L393,L394,L395,L396,L397,L398,L399)," * Total Died  for Age "&amp;L20&amp;" "&amp;L21&amp;" is less than sum of Total Causes of Death F08-05 to F08-11"&amp;CHAR(10),""),IF(M387&lt;SUM(M393,M394,M395,M396,M397,M398,M399)," * Total Died  for Age "&amp;L20&amp;" "&amp;M21&amp;" is less than sum of Total Causes of Death F08-05 to F08-11"&amp;CHAR(10),""),IF(N387&lt;SUM(N393,N394,N395,N396,N397,N398,N399)," * Total Died  for Age "&amp;N20&amp;" "&amp;N21&amp;" is less than sum of Total Causes of Death F08-05 to F08-11"&amp;CHAR(10),""),IF(O387&lt;SUM(O393,O394,O395,O396,O397,O398,O399)," * Total Died  for Age "&amp;N20&amp;" "&amp;O21&amp;" is less than sum of Total Causes of Death F08-05 to F08-11"&amp;CHAR(10),""),IF(P387&lt;SUM(P393,P394,P395,P396,P397,P398,P399)," * Total Died  for Age "&amp;P20&amp;" "&amp;P21&amp;" is less than sum of Total Causes of Death F08-05 to F08-11"&amp;CHAR(10),""),IF(Q387&lt;SUM(Q393,Q394,Q395,Q396,Q397,Q398,Q399)," * Total Died  for Age "&amp;P20&amp;" "&amp;Q21&amp;" is less than sum of Total Causes of Death F08-05 to F08-11"&amp;CHAR(10),""),IF(R387&lt;SUM(R393,R394,R395,R396,R397,R398,R399)," * Total Died  for Age "&amp;R20&amp;" "&amp;R21&amp;" is less than sum of Total Causes of Death F08-05 to F08-11"&amp;CHAR(10),""),IF(S387&lt;SUM(S393,S394,S395,S396,S397,S398,S399)," * Total Died  for Age "&amp;R20&amp;" "&amp;S21&amp;" is less than sum of Total Causes of Death F08-05 to F08-11"&amp;CHAR(10),""),IF(T387&lt;SUM(T393,T394,T395,T396,T397,T398,T399)," * Total Died  for Age "&amp;T20&amp;" "&amp;T21&amp;" is less than sum of Total Causes of Death F08-05 to F08-11"&amp;CHAR(10),""),IF(U387&lt;SUM(U393,U394,U395,U396,U397,U398,U399)," * Total Died  for Age "&amp;T20&amp;" "&amp;U21&amp;" is less than sum of Total Causes of Death F08-05 to F08-11"&amp;CHAR(10),""),IF(V387&lt;SUM(V393,V394,V395,V396,V397,V398,V399)," * Total Died  for Age "&amp;V20&amp;" "&amp;V21&amp;" is less than sum of Total Causes of Death F08-05 to F08-11"&amp;CHAR(10),""),IF(W387&lt;SUM(W393,W394,W395,W396,W397,W398,W399)," * Total Died  for Age "&amp;V20&amp;" "&amp;W21&amp;" is less than sum of Total Causes of Death F08-05 to F08-11"&amp;CHAR(10),""),IF(X387&lt;SUM(X393,X394,X395,X396,X397,X398,X399)," * Total Died  for Age "&amp;X20&amp;" "&amp;X21&amp;" is less than sum of Total Causes of Death F08-05 to F08-11"&amp;CHAR(10),""),IF(Y387&lt;SUM(Y393,Y394,Y395,Y396,Y397,Y398,Y399)," * Total Died  for Age "&amp;X20&amp;" "&amp;Y21&amp;" is less than sum of Total Causes of Death F08-05 to F08-11"&amp;CHAR(10),""),IF(Z387&lt;SUM(Z393,Z394,Z395,Z396,Z397,Z398,Z399)," * Total Died  for Age "&amp;Z20&amp;" "&amp;Z21&amp;" is less than sum of Total Causes of Death F08-05 to F08-11"&amp;CHAR(10),""),IF(AA387&lt;SUM(AA393,AA394,AA395,AA396,AA397,AA398,AA399)," * Total Died  for Age "&amp;Z20&amp;" "&amp;AA21&amp;" is less than sum of Total Causes of Death F08-05 to F08-11"&amp;CHAR(10),""))</f>
        <v/>
      </c>
      <c r="AL387" s="1084"/>
      <c r="AM387" s="31"/>
      <c r="AN387" s="1061"/>
      <c r="AO387" s="13">
        <v>303</v>
      </c>
      <c r="AP387" s="74"/>
      <c r="AQ387" s="75"/>
    </row>
    <row r="388" spans="1:43" s="61" customFormat="1" ht="25.5" hidden="1" x14ac:dyDescent="0.75">
      <c r="A388" s="1021"/>
      <c r="B388" s="76" t="s">
        <v>590</v>
      </c>
      <c r="C388" s="580" t="s">
        <v>447</v>
      </c>
      <c r="D388" s="238"/>
      <c r="E388" s="79"/>
      <c r="F388" s="79"/>
      <c r="G388" s="79"/>
      <c r="H388" s="79"/>
      <c r="I388" s="79"/>
      <c r="J388" s="79"/>
      <c r="K388" s="79"/>
      <c r="L388" s="79"/>
      <c r="M388" s="79"/>
      <c r="N388" s="79"/>
      <c r="O388" s="79"/>
      <c r="P388" s="79"/>
      <c r="Q388" s="79"/>
      <c r="R388" s="79"/>
      <c r="S388" s="79"/>
      <c r="T388" s="79"/>
      <c r="U388" s="79"/>
      <c r="V388" s="79"/>
      <c r="W388" s="79"/>
      <c r="X388" s="79"/>
      <c r="Y388" s="79"/>
      <c r="Z388" s="79"/>
      <c r="AA388" s="79"/>
      <c r="AB388" s="319"/>
      <c r="AC388" s="319"/>
      <c r="AD388" s="319"/>
      <c r="AE388" s="319"/>
      <c r="AF388" s="319"/>
      <c r="AG388" s="319"/>
      <c r="AH388" s="319"/>
      <c r="AI388" s="319"/>
      <c r="AJ388" s="29">
        <f t="shared" si="147"/>
        <v>0</v>
      </c>
      <c r="AK388" s="116"/>
      <c r="AL388" s="1084"/>
      <c r="AM388" s="60"/>
      <c r="AN388" s="1061"/>
      <c r="AO388" s="13">
        <v>304</v>
      </c>
      <c r="AP388" s="80"/>
      <c r="AQ388" s="75"/>
    </row>
    <row r="389" spans="1:43" ht="25.5" hidden="1" x14ac:dyDescent="0.75">
      <c r="A389" s="1021"/>
      <c r="B389" s="76" t="s">
        <v>451</v>
      </c>
      <c r="C389" s="580" t="s">
        <v>448</v>
      </c>
      <c r="D389" s="238"/>
      <c r="E389" s="79"/>
      <c r="F389" s="79"/>
      <c r="G389" s="79"/>
      <c r="H389" s="79"/>
      <c r="I389" s="79"/>
      <c r="J389" s="79"/>
      <c r="K389" s="79"/>
      <c r="L389" s="79"/>
      <c r="M389" s="79"/>
      <c r="N389" s="79"/>
      <c r="O389" s="79"/>
      <c r="P389" s="79"/>
      <c r="Q389" s="79"/>
      <c r="R389" s="79"/>
      <c r="S389" s="79"/>
      <c r="T389" s="79"/>
      <c r="U389" s="79"/>
      <c r="V389" s="79"/>
      <c r="W389" s="79"/>
      <c r="X389" s="79"/>
      <c r="Y389" s="79"/>
      <c r="Z389" s="79"/>
      <c r="AA389" s="79"/>
      <c r="AB389" s="319"/>
      <c r="AC389" s="319"/>
      <c r="AD389" s="319"/>
      <c r="AE389" s="319"/>
      <c r="AF389" s="319"/>
      <c r="AG389" s="319"/>
      <c r="AH389" s="319"/>
      <c r="AI389" s="319"/>
      <c r="AJ389" s="29">
        <f t="shared" si="147"/>
        <v>0</v>
      </c>
      <c r="AK389" s="116"/>
      <c r="AL389" s="1084"/>
      <c r="AM389" s="31"/>
      <c r="AN389" s="1061"/>
      <c r="AO389" s="13">
        <v>305</v>
      </c>
      <c r="AP389" s="74"/>
      <c r="AQ389" s="75"/>
    </row>
    <row r="390" spans="1:43" ht="25.5" hidden="1" x14ac:dyDescent="0.75">
      <c r="A390" s="1021"/>
      <c r="B390" s="76" t="s">
        <v>702</v>
      </c>
      <c r="C390" s="580" t="s">
        <v>449</v>
      </c>
      <c r="D390" s="238"/>
      <c r="E390" s="79"/>
      <c r="F390" s="79"/>
      <c r="G390" s="79"/>
      <c r="H390" s="79"/>
      <c r="I390" s="79"/>
      <c r="J390" s="79"/>
      <c r="K390" s="79"/>
      <c r="L390" s="79"/>
      <c r="M390" s="79"/>
      <c r="N390" s="79"/>
      <c r="O390" s="79"/>
      <c r="P390" s="79"/>
      <c r="Q390" s="79"/>
      <c r="R390" s="79"/>
      <c r="S390" s="79"/>
      <c r="T390" s="79"/>
      <c r="U390" s="79"/>
      <c r="V390" s="79"/>
      <c r="W390" s="79"/>
      <c r="X390" s="79"/>
      <c r="Y390" s="79"/>
      <c r="Z390" s="79"/>
      <c r="AA390" s="79"/>
      <c r="AB390" s="319"/>
      <c r="AC390" s="319"/>
      <c r="AD390" s="319"/>
      <c r="AE390" s="319"/>
      <c r="AF390" s="319"/>
      <c r="AG390" s="319"/>
      <c r="AH390" s="319"/>
      <c r="AI390" s="319"/>
      <c r="AJ390" s="29">
        <f t="shared" si="147"/>
        <v>0</v>
      </c>
      <c r="AK390" s="116"/>
      <c r="AL390" s="1084"/>
      <c r="AM390" s="31"/>
      <c r="AN390" s="1061"/>
      <c r="AO390" s="13">
        <v>306</v>
      </c>
      <c r="AP390" s="74"/>
      <c r="AQ390" s="75"/>
    </row>
    <row r="391" spans="1:43" ht="25.5" hidden="1" x14ac:dyDescent="0.75">
      <c r="A391" s="1021"/>
      <c r="B391" s="76" t="s">
        <v>446</v>
      </c>
      <c r="C391" s="580" t="s">
        <v>450</v>
      </c>
      <c r="D391" s="238"/>
      <c r="E391" s="79"/>
      <c r="F391" s="79"/>
      <c r="G391" s="79"/>
      <c r="H391" s="79"/>
      <c r="I391" s="79"/>
      <c r="J391" s="79"/>
      <c r="K391" s="79"/>
      <c r="L391" s="79"/>
      <c r="M391" s="79"/>
      <c r="N391" s="79"/>
      <c r="O391" s="79"/>
      <c r="P391" s="79"/>
      <c r="Q391" s="79"/>
      <c r="R391" s="79"/>
      <c r="S391" s="79"/>
      <c r="T391" s="79"/>
      <c r="U391" s="79"/>
      <c r="V391" s="79"/>
      <c r="W391" s="79"/>
      <c r="X391" s="79"/>
      <c r="Y391" s="79"/>
      <c r="Z391" s="79"/>
      <c r="AA391" s="79"/>
      <c r="AB391" s="319"/>
      <c r="AC391" s="319"/>
      <c r="AD391" s="319"/>
      <c r="AE391" s="319"/>
      <c r="AF391" s="319"/>
      <c r="AG391" s="319"/>
      <c r="AH391" s="319"/>
      <c r="AI391" s="319"/>
      <c r="AJ391" s="29">
        <f t="shared" si="147"/>
        <v>0</v>
      </c>
      <c r="AK391" s="116"/>
      <c r="AL391" s="1084"/>
      <c r="AM391" s="31"/>
      <c r="AN391" s="1061"/>
      <c r="AO391" s="13">
        <v>307</v>
      </c>
      <c r="AP391" s="74"/>
      <c r="AQ391" s="75"/>
    </row>
    <row r="392" spans="1:43" ht="25.9" hidden="1" thickBot="1" x14ac:dyDescent="0.8">
      <c r="A392" s="1070"/>
      <c r="B392" s="259" t="s">
        <v>458</v>
      </c>
      <c r="C392" s="602" t="s">
        <v>304</v>
      </c>
      <c r="D392" s="260">
        <f>SUM(D387:D391)</f>
        <v>0</v>
      </c>
      <c r="E392" s="261">
        <f t="shared" ref="E392:AJ392" si="148">SUM(E387:E391)</f>
        <v>0</v>
      </c>
      <c r="F392" s="261">
        <f t="shared" si="148"/>
        <v>0</v>
      </c>
      <c r="G392" s="261">
        <f t="shared" si="148"/>
        <v>0</v>
      </c>
      <c r="H392" s="261">
        <f t="shared" si="148"/>
        <v>0</v>
      </c>
      <c r="I392" s="261">
        <f t="shared" si="148"/>
        <v>0</v>
      </c>
      <c r="J392" s="261">
        <f t="shared" si="148"/>
        <v>0</v>
      </c>
      <c r="K392" s="261">
        <f t="shared" si="148"/>
        <v>0</v>
      </c>
      <c r="L392" s="261">
        <f t="shared" si="148"/>
        <v>0</v>
      </c>
      <c r="M392" s="261">
        <f t="shared" si="148"/>
        <v>0</v>
      </c>
      <c r="N392" s="261">
        <f t="shared" si="148"/>
        <v>0</v>
      </c>
      <c r="O392" s="261">
        <f t="shared" si="148"/>
        <v>0</v>
      </c>
      <c r="P392" s="261">
        <f t="shared" si="148"/>
        <v>0</v>
      </c>
      <c r="Q392" s="261">
        <f t="shared" si="148"/>
        <v>0</v>
      </c>
      <c r="R392" s="261">
        <f t="shared" si="148"/>
        <v>0</v>
      </c>
      <c r="S392" s="261">
        <f t="shared" si="148"/>
        <v>0</v>
      </c>
      <c r="T392" s="261">
        <f t="shared" si="148"/>
        <v>0</v>
      </c>
      <c r="U392" s="261">
        <f t="shared" si="148"/>
        <v>0</v>
      </c>
      <c r="V392" s="261">
        <f t="shared" si="148"/>
        <v>0</v>
      </c>
      <c r="W392" s="261">
        <f t="shared" si="148"/>
        <v>0</v>
      </c>
      <c r="X392" s="261">
        <f t="shared" si="148"/>
        <v>0</v>
      </c>
      <c r="Y392" s="261">
        <f t="shared" si="148"/>
        <v>0</v>
      </c>
      <c r="Z392" s="261">
        <f t="shared" si="148"/>
        <v>0</v>
      </c>
      <c r="AA392" s="261">
        <f t="shared" si="148"/>
        <v>0</v>
      </c>
      <c r="AB392" s="367"/>
      <c r="AC392" s="367"/>
      <c r="AD392" s="367"/>
      <c r="AE392" s="367"/>
      <c r="AF392" s="367"/>
      <c r="AG392" s="367"/>
      <c r="AH392" s="367"/>
      <c r="AI392" s="367"/>
      <c r="AJ392" s="262">
        <f t="shared" si="148"/>
        <v>0</v>
      </c>
      <c r="AK392" s="116"/>
      <c r="AL392" s="1084"/>
      <c r="AM392" s="31"/>
      <c r="AN392" s="1061"/>
      <c r="AO392" s="13">
        <v>308</v>
      </c>
      <c r="AP392" s="74"/>
      <c r="AQ392" s="75"/>
    </row>
    <row r="393" spans="1:43" ht="25.5" hidden="1" x14ac:dyDescent="0.75">
      <c r="A393" s="944" t="s">
        <v>1012</v>
      </c>
      <c r="B393" s="91" t="s">
        <v>314</v>
      </c>
      <c r="C393" s="579" t="s">
        <v>305</v>
      </c>
      <c r="D393" s="237"/>
      <c r="E393" s="94"/>
      <c r="F393" s="94"/>
      <c r="G393" s="94"/>
      <c r="H393" s="94"/>
      <c r="I393" s="94"/>
      <c r="J393" s="94"/>
      <c r="K393" s="94"/>
      <c r="L393" s="94"/>
      <c r="M393" s="94"/>
      <c r="N393" s="94"/>
      <c r="O393" s="94"/>
      <c r="P393" s="94"/>
      <c r="Q393" s="94"/>
      <c r="R393" s="94"/>
      <c r="S393" s="94"/>
      <c r="T393" s="94"/>
      <c r="U393" s="94"/>
      <c r="V393" s="94"/>
      <c r="W393" s="94"/>
      <c r="X393" s="94"/>
      <c r="Y393" s="94"/>
      <c r="Z393" s="94"/>
      <c r="AA393" s="94"/>
      <c r="AB393" s="322"/>
      <c r="AC393" s="322"/>
      <c r="AD393" s="322"/>
      <c r="AE393" s="322"/>
      <c r="AF393" s="322"/>
      <c r="AG393" s="322"/>
      <c r="AH393" s="322"/>
      <c r="AI393" s="322"/>
      <c r="AJ393" s="65">
        <f t="shared" ref="AJ393:AJ399" si="149">SUM(D393:AA393)</f>
        <v>0</v>
      </c>
      <c r="AK393" s="116"/>
      <c r="AL393" s="1084"/>
      <c r="AM393" s="31"/>
      <c r="AN393" s="1061"/>
      <c r="AO393" s="13">
        <v>309</v>
      </c>
      <c r="AP393" s="74"/>
      <c r="AQ393" s="75"/>
    </row>
    <row r="394" spans="1:43" ht="25.5" hidden="1" x14ac:dyDescent="0.75">
      <c r="A394" s="1021"/>
      <c r="B394" s="76" t="s">
        <v>547</v>
      </c>
      <c r="C394" s="580" t="s">
        <v>306</v>
      </c>
      <c r="D394" s="238"/>
      <c r="E394" s="79"/>
      <c r="F394" s="79"/>
      <c r="G394" s="79"/>
      <c r="H394" s="79"/>
      <c r="I394" s="79"/>
      <c r="J394" s="79"/>
      <c r="K394" s="79"/>
      <c r="L394" s="79"/>
      <c r="M394" s="79"/>
      <c r="N394" s="79"/>
      <c r="O394" s="79"/>
      <c r="P394" s="79"/>
      <c r="Q394" s="79"/>
      <c r="R394" s="79"/>
      <c r="S394" s="79"/>
      <c r="T394" s="79"/>
      <c r="U394" s="79"/>
      <c r="V394" s="79"/>
      <c r="W394" s="79"/>
      <c r="X394" s="79"/>
      <c r="Y394" s="79"/>
      <c r="Z394" s="79"/>
      <c r="AA394" s="79"/>
      <c r="AB394" s="319"/>
      <c r="AC394" s="319"/>
      <c r="AD394" s="319"/>
      <c r="AE394" s="319"/>
      <c r="AF394" s="319"/>
      <c r="AG394" s="319"/>
      <c r="AH394" s="319"/>
      <c r="AI394" s="319"/>
      <c r="AJ394" s="29">
        <f t="shared" si="149"/>
        <v>0</v>
      </c>
      <c r="AK394" s="116"/>
      <c r="AL394" s="1084"/>
      <c r="AM394" s="31"/>
      <c r="AN394" s="1061"/>
      <c r="AO394" s="13">
        <v>310</v>
      </c>
      <c r="AP394" s="74"/>
      <c r="AQ394" s="75"/>
    </row>
    <row r="395" spans="1:43" ht="25.5" hidden="1" x14ac:dyDescent="0.75">
      <c r="A395" s="1021"/>
      <c r="B395" s="76" t="s">
        <v>703</v>
      </c>
      <c r="C395" s="580" t="s">
        <v>307</v>
      </c>
      <c r="D395" s="238"/>
      <c r="E395" s="79"/>
      <c r="F395" s="79"/>
      <c r="G395" s="79"/>
      <c r="H395" s="79"/>
      <c r="I395" s="79"/>
      <c r="J395" s="79"/>
      <c r="K395" s="79"/>
      <c r="L395" s="79"/>
      <c r="M395" s="79"/>
      <c r="N395" s="79"/>
      <c r="O395" s="79"/>
      <c r="P395" s="79"/>
      <c r="Q395" s="79"/>
      <c r="R395" s="79"/>
      <c r="S395" s="79"/>
      <c r="T395" s="79"/>
      <c r="U395" s="79"/>
      <c r="V395" s="79"/>
      <c r="W395" s="79"/>
      <c r="X395" s="79"/>
      <c r="Y395" s="79"/>
      <c r="Z395" s="79"/>
      <c r="AA395" s="79"/>
      <c r="AB395" s="319"/>
      <c r="AC395" s="319"/>
      <c r="AD395" s="319"/>
      <c r="AE395" s="319"/>
      <c r="AF395" s="319"/>
      <c r="AG395" s="319"/>
      <c r="AH395" s="319"/>
      <c r="AI395" s="319"/>
      <c r="AJ395" s="29">
        <f t="shared" si="149"/>
        <v>0</v>
      </c>
      <c r="AK395" s="116"/>
      <c r="AL395" s="1084"/>
      <c r="AM395" s="31"/>
      <c r="AN395" s="1061"/>
      <c r="AO395" s="13">
        <v>311</v>
      </c>
      <c r="AP395" s="74"/>
      <c r="AQ395" s="75"/>
    </row>
    <row r="396" spans="1:43" s="61" customFormat="1" ht="25.5" hidden="1" x14ac:dyDescent="0.75">
      <c r="A396" s="1021"/>
      <c r="B396" s="76" t="s">
        <v>315</v>
      </c>
      <c r="C396" s="580" t="s">
        <v>308</v>
      </c>
      <c r="D396" s="238"/>
      <c r="E396" s="79"/>
      <c r="F396" s="79"/>
      <c r="G396" s="79"/>
      <c r="H396" s="79"/>
      <c r="I396" s="79"/>
      <c r="J396" s="79"/>
      <c r="K396" s="79"/>
      <c r="L396" s="79"/>
      <c r="M396" s="79"/>
      <c r="N396" s="79"/>
      <c r="O396" s="79"/>
      <c r="P396" s="79"/>
      <c r="Q396" s="79"/>
      <c r="R396" s="79"/>
      <c r="S396" s="79"/>
      <c r="T396" s="79"/>
      <c r="U396" s="79"/>
      <c r="V396" s="79"/>
      <c r="W396" s="79"/>
      <c r="X396" s="79"/>
      <c r="Y396" s="79"/>
      <c r="Z396" s="79"/>
      <c r="AA396" s="79"/>
      <c r="AB396" s="319"/>
      <c r="AC396" s="319"/>
      <c r="AD396" s="319"/>
      <c r="AE396" s="319"/>
      <c r="AF396" s="319"/>
      <c r="AG396" s="319"/>
      <c r="AH396" s="319"/>
      <c r="AI396" s="319"/>
      <c r="AJ396" s="29">
        <f t="shared" si="149"/>
        <v>0</v>
      </c>
      <c r="AK396" s="116"/>
      <c r="AL396" s="1084"/>
      <c r="AM396" s="60"/>
      <c r="AN396" s="1061"/>
      <c r="AO396" s="13">
        <v>312</v>
      </c>
      <c r="AP396" s="80"/>
      <c r="AQ396" s="75"/>
    </row>
    <row r="397" spans="1:43" ht="25.5" hidden="1" x14ac:dyDescent="0.75">
      <c r="A397" s="1021"/>
      <c r="B397" s="76" t="s">
        <v>548</v>
      </c>
      <c r="C397" s="580" t="s">
        <v>309</v>
      </c>
      <c r="D397" s="238"/>
      <c r="E397" s="79"/>
      <c r="F397" s="79"/>
      <c r="G397" s="79"/>
      <c r="H397" s="79"/>
      <c r="I397" s="79"/>
      <c r="J397" s="79"/>
      <c r="K397" s="79"/>
      <c r="L397" s="79"/>
      <c r="M397" s="79"/>
      <c r="N397" s="79"/>
      <c r="O397" s="79"/>
      <c r="P397" s="79"/>
      <c r="Q397" s="79"/>
      <c r="R397" s="79"/>
      <c r="S397" s="79"/>
      <c r="T397" s="79"/>
      <c r="U397" s="79"/>
      <c r="V397" s="79"/>
      <c r="W397" s="79"/>
      <c r="X397" s="79"/>
      <c r="Y397" s="79"/>
      <c r="Z397" s="79"/>
      <c r="AA397" s="79"/>
      <c r="AB397" s="319"/>
      <c r="AC397" s="319"/>
      <c r="AD397" s="319"/>
      <c r="AE397" s="319"/>
      <c r="AF397" s="319"/>
      <c r="AG397" s="319"/>
      <c r="AH397" s="319"/>
      <c r="AI397" s="319"/>
      <c r="AJ397" s="29">
        <f t="shared" si="149"/>
        <v>0</v>
      </c>
      <c r="AK397" s="116"/>
      <c r="AL397" s="1084"/>
      <c r="AM397" s="31"/>
      <c r="AN397" s="1061"/>
      <c r="AO397" s="13">
        <v>313</v>
      </c>
      <c r="AP397" s="74"/>
      <c r="AQ397" s="75"/>
    </row>
    <row r="398" spans="1:43" ht="25.5" hidden="1" x14ac:dyDescent="0.75">
      <c r="A398" s="1021"/>
      <c r="B398" s="76" t="s">
        <v>316</v>
      </c>
      <c r="C398" s="580" t="s">
        <v>310</v>
      </c>
      <c r="D398" s="238"/>
      <c r="E398" s="79"/>
      <c r="F398" s="79"/>
      <c r="G398" s="79"/>
      <c r="H398" s="79"/>
      <c r="I398" s="79"/>
      <c r="J398" s="79"/>
      <c r="K398" s="79"/>
      <c r="L398" s="79"/>
      <c r="M398" s="79"/>
      <c r="N398" s="79"/>
      <c r="O398" s="79"/>
      <c r="P398" s="79"/>
      <c r="Q398" s="79"/>
      <c r="R398" s="79"/>
      <c r="S398" s="79"/>
      <c r="T398" s="79"/>
      <c r="U398" s="79"/>
      <c r="V398" s="79"/>
      <c r="W398" s="79"/>
      <c r="X398" s="79"/>
      <c r="Y398" s="79"/>
      <c r="Z398" s="79"/>
      <c r="AA398" s="79"/>
      <c r="AB398" s="319"/>
      <c r="AC398" s="319"/>
      <c r="AD398" s="319"/>
      <c r="AE398" s="319"/>
      <c r="AF398" s="319"/>
      <c r="AG398" s="319"/>
      <c r="AH398" s="319"/>
      <c r="AI398" s="319"/>
      <c r="AJ398" s="29">
        <f t="shared" si="149"/>
        <v>0</v>
      </c>
      <c r="AK398" s="116"/>
      <c r="AL398" s="1084"/>
      <c r="AM398" s="31"/>
      <c r="AN398" s="1061"/>
      <c r="AO398" s="13">
        <v>314</v>
      </c>
      <c r="AP398" s="74"/>
      <c r="AQ398" s="75"/>
    </row>
    <row r="399" spans="1:43" ht="25.5" hidden="1" x14ac:dyDescent="0.75">
      <c r="A399" s="945"/>
      <c r="B399" s="118" t="s">
        <v>317</v>
      </c>
      <c r="C399" s="609" t="s">
        <v>311</v>
      </c>
      <c r="D399" s="250"/>
      <c r="E399" s="121"/>
      <c r="F399" s="121"/>
      <c r="G399" s="121"/>
      <c r="H399" s="121"/>
      <c r="I399" s="121"/>
      <c r="J399" s="121"/>
      <c r="K399" s="121"/>
      <c r="L399" s="121"/>
      <c r="M399" s="121"/>
      <c r="N399" s="121"/>
      <c r="O399" s="121"/>
      <c r="P399" s="121"/>
      <c r="Q399" s="121"/>
      <c r="R399" s="121"/>
      <c r="S399" s="121"/>
      <c r="T399" s="121"/>
      <c r="U399" s="121"/>
      <c r="V399" s="121"/>
      <c r="W399" s="121"/>
      <c r="X399" s="121"/>
      <c r="Y399" s="121"/>
      <c r="Z399" s="121"/>
      <c r="AA399" s="121"/>
      <c r="AB399" s="330"/>
      <c r="AC399" s="330"/>
      <c r="AD399" s="330"/>
      <c r="AE399" s="330"/>
      <c r="AF399" s="330"/>
      <c r="AG399" s="330"/>
      <c r="AH399" s="330"/>
      <c r="AI399" s="330"/>
      <c r="AJ399" s="538">
        <f t="shared" si="149"/>
        <v>0</v>
      </c>
      <c r="AK399" s="122"/>
      <c r="AL399" s="1085"/>
      <c r="AM399" s="123"/>
      <c r="AN399" s="1062"/>
      <c r="AO399" s="13">
        <v>315</v>
      </c>
      <c r="AP399" s="74"/>
      <c r="AQ399" s="75"/>
    </row>
    <row r="400" spans="1:43" ht="25.9" hidden="1" thickBot="1" x14ac:dyDescent="0.8">
      <c r="A400" s="1023" t="s">
        <v>573</v>
      </c>
      <c r="B400" s="1024"/>
      <c r="C400" s="1024"/>
      <c r="D400" s="1024"/>
      <c r="E400" s="1024"/>
      <c r="F400" s="1024"/>
      <c r="G400" s="1024"/>
      <c r="H400" s="1024"/>
      <c r="I400" s="1024"/>
      <c r="J400" s="1024"/>
      <c r="K400" s="1024"/>
      <c r="L400" s="1024"/>
      <c r="M400" s="1024"/>
      <c r="N400" s="1024"/>
      <c r="O400" s="1024"/>
      <c r="P400" s="1024"/>
      <c r="Q400" s="1024"/>
      <c r="R400" s="1024"/>
      <c r="S400" s="1024"/>
      <c r="T400" s="1024"/>
      <c r="U400" s="1024"/>
      <c r="V400" s="1024"/>
      <c r="W400" s="1024"/>
      <c r="X400" s="1024"/>
      <c r="Y400" s="1024"/>
      <c r="Z400" s="1024"/>
      <c r="AA400" s="1024"/>
      <c r="AB400" s="1024"/>
      <c r="AC400" s="1024"/>
      <c r="AD400" s="1024"/>
      <c r="AE400" s="1024"/>
      <c r="AF400" s="1024"/>
      <c r="AG400" s="1024"/>
      <c r="AH400" s="1024"/>
      <c r="AI400" s="1024"/>
      <c r="AJ400" s="1024"/>
      <c r="AK400" s="1024"/>
      <c r="AL400" s="1024"/>
      <c r="AM400" s="1024"/>
      <c r="AN400" s="1025"/>
      <c r="AO400" s="13">
        <v>316</v>
      </c>
      <c r="AP400" s="74"/>
      <c r="AQ400" s="75"/>
    </row>
    <row r="401" spans="1:43" ht="50.25" hidden="1" customHeight="1" x14ac:dyDescent="0.75">
      <c r="A401" s="1026" t="s">
        <v>519</v>
      </c>
      <c r="B401" s="69" t="s">
        <v>520</v>
      </c>
      <c r="C401" s="615" t="s">
        <v>523</v>
      </c>
      <c r="D401" s="72"/>
      <c r="E401" s="72"/>
      <c r="F401" s="72"/>
      <c r="G401" s="72"/>
      <c r="H401" s="72"/>
      <c r="I401" s="72"/>
      <c r="J401" s="72"/>
      <c r="K401" s="72"/>
      <c r="L401" s="72"/>
      <c r="M401" s="72"/>
      <c r="N401" s="72"/>
      <c r="O401" s="72"/>
      <c r="P401" s="72"/>
      <c r="Q401" s="72"/>
      <c r="R401" s="72"/>
      <c r="S401" s="72"/>
      <c r="T401" s="72"/>
      <c r="U401" s="72"/>
      <c r="V401" s="72"/>
      <c r="W401" s="72"/>
      <c r="X401" s="72"/>
      <c r="Y401" s="72"/>
      <c r="Z401" s="72"/>
      <c r="AA401" s="318"/>
      <c r="AB401" s="389"/>
      <c r="AC401" s="357"/>
      <c r="AD401" s="357"/>
      <c r="AE401" s="357"/>
      <c r="AF401" s="357"/>
      <c r="AG401" s="357"/>
      <c r="AH401" s="357"/>
      <c r="AI401" s="314"/>
      <c r="AJ401" s="52">
        <f t="shared" ref="AJ401" si="150">SUM(D401:AA401)</f>
        <v>0</v>
      </c>
      <c r="AK401" s="759" t="str">
        <f>CONCATENATE(IF(D402&gt;D401," * TB Cases with Known HIV Positive status "&amp;$D$20&amp;" "&amp;$D$21&amp;" is more than Total TB Cases New and relapsed"&amp;CHAR(10),""),IF(E402&gt;E401," * TB Cases with Known HIV Positive status "&amp;$D$20&amp;" "&amp;$E$21&amp;" is more than Total TB Cases New and relapsed"&amp;CHAR(10),""),IF(F402&gt;F401," * TB Cases with Known HIV Positive status "&amp;$F$20&amp;" "&amp;$F$21&amp;" is more than Total TB Cases New and relapsed"&amp;CHAR(10),""),IF(G402&gt;G401," * TB Cases with Known HIV Positive status "&amp;$F$20&amp;" "&amp;$G$21&amp;" is more than Total TB Cases New and relapsed"&amp;CHAR(10),""),IF(H402&gt;H401," * TB Cases with Known HIV Positive status "&amp;$H$20&amp;" "&amp;$H$21&amp;" is more than Total TB Cases New and relapsed"&amp;CHAR(10),""),IF(I402&gt;I401," * TB Cases with Known HIV Positive status "&amp;$H$20&amp;" "&amp;$I$21&amp;" is more than Total TB Cases New and relapsed"&amp;CHAR(10),""),IF(J402&gt;J401," * TB Cases with Known HIV Positive status "&amp;$J$20&amp;" "&amp;$J$21&amp;" is more than Total TB Cases New and relapsed"&amp;CHAR(10),""),IF(K402&gt;K401," * TB Cases with Known HIV Positive status "&amp;$J$20&amp;" "&amp;$K$21&amp;" is more than Total TB Cases New and relapsed"&amp;CHAR(10),""),IF(L402&gt;L401," * TB Cases with Known HIV Positive status "&amp;$L$20&amp;" "&amp;$L$21&amp;" is more than Total TB Cases New and relapsed"&amp;CHAR(10),""),IF(M402&gt;M401," * TB Cases with Known HIV Positive status "&amp;$L$20&amp;" "&amp;$M$21&amp;" is more than Total TB Cases New and relapsed"&amp;CHAR(10),""),IF(N402&gt;N401," * TB Cases with Known HIV Positive status "&amp;$N$20&amp;" "&amp;$N$21&amp;" is more than Total TB Cases New and relapsed"&amp;CHAR(10),""),IF(O402&gt;O401," * TB Cases with Known HIV Positive status "&amp;$N$20&amp;" "&amp;$O$21&amp;" is more than Total TB Cases New and relapsed"&amp;CHAR(10),""),IF(P402&gt;P401," * TB Cases with Known HIV Positive status "&amp;$P$20&amp;" "&amp;$P$21&amp;" is more than Total TB Cases New and relapsed"&amp;CHAR(10),""),IF(Q402&gt;Q401," * TB Cases with Known HIV Positive status "&amp;$P$20&amp;" "&amp;$Q$21&amp;" is more than Total TB Cases New and relapsed"&amp;CHAR(10),""),IF(R402&gt;R401," * TB Cases with Known HIV Positive status "&amp;$R$20&amp;" "&amp;$R$21&amp;" is more than Total TB Cases New and relapsed"&amp;CHAR(10),""),IF(S402&gt;S401," * TB Cases with Known HIV Positive status "&amp;$R$20&amp;" "&amp;$S$21&amp;" is more than Total TB Cases New and relapsed"&amp;CHAR(10),""),IF(T402&gt;T401," * TB Cases with Known HIV Positive status "&amp;$T$20&amp;" "&amp;$T$21&amp;" is more than Total TB Cases New and relapsed"&amp;CHAR(10),""),IF(U402&gt;U401," * TB Cases with Known HIV Positive status "&amp;$T$20&amp;" "&amp;$U$21&amp;" is more than Total TB Cases New and relapsed"&amp;CHAR(10),""),IF(V402&gt;V401," * TB Cases with Known HIV Positive status "&amp;$V$20&amp;" "&amp;$V$21&amp;" is more than Total TB Cases New and relapsed"&amp;CHAR(10),""),IF(W402&gt;W401," * TB Cases with Known HIV Positive status "&amp;$V$20&amp;" "&amp;$W$21&amp;" is more than Total TB Cases New and relapsed"&amp;CHAR(10),""),IF(X402&gt;X401," * TB Cases with Known HIV Positive status "&amp;$X$20&amp;" "&amp;$X$21&amp;" is more than Total TB Cases New and relapsed"&amp;CHAR(10),""),IF(Y402&gt;Y401," * TB Cases with Known HIV Positive status "&amp;$X$20&amp;" "&amp;$Y$21&amp;" is more than Total TB Cases New and relapsed"&amp;CHAR(10),""),IF(Z402&gt;Z401," * TB Cases with Known HIV Positive status "&amp;$Z$20&amp;" "&amp;$Z$21&amp;" is more than Total TB Cases New and relapsed"&amp;CHAR(10),""),IF(AA402&gt;AA401," * TB Cases with Known HIV Positive status "&amp;$Z$20&amp;" "&amp;$AA$21&amp;" is more than Total TB Cases New and relapsed"&amp;CHAR(10),""))</f>
        <v/>
      </c>
      <c r="AL401" s="1088" t="str">
        <f>CONCATENATE(AK401,AK402,AK405,AK406,AK407,AK408,AK409,AK410,AK411,AK403,AK404)</f>
        <v/>
      </c>
      <c r="AM401" s="73"/>
      <c r="AN401" s="1105" t="str">
        <f>CONCATENATE(AM401,AM402,AM404,AM405,AM406,AM407,AM408,AM409,AM410,AM411)</f>
        <v/>
      </c>
      <c r="AO401" s="13">
        <v>317</v>
      </c>
      <c r="AP401" s="74"/>
      <c r="AQ401" s="75"/>
    </row>
    <row r="402" spans="1:43" s="14" customFormat="1" ht="25.5" hidden="1" x14ac:dyDescent="0.75">
      <c r="A402" s="1026"/>
      <c r="B402" s="199" t="s">
        <v>1013</v>
      </c>
      <c r="C402" s="580" t="s">
        <v>533</v>
      </c>
      <c r="D402" s="201"/>
      <c r="E402" s="201"/>
      <c r="F402" s="201"/>
      <c r="G402" s="201"/>
      <c r="H402" s="201"/>
      <c r="I402" s="201"/>
      <c r="J402" s="201"/>
      <c r="K402" s="201"/>
      <c r="L402" s="201"/>
      <c r="M402" s="201"/>
      <c r="N402" s="201"/>
      <c r="O402" s="201"/>
      <c r="P402" s="201"/>
      <c r="Q402" s="201"/>
      <c r="R402" s="201"/>
      <c r="S402" s="201"/>
      <c r="T402" s="201"/>
      <c r="U402" s="201"/>
      <c r="V402" s="201"/>
      <c r="W402" s="201"/>
      <c r="X402" s="201"/>
      <c r="Y402" s="201"/>
      <c r="Z402" s="201"/>
      <c r="AA402" s="351"/>
      <c r="AB402" s="389"/>
      <c r="AC402" s="357"/>
      <c r="AD402" s="357"/>
      <c r="AE402" s="357"/>
      <c r="AF402" s="357"/>
      <c r="AG402" s="357"/>
      <c r="AH402" s="357"/>
      <c r="AI402" s="314"/>
      <c r="AJ402" s="174">
        <f t="shared" ref="AJ402:AJ411" si="151">SUM(D402:AA402)</f>
        <v>0</v>
      </c>
      <c r="AK402" s="130"/>
      <c r="AL402" s="1088"/>
      <c r="AM402" s="31"/>
      <c r="AN402" s="1105"/>
      <c r="AO402" s="13">
        <v>318</v>
      </c>
      <c r="AP402" s="74"/>
      <c r="AQ402" s="149"/>
    </row>
    <row r="403" spans="1:43" s="14" customFormat="1" ht="25.5" hidden="1" x14ac:dyDescent="0.75">
      <c r="A403" s="1026"/>
      <c r="B403" s="199" t="s">
        <v>1014</v>
      </c>
      <c r="C403" s="580" t="s">
        <v>994</v>
      </c>
      <c r="D403" s="200"/>
      <c r="E403" s="201"/>
      <c r="F403" s="201"/>
      <c r="G403" s="201"/>
      <c r="H403" s="201"/>
      <c r="I403" s="201"/>
      <c r="J403" s="201"/>
      <c r="K403" s="201"/>
      <c r="L403" s="201"/>
      <c r="M403" s="201"/>
      <c r="N403" s="201"/>
      <c r="O403" s="201"/>
      <c r="P403" s="201"/>
      <c r="Q403" s="201"/>
      <c r="R403" s="201"/>
      <c r="S403" s="201"/>
      <c r="T403" s="201"/>
      <c r="U403" s="201"/>
      <c r="V403" s="201"/>
      <c r="W403" s="201"/>
      <c r="X403" s="201"/>
      <c r="Y403" s="201"/>
      <c r="Z403" s="201"/>
      <c r="AA403" s="351"/>
      <c r="AB403" s="389"/>
      <c r="AC403" s="357"/>
      <c r="AD403" s="357"/>
      <c r="AE403" s="357"/>
      <c r="AF403" s="357"/>
      <c r="AG403" s="357"/>
      <c r="AH403" s="357"/>
      <c r="AI403" s="314"/>
      <c r="AJ403" s="174">
        <f t="shared" si="151"/>
        <v>0</v>
      </c>
      <c r="AK403" s="130"/>
      <c r="AL403" s="1088"/>
      <c r="AM403" s="31"/>
      <c r="AN403" s="1105"/>
      <c r="AO403" s="13"/>
      <c r="AP403" s="74"/>
      <c r="AQ403" s="149"/>
    </row>
    <row r="404" spans="1:43" s="14" customFormat="1" ht="25.5" hidden="1" x14ac:dyDescent="0.75">
      <c r="A404" s="1026"/>
      <c r="B404" s="263" t="s">
        <v>521</v>
      </c>
      <c r="C404" s="580" t="s">
        <v>534</v>
      </c>
      <c r="D404" s="264"/>
      <c r="E404" s="265"/>
      <c r="F404" s="162">
        <f>F401-(F402+F403)</f>
        <v>0</v>
      </c>
      <c r="G404" s="162">
        <f t="shared" ref="G404:AA404" si="152">G401-(G402+G403)</f>
        <v>0</v>
      </c>
      <c r="H404" s="162">
        <f t="shared" si="152"/>
        <v>0</v>
      </c>
      <c r="I404" s="162">
        <f t="shared" si="152"/>
        <v>0</v>
      </c>
      <c r="J404" s="162">
        <f t="shared" si="152"/>
        <v>0</v>
      </c>
      <c r="K404" s="162">
        <f t="shared" si="152"/>
        <v>0</v>
      </c>
      <c r="L404" s="162">
        <f t="shared" si="152"/>
        <v>0</v>
      </c>
      <c r="M404" s="162">
        <f t="shared" si="152"/>
        <v>0</v>
      </c>
      <c r="N404" s="162">
        <f t="shared" si="152"/>
        <v>0</v>
      </c>
      <c r="O404" s="162">
        <f t="shared" si="152"/>
        <v>0</v>
      </c>
      <c r="P404" s="162">
        <f t="shared" si="152"/>
        <v>0</v>
      </c>
      <c r="Q404" s="162">
        <f t="shared" si="152"/>
        <v>0</v>
      </c>
      <c r="R404" s="162">
        <f t="shared" si="152"/>
        <v>0</v>
      </c>
      <c r="S404" s="162">
        <f t="shared" si="152"/>
        <v>0</v>
      </c>
      <c r="T404" s="162">
        <f t="shared" si="152"/>
        <v>0</v>
      </c>
      <c r="U404" s="162">
        <f t="shared" si="152"/>
        <v>0</v>
      </c>
      <c r="V404" s="162">
        <f t="shared" si="152"/>
        <v>0</v>
      </c>
      <c r="W404" s="162">
        <f t="shared" si="152"/>
        <v>0</v>
      </c>
      <c r="X404" s="162">
        <f t="shared" si="152"/>
        <v>0</v>
      </c>
      <c r="Y404" s="162">
        <f t="shared" si="152"/>
        <v>0</v>
      </c>
      <c r="Z404" s="162">
        <f t="shared" si="152"/>
        <v>0</v>
      </c>
      <c r="AA404" s="341">
        <f t="shared" si="152"/>
        <v>0</v>
      </c>
      <c r="AB404" s="389"/>
      <c r="AC404" s="357"/>
      <c r="AD404" s="357"/>
      <c r="AE404" s="357"/>
      <c r="AF404" s="357"/>
      <c r="AG404" s="357"/>
      <c r="AH404" s="357"/>
      <c r="AI404" s="314"/>
      <c r="AJ404" s="174">
        <f t="shared" si="151"/>
        <v>0</v>
      </c>
      <c r="AK404" s="130"/>
      <c r="AL404" s="1088"/>
      <c r="AM404" s="31" t="str">
        <f>CONCATENATE(IF(D404&gt;D405," * TB Cases newly tested for HIV "&amp;$D$20&amp;" "&amp;$D$21&amp;" is less than TB Cases eligible for Testing"&amp;CHAR(10),""),IF(E404&gt;E405," * TB Cases newly tested for HIV "&amp;$D$20&amp;" "&amp;$E$21&amp;" is less than TB Cases eligible for Testing"&amp;CHAR(10),""),IF(F404&gt;F405," * TB Cases newly tested for HIV "&amp;$F$20&amp;" "&amp;$F$21&amp;" is less than TB Cases eligible for Testing"&amp;CHAR(10),""),IF(G404&gt;G405," * TB Cases newly tested for HIV "&amp;$F$20&amp;" "&amp;$G$21&amp;" is less than TB Cases eligible for Testing"&amp;CHAR(10),""),IF(H404&gt;H405," * TB Cases newly tested for HIV "&amp;$H$20&amp;" "&amp;$H$21&amp;" is less than TB Cases eligible for Testing"&amp;CHAR(10),""),IF(I404&gt;I405," * TB Cases newly tested for HIV "&amp;$H$20&amp;" "&amp;$I$21&amp;" is less than TB Cases eligible for Testing"&amp;CHAR(10),""),IF(J404&gt;J405," * TB Cases newly tested for HIV "&amp;$J$20&amp;" "&amp;$J$21&amp;" is less than TB Cases eligible for Testing"&amp;CHAR(10),""),IF(K404&gt;K405," * TB Cases newly tested for HIV "&amp;$J$20&amp;" "&amp;$K$21&amp;" is less than TB Cases eligible for Testing"&amp;CHAR(10),""),IF(L404&gt;L405," * TB Cases newly tested for HIV "&amp;$L$20&amp;" "&amp;$L$21&amp;" is less than TB Cases eligible for Testing"&amp;CHAR(10),""),IF(M404&gt;M405," * TB Cases newly tested for HIV "&amp;$L$20&amp;" "&amp;$M$21&amp;" is less than TB Cases eligible for Testing"&amp;CHAR(10),""),IF(N404&gt;N405," * TB Cases newly tested for HIV "&amp;$N$20&amp;" "&amp;$N$21&amp;" is less than TB Cases eligible for Testing"&amp;CHAR(10),""),IF(O404&gt;O405," * TB Cases newly tested for HIV "&amp;$N$20&amp;" "&amp;$O$21&amp;" is less than TB Cases eligible for Testing"&amp;CHAR(10),""),IF(P404&gt;P405," * TB Cases newly tested for HIV "&amp;$P$20&amp;" "&amp;$P$21&amp;" is less than TB Cases eligible for Testing"&amp;CHAR(10),""),IF(Q404&gt;Q405," * TB Cases newly tested for HIV "&amp;$P$20&amp;" "&amp;$Q$21&amp;" is less than TB Cases eligible for Testing"&amp;CHAR(10),""),IF(R404&gt;R405," * TB Cases newly tested for HIV "&amp;$R$20&amp;" "&amp;$R$21&amp;" is less than TB Cases eligible for Testing"&amp;CHAR(10),""),IF(S404&gt;S405," * TB Cases newly tested for HIV "&amp;$R$20&amp;" "&amp;$S$21&amp;" is less than TB Cases eligible for Testing"&amp;CHAR(10),""),IF(T404&gt;T405," * TB Cases newly tested for HIV "&amp;$T$20&amp;" "&amp;$T$21&amp;" is less than TB Cases eligible for Testing"&amp;CHAR(10),""),IF(U404&gt;U405," * TB Cases newly tested for HIV "&amp;$T$20&amp;" "&amp;$U$21&amp;" is less than TB Cases eligible for Testing"&amp;CHAR(10),""),IF(V404&gt;V405," * TB Cases newly tested for HIV "&amp;$V$20&amp;" "&amp;$V$21&amp;" is less than TB Cases eligible for Testing"&amp;CHAR(10),""),IF(W404&gt;W405," * TB Cases newly tested for HIV "&amp;$V$20&amp;" "&amp;$W$21&amp;" is less than TB Cases eligible for Testing"&amp;CHAR(10),""),IF(X404&gt;X405," * TB Cases newly tested for HIV "&amp;$X$20&amp;" "&amp;$X$21&amp;" is less than TB Cases eligible for Testing"&amp;CHAR(10),""),IF(Y404&gt;Y405," * TB Cases newly tested for HIV "&amp;$X$20&amp;" "&amp;$Y$21&amp;" is less than TB Cases eligible for Testing"&amp;CHAR(10),""),IF(Z404&gt;Z405," * TB Cases newly tested for HIV "&amp;$Z$20&amp;" "&amp;$Z$21&amp;" is less than TB Cases eligible for Testing"&amp;CHAR(10),""),IF(AA404&gt;AA405," * TB Cases newly tested for HIV "&amp;$Z$20&amp;" "&amp;$AA$21&amp;" is less than TB Cases eligible for Testing"&amp;CHAR(10),""))</f>
        <v/>
      </c>
      <c r="AN404" s="1105"/>
      <c r="AO404" s="13">
        <v>319</v>
      </c>
      <c r="AP404" s="74"/>
      <c r="AQ404" s="149"/>
    </row>
    <row r="405" spans="1:43" s="266" customFormat="1" ht="25.5" hidden="1" x14ac:dyDescent="0.75">
      <c r="A405" s="1026"/>
      <c r="B405" s="199" t="s">
        <v>543</v>
      </c>
      <c r="C405" s="580" t="s">
        <v>535</v>
      </c>
      <c r="D405" s="264"/>
      <c r="E405" s="265"/>
      <c r="F405" s="129"/>
      <c r="G405" s="129"/>
      <c r="H405" s="129"/>
      <c r="I405" s="129"/>
      <c r="J405" s="129"/>
      <c r="K405" s="129"/>
      <c r="L405" s="129"/>
      <c r="M405" s="129"/>
      <c r="N405" s="129"/>
      <c r="O405" s="129"/>
      <c r="P405" s="129"/>
      <c r="Q405" s="129"/>
      <c r="R405" s="129"/>
      <c r="S405" s="129"/>
      <c r="T405" s="129"/>
      <c r="U405" s="129"/>
      <c r="V405" s="129"/>
      <c r="W405" s="129"/>
      <c r="X405" s="129"/>
      <c r="Y405" s="129"/>
      <c r="Z405" s="129"/>
      <c r="AA405" s="332"/>
      <c r="AB405" s="389"/>
      <c r="AC405" s="357"/>
      <c r="AD405" s="357"/>
      <c r="AE405" s="357"/>
      <c r="AF405" s="357"/>
      <c r="AG405" s="357"/>
      <c r="AH405" s="357"/>
      <c r="AI405" s="314"/>
      <c r="AJ405" s="174">
        <f t="shared" si="151"/>
        <v>0</v>
      </c>
      <c r="AK405" s="30" t="str">
        <f>CONCATENATE(IF(D401&lt;D405," * TB Cases newly tested for HIV "&amp;$D$20&amp;" "&amp;$D$21&amp;" is more than Total TB Cases New and relapsed"&amp;CHAR(10),""),IF(E401&lt;E405," * TB Cases newly tested for HIV "&amp;$D$20&amp;" "&amp;$E$21&amp;" is more than Total TB Cases New and relapsed"&amp;CHAR(10),""),IF(F401&lt;F405," * TB Cases newly tested for HIV "&amp;$F$20&amp;" "&amp;$F$21&amp;" is more than Total TB Cases New and relapsed"&amp;CHAR(10),""),IF(G401&lt;G405," * TB Cases newly tested for HIV "&amp;$F$20&amp;" "&amp;$G$21&amp;" is more than Total TB Cases New and relapsed"&amp;CHAR(10),""),IF(H401&lt;H405," * TB Cases newly tested for HIV "&amp;$H$20&amp;" "&amp;$H$21&amp;" is more than Total TB Cases New and relapsed"&amp;CHAR(10),""),IF(I401&lt;I405," * TB Cases newly tested for HIV "&amp;$H$20&amp;" "&amp;$I$21&amp;" is more than Total TB Cases New and relapsed"&amp;CHAR(10),""),IF(J401&lt;J405," * TB Cases newly tested for HIV "&amp;$J$20&amp;" "&amp;$J$21&amp;" is more than Total TB Cases New and relapsed"&amp;CHAR(10),""),IF(K401&lt;K405," * TB Cases newly tested for HIV "&amp;$J$20&amp;" "&amp;$K$21&amp;" is more than Total TB Cases New and relapsed"&amp;CHAR(10),""),IF(L401&lt;L405," * TB Cases newly tested for HIV "&amp;$L$20&amp;" "&amp;$L$21&amp;" is more than Total TB Cases New and relapsed"&amp;CHAR(10),""),IF(M401&lt;M405," * TB Cases newly tested for HIV "&amp;$L$20&amp;" "&amp;$M$21&amp;" is more than Total TB Cases New and relapsed"&amp;CHAR(10),""),IF(N401&lt;N405," * TB Cases newly tested for HIV "&amp;$N$20&amp;" "&amp;$N$21&amp;" is more than Total TB Cases New and relapsed"&amp;CHAR(10),""),IF(O401&lt;O405," * TB Cases newly tested for HIV "&amp;$N$20&amp;" "&amp;$O$21&amp;" is more than Total TB Cases New and relapsed"&amp;CHAR(10),""),IF(P401&lt;P405," * TB Cases newly tested for HIV "&amp;$P$20&amp;" "&amp;$P$21&amp;" is more than Total TB Cases New and relapsed"&amp;CHAR(10),""),IF(Q401&lt;Q405," * TB Cases newly tested for HIV "&amp;$P$20&amp;" "&amp;$Q$21&amp;" is more than Total TB Cases New and relapsed"&amp;CHAR(10),""),IF(R401&lt;R405," * TB Cases newly tested for HIV "&amp;$R$20&amp;" "&amp;$R$21&amp;" is more than Total TB Cases New and relapsed"&amp;CHAR(10),""),IF(S401&lt;S405," * TB Cases newly tested for HIV "&amp;$R$20&amp;" "&amp;$S$21&amp;" is more than Total TB Cases New and relapsed"&amp;CHAR(10),""),IF(T401&lt;T405," * TB Cases newly tested for HIV "&amp;$T$20&amp;" "&amp;$T$21&amp;" is more than Total TB Cases New and relapsed"&amp;CHAR(10),""),IF(U401&lt;U405," * TB Cases newly tested for HIV "&amp;$T$20&amp;" "&amp;$U$21&amp;" is more than Total TB Cases New and relapsed"&amp;CHAR(10),""),IF(V401&lt;V405," * TB Cases newly tested for HIV "&amp;$V$20&amp;" "&amp;$V$21&amp;" is more than Total TB Cases New and relapsed"&amp;CHAR(10),""),IF(W401&lt;W405," * TB Cases newly tested for HIV "&amp;$V$20&amp;" "&amp;$W$21&amp;" is more than Total TB Cases New and relapsed"&amp;CHAR(10),""),IF(X401&lt;X405," * TB Cases newly tested for HIV "&amp;$X$20&amp;" "&amp;$X$21&amp;" is more than Total TB Cases New and relapsed"&amp;CHAR(10),""),IF(Y401&lt;Y405," * TB Cases newly tested for HIV "&amp;$X$20&amp;" "&amp;$Y$21&amp;" is more than Total TB Cases New and relapsed"&amp;CHAR(10),""),IF(Z401&lt;Z405," * TB Cases newly tested for HIV "&amp;$Z$20&amp;" "&amp;$Z$21&amp;" is more than Total TB Cases New and relapsed"&amp;CHAR(10),""),IF(AA401&lt;AA405," * TB Cases newly tested for HIV "&amp;$Z$20&amp;" "&amp;$AA$21&amp;" is more than Total TB Cases New and relapsed"&amp;CHAR(10),""))</f>
        <v/>
      </c>
      <c r="AL405" s="1088"/>
      <c r="AM405" s="60"/>
      <c r="AN405" s="1105"/>
      <c r="AO405" s="13">
        <v>320</v>
      </c>
      <c r="AP405" s="80"/>
      <c r="AQ405" s="149"/>
    </row>
    <row r="406" spans="1:43" s="14" customFormat="1" ht="25.5" hidden="1" x14ac:dyDescent="0.75">
      <c r="A406" s="1026"/>
      <c r="B406" s="263" t="s">
        <v>522</v>
      </c>
      <c r="C406" s="580" t="s">
        <v>536</v>
      </c>
      <c r="D406" s="264"/>
      <c r="E406" s="265"/>
      <c r="F406" s="162">
        <f t="shared" ref="F406:AA406" si="153">F405+F402</f>
        <v>0</v>
      </c>
      <c r="G406" s="162">
        <f t="shared" si="153"/>
        <v>0</v>
      </c>
      <c r="H406" s="162">
        <f t="shared" si="153"/>
        <v>0</v>
      </c>
      <c r="I406" s="162">
        <f t="shared" si="153"/>
        <v>0</v>
      </c>
      <c r="J406" s="162">
        <f t="shared" si="153"/>
        <v>0</v>
      </c>
      <c r="K406" s="162">
        <f t="shared" si="153"/>
        <v>0</v>
      </c>
      <c r="L406" s="162">
        <f t="shared" si="153"/>
        <v>0</v>
      </c>
      <c r="M406" s="162">
        <f t="shared" si="153"/>
        <v>0</v>
      </c>
      <c r="N406" s="162">
        <f t="shared" si="153"/>
        <v>0</v>
      </c>
      <c r="O406" s="162">
        <f t="shared" si="153"/>
        <v>0</v>
      </c>
      <c r="P406" s="162">
        <f t="shared" si="153"/>
        <v>0</v>
      </c>
      <c r="Q406" s="162">
        <f t="shared" si="153"/>
        <v>0</v>
      </c>
      <c r="R406" s="162">
        <f t="shared" si="153"/>
        <v>0</v>
      </c>
      <c r="S406" s="162">
        <f t="shared" si="153"/>
        <v>0</v>
      </c>
      <c r="T406" s="162">
        <f t="shared" si="153"/>
        <v>0</v>
      </c>
      <c r="U406" s="162">
        <f t="shared" si="153"/>
        <v>0</v>
      </c>
      <c r="V406" s="162">
        <f t="shared" si="153"/>
        <v>0</v>
      </c>
      <c r="W406" s="162">
        <f t="shared" si="153"/>
        <v>0</v>
      </c>
      <c r="X406" s="162">
        <f t="shared" si="153"/>
        <v>0</v>
      </c>
      <c r="Y406" s="162">
        <f t="shared" si="153"/>
        <v>0</v>
      </c>
      <c r="Z406" s="162">
        <f t="shared" si="153"/>
        <v>0</v>
      </c>
      <c r="AA406" s="341">
        <f t="shared" si="153"/>
        <v>0</v>
      </c>
      <c r="AB406" s="389"/>
      <c r="AC406" s="357"/>
      <c r="AD406" s="357"/>
      <c r="AE406" s="357"/>
      <c r="AF406" s="357"/>
      <c r="AG406" s="357"/>
      <c r="AH406" s="357"/>
      <c r="AI406" s="314"/>
      <c r="AJ406" s="174">
        <f t="shared" si="151"/>
        <v>0</v>
      </c>
      <c r="AK406" s="30" t="str">
        <f>CONCATENATE(IF(D401&lt;D406," * TB cases with documented HIV status "&amp;$D$20&amp;" "&amp;$D$21&amp;" is more than Total TB Cases New and relapsed"&amp;CHAR(10),""),IF(E401&lt;E406," * TB cases with documented HIV status "&amp;$D$20&amp;" "&amp;$E$21&amp;" is more than Total TB Cases New and relapsed"&amp;CHAR(10),""),IF(F401&lt;F406," * TB cases with documented HIV status "&amp;$F$20&amp;" "&amp;$F$21&amp;" is more than Total TB Cases New and relapsed"&amp;CHAR(10),""),IF(G401&lt;G406," * TB cases with documented HIV status "&amp;$F$20&amp;" "&amp;$G$21&amp;" is more than Total TB Cases New and relapsed"&amp;CHAR(10),""),IF(H401&lt;H406," * TB cases with documented HIV status "&amp;$H$20&amp;" "&amp;$H$21&amp;" is more than Total TB Cases New and relapsed"&amp;CHAR(10),""),IF(I401&lt;I406," * TB cases with documented HIV status "&amp;$H$20&amp;" "&amp;$I$21&amp;" is more than Total TB Cases New and relapsed"&amp;CHAR(10),""),IF(J401&lt;J406," * TB cases with documented HIV status "&amp;$J$20&amp;" "&amp;$J$21&amp;" is more than Total TB Cases New and relapsed"&amp;CHAR(10),""),IF(K401&lt;K406," * TB cases with documented HIV status "&amp;$J$20&amp;" "&amp;$K$21&amp;" is more than Total TB Cases New and relapsed"&amp;CHAR(10),""),IF(L401&lt;L406," * TB cases with documented HIV status "&amp;$L$20&amp;" "&amp;$L$21&amp;" is more than Total TB Cases New and relapsed"&amp;CHAR(10),""),IF(M401&lt;M406," * TB cases with documented HIV status "&amp;$L$20&amp;" "&amp;$M$21&amp;" is more than Total TB Cases New and relapsed"&amp;CHAR(10),""),IF(N401&lt;N406," * TB cases with documented HIV status "&amp;$N$20&amp;" "&amp;$N$21&amp;" is more than Total TB Cases New and relapsed"&amp;CHAR(10),""),IF(O401&lt;O406," * TB cases with documented HIV status "&amp;$N$20&amp;" "&amp;$O$21&amp;" is more than Total TB Cases New and relapsed"&amp;CHAR(10),""),IF(P401&lt;P406," * TB cases with documented HIV status "&amp;$P$20&amp;" "&amp;$P$21&amp;" is more than Total TB Cases New and relapsed"&amp;CHAR(10),""),IF(Q401&lt;Q406," * TB cases with documented HIV status "&amp;$P$20&amp;" "&amp;$Q$21&amp;" is more than Total TB Cases New and relapsed"&amp;CHAR(10),""),IF(R401&lt;R406," * TB cases with documented HIV status "&amp;$R$20&amp;" "&amp;$R$21&amp;" is more than Total TB Cases New and relapsed"&amp;CHAR(10),""),IF(S401&lt;S406," * TB cases with documented HIV status "&amp;$R$20&amp;" "&amp;$S$21&amp;" is more than Total TB Cases New and relapsed"&amp;CHAR(10),""),IF(T401&lt;T406," * TB cases with documented HIV status "&amp;$T$20&amp;" "&amp;$T$21&amp;" is more than Total TB Cases New and relapsed"&amp;CHAR(10),""),IF(U401&lt;U406," * TB cases with documented HIV status "&amp;$T$20&amp;" "&amp;$U$21&amp;" is more than Total TB Cases New and relapsed"&amp;CHAR(10),""),IF(V401&lt;V406," * TB cases with documented HIV status "&amp;$V$20&amp;" "&amp;$V$21&amp;" is more than Total TB Cases New and relapsed"&amp;CHAR(10),""),IF(W401&lt;W406," * TB cases with documented HIV status "&amp;$V$20&amp;" "&amp;$W$21&amp;" is more than Total TB Cases New and relapsed"&amp;CHAR(10),""),IF(X401&lt;X406," * TB cases with documented HIV status "&amp;$X$20&amp;" "&amp;$X$21&amp;" is more than Total TB Cases New and relapsed"&amp;CHAR(10),""),IF(Y401&lt;Y406," * TB cases with documented HIV status "&amp;$X$20&amp;" "&amp;$Y$21&amp;" is more than Total TB Cases New and relapsed"&amp;CHAR(10),""),IF(Z401&lt;Z406," * TB cases with documented HIV status "&amp;$Z$20&amp;" "&amp;$Z$21&amp;" is more than Total TB Cases New and relapsed"&amp;CHAR(10),""),IF(AA401&lt;AA406," * TB cases with documented HIV status "&amp;$Z$20&amp;" "&amp;$AA$21&amp;" is more than Total TB Cases New and relapsed"&amp;CHAR(10),""))</f>
        <v/>
      </c>
      <c r="AL406" s="1088"/>
      <c r="AM406" s="31"/>
      <c r="AN406" s="1105"/>
      <c r="AO406" s="13">
        <v>321</v>
      </c>
      <c r="AP406" s="74"/>
      <c r="AQ406" s="149"/>
    </row>
    <row r="407" spans="1:43" ht="25.5" hidden="1" x14ac:dyDescent="0.75">
      <c r="A407" s="1026"/>
      <c r="B407" s="199" t="s">
        <v>545</v>
      </c>
      <c r="C407" s="580" t="s">
        <v>537</v>
      </c>
      <c r="D407" s="264"/>
      <c r="E407" s="265"/>
      <c r="F407" s="79"/>
      <c r="G407" s="79"/>
      <c r="H407" s="79"/>
      <c r="I407" s="79"/>
      <c r="J407" s="79"/>
      <c r="K407" s="79"/>
      <c r="L407" s="79"/>
      <c r="M407" s="79"/>
      <c r="N407" s="79"/>
      <c r="O407" s="79"/>
      <c r="P407" s="79"/>
      <c r="Q407" s="79"/>
      <c r="R407" s="79"/>
      <c r="S407" s="79"/>
      <c r="T407" s="79"/>
      <c r="U407" s="79"/>
      <c r="V407" s="79"/>
      <c r="W407" s="79"/>
      <c r="X407" s="79"/>
      <c r="Y407" s="79"/>
      <c r="Z407" s="79"/>
      <c r="AA407" s="319"/>
      <c r="AB407" s="389"/>
      <c r="AC407" s="357"/>
      <c r="AD407" s="357"/>
      <c r="AE407" s="357"/>
      <c r="AF407" s="357"/>
      <c r="AG407" s="357"/>
      <c r="AH407" s="357"/>
      <c r="AI407" s="314"/>
      <c r="AJ407" s="174">
        <f t="shared" si="151"/>
        <v>0</v>
      </c>
      <c r="AK407" s="30" t="str">
        <f>CONCATENATE(IF(D405&lt;D407," * Newly Tested Positives "&amp;$D$20&amp;" "&amp;$D$21&amp;" is more than TB Cases newly tested for HIV"&amp;CHAR(10),""),IF(E405&lt;E407," * Newly Tested Positives "&amp;$D$20&amp;" "&amp;$E$21&amp;" is more than TB Cases newly tested for HIV"&amp;CHAR(10),""),IF(F405&lt;F407," * Newly Tested Positives "&amp;$F$20&amp;" "&amp;$F$21&amp;" is more than TB Cases newly tested for HIV"&amp;CHAR(10),""),IF(G405&lt;G407," * Newly Tested Positives "&amp;$F$20&amp;" "&amp;$G$21&amp;" is more than TB Cases newly tested for HIV"&amp;CHAR(10),""),IF(H405&lt;H407," * Newly Tested Positives "&amp;$H$20&amp;" "&amp;$H$21&amp;" is more than TB Cases newly tested for HIV"&amp;CHAR(10),""),IF(I405&lt;I407," * Newly Tested Positives "&amp;$H$20&amp;" "&amp;$I$21&amp;" is more than TB Cases newly tested for HIV"&amp;CHAR(10),""),IF(J405&lt;J407," * Newly Tested Positives "&amp;$J$20&amp;" "&amp;$J$21&amp;" is more than TB Cases newly tested for HIV"&amp;CHAR(10),""),IF(K405&lt;K407," * Newly Tested Positives "&amp;$J$20&amp;" "&amp;$K$21&amp;" is more than TB Cases newly tested for HIV"&amp;CHAR(10),""),IF(L405&lt;L407," * Newly Tested Positives "&amp;$L$20&amp;" "&amp;$L$21&amp;" is more than TB Cases newly tested for HIV"&amp;CHAR(10),""),IF(M405&lt;M407," * Newly Tested Positives "&amp;$L$20&amp;" "&amp;$M$21&amp;" is more than TB Cases newly tested for HIV"&amp;CHAR(10),""),IF(N405&lt;N407," * Newly Tested Positives "&amp;$N$20&amp;" "&amp;$N$21&amp;" is more than TB Cases newly tested for HIV"&amp;CHAR(10),""),IF(O405&lt;O407," * Newly Tested Positives "&amp;$N$20&amp;" "&amp;$O$21&amp;" is more than TB Cases newly tested for HIV"&amp;CHAR(10),""),IF(P405&lt;P407," * Newly Tested Positives "&amp;$P$20&amp;" "&amp;$P$21&amp;" is more than TB Cases newly tested for HIV"&amp;CHAR(10),""),IF(Q405&lt;Q407," * Newly Tested Positives "&amp;$P$20&amp;" "&amp;$Q$21&amp;" is more than TB Cases newly tested for HIV"&amp;CHAR(10),""),IF(R405&lt;R407," * Newly Tested Positives "&amp;$R$20&amp;" "&amp;$R$21&amp;" is more than TB Cases newly tested for HIV"&amp;CHAR(10),""),IF(S405&lt;S407," * Newly Tested Positives "&amp;$R$20&amp;" "&amp;$S$21&amp;" is more than TB Cases newly tested for HIV"&amp;CHAR(10),""),IF(T405&lt;T407," * Newly Tested Positives "&amp;$T$20&amp;" "&amp;$T$21&amp;" is more than TB Cases newly tested for HIV"&amp;CHAR(10),""),IF(U405&lt;U407," * Newly Tested Positives "&amp;$T$20&amp;" "&amp;$U$21&amp;" is more than TB Cases newly tested for HIV"&amp;CHAR(10),""),IF(V405&lt;V407," * Newly Tested Positives "&amp;$V$20&amp;" "&amp;$V$21&amp;" is more than TB Cases newly tested for HIV"&amp;CHAR(10),""),IF(W405&lt;W407," * Newly Tested Positives "&amp;$V$20&amp;" "&amp;$W$21&amp;" is more than TB Cases newly tested for HIV"&amp;CHAR(10),""),IF(X405&lt;X407," * Newly Tested Positives "&amp;$X$20&amp;" "&amp;$X$21&amp;" is more than TB Cases newly tested for HIV"&amp;CHAR(10),""),IF(Y405&lt;Y407," * Newly Tested Positives "&amp;$X$20&amp;" "&amp;$Y$21&amp;" is more than TB Cases newly tested for HIV"&amp;CHAR(10),""),IF(Z405&lt;Z407," * Newly Tested Positives "&amp;$Z$20&amp;" "&amp;$Z$21&amp;" is more than TB Cases newly tested for HIV"&amp;CHAR(10),""),IF(AA405&lt;AA407," * Newly Tested Positives "&amp;$Z$20&amp;" "&amp;$AA$21&amp;" is more than TB Cases newly tested for HIV"&amp;CHAR(10),""))</f>
        <v/>
      </c>
      <c r="AL407" s="1088"/>
      <c r="AM407" s="31"/>
      <c r="AN407" s="1105"/>
      <c r="AO407" s="13">
        <v>322</v>
      </c>
      <c r="AP407" s="74"/>
      <c r="AQ407" s="75"/>
    </row>
    <row r="408" spans="1:43" ht="25.9" hidden="1" thickBot="1" x14ac:dyDescent="0.8">
      <c r="A408" s="1026"/>
      <c r="B408" s="225" t="s">
        <v>538</v>
      </c>
      <c r="C408" s="600" t="s">
        <v>539</v>
      </c>
      <c r="D408" s="267"/>
      <c r="E408" s="115"/>
      <c r="F408" s="268">
        <f t="shared" ref="F408:AA408" si="154">F407+F402</f>
        <v>0</v>
      </c>
      <c r="G408" s="268">
        <f t="shared" si="154"/>
        <v>0</v>
      </c>
      <c r="H408" s="268">
        <f t="shared" si="154"/>
        <v>0</v>
      </c>
      <c r="I408" s="268">
        <f t="shared" si="154"/>
        <v>0</v>
      </c>
      <c r="J408" s="268">
        <f t="shared" si="154"/>
        <v>0</v>
      </c>
      <c r="K408" s="268">
        <f t="shared" si="154"/>
        <v>0</v>
      </c>
      <c r="L408" s="268">
        <f t="shared" si="154"/>
        <v>0</v>
      </c>
      <c r="M408" s="268">
        <f t="shared" si="154"/>
        <v>0</v>
      </c>
      <c r="N408" s="268">
        <f t="shared" si="154"/>
        <v>0</v>
      </c>
      <c r="O408" s="268">
        <f t="shared" si="154"/>
        <v>0</v>
      </c>
      <c r="P408" s="268">
        <f t="shared" si="154"/>
        <v>0</v>
      </c>
      <c r="Q408" s="268">
        <f t="shared" si="154"/>
        <v>0</v>
      </c>
      <c r="R408" s="268">
        <f t="shared" si="154"/>
        <v>0</v>
      </c>
      <c r="S408" s="268">
        <f t="shared" si="154"/>
        <v>0</v>
      </c>
      <c r="T408" s="268">
        <f t="shared" si="154"/>
        <v>0</v>
      </c>
      <c r="U408" s="268">
        <f t="shared" si="154"/>
        <v>0</v>
      </c>
      <c r="V408" s="268">
        <f t="shared" si="154"/>
        <v>0</v>
      </c>
      <c r="W408" s="268">
        <f t="shared" si="154"/>
        <v>0</v>
      </c>
      <c r="X408" s="268">
        <f t="shared" si="154"/>
        <v>0</v>
      </c>
      <c r="Y408" s="268">
        <f t="shared" si="154"/>
        <v>0</v>
      </c>
      <c r="Z408" s="268">
        <f t="shared" si="154"/>
        <v>0</v>
      </c>
      <c r="AA408" s="368">
        <f t="shared" si="154"/>
        <v>0</v>
      </c>
      <c r="AB408" s="389"/>
      <c r="AC408" s="357"/>
      <c r="AD408" s="357"/>
      <c r="AE408" s="357"/>
      <c r="AF408" s="357"/>
      <c r="AG408" s="357"/>
      <c r="AH408" s="357"/>
      <c r="AI408" s="314"/>
      <c r="AJ408" s="394">
        <f t="shared" si="151"/>
        <v>0</v>
      </c>
      <c r="AK408" s="476"/>
      <c r="AL408" s="1088"/>
      <c r="AM408" s="31"/>
      <c r="AN408" s="1105"/>
      <c r="AO408" s="13">
        <v>323</v>
      </c>
      <c r="AP408" s="74"/>
      <c r="AQ408" s="75"/>
    </row>
    <row r="409" spans="1:43" ht="25.5" hidden="1" x14ac:dyDescent="0.75">
      <c r="A409" s="1026"/>
      <c r="B409" s="269" t="s">
        <v>542</v>
      </c>
      <c r="C409" s="579" t="s">
        <v>540</v>
      </c>
      <c r="D409" s="270"/>
      <c r="E409" s="271"/>
      <c r="F409" s="94"/>
      <c r="G409" s="94"/>
      <c r="H409" s="94"/>
      <c r="I409" s="94"/>
      <c r="J409" s="94"/>
      <c r="K409" s="94"/>
      <c r="L409" s="94"/>
      <c r="M409" s="94"/>
      <c r="N409" s="94"/>
      <c r="O409" s="94"/>
      <c r="P409" s="94"/>
      <c r="Q409" s="94"/>
      <c r="R409" s="94"/>
      <c r="S409" s="94"/>
      <c r="T409" s="94"/>
      <c r="U409" s="94"/>
      <c r="V409" s="94"/>
      <c r="W409" s="94"/>
      <c r="X409" s="94"/>
      <c r="Y409" s="94"/>
      <c r="Z409" s="94"/>
      <c r="AA409" s="322"/>
      <c r="AB409" s="389"/>
      <c r="AC409" s="357"/>
      <c r="AD409" s="357"/>
      <c r="AE409" s="357"/>
      <c r="AF409" s="357"/>
      <c r="AG409" s="357"/>
      <c r="AH409" s="357"/>
      <c r="AI409" s="314"/>
      <c r="AJ409" s="189">
        <f t="shared" si="151"/>
        <v>0</v>
      </c>
      <c r="AK409" s="30"/>
      <c r="AL409" s="1088"/>
      <c r="AM409" s="30" t="str">
        <f>CONCATENATE(IF(D407&gt;D409," * Newly Tested Positives "&amp;$D$20&amp;" "&amp;$D$21&amp;" is more than Total Positive Clients newly started on ART"&amp;CHAR(10),""),IF(E407&gt;E409," * Newly Tested Positives "&amp;$D$20&amp;" "&amp;$E$21&amp;" is more than Total Positive Clients newly started on ART"&amp;CHAR(10),""),IF(F407&gt;F409," * Newly Tested Positives "&amp;$F$20&amp;" "&amp;$F$21&amp;" is more than Total Positive Clients newly started on ART"&amp;CHAR(10),""),IF(G407&gt;G409," * Newly Tested Positives "&amp;$F$20&amp;" "&amp;$G$21&amp;" is more than Total Positive Clients newly started on ART"&amp;CHAR(10),""),IF(H407&gt;H409," * Newly Tested Positives "&amp;$H$20&amp;" "&amp;$H$21&amp;" is more than Total Positive Clients newly started on ART"&amp;CHAR(10),""),IF(I407&gt;I409," * Newly Tested Positives "&amp;$H$20&amp;" "&amp;$I$21&amp;" is more than Total Positive Clients newly started on ART"&amp;CHAR(10),""),IF(J407&gt;J409," * Newly Tested Positives "&amp;$J$20&amp;" "&amp;$J$21&amp;" is more than Total Positive Clients newly started on ART"&amp;CHAR(10),""),IF(K407&gt;K409," * Newly Tested Positives "&amp;$J$20&amp;" "&amp;$K$21&amp;" is more than Total Positive Clients newly started on ART"&amp;CHAR(10),""),IF(L407&gt;L409," * Newly Tested Positives "&amp;$L$20&amp;" "&amp;$L$21&amp;" is more than Total Positive Clients newly started on ART"&amp;CHAR(10),""),IF(M407&gt;M409," * Newly Tested Positives "&amp;$L$20&amp;" "&amp;$M$21&amp;" is more than Total Positive Clients newly started on ART"&amp;CHAR(10),""),IF(N407&gt;N409," * Newly Tested Positives "&amp;$N$20&amp;" "&amp;$N$21&amp;" is more than Total Positive Clients newly started on ART"&amp;CHAR(10),""),IF(O407&gt;O409," * Newly Tested Positives "&amp;$N$20&amp;" "&amp;$O$21&amp;" is more than Total Positive Clients newly started on ART"&amp;CHAR(10),""),IF(P407&gt;P409," * Newly Tested Positives "&amp;$P$20&amp;" "&amp;$P$21&amp;" is more than Total Positive Clients newly started on ART"&amp;CHAR(10),""),IF(Q407&gt;Q409," * Newly Tested Positives "&amp;$P$20&amp;" "&amp;$Q$21&amp;" is more than Total Positive Clients newly started on ART"&amp;CHAR(10),""),IF(R407&gt;R409," * Newly Tested Positives "&amp;$R$20&amp;" "&amp;$R$21&amp;" is more than Total Positive Clients newly started on ART"&amp;CHAR(10),""),IF(S407&gt;S409," * Newly Tested Positives "&amp;$R$20&amp;" "&amp;$S$21&amp;" is more than Total Positive Clients newly started on ART"&amp;CHAR(10),""),IF(T407&gt;T409," * Newly Tested Positives "&amp;$T$20&amp;" "&amp;$T$21&amp;" is more than Total Positive Clients newly started on ART"&amp;CHAR(10),""),IF(U407&gt;U409," * Newly Tested Positives "&amp;$T$20&amp;" "&amp;$U$21&amp;" is more than Total Positive Clients newly started on ART"&amp;CHAR(10),""),IF(V407&gt;V409," * Newly Tested Positives "&amp;$V$20&amp;" "&amp;$V$21&amp;" is more than Total Positive Clients newly started on ART"&amp;CHAR(10),""),IF(W407&gt;W409," * Newly Tested Positives "&amp;$V$20&amp;" "&amp;$W$21&amp;" is more than Total Positive Clients newly started on ART"&amp;CHAR(10),""),IF(X407&gt;X409," * Newly Tested Positives "&amp;$X$20&amp;" "&amp;$X$21&amp;" is more than Total Positive Clients newly started on ART"&amp;CHAR(10),""),IF(Y407&gt;Y409," * Newly Tested Positives "&amp;$X$20&amp;" "&amp;$Y$21&amp;" is more than Total Positive Clients newly started on ART"&amp;CHAR(10),""),IF(Z407&gt;Z409," * Newly Tested Positives "&amp;$Z$20&amp;" "&amp;$Z$21&amp;" is more than Total Positive Clients newly started on ART"&amp;CHAR(10),""),IF(AA407&gt;AA409," * Newly Tested Positives "&amp;$Z$20&amp;" "&amp;$AA$21&amp;" is more than Total Positive Clients newly started on ART"&amp;CHAR(10),""))</f>
        <v/>
      </c>
      <c r="AN409" s="1105"/>
      <c r="AO409" s="13">
        <v>324</v>
      </c>
      <c r="AP409" s="74"/>
      <c r="AQ409" s="75"/>
    </row>
    <row r="410" spans="1:43" ht="25.5" hidden="1" x14ac:dyDescent="0.75">
      <c r="A410" s="1026"/>
      <c r="B410" s="272" t="s">
        <v>544</v>
      </c>
      <c r="C410" s="580" t="s">
        <v>541</v>
      </c>
      <c r="D410" s="264"/>
      <c r="E410" s="265"/>
      <c r="F410" s="79"/>
      <c r="G410" s="79"/>
      <c r="H410" s="79"/>
      <c r="I410" s="79"/>
      <c r="J410" s="79"/>
      <c r="K410" s="79"/>
      <c r="L410" s="79"/>
      <c r="M410" s="79"/>
      <c r="N410" s="79"/>
      <c r="O410" s="79"/>
      <c r="P410" s="79"/>
      <c r="Q410" s="79"/>
      <c r="R410" s="79"/>
      <c r="S410" s="79"/>
      <c r="T410" s="79"/>
      <c r="U410" s="79"/>
      <c r="V410" s="79"/>
      <c r="W410" s="79"/>
      <c r="X410" s="79"/>
      <c r="Y410" s="79"/>
      <c r="Z410" s="79"/>
      <c r="AA410" s="319"/>
      <c r="AB410" s="389"/>
      <c r="AC410" s="357"/>
      <c r="AD410" s="357"/>
      <c r="AE410" s="357"/>
      <c r="AF410" s="357"/>
      <c r="AG410" s="357"/>
      <c r="AH410" s="357"/>
      <c r="AI410" s="314"/>
      <c r="AJ410" s="174">
        <f t="shared" si="151"/>
        <v>0</v>
      </c>
      <c r="AK410" s="30" t="str">
        <f>CONCATENATE(IF(D402&lt;&gt;D410," * TB Cases Already on ART at entry in TB clinic "&amp;$D$20&amp;" "&amp;$D$21&amp;" is Not equal to  TB cases with known HIV +ve status"&amp;CHAR(10),""),IF(E402&lt;&gt;E410," * TB Cases Already on ART at entry in TB clinic "&amp;$D$20&amp;" "&amp;$E$21&amp;" is Not equal to  TB cases with known HIV +ve status"&amp;CHAR(10),""),IF(F402&lt;&gt;F410," * TB Cases Already on ART at entry in TB clinic "&amp;$F$20&amp;" "&amp;$F$21&amp;" is Not equal to  TB cases with known HIV +ve status"&amp;CHAR(10),""),IF(G402&lt;&gt;G410," * TB Cases Already on ART at entry in TB clinic "&amp;$F$20&amp;" "&amp;$G$21&amp;" is Not equal to  TB cases with known HIV +ve status"&amp;CHAR(10),""),IF(H402&lt;&gt;H410," * TB Cases Already on ART at entry in TB clinic "&amp;$H$20&amp;" "&amp;$H$21&amp;" is Not equal to  TB cases with known HIV +ve status"&amp;CHAR(10),""),IF(I402&lt;&gt;I410," * TB Cases Already on ART at entry in TB clinic "&amp;$H$20&amp;" "&amp;$I$21&amp;" is Not equal to  TB cases with known HIV +ve status"&amp;CHAR(10),""),IF(J402&lt;&gt;J410," * TB Cases Already on ART at entry in TB clinic "&amp;$J$20&amp;" "&amp;$J$21&amp;" is Not equal to  TB cases with known HIV +ve status"&amp;CHAR(10),""),IF(K402&lt;&gt;K410," * TB Cases Already on ART at entry in TB clinic "&amp;$J$20&amp;" "&amp;$K$21&amp;" is Not equal to  TB cases with known HIV +ve status"&amp;CHAR(10),""),IF(L402&lt;&gt;L410," * TB Cases Already on ART at entry in TB clinic "&amp;$L$20&amp;" "&amp;$L$21&amp;" is Not equal to  TB cases with known HIV +ve status"&amp;CHAR(10),""),IF(M402&lt;&gt;M410," * TB Cases Already on ART at entry in TB clinic "&amp;$L$20&amp;" "&amp;$M$21&amp;" is Not equal to  TB cases with known HIV +ve status"&amp;CHAR(10),""),IF(N402&lt;&gt;N410," * TB Cases Already on ART at entry in TB clinic "&amp;$N$20&amp;" "&amp;$N$21&amp;" is Not equal to  TB cases with known HIV +ve status"&amp;CHAR(10),""),IF(O402&lt;&gt;O410," * TB Cases Already on ART at entry in TB clinic "&amp;$N$20&amp;" "&amp;$O$21&amp;" is Not equal to  TB cases with known HIV +ve status"&amp;CHAR(10),""),IF(P402&lt;&gt;P410," * TB Cases Already on ART at entry in TB clinic "&amp;$P$20&amp;" "&amp;$P$21&amp;" is Not equal to  TB cases with known HIV +ve status"&amp;CHAR(10),""),IF(Q402&lt;&gt;Q410," * TB Cases Already on ART at entry in TB clinic "&amp;$P$20&amp;" "&amp;$Q$21&amp;" is Not equal to  TB cases with known HIV +ve status"&amp;CHAR(10),""),IF(R402&lt;&gt;R410," * TB Cases Already on ART at entry in TB clinic "&amp;$R$20&amp;" "&amp;$R$21&amp;" is Not equal to  TB cases with known HIV +ve status"&amp;CHAR(10),""),IF(S402&lt;&gt;S410," * TB Cases Already on ART at entry in TB clinic "&amp;$R$20&amp;" "&amp;$S$21&amp;" is Not equal to  TB cases with known HIV +ve status"&amp;CHAR(10),""),IF(T402&lt;&gt;T410," * TB Cases Already on ART at entry in TB clinic "&amp;$T$20&amp;" "&amp;$T$21&amp;" is Not equal to  TB cases with known HIV +ve status"&amp;CHAR(10),""),IF(U402&lt;&gt;U410," * TB Cases Already on ART at entry in TB clinic "&amp;$T$20&amp;" "&amp;$U$21&amp;" is Not equal to  TB cases with known HIV +ve status"&amp;CHAR(10),""),IF(V402&lt;&gt;V410," * TB Cases Already on ART at entry in TB clinic "&amp;$V$20&amp;" "&amp;$V$21&amp;" is Not equal to  TB cases with known HIV +ve status"&amp;CHAR(10),""),IF(W402&lt;&gt;W410," * TB Cases Already on ART at entry in TB clinic "&amp;$V$20&amp;" "&amp;$W$21&amp;" is Not equal to  TB cases with known HIV +ve status"&amp;CHAR(10),""),IF(X402&lt;&gt;X410," * TB Cases Already on ART at entry in TB clinic "&amp;$X$20&amp;" "&amp;$X$21&amp;" is Not equal to  TB cases with known HIV +ve status"&amp;CHAR(10),""),IF(Y402&lt;&gt;Y410," * TB Cases Already on ART at entry in TB clinic "&amp;$X$20&amp;" "&amp;$Y$21&amp;" is Not equal to  TB cases with known HIV +ve status"&amp;CHAR(10),""),IF(Z402&lt;&gt;Z410," * TB Cases Already on ART at entry in TB clinic "&amp;$Z$20&amp;" "&amp;$Z$21&amp;" is Not equal to  TB cases with known HIV +ve status"&amp;CHAR(10),""),IF(AA402&lt;&gt;AA410," * TB Cases Already on ART at entry in TB clinic "&amp;$Z$20&amp;" "&amp;$AA$21&amp;" is Not equal to  TB cases with known HIV +ve status"&amp;CHAR(10),""))</f>
        <v/>
      </c>
      <c r="AL410" s="1088"/>
      <c r="AM410" s="31"/>
      <c r="AN410" s="1105"/>
      <c r="AO410" s="13">
        <v>325</v>
      </c>
      <c r="AP410" s="74"/>
      <c r="AQ410" s="75"/>
    </row>
    <row r="411" spans="1:43" s="83" customFormat="1" ht="25.9" hidden="1" thickBot="1" x14ac:dyDescent="0.5">
      <c r="A411" s="1027"/>
      <c r="B411" s="273" t="s">
        <v>550</v>
      </c>
      <c r="C411" s="581" t="s">
        <v>549</v>
      </c>
      <c r="D411" s="158"/>
      <c r="E411" s="15"/>
      <c r="F411" s="261">
        <f t="shared" ref="F411:AA411" si="155">F410+F409</f>
        <v>0</v>
      </c>
      <c r="G411" s="261">
        <f t="shared" si="155"/>
        <v>0</v>
      </c>
      <c r="H411" s="261">
        <f t="shared" si="155"/>
        <v>0</v>
      </c>
      <c r="I411" s="261">
        <f t="shared" si="155"/>
        <v>0</v>
      </c>
      <c r="J411" s="261">
        <f t="shared" si="155"/>
        <v>0</v>
      </c>
      <c r="K411" s="261">
        <f t="shared" si="155"/>
        <v>0</v>
      </c>
      <c r="L411" s="261">
        <f t="shared" si="155"/>
        <v>0</v>
      </c>
      <c r="M411" s="261">
        <f t="shared" si="155"/>
        <v>0</v>
      </c>
      <c r="N411" s="261">
        <f t="shared" si="155"/>
        <v>0</v>
      </c>
      <c r="O411" s="261">
        <f t="shared" si="155"/>
        <v>0</v>
      </c>
      <c r="P411" s="261">
        <f t="shared" si="155"/>
        <v>0</v>
      </c>
      <c r="Q411" s="261">
        <f t="shared" si="155"/>
        <v>0</v>
      </c>
      <c r="R411" s="261">
        <f t="shared" si="155"/>
        <v>0</v>
      </c>
      <c r="S411" s="261">
        <f t="shared" si="155"/>
        <v>0</v>
      </c>
      <c r="T411" s="261">
        <f t="shared" si="155"/>
        <v>0</v>
      </c>
      <c r="U411" s="261">
        <f t="shared" si="155"/>
        <v>0</v>
      </c>
      <c r="V411" s="261">
        <f t="shared" si="155"/>
        <v>0</v>
      </c>
      <c r="W411" s="261">
        <f t="shared" si="155"/>
        <v>0</v>
      </c>
      <c r="X411" s="261">
        <f t="shared" si="155"/>
        <v>0</v>
      </c>
      <c r="Y411" s="261">
        <f t="shared" si="155"/>
        <v>0</v>
      </c>
      <c r="Z411" s="261">
        <f t="shared" si="155"/>
        <v>0</v>
      </c>
      <c r="AA411" s="367">
        <f t="shared" si="155"/>
        <v>0</v>
      </c>
      <c r="AB411" s="390"/>
      <c r="AC411" s="391"/>
      <c r="AD411" s="391"/>
      <c r="AE411" s="391"/>
      <c r="AF411" s="391"/>
      <c r="AG411" s="391"/>
      <c r="AH411" s="391"/>
      <c r="AI411" s="315"/>
      <c r="AJ411" s="193">
        <f t="shared" si="151"/>
        <v>0</v>
      </c>
      <c r="AK411" s="274" t="str">
        <f>CONCATENATE(IF(D406&lt;D411," * HIV coinfected clients started on ART "&amp;$D$20&amp;" "&amp;$D$21&amp;" is more than TB cases with documented HIV status"&amp;CHAR(10),""),IF(E406&lt;E411," * HIV coinfected clients started on ART "&amp;$D$20&amp;" "&amp;$E$21&amp;" is more than TB cases with documented HIV status"&amp;CHAR(10),""),IF(F406&lt;F411," * HIV coinfected clients started on ART "&amp;$F$20&amp;" "&amp;$F$21&amp;" is more than TB cases with documented HIV status"&amp;CHAR(10),""),IF(G406&lt;G411," * HIV coinfected clients started on ART "&amp;$F$20&amp;" "&amp;$G$21&amp;" is more than TB cases with documented HIV status"&amp;CHAR(10),""),IF(H406&lt;H411," * HIV coinfected clients started on ART "&amp;$H$20&amp;" "&amp;$H$21&amp;" is more than TB cases with documented HIV status"&amp;CHAR(10),""),IF(I406&lt;I411," * HIV coinfected clients started on ART "&amp;$H$20&amp;" "&amp;$I$21&amp;" is more than TB cases with documented HIV status"&amp;CHAR(10),""),IF(J406&lt;J411," * HIV coinfected clients started on ART "&amp;$J$20&amp;" "&amp;$J$21&amp;" is more than TB cases with documented HIV status"&amp;CHAR(10),""),IF(K406&lt;K411," * HIV coinfected clients started on ART "&amp;$J$20&amp;" "&amp;$K$21&amp;" is more than TB cases with documented HIV status"&amp;CHAR(10),""),IF(L406&lt;L411," * HIV coinfected clients started on ART "&amp;$L$20&amp;" "&amp;$L$21&amp;" is more than TB cases with documented HIV status"&amp;CHAR(10),""),IF(M406&lt;M411," * HIV coinfected clients started on ART "&amp;$L$20&amp;" "&amp;$M$21&amp;" is more than TB cases with documented HIV status"&amp;CHAR(10),""),IF(N406&lt;N411," * HIV coinfected clients started on ART "&amp;$N$20&amp;" "&amp;$N$21&amp;" is more than TB cases with documented HIV status"&amp;CHAR(10),""),IF(O406&lt;O411," * HIV coinfected clients started on ART "&amp;$N$20&amp;" "&amp;$O$21&amp;" is more than TB cases with documented HIV status"&amp;CHAR(10),""),IF(P406&lt;P411," * HIV coinfected clients started on ART "&amp;$P$20&amp;" "&amp;$P$21&amp;" is more than TB cases with documented HIV status"&amp;CHAR(10),""),IF(Q406&lt;Q411," * HIV coinfected clients started on ART "&amp;$P$20&amp;" "&amp;$Q$21&amp;" is more than TB cases with documented HIV status"&amp;CHAR(10),""),IF(R406&lt;R411," * HIV coinfected clients started on ART "&amp;$R$20&amp;" "&amp;$R$21&amp;" is more than TB cases with documented HIV status"&amp;CHAR(10),""),IF(S406&lt;S411," * HIV coinfected clients started on ART "&amp;$R$20&amp;" "&amp;$S$21&amp;" is more than TB cases with documented HIV status"&amp;CHAR(10),""),IF(T406&lt;T411," * HIV coinfected clients started on ART "&amp;$T$20&amp;" "&amp;$T$21&amp;" is more than TB cases with documented HIV status"&amp;CHAR(10),""),IF(U406&lt;U411," * HIV coinfected clients started on ART "&amp;$T$20&amp;" "&amp;$U$21&amp;" is more than TB cases with documented HIV status"&amp;CHAR(10),""),IF(V406&lt;V411," * HIV coinfected clients started on ART "&amp;$V$20&amp;" "&amp;$V$21&amp;" is more than TB cases with documented HIV status"&amp;CHAR(10),""),IF(W406&lt;W411," * HIV coinfected clients started on ART "&amp;$V$20&amp;" "&amp;$W$21&amp;" is more than TB cases with documented HIV status"&amp;CHAR(10),""),IF(X406&lt;X411," * HIV coinfected clients started on ART "&amp;$X$20&amp;" "&amp;$X$21&amp;" is more than TB cases with documented HIV status"&amp;CHAR(10),""),IF(Y406&lt;Y411," * HIV coinfected clients started on ART "&amp;$X$20&amp;" "&amp;$Y$21&amp;" is more than TB cases with documented HIV status"&amp;CHAR(10),""),IF(Z406&lt;Z411," * HIV coinfected clients started on ART "&amp;$Z$20&amp;" "&amp;$Z$21&amp;" is more than TB cases with documented HIV status"&amp;CHAR(10),""),IF(AA406&lt;AA411," * HIV coinfected clients started on ART "&amp;$Z$20&amp;" "&amp;$AA$21&amp;" is more than TB cases with documented HIV status"&amp;CHAR(10),""))</f>
        <v/>
      </c>
      <c r="AL411" s="1089"/>
      <c r="AM411" s="275"/>
      <c r="AN411" s="1106"/>
      <c r="AO411" s="276">
        <v>326</v>
      </c>
      <c r="AP411" s="81"/>
      <c r="AQ411" s="82"/>
    </row>
    <row r="412" spans="1:43" ht="25.9" hidden="1" thickBot="1" x14ac:dyDescent="0.8">
      <c r="A412" s="1045" t="s">
        <v>968</v>
      </c>
      <c r="B412" s="1045"/>
      <c r="C412" s="1045"/>
      <c r="D412" s="1045"/>
      <c r="E412" s="1045"/>
      <c r="F412" s="1045"/>
      <c r="G412" s="1045"/>
      <c r="H412" s="1045"/>
      <c r="I412" s="1045"/>
      <c r="J412" s="1045"/>
      <c r="K412" s="1045"/>
      <c r="L412" s="1045"/>
      <c r="M412" s="1045"/>
      <c r="N412" s="1045"/>
      <c r="O412" s="1045"/>
      <c r="P412" s="1045"/>
      <c r="Q412" s="1045"/>
      <c r="R412" s="1045"/>
      <c r="S412" s="1045"/>
      <c r="T412" s="1045"/>
      <c r="U412" s="1045"/>
      <c r="V412" s="1045"/>
      <c r="W412" s="1045"/>
      <c r="X412" s="1045"/>
      <c r="Y412" s="1045"/>
      <c r="Z412" s="1045"/>
      <c r="AA412" s="1045"/>
      <c r="AB412" s="1045"/>
      <c r="AC412" s="1045"/>
      <c r="AD412" s="1045"/>
      <c r="AE412" s="1045"/>
      <c r="AF412" s="1045"/>
      <c r="AG412" s="1045"/>
      <c r="AH412" s="1045"/>
      <c r="AI412" s="1045"/>
      <c r="AJ412" s="1045"/>
      <c r="AK412" s="1096"/>
      <c r="AL412" s="1045"/>
      <c r="AM412" s="1097"/>
      <c r="AN412" s="1098"/>
      <c r="AO412" s="13">
        <v>327</v>
      </c>
      <c r="AP412" s="74"/>
      <c r="AQ412" s="75"/>
    </row>
    <row r="413" spans="1:43" ht="25.9" hidden="1" thickBot="1" x14ac:dyDescent="0.8">
      <c r="A413" s="662" t="s">
        <v>970</v>
      </c>
      <c r="B413" s="269" t="s">
        <v>969</v>
      </c>
      <c r="C413" s="603" t="s">
        <v>967</v>
      </c>
      <c r="D413" s="270"/>
      <c r="E413" s="271"/>
      <c r="F413" s="270"/>
      <c r="G413" s="271"/>
      <c r="H413" s="270"/>
      <c r="I413" s="271"/>
      <c r="J413" s="94"/>
      <c r="K413" s="94"/>
      <c r="L413" s="94"/>
      <c r="M413" s="94"/>
      <c r="N413" s="94"/>
      <c r="O413" s="94"/>
      <c r="P413" s="94"/>
      <c r="Q413" s="94"/>
      <c r="R413" s="94"/>
      <c r="S413" s="94"/>
      <c r="T413" s="94"/>
      <c r="U413" s="94"/>
      <c r="V413" s="94"/>
      <c r="W413" s="94"/>
      <c r="X413" s="94"/>
      <c r="Y413" s="94"/>
      <c r="Z413" s="94"/>
      <c r="AA413" s="94"/>
      <c r="AB413" s="322"/>
      <c r="AC413" s="322"/>
      <c r="AD413" s="322"/>
      <c r="AE413" s="322"/>
      <c r="AF413" s="322"/>
      <c r="AG413" s="322"/>
      <c r="AH413" s="322"/>
      <c r="AI413" s="322"/>
      <c r="AJ413" s="65">
        <f t="shared" ref="AJ413" si="156">SUM(D413:AA413)</f>
        <v>0</v>
      </c>
      <c r="AK413" s="30"/>
      <c r="AL413" s="277"/>
      <c r="AM413" s="278" t="str">
        <f>CONCATENATE(IF(D411&gt;D413," * Newly Tested Positives "&amp;$D$20&amp;" "&amp;$D$21&amp;" is more than Total Positive Clients newly started on ART"&amp;CHAR(10),""),IF(E411&gt;E413," * Newly Tested Positives "&amp;$D$20&amp;" "&amp;$E$21&amp;" is more than Total Positive Clients newly started on ART"&amp;CHAR(10),""),IF(F411&gt;F413," * Newly Tested Positives "&amp;$F$20&amp;" "&amp;$F$21&amp;" is more than Total Positive Clients newly started on ART"&amp;CHAR(10),""),IF(G411&gt;G413," * Newly Tested Positives "&amp;$F$20&amp;" "&amp;$G$21&amp;" is more than Total Positive Clients newly started on ART"&amp;CHAR(10),""),IF(H411&gt;H413," * Newly Tested Positives "&amp;$H$20&amp;" "&amp;$H$21&amp;" is more than Total Positive Clients newly started on ART"&amp;CHAR(10),""),IF(I411&gt;I413," * Newly Tested Positives "&amp;$H$20&amp;" "&amp;$I$21&amp;" is more than Total Positive Clients newly started on ART"&amp;CHAR(10),""),IF(J411&gt;J413," * Newly Tested Positives "&amp;$J$20&amp;" "&amp;$J$21&amp;" is more than Total Positive Clients newly started on ART"&amp;CHAR(10),""),IF(K411&gt;K413," * Newly Tested Positives "&amp;$J$20&amp;" "&amp;$K$21&amp;" is more than Total Positive Clients newly started on ART"&amp;CHAR(10),""),IF(L411&gt;L413," * Newly Tested Positives "&amp;$L$20&amp;" "&amp;$L$21&amp;" is more than Total Positive Clients newly started on ART"&amp;CHAR(10),""),IF(M411&gt;M413," * Newly Tested Positives "&amp;$L$20&amp;" "&amp;$M$21&amp;" is more than Total Positive Clients newly started on ART"&amp;CHAR(10),""),IF(N411&gt;N413," * Newly Tested Positives "&amp;$N$20&amp;" "&amp;$N$21&amp;" is more than Total Positive Clients newly started on ART"&amp;CHAR(10),""),IF(O411&gt;O413," * Newly Tested Positives "&amp;$N$20&amp;" "&amp;$O$21&amp;" is more than Total Positive Clients newly started on ART"&amp;CHAR(10),""),IF(P411&gt;P413," * Newly Tested Positives "&amp;$P$20&amp;" "&amp;$P$21&amp;" is more than Total Positive Clients newly started on ART"&amp;CHAR(10),""),IF(Q411&gt;Q413," * Newly Tested Positives "&amp;$P$20&amp;" "&amp;$Q$21&amp;" is more than Total Positive Clients newly started on ART"&amp;CHAR(10),""),IF(R411&gt;R413," * Newly Tested Positives "&amp;$R$20&amp;" "&amp;$R$21&amp;" is more than Total Positive Clients newly started on ART"&amp;CHAR(10),""),IF(S411&gt;S413," * Newly Tested Positives "&amp;$R$20&amp;" "&amp;$S$21&amp;" is more than Total Positive Clients newly started on ART"&amp;CHAR(10),""),IF(T411&gt;T413," * Newly Tested Positives "&amp;$T$20&amp;" "&amp;$T$21&amp;" is more than Total Positive Clients newly started on ART"&amp;CHAR(10),""),IF(U411&gt;U413," * Newly Tested Positives "&amp;$T$20&amp;" "&amp;$U$21&amp;" is more than Total Positive Clients newly started on ART"&amp;CHAR(10),""),IF(V411&gt;V413," * Newly Tested Positives "&amp;$V$20&amp;" "&amp;$V$21&amp;" is more than Total Positive Clients newly started on ART"&amp;CHAR(10),""),IF(W411&gt;W413," * Newly Tested Positives "&amp;$V$20&amp;" "&amp;$W$21&amp;" is more than Total Positive Clients newly started on ART"&amp;CHAR(10),""),IF(X411&gt;X413," * Newly Tested Positives "&amp;$X$20&amp;" "&amp;$X$21&amp;" is more than Total Positive Clients newly started on ART"&amp;CHAR(10),""),IF(Y411&gt;Y413," * Newly Tested Positives "&amp;$X$20&amp;" "&amp;$Y$21&amp;" is more than Total Positive Clients newly started on ART"&amp;CHAR(10),""),IF(Z411&gt;Z413," * Newly Tested Positives "&amp;$Z$20&amp;" "&amp;$Z$21&amp;" is more than Total Positive Clients newly started on ART"&amp;CHAR(10),""),IF(AA411&gt;AA413," * Newly Tested Positives "&amp;$Z$20&amp;" "&amp;$AA$21&amp;" is more than Total Positive Clients newly started on ART"&amp;CHAR(10),""))</f>
        <v/>
      </c>
      <c r="AN413" s="279"/>
      <c r="AO413" s="13">
        <v>328</v>
      </c>
      <c r="AP413" s="74"/>
      <c r="AQ413" s="75"/>
    </row>
    <row r="414" spans="1:43" ht="36.75" hidden="1" customHeight="1" thickBot="1" x14ac:dyDescent="0.8">
      <c r="A414" s="1043" t="s">
        <v>1117</v>
      </c>
      <c r="B414" s="1044"/>
      <c r="C414" s="1044"/>
      <c r="D414" s="1044"/>
      <c r="E414" s="1044"/>
      <c r="F414" s="1044"/>
      <c r="G414" s="1044"/>
      <c r="H414" s="1044"/>
      <c r="I414" s="1044"/>
      <c r="J414" s="1044"/>
      <c r="K414" s="1044"/>
      <c r="L414" s="1044"/>
      <c r="M414" s="1044"/>
      <c r="N414" s="1044"/>
      <c r="O414" s="1044"/>
      <c r="P414" s="1044"/>
      <c r="Q414" s="1044"/>
      <c r="R414" s="1044"/>
      <c r="S414" s="1044"/>
      <c r="T414" s="1044"/>
      <c r="U414" s="1044"/>
      <c r="V414" s="1044"/>
      <c r="W414" s="1044"/>
      <c r="X414" s="1044"/>
      <c r="Y414" s="1044"/>
      <c r="Z414" s="1044"/>
      <c r="AA414" s="1044"/>
      <c r="AB414" s="1044"/>
      <c r="AC414" s="1044"/>
      <c r="AD414" s="1044"/>
      <c r="AE414" s="1044"/>
      <c r="AF414" s="1044"/>
      <c r="AG414" s="1044"/>
      <c r="AH414" s="1044"/>
      <c r="AI414" s="1044"/>
      <c r="AJ414" s="1044"/>
      <c r="AK414" s="1044"/>
      <c r="AL414" s="1044"/>
      <c r="AM414" s="1044"/>
      <c r="AN414" s="1174"/>
      <c r="AO414" s="485"/>
      <c r="AP414" s="487"/>
      <c r="AQ414" s="487"/>
    </row>
    <row r="415" spans="1:43" s="14" customFormat="1" ht="33" hidden="1" customHeight="1" x14ac:dyDescent="0.75">
      <c r="A415" s="1039" t="s">
        <v>37</v>
      </c>
      <c r="B415" s="1041" t="s">
        <v>344</v>
      </c>
      <c r="C415" s="1049" t="s">
        <v>325</v>
      </c>
      <c r="D415" s="1020" t="s">
        <v>0</v>
      </c>
      <c r="E415" s="1020"/>
      <c r="F415" s="1020" t="s">
        <v>1</v>
      </c>
      <c r="G415" s="1020"/>
      <c r="H415" s="1020" t="s">
        <v>2</v>
      </c>
      <c r="I415" s="1020"/>
      <c r="J415" s="1020" t="s">
        <v>3</v>
      </c>
      <c r="K415" s="1020"/>
      <c r="L415" s="1020" t="s">
        <v>4</v>
      </c>
      <c r="M415" s="1020"/>
      <c r="N415" s="1020" t="s">
        <v>5</v>
      </c>
      <c r="O415" s="1020"/>
      <c r="P415" s="1020" t="s">
        <v>6</v>
      </c>
      <c r="Q415" s="1020"/>
      <c r="R415" s="1020" t="s">
        <v>7</v>
      </c>
      <c r="S415" s="1020"/>
      <c r="T415" s="1020" t="s">
        <v>8</v>
      </c>
      <c r="U415" s="1020"/>
      <c r="V415" s="1020" t="s">
        <v>23</v>
      </c>
      <c r="W415" s="1020"/>
      <c r="X415" s="1020" t="s">
        <v>24</v>
      </c>
      <c r="Y415" s="1020"/>
      <c r="Z415" s="1020" t="s">
        <v>9</v>
      </c>
      <c r="AA415" s="1020"/>
      <c r="AB415" s="1012" t="s">
        <v>1020</v>
      </c>
      <c r="AC415" s="1013"/>
      <c r="AD415" s="1012" t="s">
        <v>1021</v>
      </c>
      <c r="AE415" s="1013"/>
      <c r="AF415" s="1012" t="s">
        <v>1022</v>
      </c>
      <c r="AG415" s="1013"/>
      <c r="AH415" s="1012" t="s">
        <v>1022</v>
      </c>
      <c r="AI415" s="1013"/>
      <c r="AJ415" s="1033" t="s">
        <v>19</v>
      </c>
      <c r="AK415" s="1035" t="s">
        <v>378</v>
      </c>
      <c r="AL415" s="1126" t="s">
        <v>384</v>
      </c>
      <c r="AM415" s="1121" t="s">
        <v>385</v>
      </c>
      <c r="AN415" s="1086" t="s">
        <v>385</v>
      </c>
      <c r="AO415" s="485"/>
      <c r="AP415" s="487"/>
      <c r="AQ415" s="487"/>
    </row>
    <row r="416" spans="1:43" s="14" customFormat="1" ht="33" hidden="1" customHeight="1" thickBot="1" x14ac:dyDescent="0.8">
      <c r="A416" s="1175"/>
      <c r="B416" s="1176"/>
      <c r="C416" s="1050"/>
      <c r="D416" s="295" t="s">
        <v>10</v>
      </c>
      <c r="E416" s="295" t="s">
        <v>11</v>
      </c>
      <c r="F416" s="295" t="s">
        <v>10</v>
      </c>
      <c r="G416" s="295" t="s">
        <v>11</v>
      </c>
      <c r="H416" s="295" t="s">
        <v>10</v>
      </c>
      <c r="I416" s="295" t="s">
        <v>11</v>
      </c>
      <c r="J416" s="295" t="s">
        <v>10</v>
      </c>
      <c r="K416" s="295" t="s">
        <v>11</v>
      </c>
      <c r="L416" s="295" t="s">
        <v>10</v>
      </c>
      <c r="M416" s="295" t="s">
        <v>11</v>
      </c>
      <c r="N416" s="295" t="s">
        <v>10</v>
      </c>
      <c r="O416" s="295" t="s">
        <v>11</v>
      </c>
      <c r="P416" s="295" t="s">
        <v>10</v>
      </c>
      <c r="Q416" s="295" t="s">
        <v>11</v>
      </c>
      <c r="R416" s="295" t="s">
        <v>10</v>
      </c>
      <c r="S416" s="295" t="s">
        <v>11</v>
      </c>
      <c r="T416" s="295" t="s">
        <v>10</v>
      </c>
      <c r="U416" s="295" t="s">
        <v>11</v>
      </c>
      <c r="V416" s="295" t="s">
        <v>10</v>
      </c>
      <c r="W416" s="295" t="s">
        <v>11</v>
      </c>
      <c r="X416" s="295" t="s">
        <v>10</v>
      </c>
      <c r="Y416" s="295" t="s">
        <v>11</v>
      </c>
      <c r="Z416" s="295" t="s">
        <v>10</v>
      </c>
      <c r="AA416" s="295" t="s">
        <v>11</v>
      </c>
      <c r="AB416" s="295" t="s">
        <v>10</v>
      </c>
      <c r="AC416" s="295" t="s">
        <v>11</v>
      </c>
      <c r="AD416" s="295" t="s">
        <v>10</v>
      </c>
      <c r="AE416" s="295" t="s">
        <v>11</v>
      </c>
      <c r="AF416" s="295" t="s">
        <v>10</v>
      </c>
      <c r="AG416" s="295" t="s">
        <v>11</v>
      </c>
      <c r="AH416" s="295" t="s">
        <v>10</v>
      </c>
      <c r="AI416" s="295" t="s">
        <v>11</v>
      </c>
      <c r="AJ416" s="1034"/>
      <c r="AK416" s="1036"/>
      <c r="AL416" s="1127"/>
      <c r="AM416" s="1128"/>
      <c r="AN416" s="1087"/>
      <c r="AO416" s="485"/>
      <c r="AP416" s="487"/>
      <c r="AQ416" s="487"/>
    </row>
    <row r="417" spans="1:43" s="83" customFormat="1" ht="25.9" hidden="1" thickBot="1" x14ac:dyDescent="0.8">
      <c r="A417" s="934" t="s">
        <v>121</v>
      </c>
      <c r="B417" s="780" t="s">
        <v>150</v>
      </c>
      <c r="C417" s="784" t="s">
        <v>1118</v>
      </c>
      <c r="D417" s="767"/>
      <c r="E417" s="795"/>
      <c r="F417" s="806">
        <f t="shared" ref="F417:AA417" si="157">F28</f>
        <v>0</v>
      </c>
      <c r="G417" s="503">
        <f t="shared" si="157"/>
        <v>0</v>
      </c>
      <c r="H417" s="503">
        <f t="shared" si="157"/>
        <v>0</v>
      </c>
      <c r="I417" s="503">
        <f t="shared" si="157"/>
        <v>0</v>
      </c>
      <c r="J417" s="503">
        <f t="shared" si="157"/>
        <v>0</v>
      </c>
      <c r="K417" s="503">
        <f t="shared" si="157"/>
        <v>0</v>
      </c>
      <c r="L417" s="503">
        <f t="shared" si="157"/>
        <v>0</v>
      </c>
      <c r="M417" s="503">
        <f t="shared" si="157"/>
        <v>0</v>
      </c>
      <c r="N417" s="503">
        <f t="shared" si="157"/>
        <v>0</v>
      </c>
      <c r="O417" s="503">
        <f t="shared" si="157"/>
        <v>0</v>
      </c>
      <c r="P417" s="503">
        <f t="shared" si="157"/>
        <v>0</v>
      </c>
      <c r="Q417" s="503">
        <f t="shared" si="157"/>
        <v>0</v>
      </c>
      <c r="R417" s="503">
        <f t="shared" si="157"/>
        <v>0</v>
      </c>
      <c r="S417" s="503">
        <f t="shared" si="157"/>
        <v>0</v>
      </c>
      <c r="T417" s="503">
        <f t="shared" si="157"/>
        <v>0</v>
      </c>
      <c r="U417" s="503">
        <f t="shared" si="157"/>
        <v>0</v>
      </c>
      <c r="V417" s="503">
        <f t="shared" si="157"/>
        <v>0</v>
      </c>
      <c r="W417" s="503">
        <f t="shared" si="157"/>
        <v>0</v>
      </c>
      <c r="X417" s="503">
        <f t="shared" si="157"/>
        <v>0</v>
      </c>
      <c r="Y417" s="503">
        <f t="shared" si="157"/>
        <v>0</v>
      </c>
      <c r="Z417" s="503">
        <f t="shared" si="157"/>
        <v>0</v>
      </c>
      <c r="AA417" s="503">
        <f t="shared" si="157"/>
        <v>0</v>
      </c>
      <c r="AB417" s="387"/>
      <c r="AC417" s="388"/>
      <c r="AD417" s="388"/>
      <c r="AE417" s="388"/>
      <c r="AF417" s="388"/>
      <c r="AG417" s="388"/>
      <c r="AH417" s="388"/>
      <c r="AI417" s="317"/>
      <c r="AJ417" s="493">
        <f t="shared" ref="AJ417:AJ419" si="158">SUM(D417:AA417)</f>
        <v>0</v>
      </c>
      <c r="AK417" s="566" t="str">
        <f>CONCATENATE(IF((D418+D419+D420+D421)&lt;&gt;D417," * "&amp;$A417&amp;" , "&amp;$B418&amp;" plus "&amp;$B419&amp;" plus "&amp;$B420&amp;" plus "&amp;$B421&amp;" For age "&amp;$D$20&amp;" "&amp;$D$21&amp;" should be equal to "&amp;$B417&amp;""&amp;CHAR(10),""),IF((E418+E419+E420+E421)&lt;&gt;E417," * "&amp;$A417&amp;" , "&amp;$B418&amp;" plus "&amp;$B419&amp;" plus "&amp;$B420&amp;" plus "&amp;$B421&amp;" For age "&amp;$D$20&amp;" "&amp;$E$21&amp;" should be equal to "&amp;$B417&amp;""&amp;CHAR(10),""),IF((F418+F419+F420+F421)&lt;&gt;F417," * "&amp;$A417&amp;" , "&amp;$B418&amp;" plus "&amp;$B419&amp;" plus "&amp;$B420&amp;" plus "&amp;$B421&amp;" For age "&amp;$F$20&amp;" "&amp;$F$21&amp;" should be equal to "&amp;$B417&amp;""&amp;CHAR(10),""),IF((G418+G419+G420+G421)&lt;&gt;G417," * "&amp;$A417&amp;" , "&amp;$B418&amp;" plus "&amp;$B419&amp;" plus "&amp;$B420&amp;" plus "&amp;$B421&amp;" For age "&amp;$F$20&amp;" "&amp;$G$21&amp;" should be equal to "&amp;$B417&amp;""&amp;CHAR(10),""),IF((H418+H419+H420+H421)&lt;&gt;H417," * "&amp;$A417&amp;" , "&amp;$B418&amp;" plus "&amp;$B419&amp;" plus "&amp;$B420&amp;" plus "&amp;$B421&amp;" For age "&amp;$H$20&amp;" "&amp;$H$21&amp;" should be equal to "&amp;$B417&amp;""&amp;CHAR(10),""),IF((I418+I419+I420+I421)&lt;&gt;I417," * "&amp;$A417&amp;" , "&amp;$B418&amp;" plus "&amp;$B419&amp;" plus "&amp;$B420&amp;" plus "&amp;$B421&amp;" For age "&amp;$H$20&amp;" "&amp;$I$21&amp;" should be equal to "&amp;$B417&amp;""&amp;CHAR(10),""),IF((J418+J419+J420+J421)&lt;&gt;J417," * "&amp;$A417&amp;" , "&amp;$B418&amp;" plus "&amp;$B419&amp;" plus "&amp;$B420&amp;" plus "&amp;$B421&amp;" For age "&amp;$J$20&amp;" "&amp;$J$21&amp;" should be equal to "&amp;$B417&amp;""&amp;CHAR(10),""),IF((K418+K419+K420+K421)&lt;&gt;K417," * "&amp;$A417&amp;" , "&amp;$B418&amp;" plus "&amp;$B419&amp;" plus "&amp;$B420&amp;" plus "&amp;$B421&amp;" For age "&amp;$J$20&amp;" "&amp;$K$21&amp;" should be equal to "&amp;$B417&amp;""&amp;CHAR(10),""),IF((L418+L419+L420+L421)&lt;&gt;L417," * "&amp;$A417&amp;" , "&amp;$B418&amp;" plus "&amp;$B419&amp;" plus "&amp;$B420&amp;" plus "&amp;$B421&amp;" For age "&amp;$L$20&amp;" "&amp;$L$21&amp;" should be equal to "&amp;$B417&amp;""&amp;CHAR(10),""),IF((M418+M419+M420+M421)&lt;&gt;M417," * "&amp;$A417&amp;" , "&amp;$B418&amp;" plus "&amp;$B419&amp;" plus "&amp;$B420&amp;" plus "&amp;$B421&amp;" For age "&amp;$L$20&amp;" "&amp;$M$21&amp;" should be equal to "&amp;$B417&amp;""&amp;CHAR(10),""),IF((N418+N419+N420+N421)&lt;&gt;N417," * "&amp;$A417&amp;" , "&amp;$B418&amp;" plus "&amp;$B419&amp;" plus "&amp;$B420&amp;" plus "&amp;$B421&amp;" For age "&amp;$N$20&amp;" "&amp;$N$21&amp;" should be equal to "&amp;$B417&amp;""&amp;CHAR(10),""),IF((O418+O419+O420+O421)&lt;&gt;O417," * "&amp;$A417&amp;" , "&amp;$B418&amp;" plus "&amp;$B419&amp;" plus "&amp;$B420&amp;" plus "&amp;$B421&amp;" For age "&amp;$N$20&amp;" "&amp;$O$21&amp;" should be equal to "&amp;$B417&amp;""&amp;CHAR(10),""),IF((P418+P419+P420+P421)&lt;&gt;P417," * "&amp;$A417&amp;" , "&amp;$B418&amp;" plus "&amp;$B419&amp;" plus "&amp;$B420&amp;" plus "&amp;$B421&amp;" For age "&amp;$P$20&amp;" "&amp;$P$21&amp;" should be equal to "&amp;$B417&amp;""&amp;CHAR(10),""),IF((Q418+Q419+Q420+Q421)&lt;&gt;Q417," * "&amp;$A417&amp;" , "&amp;$B418&amp;" plus "&amp;$B419&amp;" plus "&amp;$B420&amp;" plus "&amp;$B421&amp;" For age "&amp;$P$20&amp;" "&amp;$Q$21&amp;" should be equal to "&amp;$B417&amp;""&amp;CHAR(10),""),IF((R418+R419+R420+R421)&lt;&gt;R417," * "&amp;$A417&amp;" , "&amp;$B418&amp;" plus "&amp;$B419&amp;" plus "&amp;$B420&amp;" plus "&amp;$B421&amp;" For age "&amp;$R$20&amp;" "&amp;$R$21&amp;" should be equal to "&amp;$B417&amp;""&amp;CHAR(10),""),IF((S418+S419+S420+S421)&lt;&gt;S417," * "&amp;$A417&amp;" , "&amp;$B418&amp;" plus "&amp;$B419&amp;" plus "&amp;$B420&amp;" plus "&amp;$B421&amp;" For age "&amp;$R$20&amp;" "&amp;$S$21&amp;" should be equal to "&amp;$B417&amp;""&amp;CHAR(10),""),IF((T418+T419+T420+T421)&lt;&gt;T417," * "&amp;$A417&amp;" , "&amp;$B418&amp;" plus "&amp;$B419&amp;" plus "&amp;$B420&amp;" plus "&amp;$B421&amp;" For age "&amp;$T$20&amp;" "&amp;$T$21&amp;" should be equal to "&amp;$B417&amp;""&amp;CHAR(10),""),IF((U418+U419+U420+U421)&lt;&gt;U417," * "&amp;$A417&amp;" , "&amp;$B418&amp;" plus "&amp;$B419&amp;" plus "&amp;$B420&amp;" plus "&amp;$B421&amp;" For age "&amp;$T$20&amp;" "&amp;$U$21&amp;" should be equal to "&amp;$B417&amp;""&amp;CHAR(10),""),IF((V418+V419+V420+V421)&lt;&gt;V417," * "&amp;$A417&amp;" , "&amp;$B418&amp;" plus "&amp;$B419&amp;" plus "&amp;$B420&amp;" plus "&amp;$B421&amp;" For age "&amp;$V$20&amp;" "&amp;$V$21&amp;" should be equal to "&amp;$B417&amp;""&amp;CHAR(10),""),IF((W418+W419+W420+W421)&lt;&gt;W417," * "&amp;$A417&amp;" , "&amp;$B418&amp;" plus "&amp;$B419&amp;" plus "&amp;$B420&amp;" plus "&amp;$B421&amp;" For age "&amp;$V$20&amp;" "&amp;$W$21&amp;" should be equal to "&amp;$B417&amp;""&amp;CHAR(10),""),IF((X418+X419+X420+X421)&lt;&gt;X417," * "&amp;$A417&amp;" , "&amp;$B418&amp;" plus "&amp;$B419&amp;" plus "&amp;$B420&amp;" plus "&amp;$B421&amp;" For age "&amp;$X$20&amp;" "&amp;$X$21&amp;" should be equal to "&amp;$B417&amp;""&amp;CHAR(10),""),IF((Y418+Y419+Y420+Y421)&lt;&gt;Y417," * "&amp;$A417&amp;" , "&amp;$B418&amp;" plus "&amp;$B419&amp;" plus "&amp;$B420&amp;" plus "&amp;$B421&amp;" For age "&amp;$X$20&amp;" "&amp;$Y$21&amp;" should be equal to "&amp;$B417&amp;""&amp;CHAR(10),""),IF((Z418+Z419+Z420+Z421)&lt;&gt;Z417," * "&amp;$A417&amp;" , "&amp;$B418&amp;" plus "&amp;$B419&amp;" plus "&amp;$B420&amp;" plus "&amp;$B421&amp;" For age "&amp;$Z$20&amp;" "&amp;$Z$21&amp;" should be equal to "&amp;$B417&amp;""&amp;CHAR(10),""),IF((AA418+AA419+AA420+AA421)&lt;&gt;AA417," * "&amp;$A417&amp;" , "&amp;$B418&amp;" plus "&amp;$B419&amp;" plus "&amp;$B420&amp;" plus "&amp;$B421&amp;" For age "&amp;$Z$20&amp;" "&amp;$AA$21&amp;" should be equal to "&amp;$B417&amp;""&amp;CHAR(10),""))</f>
        <v/>
      </c>
      <c r="AL417" s="1278" t="str">
        <f>CONCATENATE(AK417,AK418,AK421,AK422,AK423,AK425,AK426,AK427,AK428,AK430,AK431,AK432,AK433,AK435,AK436,AK437,AK438,AK440,AK441,AK442,AK443,AK445,AK446,AK447,AK448,AK450,AK451,AK452,AK453,AK456,AK420,AK455,AK457,AK458,AK460,AK461,AK462,AK463,AK465,AK466,AK467,AK468,AK471,AK470,AK472,AK473,AK475,AK476,AK477,AK478,AK480,AK481)</f>
        <v/>
      </c>
      <c r="AM417" s="31"/>
      <c r="AN417" s="850"/>
      <c r="AO417" s="13">
        <v>31</v>
      </c>
      <c r="AP417" s="81"/>
      <c r="AQ417" s="82"/>
    </row>
    <row r="418" spans="1:43" s="83" customFormat="1" ht="25.5" hidden="1" x14ac:dyDescent="0.75">
      <c r="A418" s="935"/>
      <c r="B418" s="781" t="s">
        <v>1140</v>
      </c>
      <c r="C418" s="785" t="s">
        <v>1119</v>
      </c>
      <c r="D418" s="648"/>
      <c r="E418" s="796"/>
      <c r="F418" s="571"/>
      <c r="G418" s="568"/>
      <c r="H418" s="568"/>
      <c r="I418" s="568"/>
      <c r="J418" s="568"/>
      <c r="K418" s="568"/>
      <c r="L418" s="568"/>
      <c r="M418" s="568"/>
      <c r="N418" s="568"/>
      <c r="O418" s="568"/>
      <c r="P418" s="568"/>
      <c r="Q418" s="568"/>
      <c r="R418" s="568"/>
      <c r="S418" s="568"/>
      <c r="T418" s="568"/>
      <c r="U418" s="568"/>
      <c r="V418" s="568"/>
      <c r="W418" s="568"/>
      <c r="X418" s="568"/>
      <c r="Y418" s="568"/>
      <c r="Z418" s="568"/>
      <c r="AA418" s="568"/>
      <c r="AB418" s="357"/>
      <c r="AC418" s="357"/>
      <c r="AD418" s="357"/>
      <c r="AE418" s="357"/>
      <c r="AF418" s="357"/>
      <c r="AG418" s="357"/>
      <c r="AH418" s="357"/>
      <c r="AI418" s="314"/>
      <c r="AJ418" s="494">
        <f t="shared" si="158"/>
        <v>0</v>
      </c>
      <c r="AK418" s="1011" t="str">
        <f>CONCATENATE(IF(D419&gt;D418," * Positive F01-13 for Age "&amp;D405&amp;" "&amp;D406&amp;" is more than Tested F01-12"&amp;CHAR(10),""),IF(E419&gt;E418," * Positive F01-13 for Age "&amp;D405&amp;" "&amp;E406&amp;" is more than Tested F01-12"&amp;CHAR(10),""),IF(F419&gt;F418," * Positive F01-13 for Age "&amp;F405&amp;" "&amp;F406&amp;" is more than Tested F01-12"&amp;CHAR(10),""),IF(G419&gt;G418," * Positive F01-13 for Age "&amp;F405&amp;" "&amp;G406&amp;" is more than Tested F01-12"&amp;CHAR(10),""),IF(H419&gt;H418," * Positive F01-13 for Age "&amp;H405&amp;" "&amp;H406&amp;" is more than Tested F01-12"&amp;CHAR(10),""),IF(I419&gt;I418," * Positive F01-13 for Age "&amp;H405&amp;" "&amp;I406&amp;" is more than Tested F01-12"&amp;CHAR(10),""),IF(J419&gt;J418," * Positive F01-13 for Age "&amp;J405&amp;" "&amp;J406&amp;" is more than Tested F01-12"&amp;CHAR(10),""),IF(K419&gt;K418," * Positive F01-13 for Age "&amp;J405&amp;" "&amp;K406&amp;" is more than Tested F01-12"&amp;CHAR(10),""),IF(L419&gt;L418," * Positive F01-13 for Age "&amp;L405&amp;" "&amp;L406&amp;" is more than Tested F01-12"&amp;CHAR(10),""),IF(M419&gt;M418," * Positive F01-13 for Age "&amp;L405&amp;" "&amp;M406&amp;" is more than Tested F01-12"&amp;CHAR(10),""),IF(N419&gt;N418," * Positive F01-13 for Age "&amp;N405&amp;" "&amp;N406&amp;" is more than Tested F01-12"&amp;CHAR(10),""),IF(O419&gt;O418," * Positive F01-13 for Age "&amp;N405&amp;" "&amp;O406&amp;" is more than Tested F01-12"&amp;CHAR(10),""),IF(P419&gt;P418," * Positive F01-13 for Age "&amp;P405&amp;" "&amp;P406&amp;" is more than Tested F01-12"&amp;CHAR(10),""),IF(Q419&gt;Q418," * Positive F01-13 for Age "&amp;P405&amp;" "&amp;Q406&amp;" is more than Tested F01-12"&amp;CHAR(10),""),IF(R419&gt;R418," * Positive F01-13 for Age "&amp;R405&amp;" "&amp;R406&amp;" is more than Tested F01-12"&amp;CHAR(10),""),IF(S419&gt;S418," * Positive F01-13 for Age "&amp;R405&amp;" "&amp;S406&amp;" is more than Tested F01-12"&amp;CHAR(10),""),IF(T419&gt;T418," * Positive F01-13 for Age "&amp;T405&amp;" "&amp;T406&amp;" is more than Tested F01-12"&amp;CHAR(10),""),IF(U419&gt;U418," * Positive F01-13 for Age "&amp;T405&amp;" "&amp;U406&amp;" is more than Tested F01-12"&amp;CHAR(10),""),IF(V419&gt;V418," * Positive F01-13 for Age "&amp;V405&amp;" "&amp;V406&amp;" is more than Tested F01-12"&amp;CHAR(10),""),IF(W419&gt;W418," * Positive F01-13 for Age "&amp;V405&amp;" "&amp;W406&amp;" is more than Tested F01-12"&amp;CHAR(10),""),IF(X419&gt;X418," * Positive F01-13 for Age "&amp;X405&amp;" "&amp;X406&amp;" is more than Tested F01-12"&amp;CHAR(10),""),IF(Y419&gt;Y418," * Positive F01-13 for Age "&amp;X405&amp;" "&amp;Y406&amp;" is more than Tested F01-12"&amp;CHAR(10),""),IF(Z419&gt;Z418," * Positive F01-13 for Age "&amp;Z405&amp;" "&amp;Z406&amp;" is more than Tested F01-12"&amp;CHAR(10),""),IF(AA419&gt;AA418," * Positive F01-13 for Age "&amp;Z405&amp;" "&amp;AA406&amp;" is more than Tested F01-12"&amp;CHAR(10),""))</f>
        <v/>
      </c>
      <c r="AL418" s="1279"/>
      <c r="AM418" s="31" t="str">
        <f>CONCATENATE(IF(AND(IFERROR((AJ419*100)/AJ418,0)&gt;10,AJ419&gt;5)," * This facility has a high positivity rate for Index Testing. Kindly confirm if this is the true reflection"&amp;CHAR(10),""),"")</f>
        <v/>
      </c>
      <c r="AN418" s="851"/>
      <c r="AO418" s="13">
        <v>32</v>
      </c>
      <c r="AP418" s="81"/>
      <c r="AQ418" s="82"/>
    </row>
    <row r="419" spans="1:43" s="83" customFormat="1" ht="25.5" hidden="1" x14ac:dyDescent="0.75">
      <c r="A419" s="935"/>
      <c r="B419" s="781" t="s">
        <v>1121</v>
      </c>
      <c r="C419" s="785" t="s">
        <v>1120</v>
      </c>
      <c r="D419" s="769"/>
      <c r="E419" s="797"/>
      <c r="F419" s="572"/>
      <c r="G419" s="497"/>
      <c r="H419" s="497"/>
      <c r="I419" s="497"/>
      <c r="J419" s="497"/>
      <c r="K419" s="497"/>
      <c r="L419" s="497"/>
      <c r="M419" s="497"/>
      <c r="N419" s="497"/>
      <c r="O419" s="497"/>
      <c r="P419" s="497"/>
      <c r="Q419" s="497"/>
      <c r="R419" s="497"/>
      <c r="S419" s="497"/>
      <c r="T419" s="497"/>
      <c r="U419" s="497"/>
      <c r="V419" s="497"/>
      <c r="W419" s="497"/>
      <c r="X419" s="497"/>
      <c r="Y419" s="497"/>
      <c r="Z419" s="497"/>
      <c r="AA419" s="497"/>
      <c r="AB419" s="357"/>
      <c r="AC419" s="357"/>
      <c r="AD419" s="357"/>
      <c r="AE419" s="357"/>
      <c r="AF419" s="357"/>
      <c r="AG419" s="357"/>
      <c r="AH419" s="357"/>
      <c r="AI419" s="314"/>
      <c r="AJ419" s="495">
        <f t="shared" si="158"/>
        <v>0</v>
      </c>
      <c r="AK419" s="1011"/>
      <c r="AL419" s="1279"/>
      <c r="AM419" s="31" t="e">
        <f>CONCATENATE(IF(D418&gt;0," * F01-12 for Age "&amp;D405&amp;" "&amp;D406&amp;" has a value greater than 0"&amp;CHAR(10),""),IF(E418&gt;0," * F01-12 for Age "&amp;D405&amp;" "&amp;E406&amp;" has a value greater than 0"&amp;CHAR(10),""),IF(D419&gt;0," * F01-13 for Age "&amp;D405&amp;" "&amp;D406&amp;" has a value greater than 0"&amp;CHAR(10),""),IF(E419&gt;0," * F01-13 for Age "&amp;D405&amp;" "&amp;E406&amp;" has a value greater than 0"&amp;CHAR(10),""),IF(#REF!&gt;0," * F01-14 for Age "&amp;D405&amp;" "&amp;D406&amp;" has a value greater than 0"&amp;CHAR(10),""),IF(#REF!&gt;0," * F01-14 for Age "&amp;D405&amp;" "&amp;E406&amp;" has a value greater than 0"&amp;CHAR(10),""),IF(D482&gt;0," * F01-15 for Age "&amp;D405&amp;" "&amp;D406&amp;" has a value greater than 0"&amp;CHAR(10),""),IF(E482&gt;0," * F01-15 for Age "&amp;D405&amp;" "&amp;E406&amp;" has a value greater than 0"&amp;CHAR(10),""),IF(D487&gt;0," * F01-20 for Age "&amp;D405&amp;" "&amp;D406&amp;" has a value greater than 0"&amp;CHAR(10),""),IF(E487&gt;0," * F01-20 for Age "&amp;D405&amp;" "&amp;E406&amp;" has a value greater than 0"&amp;CHAR(10),""),IF(D488&gt;0," * F01-21 for Age "&amp;D405&amp;" "&amp;D406&amp;" has a value greater than 0"&amp;CHAR(10),""),IF(E488&gt;0," * F01-21 for Age "&amp;D405&amp;" "&amp;E406&amp;" has a value greater than 0"&amp;CHAR(10),""),IF(D489&gt;0," * F01-22 for Age "&amp;D405&amp;" "&amp;D406&amp;" has a value greater than 0"&amp;CHAR(10),""),IF(E489&gt;0," * F01-22 for Age "&amp;D405&amp;" "&amp;E406&amp;" has a value greater than 0"&amp;CHAR(10),""),IF(D490&gt;0," * F01-23 for Age "&amp;D405&amp;" "&amp;D406&amp;" has a value greater than 0"&amp;CHAR(10),""),IF(E490&gt;0," * F01-23 for Age "&amp;D405&amp;" "&amp;E406&amp;" has a value greater than 0"&amp;CHAR(10),""),"")</f>
        <v>#REF!</v>
      </c>
      <c r="AN419" s="851"/>
      <c r="AO419" s="13">
        <v>33</v>
      </c>
      <c r="AP419" s="81"/>
      <c r="AQ419" s="82"/>
    </row>
    <row r="420" spans="1:43" s="83" customFormat="1" ht="25.5" hidden="1" x14ac:dyDescent="0.75">
      <c r="A420" s="935"/>
      <c r="B420" s="781" t="s">
        <v>1123</v>
      </c>
      <c r="C420" s="785" t="s">
        <v>1122</v>
      </c>
      <c r="D420" s="769"/>
      <c r="E420" s="797"/>
      <c r="F420" s="573"/>
      <c r="G420" s="504"/>
      <c r="H420" s="504"/>
      <c r="I420" s="504"/>
      <c r="J420" s="504"/>
      <c r="K420" s="504"/>
      <c r="L420" s="504"/>
      <c r="M420" s="504"/>
      <c r="N420" s="504"/>
      <c r="O420" s="504"/>
      <c r="P420" s="504"/>
      <c r="Q420" s="504"/>
      <c r="R420" s="504"/>
      <c r="S420" s="504"/>
      <c r="T420" s="504"/>
      <c r="U420" s="504"/>
      <c r="V420" s="504"/>
      <c r="W420" s="504"/>
      <c r="X420" s="504"/>
      <c r="Y420" s="504"/>
      <c r="Z420" s="504"/>
      <c r="AA420" s="504"/>
      <c r="AB420" s="357"/>
      <c r="AC420" s="357"/>
      <c r="AD420" s="357"/>
      <c r="AE420" s="357"/>
      <c r="AF420" s="357"/>
      <c r="AG420" s="357"/>
      <c r="AH420" s="357"/>
      <c r="AI420" s="314"/>
      <c r="AJ420" s="495">
        <f t="shared" ref="AJ420" si="159">SUM(D420:AA420)</f>
        <v>0</v>
      </c>
      <c r="AK420" s="486"/>
      <c r="AL420" s="1279"/>
      <c r="AM420" s="31" t="str">
        <f>CONCATENATE(IF(D419&gt;0," * F01-12 for Age "&amp;D406&amp;" "&amp;D407&amp;" has a value greater than 0"&amp;CHAR(10),""),IF(E419&gt;0," * F01-12 for Age "&amp;D406&amp;" "&amp;E407&amp;" has a value greater than 0"&amp;CHAR(10),""),IF(D420&gt;0," * F01-13 for Age "&amp;D406&amp;" "&amp;D407&amp;" has a value greater than 0"&amp;CHAR(10),""),IF(E420&gt;0," * F01-13 for Age "&amp;D406&amp;" "&amp;E407&amp;" has a value greater than 0"&amp;CHAR(10),""),IF(D482&gt;0," * F01-14 for Age "&amp;D406&amp;" "&amp;D407&amp;" has a value greater than 0"&amp;CHAR(10),""),IF(E482&gt;0," * F01-14 for Age "&amp;D406&amp;" "&amp;E407&amp;" has a value greater than 0"&amp;CHAR(10),""),IF(D483&gt;0," * F01-15 for Age "&amp;D406&amp;" "&amp;D407&amp;" has a value greater than 0"&amp;CHAR(10),""),IF(E483&gt;0," * F01-15 for Age "&amp;D406&amp;" "&amp;E407&amp;" has a value greater than 0"&amp;CHAR(10),""),IF(D488&gt;0," * F01-20 for Age "&amp;D406&amp;" "&amp;D407&amp;" has a value greater than 0"&amp;CHAR(10),""),IF(E488&gt;0," * F01-20 for Age "&amp;D406&amp;" "&amp;E407&amp;" has a value greater than 0"&amp;CHAR(10),""),IF(D489&gt;0," * F01-21 for Age "&amp;D406&amp;" "&amp;D407&amp;" has a value greater than 0"&amp;CHAR(10),""),IF(E489&gt;0," * F01-21 for Age "&amp;D406&amp;" "&amp;E407&amp;" has a value greater than 0"&amp;CHAR(10),""),IF(D490&gt;0," * F01-22 for Age "&amp;D406&amp;" "&amp;D407&amp;" has a value greater than 0"&amp;CHAR(10),""),IF(E490&gt;0," * F01-22 for Age "&amp;D406&amp;" "&amp;E407&amp;" has a value greater than 0"&amp;CHAR(10),""),IF(D491&gt;0," * F01-23 for Age "&amp;D406&amp;" "&amp;D407&amp;" has a value greater than 0"&amp;CHAR(10),""),IF(E491&gt;0," * F01-23 for Age "&amp;D406&amp;" "&amp;E407&amp;" has a value greater than 0"&amp;CHAR(10),""),"")</f>
        <v/>
      </c>
      <c r="AN420" s="851"/>
      <c r="AO420" s="13">
        <v>33</v>
      </c>
      <c r="AP420" s="81"/>
      <c r="AQ420" s="82"/>
    </row>
    <row r="421" spans="1:43" s="83" customFormat="1" ht="25.9" hidden="1" thickBot="1" x14ac:dyDescent="0.8">
      <c r="A421" s="936"/>
      <c r="B421" s="782" t="s">
        <v>1125</v>
      </c>
      <c r="C421" s="786" t="s">
        <v>1124</v>
      </c>
      <c r="D421" s="770"/>
      <c r="E421" s="798"/>
      <c r="F421" s="574"/>
      <c r="G421" s="570"/>
      <c r="H421" s="570"/>
      <c r="I421" s="570"/>
      <c r="J421" s="570"/>
      <c r="K421" s="570"/>
      <c r="L421" s="570"/>
      <c r="M421" s="570"/>
      <c r="N421" s="570"/>
      <c r="O421" s="570"/>
      <c r="P421" s="570"/>
      <c r="Q421" s="570"/>
      <c r="R421" s="570"/>
      <c r="S421" s="570"/>
      <c r="T421" s="570"/>
      <c r="U421" s="570"/>
      <c r="V421" s="570"/>
      <c r="W421" s="570"/>
      <c r="X421" s="570"/>
      <c r="Y421" s="570"/>
      <c r="Z421" s="570"/>
      <c r="AA421" s="570"/>
      <c r="AB421" s="391"/>
      <c r="AC421" s="391"/>
      <c r="AD421" s="391"/>
      <c r="AE421" s="391"/>
      <c r="AF421" s="391"/>
      <c r="AG421" s="391"/>
      <c r="AH421" s="391"/>
      <c r="AI421" s="315"/>
      <c r="AJ421" s="496">
        <f t="shared" ref="AJ421:AJ425" si="160">SUM(D421:AA421)</f>
        <v>0</v>
      </c>
      <c r="AK421" s="486"/>
      <c r="AL421" s="1279"/>
      <c r="AM421" s="31" t="str">
        <f>CONCATENATE(IF(D420&gt;0," * F01-12 for Age "&amp;D407&amp;" "&amp;D408&amp;" has a value greater than 0"&amp;CHAR(10),""),IF(E420&gt;0," * F01-12 for Age "&amp;D407&amp;" "&amp;E408&amp;" has a value greater than 0"&amp;CHAR(10),""),IF(D421&gt;0," * F01-13 for Age "&amp;D407&amp;" "&amp;D408&amp;" has a value greater than 0"&amp;CHAR(10),""),IF(E421&gt;0," * F01-13 for Age "&amp;D407&amp;" "&amp;E408&amp;" has a value greater than 0"&amp;CHAR(10),""),IF(D483&gt;0," * F01-14 for Age "&amp;D407&amp;" "&amp;D408&amp;" has a value greater than 0"&amp;CHAR(10),""),IF(E483&gt;0," * F01-14 for Age "&amp;D407&amp;" "&amp;E408&amp;" has a value greater than 0"&amp;CHAR(10),""),IF(D484&gt;0," * F01-15 for Age "&amp;D407&amp;" "&amp;D408&amp;" has a value greater than 0"&amp;CHAR(10),""),IF(E484&gt;0," * F01-15 for Age "&amp;D407&amp;" "&amp;E408&amp;" has a value greater than 0"&amp;CHAR(10),""),IF(D489&gt;0," * F01-20 for Age "&amp;D407&amp;" "&amp;D408&amp;" has a value greater than 0"&amp;CHAR(10),""),IF(E489&gt;0," * F01-20 for Age "&amp;D407&amp;" "&amp;E408&amp;" has a value greater than 0"&amp;CHAR(10),""),IF(D490&gt;0," * F01-21 for Age "&amp;D407&amp;" "&amp;D408&amp;" has a value greater than 0"&amp;CHAR(10),""),IF(E490&gt;0," * F01-21 for Age "&amp;D407&amp;" "&amp;E408&amp;" has a value greater than 0"&amp;CHAR(10),""),IF(D491&gt;0," * F01-22 for Age "&amp;D407&amp;" "&amp;D408&amp;" has a value greater than 0"&amp;CHAR(10),""),IF(E491&gt;0," * F01-22 for Age "&amp;D407&amp;" "&amp;E408&amp;" has a value greater than 0"&amp;CHAR(10),""),IF(D492&gt;0," * F01-23 for Age "&amp;D407&amp;" "&amp;D408&amp;" has a value greater than 0"&amp;CHAR(10),""),IF(E492&gt;0," * F01-23 for Age "&amp;D407&amp;" "&amp;E408&amp;" has a value greater than 0"&amp;CHAR(10),""),"")</f>
        <v/>
      </c>
      <c r="AN421" s="851"/>
      <c r="AO421" s="13">
        <v>33</v>
      </c>
      <c r="AP421" s="81"/>
      <c r="AQ421" s="82"/>
    </row>
    <row r="422" spans="1:43" s="83" customFormat="1" ht="25.9" hidden="1" thickBot="1" x14ac:dyDescent="0.8">
      <c r="A422" s="934" t="s">
        <v>13</v>
      </c>
      <c r="B422" s="780" t="s">
        <v>150</v>
      </c>
      <c r="C422" s="784" t="s">
        <v>1126</v>
      </c>
      <c r="D422" s="767"/>
      <c r="E422" s="795"/>
      <c r="F422" s="806">
        <f t="shared" ref="F422:AA422" si="161">F34</f>
        <v>0</v>
      </c>
      <c r="G422" s="503">
        <f t="shared" si="161"/>
        <v>0</v>
      </c>
      <c r="H422" s="503">
        <f t="shared" si="161"/>
        <v>0</v>
      </c>
      <c r="I422" s="503">
        <f t="shared" si="161"/>
        <v>0</v>
      </c>
      <c r="J422" s="503">
        <f t="shared" si="161"/>
        <v>0</v>
      </c>
      <c r="K422" s="503">
        <f t="shared" si="161"/>
        <v>0</v>
      </c>
      <c r="L422" s="503">
        <f t="shared" si="161"/>
        <v>0</v>
      </c>
      <c r="M422" s="503">
        <f t="shared" si="161"/>
        <v>0</v>
      </c>
      <c r="N422" s="503">
        <f t="shared" si="161"/>
        <v>0</v>
      </c>
      <c r="O422" s="503">
        <f t="shared" si="161"/>
        <v>0</v>
      </c>
      <c r="P422" s="503">
        <f t="shared" si="161"/>
        <v>0</v>
      </c>
      <c r="Q422" s="503">
        <f t="shared" si="161"/>
        <v>0</v>
      </c>
      <c r="R422" s="503">
        <f t="shared" si="161"/>
        <v>0</v>
      </c>
      <c r="S422" s="503">
        <f t="shared" si="161"/>
        <v>0</v>
      </c>
      <c r="T422" s="503">
        <f t="shared" si="161"/>
        <v>0</v>
      </c>
      <c r="U422" s="503">
        <f t="shared" si="161"/>
        <v>0</v>
      </c>
      <c r="V422" s="503">
        <f t="shared" si="161"/>
        <v>0</v>
      </c>
      <c r="W422" s="503">
        <f t="shared" si="161"/>
        <v>0</v>
      </c>
      <c r="X422" s="503">
        <f t="shared" si="161"/>
        <v>0</v>
      </c>
      <c r="Y422" s="503">
        <f t="shared" si="161"/>
        <v>0</v>
      </c>
      <c r="Z422" s="503">
        <f t="shared" si="161"/>
        <v>0</v>
      </c>
      <c r="AA422" s="503">
        <f t="shared" si="161"/>
        <v>0</v>
      </c>
      <c r="AB422" s="388"/>
      <c r="AC422" s="388"/>
      <c r="AD422" s="388"/>
      <c r="AE422" s="388"/>
      <c r="AF422" s="388"/>
      <c r="AG422" s="388"/>
      <c r="AH422" s="388"/>
      <c r="AI422" s="388"/>
      <c r="AJ422" s="493">
        <f t="shared" si="160"/>
        <v>0</v>
      </c>
      <c r="AK422" s="566" t="str">
        <f>CONCATENATE(IF((D423+D424+D425+D426)&lt;&gt;D422," * "&amp;$A422&amp;" , "&amp;$B423&amp;" plus "&amp;$B424&amp;" plus "&amp;$B425&amp;" plus "&amp;$B426&amp;" For age "&amp;$D$20&amp;" "&amp;$D$21&amp;" should be equal to "&amp;$B422&amp;""&amp;CHAR(10),""),IF((E423+E424+E425+E426)&lt;&gt;E422," * "&amp;$A422&amp;" , "&amp;$B423&amp;" plus "&amp;$B424&amp;" plus "&amp;$B425&amp;" plus "&amp;$B426&amp;" For age "&amp;$D$20&amp;" "&amp;$E$21&amp;" should be equal to "&amp;$B422&amp;""&amp;CHAR(10),""),IF((F423+F424+F425+F426)&lt;&gt;F422," * "&amp;$A422&amp;" , "&amp;$B423&amp;" plus "&amp;$B424&amp;" plus "&amp;$B425&amp;" plus "&amp;$B426&amp;" For age "&amp;$F$20&amp;" "&amp;$F$21&amp;" should be equal to "&amp;$B422&amp;""&amp;CHAR(10),""),IF((G423+G424+G425+G426)&lt;&gt;G422," * "&amp;$A422&amp;" , "&amp;$B423&amp;" plus "&amp;$B424&amp;" plus "&amp;$B425&amp;" plus "&amp;$B426&amp;" For age "&amp;$F$20&amp;" "&amp;$G$21&amp;" should be equal to "&amp;$B422&amp;""&amp;CHAR(10),""),IF((H423+H424+H425+H426)&lt;&gt;H422," * "&amp;$A422&amp;" , "&amp;$B423&amp;" plus "&amp;$B424&amp;" plus "&amp;$B425&amp;" plus "&amp;$B426&amp;" For age "&amp;$H$20&amp;" "&amp;$H$21&amp;" should be equal to "&amp;$B422&amp;""&amp;CHAR(10),""),IF((I423+I424+I425+I426)&lt;&gt;I422," * "&amp;$A422&amp;" , "&amp;$B423&amp;" plus "&amp;$B424&amp;" plus "&amp;$B425&amp;" plus "&amp;$B426&amp;" For age "&amp;$H$20&amp;" "&amp;$I$21&amp;" should be equal to "&amp;$B422&amp;""&amp;CHAR(10),""),IF((J423+J424+J425+J426)&lt;&gt;J422," * "&amp;$A422&amp;" , "&amp;$B423&amp;" plus "&amp;$B424&amp;" plus "&amp;$B425&amp;" plus "&amp;$B426&amp;" For age "&amp;$J$20&amp;" "&amp;$J$21&amp;" should be equal to "&amp;$B422&amp;""&amp;CHAR(10),""),IF((K423+K424+K425+K426)&lt;&gt;K422," * "&amp;$A422&amp;" , "&amp;$B423&amp;" plus "&amp;$B424&amp;" plus "&amp;$B425&amp;" plus "&amp;$B426&amp;" For age "&amp;$J$20&amp;" "&amp;$K$21&amp;" should be equal to "&amp;$B422&amp;""&amp;CHAR(10),""),IF((L423+L424+L425+L426)&lt;&gt;L422," * "&amp;$A422&amp;" , "&amp;$B423&amp;" plus "&amp;$B424&amp;" plus "&amp;$B425&amp;" plus "&amp;$B426&amp;" For age "&amp;$L$20&amp;" "&amp;$L$21&amp;" should be equal to "&amp;$B422&amp;""&amp;CHAR(10),""),IF((M423+M424+M425+M426)&lt;&gt;M422," * "&amp;$A422&amp;" , "&amp;$B423&amp;" plus "&amp;$B424&amp;" plus "&amp;$B425&amp;" plus "&amp;$B426&amp;" For age "&amp;$L$20&amp;" "&amp;$M$21&amp;" should be equal to "&amp;$B422&amp;""&amp;CHAR(10),""),IF((N423+N424+N425+N426)&lt;&gt;N422," * "&amp;$A422&amp;" , "&amp;$B423&amp;" plus "&amp;$B424&amp;" plus "&amp;$B425&amp;" plus "&amp;$B426&amp;" For age "&amp;$N$20&amp;" "&amp;$N$21&amp;" should be equal to "&amp;$B422&amp;""&amp;CHAR(10),""),IF((O423+O424+O425+O426)&lt;&gt;O422," * "&amp;$A422&amp;" , "&amp;$B423&amp;" plus "&amp;$B424&amp;" plus "&amp;$B425&amp;" plus "&amp;$B426&amp;" For age "&amp;$N$20&amp;" "&amp;$O$21&amp;" should be equal to "&amp;$B422&amp;""&amp;CHAR(10),""),IF((P423+P424+P425+P426)&lt;&gt;P422," * "&amp;$A422&amp;" , "&amp;$B423&amp;" plus "&amp;$B424&amp;" plus "&amp;$B425&amp;" plus "&amp;$B426&amp;" For age "&amp;$P$20&amp;" "&amp;$P$21&amp;" should be equal to "&amp;$B422&amp;""&amp;CHAR(10),""),IF((Q423+Q424+Q425+Q426)&lt;&gt;Q422," * "&amp;$A422&amp;" , "&amp;$B423&amp;" plus "&amp;$B424&amp;" plus "&amp;$B425&amp;" plus "&amp;$B426&amp;" For age "&amp;$P$20&amp;" "&amp;$Q$21&amp;" should be equal to "&amp;$B422&amp;""&amp;CHAR(10),""),IF((R423+R424+R425+R426)&lt;&gt;R422," * "&amp;$A422&amp;" , "&amp;$B423&amp;" plus "&amp;$B424&amp;" plus "&amp;$B425&amp;" plus "&amp;$B426&amp;" For age "&amp;$R$20&amp;" "&amp;$R$21&amp;" should be equal to "&amp;$B422&amp;""&amp;CHAR(10),""),IF((S423+S424+S425+S426)&lt;&gt;S422," * "&amp;$A422&amp;" , "&amp;$B423&amp;" plus "&amp;$B424&amp;" plus "&amp;$B425&amp;" plus "&amp;$B426&amp;" For age "&amp;$R$20&amp;" "&amp;$S$21&amp;" should be equal to "&amp;$B422&amp;""&amp;CHAR(10),""),IF((T423+T424+T425+T426)&lt;&gt;T422," * "&amp;$A422&amp;" , "&amp;$B423&amp;" plus "&amp;$B424&amp;" plus "&amp;$B425&amp;" plus "&amp;$B426&amp;" For age "&amp;$T$20&amp;" "&amp;$T$21&amp;" should be equal to "&amp;$B422&amp;""&amp;CHAR(10),""),IF((U423+U424+U425+U426)&lt;&gt;U422," * "&amp;$A422&amp;" , "&amp;$B423&amp;" plus "&amp;$B424&amp;" plus "&amp;$B425&amp;" plus "&amp;$B426&amp;" For age "&amp;$T$20&amp;" "&amp;$U$21&amp;" should be equal to "&amp;$B422&amp;""&amp;CHAR(10),""),IF((V423+V424+V425+V426)&lt;&gt;V422," * "&amp;$A422&amp;" , "&amp;$B423&amp;" plus "&amp;$B424&amp;" plus "&amp;$B425&amp;" plus "&amp;$B426&amp;" For age "&amp;$V$20&amp;" "&amp;$V$21&amp;" should be equal to "&amp;$B422&amp;""&amp;CHAR(10),""),IF((W423+W424+W425+W426)&lt;&gt;W422," * "&amp;$A422&amp;" , "&amp;$B423&amp;" plus "&amp;$B424&amp;" plus "&amp;$B425&amp;" plus "&amp;$B426&amp;" For age "&amp;$V$20&amp;" "&amp;$W$21&amp;" should be equal to "&amp;$B422&amp;""&amp;CHAR(10),""),IF((X423+X424+X425+X426)&lt;&gt;X422," * "&amp;$A422&amp;" , "&amp;$B423&amp;" plus "&amp;$B424&amp;" plus "&amp;$B425&amp;" plus "&amp;$B426&amp;" For age "&amp;$X$20&amp;" "&amp;$X$21&amp;" should be equal to "&amp;$B422&amp;""&amp;CHAR(10),""),IF((Y423+Y424+Y425+Y426)&lt;&gt;Y422," * "&amp;$A422&amp;" , "&amp;$B423&amp;" plus "&amp;$B424&amp;" plus "&amp;$B425&amp;" plus "&amp;$B426&amp;" For age "&amp;$X$20&amp;" "&amp;$Y$21&amp;" should be equal to "&amp;$B422&amp;""&amp;CHAR(10),""),IF((Z423+Z424+Z425+Z426)&lt;&gt;Z422," * "&amp;$A422&amp;" , "&amp;$B423&amp;" plus "&amp;$B424&amp;" plus "&amp;$B425&amp;" plus "&amp;$B426&amp;" For age "&amp;$Z$20&amp;" "&amp;$Z$21&amp;" should be equal to "&amp;$B422&amp;""&amp;CHAR(10),""),IF((AA423+AA424+AA425+AA426)&lt;&gt;AA422," * "&amp;$A422&amp;" , "&amp;$B423&amp;" plus "&amp;$B424&amp;" plus "&amp;$B425&amp;" plus "&amp;$B426&amp;" For age "&amp;$Z$20&amp;" "&amp;$AA$21&amp;" should be equal to "&amp;$B422&amp;""&amp;CHAR(10),""))</f>
        <v/>
      </c>
      <c r="AL422" s="1279"/>
      <c r="AM422" s="31"/>
      <c r="AN422" s="851"/>
      <c r="AO422" s="13">
        <v>31</v>
      </c>
      <c r="AP422" s="81"/>
      <c r="AQ422" s="82"/>
    </row>
    <row r="423" spans="1:43" s="83" customFormat="1" ht="25.5" hidden="1" x14ac:dyDescent="0.75">
      <c r="A423" s="935"/>
      <c r="B423" s="781" t="s">
        <v>1140</v>
      </c>
      <c r="C423" s="785" t="s">
        <v>1127</v>
      </c>
      <c r="D423" s="648"/>
      <c r="E423" s="796"/>
      <c r="F423" s="571"/>
      <c r="G423" s="568"/>
      <c r="H423" s="568"/>
      <c r="I423" s="568"/>
      <c r="J423" s="568"/>
      <c r="K423" s="568"/>
      <c r="L423" s="568"/>
      <c r="M423" s="568"/>
      <c r="N423" s="568"/>
      <c r="O423" s="568"/>
      <c r="P423" s="568"/>
      <c r="Q423" s="568"/>
      <c r="R423" s="568"/>
      <c r="S423" s="568"/>
      <c r="T423" s="568"/>
      <c r="U423" s="568"/>
      <c r="V423" s="568"/>
      <c r="W423" s="568"/>
      <c r="X423" s="568"/>
      <c r="Y423" s="568"/>
      <c r="Z423" s="568"/>
      <c r="AA423" s="568"/>
      <c r="AB423" s="357"/>
      <c r="AC423" s="357"/>
      <c r="AD423" s="357"/>
      <c r="AE423" s="357"/>
      <c r="AF423" s="357"/>
      <c r="AG423" s="357"/>
      <c r="AH423" s="357"/>
      <c r="AI423" s="357"/>
      <c r="AJ423" s="494">
        <f t="shared" si="160"/>
        <v>0</v>
      </c>
      <c r="AK423" s="1011" t="str">
        <f>CONCATENATE(IF(D424&gt;D423," * Positive F01-13 for Age "&amp;D410&amp;" "&amp;D411&amp;" is more than Tested F01-12"&amp;CHAR(10),""),IF(E424&gt;E423," * Positive F01-13 for Age "&amp;D410&amp;" "&amp;E411&amp;" is more than Tested F01-12"&amp;CHAR(10),""),IF(F424&gt;F423," * Positive F01-13 for Age "&amp;F410&amp;" "&amp;F411&amp;" is more than Tested F01-12"&amp;CHAR(10),""),IF(G424&gt;G423," * Positive F01-13 for Age "&amp;F410&amp;" "&amp;G411&amp;" is more than Tested F01-12"&amp;CHAR(10),""),IF(H424&gt;H423," * Positive F01-13 for Age "&amp;H410&amp;" "&amp;H411&amp;" is more than Tested F01-12"&amp;CHAR(10),""),IF(I424&gt;I423," * Positive F01-13 for Age "&amp;H410&amp;" "&amp;I411&amp;" is more than Tested F01-12"&amp;CHAR(10),""),IF(J424&gt;J423," * Positive F01-13 for Age "&amp;J410&amp;" "&amp;J411&amp;" is more than Tested F01-12"&amp;CHAR(10),""),IF(K424&gt;K423," * Positive F01-13 for Age "&amp;J410&amp;" "&amp;K411&amp;" is more than Tested F01-12"&amp;CHAR(10),""),IF(L424&gt;L423," * Positive F01-13 for Age "&amp;L410&amp;" "&amp;L411&amp;" is more than Tested F01-12"&amp;CHAR(10),""),IF(M424&gt;M423," * Positive F01-13 for Age "&amp;L410&amp;" "&amp;M411&amp;" is more than Tested F01-12"&amp;CHAR(10),""),IF(N424&gt;N423," * Positive F01-13 for Age "&amp;N410&amp;" "&amp;N411&amp;" is more than Tested F01-12"&amp;CHAR(10),""),IF(O424&gt;O423," * Positive F01-13 for Age "&amp;N410&amp;" "&amp;O411&amp;" is more than Tested F01-12"&amp;CHAR(10),""),IF(P424&gt;P423," * Positive F01-13 for Age "&amp;P410&amp;" "&amp;P411&amp;" is more than Tested F01-12"&amp;CHAR(10),""),IF(Q424&gt;Q423," * Positive F01-13 for Age "&amp;P410&amp;" "&amp;Q411&amp;" is more than Tested F01-12"&amp;CHAR(10),""),IF(R424&gt;R423," * Positive F01-13 for Age "&amp;R410&amp;" "&amp;R411&amp;" is more than Tested F01-12"&amp;CHAR(10),""),IF(S424&gt;S423," * Positive F01-13 for Age "&amp;R410&amp;" "&amp;S411&amp;" is more than Tested F01-12"&amp;CHAR(10),""),IF(T424&gt;T423," * Positive F01-13 for Age "&amp;T410&amp;" "&amp;T411&amp;" is more than Tested F01-12"&amp;CHAR(10),""),IF(U424&gt;U423," * Positive F01-13 for Age "&amp;T410&amp;" "&amp;U411&amp;" is more than Tested F01-12"&amp;CHAR(10),""),IF(V424&gt;V423," * Positive F01-13 for Age "&amp;V410&amp;" "&amp;V411&amp;" is more than Tested F01-12"&amp;CHAR(10),""),IF(W424&gt;W423," * Positive F01-13 for Age "&amp;V410&amp;" "&amp;W411&amp;" is more than Tested F01-12"&amp;CHAR(10),""),IF(X424&gt;X423," * Positive F01-13 for Age "&amp;X410&amp;" "&amp;X411&amp;" is more than Tested F01-12"&amp;CHAR(10),""),IF(Y424&gt;Y423," * Positive F01-13 for Age "&amp;X410&amp;" "&amp;Y411&amp;" is more than Tested F01-12"&amp;CHAR(10),""),IF(Z424&gt;Z423," * Positive F01-13 for Age "&amp;Z410&amp;" "&amp;Z411&amp;" is more than Tested F01-12"&amp;CHAR(10),""),IF(AA424&gt;AA423," * Positive F01-13 for Age "&amp;Z410&amp;" "&amp;AA411&amp;" is more than Tested F01-12"&amp;CHAR(10),""))</f>
        <v/>
      </c>
      <c r="AL423" s="1279"/>
      <c r="AM423" s="31" t="str">
        <f>CONCATENATE(IF(AND(IFERROR((AJ424*100)/AJ423,0)&gt;10,AJ424&gt;5)," * This facility has a high positivity rate for Index Testing. Kindly confirm if this is the true reflection"&amp;CHAR(10),""),"")</f>
        <v/>
      </c>
      <c r="AN423" s="851"/>
      <c r="AO423" s="13">
        <v>32</v>
      </c>
      <c r="AP423" s="81"/>
      <c r="AQ423" s="82"/>
    </row>
    <row r="424" spans="1:43" s="83" customFormat="1" ht="25.5" hidden="1" x14ac:dyDescent="0.75">
      <c r="A424" s="935"/>
      <c r="B424" s="781" t="s">
        <v>1121</v>
      </c>
      <c r="C424" s="785" t="s">
        <v>1128</v>
      </c>
      <c r="D424" s="769"/>
      <c r="E424" s="797"/>
      <c r="F424" s="572"/>
      <c r="G424" s="497"/>
      <c r="H424" s="497"/>
      <c r="I424" s="497"/>
      <c r="J424" s="497"/>
      <c r="K424" s="497"/>
      <c r="L424" s="497"/>
      <c r="M424" s="497"/>
      <c r="N424" s="497"/>
      <c r="O424" s="497"/>
      <c r="P424" s="497"/>
      <c r="Q424" s="497"/>
      <c r="R424" s="497"/>
      <c r="S424" s="497"/>
      <c r="T424" s="497"/>
      <c r="U424" s="497"/>
      <c r="V424" s="497"/>
      <c r="W424" s="497"/>
      <c r="X424" s="497"/>
      <c r="Y424" s="497"/>
      <c r="Z424" s="497"/>
      <c r="AA424" s="497"/>
      <c r="AB424" s="357"/>
      <c r="AC424" s="357"/>
      <c r="AD424" s="357"/>
      <c r="AE424" s="357"/>
      <c r="AF424" s="357"/>
      <c r="AG424" s="357"/>
      <c r="AH424" s="357"/>
      <c r="AI424" s="357"/>
      <c r="AJ424" s="495">
        <f t="shared" si="160"/>
        <v>0</v>
      </c>
      <c r="AK424" s="1011"/>
      <c r="AL424" s="1279"/>
      <c r="AM424" s="31" t="e">
        <f>CONCATENATE(IF(D423&gt;0," * F01-12 for Age "&amp;D410&amp;" "&amp;D411&amp;" has a value greater than 0"&amp;CHAR(10),""),IF(E423&gt;0," * F01-12 for Age "&amp;D410&amp;" "&amp;E411&amp;" has a value greater than 0"&amp;CHAR(10),""),IF(D424&gt;0," * F01-13 for Age "&amp;D410&amp;" "&amp;D411&amp;" has a value greater than 0"&amp;CHAR(10),""),IF(E424&gt;0," * F01-13 for Age "&amp;D410&amp;" "&amp;E411&amp;" has a value greater than 0"&amp;CHAR(10),""),IF(#REF!&gt;0," * F01-14 for Age "&amp;D410&amp;" "&amp;D411&amp;" has a value greater than 0"&amp;CHAR(10),""),IF(#REF!&gt;0," * F01-14 for Age "&amp;D410&amp;" "&amp;E411&amp;" has a value greater than 0"&amp;CHAR(10),""),IF(D487&gt;0," * F01-15 for Age "&amp;D410&amp;" "&amp;D411&amp;" has a value greater than 0"&amp;CHAR(10),""),IF(E487&gt;0," * F01-15 for Age "&amp;D410&amp;" "&amp;E411&amp;" has a value greater than 0"&amp;CHAR(10),""),IF(D492&gt;0," * F01-20 for Age "&amp;D410&amp;" "&amp;D411&amp;" has a value greater than 0"&amp;CHAR(10),""),IF(E492&gt;0," * F01-20 for Age "&amp;D410&amp;" "&amp;E411&amp;" has a value greater than 0"&amp;CHAR(10),""),IF(D493&gt;0," * F01-21 for Age "&amp;D410&amp;" "&amp;D411&amp;" has a value greater than 0"&amp;CHAR(10),""),IF(E493&gt;0," * F01-21 for Age "&amp;D410&amp;" "&amp;E411&amp;" has a value greater than 0"&amp;CHAR(10),""),IF(D494&gt;0," * F01-22 for Age "&amp;D410&amp;" "&amp;D411&amp;" has a value greater than 0"&amp;CHAR(10),""),IF(E494&gt;0," * F01-22 for Age "&amp;D410&amp;" "&amp;E411&amp;" has a value greater than 0"&amp;CHAR(10),""),IF(D495&gt;0," * F01-23 for Age "&amp;D410&amp;" "&amp;D411&amp;" has a value greater than 0"&amp;CHAR(10),""),IF(E495&gt;0," * F01-23 for Age "&amp;D410&amp;" "&amp;E411&amp;" has a value greater than 0"&amp;CHAR(10),""),"")</f>
        <v>#REF!</v>
      </c>
      <c r="AN424" s="851"/>
      <c r="AO424" s="13">
        <v>33</v>
      </c>
      <c r="AP424" s="81"/>
      <c r="AQ424" s="82"/>
    </row>
    <row r="425" spans="1:43" s="83" customFormat="1" ht="25.5" hidden="1" x14ac:dyDescent="0.75">
      <c r="A425" s="935"/>
      <c r="B425" s="781" t="s">
        <v>1123</v>
      </c>
      <c r="C425" s="785" t="s">
        <v>1129</v>
      </c>
      <c r="D425" s="769"/>
      <c r="E425" s="797"/>
      <c r="F425" s="573"/>
      <c r="G425" s="504"/>
      <c r="H425" s="504"/>
      <c r="I425" s="504"/>
      <c r="J425" s="504"/>
      <c r="K425" s="504"/>
      <c r="L425" s="504"/>
      <c r="M425" s="504"/>
      <c r="N425" s="504"/>
      <c r="O425" s="504"/>
      <c r="P425" s="504"/>
      <c r="Q425" s="504"/>
      <c r="R425" s="504"/>
      <c r="S425" s="504"/>
      <c r="T425" s="504"/>
      <c r="U425" s="504"/>
      <c r="V425" s="504"/>
      <c r="W425" s="504"/>
      <c r="X425" s="504"/>
      <c r="Y425" s="504"/>
      <c r="Z425" s="504"/>
      <c r="AA425" s="504"/>
      <c r="AB425" s="357"/>
      <c r="AC425" s="357"/>
      <c r="AD425" s="357"/>
      <c r="AE425" s="357"/>
      <c r="AF425" s="357"/>
      <c r="AG425" s="357"/>
      <c r="AH425" s="357"/>
      <c r="AI425" s="357"/>
      <c r="AJ425" s="495">
        <f t="shared" si="160"/>
        <v>0</v>
      </c>
      <c r="AK425" s="486"/>
      <c r="AL425" s="1279"/>
      <c r="AM425" s="31" t="str">
        <f>CONCATENATE(IF(D424&gt;0," * F01-12 for Age "&amp;D411&amp;" "&amp;D412&amp;" has a value greater than 0"&amp;CHAR(10),""),IF(E424&gt;0," * F01-12 for Age "&amp;D411&amp;" "&amp;E412&amp;" has a value greater than 0"&amp;CHAR(10),""),IF(D425&gt;0," * F01-13 for Age "&amp;D411&amp;" "&amp;D412&amp;" has a value greater than 0"&amp;CHAR(10),""),IF(E425&gt;0," * F01-13 for Age "&amp;D411&amp;" "&amp;E412&amp;" has a value greater than 0"&amp;CHAR(10),""),IF(D487&gt;0," * F01-14 for Age "&amp;D411&amp;" "&amp;D412&amp;" has a value greater than 0"&amp;CHAR(10),""),IF(E487&gt;0," * F01-14 for Age "&amp;D411&amp;" "&amp;E412&amp;" has a value greater than 0"&amp;CHAR(10),""),IF(D488&gt;0," * F01-15 for Age "&amp;D411&amp;" "&amp;D412&amp;" has a value greater than 0"&amp;CHAR(10),""),IF(E488&gt;0," * F01-15 for Age "&amp;D411&amp;" "&amp;E412&amp;" has a value greater than 0"&amp;CHAR(10),""),IF(D493&gt;0," * F01-20 for Age "&amp;D411&amp;" "&amp;D412&amp;" has a value greater than 0"&amp;CHAR(10),""),IF(E493&gt;0," * F01-20 for Age "&amp;D411&amp;" "&amp;E412&amp;" has a value greater than 0"&amp;CHAR(10),""),IF(D494&gt;0," * F01-21 for Age "&amp;D411&amp;" "&amp;D412&amp;" has a value greater than 0"&amp;CHAR(10),""),IF(E494&gt;0," * F01-21 for Age "&amp;D411&amp;" "&amp;E412&amp;" has a value greater than 0"&amp;CHAR(10),""),IF(D495&gt;0," * F01-22 for Age "&amp;D411&amp;" "&amp;D412&amp;" has a value greater than 0"&amp;CHAR(10),""),IF(E495&gt;0," * F01-22 for Age "&amp;D411&amp;" "&amp;E412&amp;" has a value greater than 0"&amp;CHAR(10),""),IF(D496&gt;0," * F01-23 for Age "&amp;D411&amp;" "&amp;D412&amp;" has a value greater than 0"&amp;CHAR(10),""),IF(E496&gt;0," * F01-23 for Age "&amp;D411&amp;" "&amp;E412&amp;" has a value greater than 0"&amp;CHAR(10),""),"")</f>
        <v/>
      </c>
      <c r="AN425" s="851"/>
      <c r="AO425" s="13">
        <v>33</v>
      </c>
      <c r="AP425" s="81"/>
      <c r="AQ425" s="82"/>
    </row>
    <row r="426" spans="1:43" s="83" customFormat="1" ht="25.9" hidden="1" thickBot="1" x14ac:dyDescent="0.8">
      <c r="A426" s="936"/>
      <c r="B426" s="782" t="s">
        <v>1125</v>
      </c>
      <c r="C426" s="786" t="s">
        <v>1130</v>
      </c>
      <c r="D426" s="770"/>
      <c r="E426" s="798"/>
      <c r="F426" s="574"/>
      <c r="G426" s="570"/>
      <c r="H426" s="570"/>
      <c r="I426" s="570"/>
      <c r="J426" s="570"/>
      <c r="K426" s="570"/>
      <c r="L426" s="570"/>
      <c r="M426" s="570"/>
      <c r="N426" s="570"/>
      <c r="O426" s="570"/>
      <c r="P426" s="570"/>
      <c r="Q426" s="570"/>
      <c r="R426" s="570"/>
      <c r="S426" s="570"/>
      <c r="T426" s="570"/>
      <c r="U426" s="570"/>
      <c r="V426" s="570"/>
      <c r="W426" s="570"/>
      <c r="X426" s="570"/>
      <c r="Y426" s="570"/>
      <c r="Z426" s="570"/>
      <c r="AA426" s="570"/>
      <c r="AB426" s="391"/>
      <c r="AC426" s="391"/>
      <c r="AD426" s="391"/>
      <c r="AE426" s="391"/>
      <c r="AF426" s="391"/>
      <c r="AG426" s="391"/>
      <c r="AH426" s="391"/>
      <c r="AI426" s="391"/>
      <c r="AJ426" s="496">
        <f t="shared" ref="AJ426:AJ435" si="162">SUM(D426:AA426)</f>
        <v>0</v>
      </c>
      <c r="AK426" s="486"/>
      <c r="AL426" s="1279"/>
      <c r="AM426" s="31" t="str">
        <f>CONCATENATE(IF(D425&gt;0," * F01-12 for Age "&amp;D412&amp;" "&amp;D413&amp;" has a value greater than 0"&amp;CHAR(10),""),IF(E425&gt;0," * F01-12 for Age "&amp;D412&amp;" "&amp;E413&amp;" has a value greater than 0"&amp;CHAR(10),""),IF(D426&gt;0," * F01-13 for Age "&amp;D412&amp;" "&amp;D413&amp;" has a value greater than 0"&amp;CHAR(10),""),IF(E426&gt;0," * F01-13 for Age "&amp;D412&amp;" "&amp;E413&amp;" has a value greater than 0"&amp;CHAR(10),""),IF(D488&gt;0," * F01-14 for Age "&amp;D412&amp;" "&amp;D413&amp;" has a value greater than 0"&amp;CHAR(10),""),IF(E488&gt;0," * F01-14 for Age "&amp;D412&amp;" "&amp;E413&amp;" has a value greater than 0"&amp;CHAR(10),""),IF(D489&gt;0," * F01-15 for Age "&amp;D412&amp;" "&amp;D413&amp;" has a value greater than 0"&amp;CHAR(10),""),IF(E489&gt;0," * F01-15 for Age "&amp;D412&amp;" "&amp;E413&amp;" has a value greater than 0"&amp;CHAR(10),""),IF(D494&gt;0," * F01-20 for Age "&amp;D412&amp;" "&amp;D413&amp;" has a value greater than 0"&amp;CHAR(10),""),IF(E494&gt;0," * F01-20 for Age "&amp;D412&amp;" "&amp;E413&amp;" has a value greater than 0"&amp;CHAR(10),""),IF(D495&gt;0," * F01-21 for Age "&amp;D412&amp;" "&amp;D413&amp;" has a value greater than 0"&amp;CHAR(10),""),IF(E495&gt;0," * F01-21 for Age "&amp;D412&amp;" "&amp;E413&amp;" has a value greater than 0"&amp;CHAR(10),""),IF(D496&gt;0," * F01-22 for Age "&amp;D412&amp;" "&amp;D413&amp;" has a value greater than 0"&amp;CHAR(10),""),IF(E496&gt;0," * F01-22 for Age "&amp;D412&amp;" "&amp;E413&amp;" has a value greater than 0"&amp;CHAR(10),""),IF(D497&gt;0," * F01-23 for Age "&amp;D412&amp;" "&amp;D413&amp;" has a value greater than 0"&amp;CHAR(10),""),IF(E497&gt;0," * F01-23 for Age "&amp;D412&amp;" "&amp;E413&amp;" has a value greater than 0"&amp;CHAR(10),""),"")</f>
        <v/>
      </c>
      <c r="AN426" s="851"/>
      <c r="AO426" s="13">
        <v>33</v>
      </c>
      <c r="AP426" s="81"/>
      <c r="AQ426" s="82"/>
    </row>
    <row r="427" spans="1:43" s="83" customFormat="1" ht="25.9" hidden="1" thickBot="1" x14ac:dyDescent="0.8">
      <c r="A427" s="934" t="s">
        <v>14</v>
      </c>
      <c r="B427" s="780" t="s">
        <v>150</v>
      </c>
      <c r="C427" s="784" t="s">
        <v>1131</v>
      </c>
      <c r="D427" s="767"/>
      <c r="E427" s="795"/>
      <c r="F427" s="806">
        <f t="shared" ref="F427:AA427" si="163">F36</f>
        <v>0</v>
      </c>
      <c r="G427" s="503">
        <f t="shared" si="163"/>
        <v>0</v>
      </c>
      <c r="H427" s="503">
        <f t="shared" si="163"/>
        <v>0</v>
      </c>
      <c r="I427" s="503">
        <f t="shared" si="163"/>
        <v>0</v>
      </c>
      <c r="J427" s="503">
        <f t="shared" si="163"/>
        <v>0</v>
      </c>
      <c r="K427" s="503">
        <f t="shared" si="163"/>
        <v>0</v>
      </c>
      <c r="L427" s="503">
        <f t="shared" si="163"/>
        <v>0</v>
      </c>
      <c r="M427" s="503">
        <f t="shared" si="163"/>
        <v>0</v>
      </c>
      <c r="N427" s="503">
        <f t="shared" si="163"/>
        <v>0</v>
      </c>
      <c r="O427" s="503">
        <f t="shared" si="163"/>
        <v>0</v>
      </c>
      <c r="P427" s="503">
        <f t="shared" si="163"/>
        <v>0</v>
      </c>
      <c r="Q427" s="503">
        <f t="shared" si="163"/>
        <v>0</v>
      </c>
      <c r="R427" s="503">
        <f t="shared" si="163"/>
        <v>0</v>
      </c>
      <c r="S427" s="503">
        <f t="shared" si="163"/>
        <v>0</v>
      </c>
      <c r="T427" s="503">
        <f t="shared" si="163"/>
        <v>0</v>
      </c>
      <c r="U427" s="503">
        <f t="shared" si="163"/>
        <v>0</v>
      </c>
      <c r="V427" s="503">
        <f t="shared" si="163"/>
        <v>0</v>
      </c>
      <c r="W427" s="503">
        <f t="shared" si="163"/>
        <v>0</v>
      </c>
      <c r="X427" s="503">
        <f t="shared" si="163"/>
        <v>0</v>
      </c>
      <c r="Y427" s="503">
        <f t="shared" si="163"/>
        <v>0</v>
      </c>
      <c r="Z427" s="503">
        <f t="shared" si="163"/>
        <v>0</v>
      </c>
      <c r="AA427" s="503">
        <f t="shared" si="163"/>
        <v>0</v>
      </c>
      <c r="AB427" s="388"/>
      <c r="AC427" s="388"/>
      <c r="AD427" s="388"/>
      <c r="AE427" s="388"/>
      <c r="AF427" s="388"/>
      <c r="AG427" s="388"/>
      <c r="AH427" s="388"/>
      <c r="AI427" s="388"/>
      <c r="AJ427" s="493">
        <f t="shared" si="162"/>
        <v>0</v>
      </c>
      <c r="AK427" s="566" t="str">
        <f>CONCATENATE(IF((D428+D429+D430+D431)&lt;&gt;D427," * "&amp;$A427&amp;" , "&amp;$B428&amp;" plus "&amp;$B429&amp;" plus "&amp;$B430&amp;" plus "&amp;$B431&amp;" For age "&amp;$D$20&amp;" "&amp;$D$21&amp;" should be equal to "&amp;$B427&amp;""&amp;CHAR(10),""),IF((E428+E429+E430+E431)&lt;&gt;E427," * "&amp;$A427&amp;" , "&amp;$B428&amp;" plus "&amp;$B429&amp;" plus "&amp;$B430&amp;" plus "&amp;$B431&amp;" For age "&amp;$D$20&amp;" "&amp;$E$21&amp;" should be equal to "&amp;$B427&amp;""&amp;CHAR(10),""),IF((F428+F429+F430+F431)&lt;&gt;F427," * "&amp;$A427&amp;" , "&amp;$B428&amp;" plus "&amp;$B429&amp;" plus "&amp;$B430&amp;" plus "&amp;$B431&amp;" For age "&amp;$F$20&amp;" "&amp;$F$21&amp;" should be equal to "&amp;$B427&amp;""&amp;CHAR(10),""),IF((G428+G429+G430+G431)&lt;&gt;G427," * "&amp;$A427&amp;" , "&amp;$B428&amp;" plus "&amp;$B429&amp;" plus "&amp;$B430&amp;" plus "&amp;$B431&amp;" For age "&amp;$F$20&amp;" "&amp;$G$21&amp;" should be equal to "&amp;$B427&amp;""&amp;CHAR(10),""),IF((H428+H429+H430+H431)&lt;&gt;H427," * "&amp;$A427&amp;" , "&amp;$B428&amp;" plus "&amp;$B429&amp;" plus "&amp;$B430&amp;" plus "&amp;$B431&amp;" For age "&amp;$H$20&amp;" "&amp;$H$21&amp;" should be equal to "&amp;$B427&amp;""&amp;CHAR(10),""),IF((I428+I429+I430+I431)&lt;&gt;I427," * "&amp;$A427&amp;" , "&amp;$B428&amp;" plus "&amp;$B429&amp;" plus "&amp;$B430&amp;" plus "&amp;$B431&amp;" For age "&amp;$H$20&amp;" "&amp;$I$21&amp;" should be equal to "&amp;$B427&amp;""&amp;CHAR(10),""),IF((J428+J429+J430+J431)&lt;&gt;J427," * "&amp;$A427&amp;" , "&amp;$B428&amp;" plus "&amp;$B429&amp;" plus "&amp;$B430&amp;" plus "&amp;$B431&amp;" For age "&amp;$J$20&amp;" "&amp;$J$21&amp;" should be equal to "&amp;$B427&amp;""&amp;CHAR(10),""),IF((K428+K429+K430+K431)&lt;&gt;K427," * "&amp;$A427&amp;" , "&amp;$B428&amp;" plus "&amp;$B429&amp;" plus "&amp;$B430&amp;" plus "&amp;$B431&amp;" For age "&amp;$J$20&amp;" "&amp;$K$21&amp;" should be equal to "&amp;$B427&amp;""&amp;CHAR(10),""),IF((L428+L429+L430+L431)&lt;&gt;L427," * "&amp;$A427&amp;" , "&amp;$B428&amp;" plus "&amp;$B429&amp;" plus "&amp;$B430&amp;" plus "&amp;$B431&amp;" For age "&amp;$L$20&amp;" "&amp;$L$21&amp;" should be equal to "&amp;$B427&amp;""&amp;CHAR(10),""),IF((M428+M429+M430+M431)&lt;&gt;M427," * "&amp;$A427&amp;" , "&amp;$B428&amp;" plus "&amp;$B429&amp;" plus "&amp;$B430&amp;" plus "&amp;$B431&amp;" For age "&amp;$L$20&amp;" "&amp;$M$21&amp;" should be equal to "&amp;$B427&amp;""&amp;CHAR(10),""),IF((N428+N429+N430+N431)&lt;&gt;N427," * "&amp;$A427&amp;" , "&amp;$B428&amp;" plus "&amp;$B429&amp;" plus "&amp;$B430&amp;" plus "&amp;$B431&amp;" For age "&amp;$N$20&amp;" "&amp;$N$21&amp;" should be equal to "&amp;$B427&amp;""&amp;CHAR(10),""),IF((O428+O429+O430+O431)&lt;&gt;O427," * "&amp;$A427&amp;" , "&amp;$B428&amp;" plus "&amp;$B429&amp;" plus "&amp;$B430&amp;" plus "&amp;$B431&amp;" For age "&amp;$N$20&amp;" "&amp;$O$21&amp;" should be equal to "&amp;$B427&amp;""&amp;CHAR(10),""),IF((P428+P429+P430+P431)&lt;&gt;P427," * "&amp;$A427&amp;" , "&amp;$B428&amp;" plus "&amp;$B429&amp;" plus "&amp;$B430&amp;" plus "&amp;$B431&amp;" For age "&amp;$P$20&amp;" "&amp;$P$21&amp;" should be equal to "&amp;$B427&amp;""&amp;CHAR(10),""),IF((Q428+Q429+Q430+Q431)&lt;&gt;Q427," * "&amp;$A427&amp;" , "&amp;$B428&amp;" plus "&amp;$B429&amp;" plus "&amp;$B430&amp;" plus "&amp;$B431&amp;" For age "&amp;$P$20&amp;" "&amp;$Q$21&amp;" should be equal to "&amp;$B427&amp;""&amp;CHAR(10),""),IF((R428+R429+R430+R431)&lt;&gt;R427," * "&amp;$A427&amp;" , "&amp;$B428&amp;" plus "&amp;$B429&amp;" plus "&amp;$B430&amp;" plus "&amp;$B431&amp;" For age "&amp;$R$20&amp;" "&amp;$R$21&amp;" should be equal to "&amp;$B427&amp;""&amp;CHAR(10),""),IF((S428+S429+S430+S431)&lt;&gt;S427," * "&amp;$A427&amp;" , "&amp;$B428&amp;" plus "&amp;$B429&amp;" plus "&amp;$B430&amp;" plus "&amp;$B431&amp;" For age "&amp;$R$20&amp;" "&amp;$S$21&amp;" should be equal to "&amp;$B427&amp;""&amp;CHAR(10),""),IF((T428+T429+T430+T431)&lt;&gt;T427," * "&amp;$A427&amp;" , "&amp;$B428&amp;" plus "&amp;$B429&amp;" plus "&amp;$B430&amp;" plus "&amp;$B431&amp;" For age "&amp;$T$20&amp;" "&amp;$T$21&amp;" should be equal to "&amp;$B427&amp;""&amp;CHAR(10),""),IF((U428+U429+U430+U431)&lt;&gt;U427," * "&amp;$A427&amp;" , "&amp;$B428&amp;" plus "&amp;$B429&amp;" plus "&amp;$B430&amp;" plus "&amp;$B431&amp;" For age "&amp;$T$20&amp;" "&amp;$U$21&amp;" should be equal to "&amp;$B427&amp;""&amp;CHAR(10),""),IF((V428+V429+V430+V431)&lt;&gt;V427," * "&amp;$A427&amp;" , "&amp;$B428&amp;" plus "&amp;$B429&amp;" plus "&amp;$B430&amp;" plus "&amp;$B431&amp;" For age "&amp;$V$20&amp;" "&amp;$V$21&amp;" should be equal to "&amp;$B427&amp;""&amp;CHAR(10),""),IF((W428+W429+W430+W431)&lt;&gt;W427," * "&amp;$A427&amp;" , "&amp;$B428&amp;" plus "&amp;$B429&amp;" plus "&amp;$B430&amp;" plus "&amp;$B431&amp;" For age "&amp;$V$20&amp;" "&amp;$W$21&amp;" should be equal to "&amp;$B427&amp;""&amp;CHAR(10),""),IF((X428+X429+X430+X431)&lt;&gt;X427," * "&amp;$A427&amp;" , "&amp;$B428&amp;" plus "&amp;$B429&amp;" plus "&amp;$B430&amp;" plus "&amp;$B431&amp;" For age "&amp;$X$20&amp;" "&amp;$X$21&amp;" should be equal to "&amp;$B427&amp;""&amp;CHAR(10),""),IF((Y428+Y429+Y430+Y431)&lt;&gt;Y427," * "&amp;$A427&amp;" , "&amp;$B428&amp;" plus "&amp;$B429&amp;" plus "&amp;$B430&amp;" plus "&amp;$B431&amp;" For age "&amp;$X$20&amp;" "&amp;$Y$21&amp;" should be equal to "&amp;$B427&amp;""&amp;CHAR(10),""),IF((Z428+Z429+Z430+Z431)&lt;&gt;Z427," * "&amp;$A427&amp;" , "&amp;$B428&amp;" plus "&amp;$B429&amp;" plus "&amp;$B430&amp;" plus "&amp;$B431&amp;" For age "&amp;$Z$20&amp;" "&amp;$Z$21&amp;" should be equal to "&amp;$B427&amp;""&amp;CHAR(10),""),IF((AA428+AA429+AA430+AA431)&lt;&gt;AA427," * "&amp;$A427&amp;" , "&amp;$B428&amp;" plus "&amp;$B429&amp;" plus "&amp;$B430&amp;" plus "&amp;$B431&amp;" For age "&amp;$Z$20&amp;" "&amp;$AA$21&amp;" should be equal to "&amp;$B427&amp;""&amp;CHAR(10),""))</f>
        <v/>
      </c>
      <c r="AL427" s="1279"/>
      <c r="AM427" s="31"/>
      <c r="AN427" s="851"/>
      <c r="AO427" s="13">
        <v>31</v>
      </c>
      <c r="AP427" s="81"/>
      <c r="AQ427" s="82"/>
    </row>
    <row r="428" spans="1:43" s="83" customFormat="1" ht="25.5" hidden="1" x14ac:dyDescent="0.75">
      <c r="A428" s="935"/>
      <c r="B428" s="781" t="s">
        <v>1140</v>
      </c>
      <c r="C428" s="785" t="s">
        <v>1132</v>
      </c>
      <c r="D428" s="648"/>
      <c r="E428" s="796"/>
      <c r="F428" s="571"/>
      <c r="G428" s="568"/>
      <c r="H428" s="568"/>
      <c r="I428" s="568"/>
      <c r="J428" s="568"/>
      <c r="K428" s="568"/>
      <c r="L428" s="568"/>
      <c r="M428" s="568"/>
      <c r="N428" s="568"/>
      <c r="O428" s="568"/>
      <c r="P428" s="568"/>
      <c r="Q428" s="568"/>
      <c r="R428" s="568"/>
      <c r="S428" s="568"/>
      <c r="T428" s="568"/>
      <c r="U428" s="568"/>
      <c r="V428" s="568"/>
      <c r="W428" s="568"/>
      <c r="X428" s="568"/>
      <c r="Y428" s="568"/>
      <c r="Z428" s="568"/>
      <c r="AA428" s="568"/>
      <c r="AB428" s="357"/>
      <c r="AC428" s="357"/>
      <c r="AD428" s="357"/>
      <c r="AE428" s="357"/>
      <c r="AF428" s="357"/>
      <c r="AG428" s="357"/>
      <c r="AH428" s="357"/>
      <c r="AI428" s="357"/>
      <c r="AJ428" s="494">
        <f t="shared" si="162"/>
        <v>0</v>
      </c>
      <c r="AK428" s="1011" t="str">
        <f>CONCATENATE(IF(D429&gt;D428," * Positive F01-13 for Age "&amp;D415&amp;" "&amp;D416&amp;" is more than Tested F01-12"&amp;CHAR(10),""),IF(E429&gt;E428," * Positive F01-13 for Age "&amp;D415&amp;" "&amp;E416&amp;" is more than Tested F01-12"&amp;CHAR(10),""),IF(F429&gt;F428," * Positive F01-13 for Age "&amp;F415&amp;" "&amp;F416&amp;" is more than Tested F01-12"&amp;CHAR(10),""),IF(G429&gt;G428," * Positive F01-13 for Age "&amp;F415&amp;" "&amp;G416&amp;" is more than Tested F01-12"&amp;CHAR(10),""),IF(H429&gt;H428," * Positive F01-13 for Age "&amp;H415&amp;" "&amp;H416&amp;" is more than Tested F01-12"&amp;CHAR(10),""),IF(I429&gt;I428," * Positive F01-13 for Age "&amp;H415&amp;" "&amp;I416&amp;" is more than Tested F01-12"&amp;CHAR(10),""),IF(J429&gt;J428," * Positive F01-13 for Age "&amp;J415&amp;" "&amp;J416&amp;" is more than Tested F01-12"&amp;CHAR(10),""),IF(K429&gt;K428," * Positive F01-13 for Age "&amp;J415&amp;" "&amp;K416&amp;" is more than Tested F01-12"&amp;CHAR(10),""),IF(L429&gt;L428," * Positive F01-13 for Age "&amp;L415&amp;" "&amp;L416&amp;" is more than Tested F01-12"&amp;CHAR(10),""),IF(M429&gt;M428," * Positive F01-13 for Age "&amp;L415&amp;" "&amp;M416&amp;" is more than Tested F01-12"&amp;CHAR(10),""),IF(N429&gt;N428," * Positive F01-13 for Age "&amp;N415&amp;" "&amp;N416&amp;" is more than Tested F01-12"&amp;CHAR(10),""),IF(O429&gt;O428," * Positive F01-13 for Age "&amp;N415&amp;" "&amp;O416&amp;" is more than Tested F01-12"&amp;CHAR(10),""),IF(P429&gt;P428," * Positive F01-13 for Age "&amp;P415&amp;" "&amp;P416&amp;" is more than Tested F01-12"&amp;CHAR(10),""),IF(Q429&gt;Q428," * Positive F01-13 for Age "&amp;P415&amp;" "&amp;Q416&amp;" is more than Tested F01-12"&amp;CHAR(10),""),IF(R429&gt;R428," * Positive F01-13 for Age "&amp;R415&amp;" "&amp;R416&amp;" is more than Tested F01-12"&amp;CHAR(10),""),IF(S429&gt;S428," * Positive F01-13 for Age "&amp;R415&amp;" "&amp;S416&amp;" is more than Tested F01-12"&amp;CHAR(10),""),IF(T429&gt;T428," * Positive F01-13 for Age "&amp;T415&amp;" "&amp;T416&amp;" is more than Tested F01-12"&amp;CHAR(10),""),IF(U429&gt;U428," * Positive F01-13 for Age "&amp;T415&amp;" "&amp;U416&amp;" is more than Tested F01-12"&amp;CHAR(10),""),IF(V429&gt;V428," * Positive F01-13 for Age "&amp;V415&amp;" "&amp;V416&amp;" is more than Tested F01-12"&amp;CHAR(10),""),IF(W429&gt;W428," * Positive F01-13 for Age "&amp;V415&amp;" "&amp;W416&amp;" is more than Tested F01-12"&amp;CHAR(10),""),IF(X429&gt;X428," * Positive F01-13 for Age "&amp;X415&amp;" "&amp;X416&amp;" is more than Tested F01-12"&amp;CHAR(10),""),IF(Y429&gt;Y428," * Positive F01-13 for Age "&amp;X415&amp;" "&amp;Y416&amp;" is more than Tested F01-12"&amp;CHAR(10),""),IF(Z429&gt;Z428," * Positive F01-13 for Age "&amp;Z415&amp;" "&amp;Z416&amp;" is more than Tested F01-12"&amp;CHAR(10),""),IF(AA429&gt;AA428," * Positive F01-13 for Age "&amp;Z415&amp;" "&amp;AA416&amp;" is more than Tested F01-12"&amp;CHAR(10),""))</f>
        <v/>
      </c>
      <c r="AL428" s="1279"/>
      <c r="AM428" s="31" t="str">
        <f>CONCATENATE(IF(AND(IFERROR((AJ429*100)/AJ428,0)&gt;10,AJ429&gt;5)," * This facility has a high positivity rate for Index Testing. Kindly confirm if this is the true reflection"&amp;CHAR(10),""),"")</f>
        <v/>
      </c>
      <c r="AN428" s="851"/>
      <c r="AO428" s="13">
        <v>32</v>
      </c>
      <c r="AP428" s="81"/>
      <c r="AQ428" s="82"/>
    </row>
    <row r="429" spans="1:43" s="83" customFormat="1" ht="25.5" hidden="1" x14ac:dyDescent="0.75">
      <c r="A429" s="935"/>
      <c r="B429" s="781" t="s">
        <v>1121</v>
      </c>
      <c r="C429" s="785" t="s">
        <v>1133</v>
      </c>
      <c r="D429" s="769"/>
      <c r="E429" s="797"/>
      <c r="F429" s="572"/>
      <c r="G429" s="497"/>
      <c r="H429" s="497"/>
      <c r="I429" s="497"/>
      <c r="J429" s="497"/>
      <c r="K429" s="497"/>
      <c r="L429" s="497"/>
      <c r="M429" s="497"/>
      <c r="N429" s="497"/>
      <c r="O429" s="497"/>
      <c r="P429" s="497"/>
      <c r="Q429" s="497"/>
      <c r="R429" s="497"/>
      <c r="S429" s="497"/>
      <c r="T429" s="497"/>
      <c r="U429" s="497"/>
      <c r="V429" s="497"/>
      <c r="W429" s="497"/>
      <c r="X429" s="497"/>
      <c r="Y429" s="497"/>
      <c r="Z429" s="497"/>
      <c r="AA429" s="497"/>
      <c r="AB429" s="357"/>
      <c r="AC429" s="357"/>
      <c r="AD429" s="357"/>
      <c r="AE429" s="357"/>
      <c r="AF429" s="357"/>
      <c r="AG429" s="357"/>
      <c r="AH429" s="357"/>
      <c r="AI429" s="357"/>
      <c r="AJ429" s="495">
        <f t="shared" si="162"/>
        <v>0</v>
      </c>
      <c r="AK429" s="1011"/>
      <c r="AL429" s="1279"/>
      <c r="AM429" s="31" t="e">
        <f>CONCATENATE(IF(D428&gt;0," * F01-12 for Age "&amp;D415&amp;" "&amp;D416&amp;" has a value greater than 0"&amp;CHAR(10),""),IF(E428&gt;0," * F01-12 for Age "&amp;D415&amp;" "&amp;E416&amp;" has a value greater than 0"&amp;CHAR(10),""),IF(D429&gt;0," * F01-13 for Age "&amp;D415&amp;" "&amp;D416&amp;" has a value greater than 0"&amp;CHAR(10),""),IF(E429&gt;0," * F01-13 for Age "&amp;D415&amp;" "&amp;E416&amp;" has a value greater than 0"&amp;CHAR(10),""),IF(#REF!&gt;0," * F01-14 for Age "&amp;D415&amp;" "&amp;D416&amp;" has a value greater than 0"&amp;CHAR(10),""),IF(#REF!&gt;0," * F01-14 for Age "&amp;D415&amp;" "&amp;E416&amp;" has a value greater than 0"&amp;CHAR(10),""),IF(D492&gt;0," * F01-15 for Age "&amp;D415&amp;" "&amp;D416&amp;" has a value greater than 0"&amp;CHAR(10),""),IF(E492&gt;0," * F01-15 for Age "&amp;D415&amp;" "&amp;E416&amp;" has a value greater than 0"&amp;CHAR(10),""),IF(D497&gt;0," * F01-20 for Age "&amp;D415&amp;" "&amp;D416&amp;" has a value greater than 0"&amp;CHAR(10),""),IF(E497&gt;0," * F01-20 for Age "&amp;D415&amp;" "&amp;E416&amp;" has a value greater than 0"&amp;CHAR(10),""),IF(D498&gt;0," * F01-21 for Age "&amp;D415&amp;" "&amp;D416&amp;" has a value greater than 0"&amp;CHAR(10),""),IF(E498&gt;0," * F01-21 for Age "&amp;D415&amp;" "&amp;E416&amp;" has a value greater than 0"&amp;CHAR(10),""),IF(D499&gt;0," * F01-22 for Age "&amp;D415&amp;" "&amp;D416&amp;" has a value greater than 0"&amp;CHAR(10),""),IF(E499&gt;0," * F01-22 for Age "&amp;D415&amp;" "&amp;E416&amp;" has a value greater than 0"&amp;CHAR(10),""),IF(D500&gt;0," * F01-23 for Age "&amp;D415&amp;" "&amp;D416&amp;" has a value greater than 0"&amp;CHAR(10),""),IF(E500&gt;0," * F01-23 for Age "&amp;D415&amp;" "&amp;E416&amp;" has a value greater than 0"&amp;CHAR(10),""),"")</f>
        <v>#REF!</v>
      </c>
      <c r="AN429" s="851"/>
      <c r="AO429" s="13">
        <v>33</v>
      </c>
      <c r="AP429" s="81"/>
      <c r="AQ429" s="82"/>
    </row>
    <row r="430" spans="1:43" s="83" customFormat="1" ht="25.5" hidden="1" x14ac:dyDescent="0.75">
      <c r="A430" s="935"/>
      <c r="B430" s="781" t="s">
        <v>1123</v>
      </c>
      <c r="C430" s="785" t="s">
        <v>1134</v>
      </c>
      <c r="D430" s="769"/>
      <c r="E430" s="797"/>
      <c r="F430" s="573"/>
      <c r="G430" s="504"/>
      <c r="H430" s="504"/>
      <c r="I430" s="504"/>
      <c r="J430" s="504"/>
      <c r="K430" s="504"/>
      <c r="L430" s="504"/>
      <c r="M430" s="504"/>
      <c r="N430" s="504"/>
      <c r="O430" s="504"/>
      <c r="P430" s="504"/>
      <c r="Q430" s="504"/>
      <c r="R430" s="504"/>
      <c r="S430" s="504"/>
      <c r="T430" s="504"/>
      <c r="U430" s="504"/>
      <c r="V430" s="504"/>
      <c r="W430" s="504"/>
      <c r="X430" s="504"/>
      <c r="Y430" s="504"/>
      <c r="Z430" s="504"/>
      <c r="AA430" s="504"/>
      <c r="AB430" s="357"/>
      <c r="AC430" s="357"/>
      <c r="AD430" s="357"/>
      <c r="AE430" s="357"/>
      <c r="AF430" s="357"/>
      <c r="AG430" s="357"/>
      <c r="AH430" s="357"/>
      <c r="AI430" s="357"/>
      <c r="AJ430" s="495">
        <f t="shared" si="162"/>
        <v>0</v>
      </c>
      <c r="AK430" s="486"/>
      <c r="AL430" s="1279"/>
      <c r="AM430" s="31" t="str">
        <f>CONCATENATE(IF(D429&gt;0," * F01-12 for Age "&amp;D416&amp;" "&amp;D417&amp;" has a value greater than 0"&amp;CHAR(10),""),IF(E429&gt;0," * F01-12 for Age "&amp;D416&amp;" "&amp;E417&amp;" has a value greater than 0"&amp;CHAR(10),""),IF(D430&gt;0," * F01-13 for Age "&amp;D416&amp;" "&amp;D417&amp;" has a value greater than 0"&amp;CHAR(10),""),IF(E430&gt;0," * F01-13 for Age "&amp;D416&amp;" "&amp;E417&amp;" has a value greater than 0"&amp;CHAR(10),""),IF(D492&gt;0," * F01-14 for Age "&amp;D416&amp;" "&amp;D417&amp;" has a value greater than 0"&amp;CHAR(10),""),IF(E492&gt;0," * F01-14 for Age "&amp;D416&amp;" "&amp;E417&amp;" has a value greater than 0"&amp;CHAR(10),""),IF(D493&gt;0," * F01-15 for Age "&amp;D416&amp;" "&amp;D417&amp;" has a value greater than 0"&amp;CHAR(10),""),IF(E493&gt;0," * F01-15 for Age "&amp;D416&amp;" "&amp;E417&amp;" has a value greater than 0"&amp;CHAR(10),""),IF(D498&gt;0," * F01-20 for Age "&amp;D416&amp;" "&amp;D417&amp;" has a value greater than 0"&amp;CHAR(10),""),IF(E498&gt;0," * F01-20 for Age "&amp;D416&amp;" "&amp;E417&amp;" has a value greater than 0"&amp;CHAR(10),""),IF(D499&gt;0," * F01-21 for Age "&amp;D416&amp;" "&amp;D417&amp;" has a value greater than 0"&amp;CHAR(10),""),IF(E499&gt;0," * F01-21 for Age "&amp;D416&amp;" "&amp;E417&amp;" has a value greater than 0"&amp;CHAR(10),""),IF(D500&gt;0," * F01-22 for Age "&amp;D416&amp;" "&amp;D417&amp;" has a value greater than 0"&amp;CHAR(10),""),IF(E500&gt;0," * F01-22 for Age "&amp;D416&amp;" "&amp;E417&amp;" has a value greater than 0"&amp;CHAR(10),""),IF(D501&gt;0," * F01-23 for Age "&amp;D416&amp;" "&amp;D417&amp;" has a value greater than 0"&amp;CHAR(10),""),IF(E501&gt;0," * F01-23 for Age "&amp;D416&amp;" "&amp;E417&amp;" has a value greater than 0"&amp;CHAR(10),""),"")</f>
        <v/>
      </c>
      <c r="AN430" s="851"/>
      <c r="AO430" s="13">
        <v>33</v>
      </c>
      <c r="AP430" s="81"/>
      <c r="AQ430" s="82"/>
    </row>
    <row r="431" spans="1:43" s="83" customFormat="1" ht="25.9" hidden="1" thickBot="1" x14ac:dyDescent="0.8">
      <c r="A431" s="936"/>
      <c r="B431" s="782" t="s">
        <v>1125</v>
      </c>
      <c r="C431" s="786" t="s">
        <v>1135</v>
      </c>
      <c r="D431" s="770"/>
      <c r="E431" s="798"/>
      <c r="F431" s="574"/>
      <c r="G431" s="570"/>
      <c r="H431" s="570"/>
      <c r="I431" s="570"/>
      <c r="J431" s="570"/>
      <c r="K431" s="570"/>
      <c r="L431" s="570"/>
      <c r="M431" s="570"/>
      <c r="N431" s="570"/>
      <c r="O431" s="570"/>
      <c r="P431" s="570"/>
      <c r="Q431" s="570"/>
      <c r="R431" s="570"/>
      <c r="S431" s="570"/>
      <c r="T431" s="570"/>
      <c r="U431" s="570"/>
      <c r="V431" s="570"/>
      <c r="W431" s="570"/>
      <c r="X431" s="570"/>
      <c r="Y431" s="570"/>
      <c r="Z431" s="570"/>
      <c r="AA431" s="570"/>
      <c r="AB431" s="391"/>
      <c r="AC431" s="391"/>
      <c r="AD431" s="391"/>
      <c r="AE431" s="391"/>
      <c r="AF431" s="391"/>
      <c r="AG431" s="391"/>
      <c r="AH431" s="391"/>
      <c r="AI431" s="391"/>
      <c r="AJ431" s="496">
        <f t="shared" si="162"/>
        <v>0</v>
      </c>
      <c r="AK431" s="486"/>
      <c r="AL431" s="1279"/>
      <c r="AM431" s="31" t="str">
        <f>CONCATENATE(IF(D430&gt;0," * F01-12 for Age "&amp;D417&amp;" "&amp;D418&amp;" has a value greater than 0"&amp;CHAR(10),""),IF(E430&gt;0," * F01-12 for Age "&amp;D417&amp;" "&amp;E418&amp;" has a value greater than 0"&amp;CHAR(10),""),IF(D431&gt;0," * F01-13 for Age "&amp;D417&amp;" "&amp;D418&amp;" has a value greater than 0"&amp;CHAR(10),""),IF(E431&gt;0," * F01-13 for Age "&amp;D417&amp;" "&amp;E418&amp;" has a value greater than 0"&amp;CHAR(10),""),IF(D493&gt;0," * F01-14 for Age "&amp;D417&amp;" "&amp;D418&amp;" has a value greater than 0"&amp;CHAR(10),""),IF(E493&gt;0," * F01-14 for Age "&amp;D417&amp;" "&amp;E418&amp;" has a value greater than 0"&amp;CHAR(10),""),IF(D494&gt;0," * F01-15 for Age "&amp;D417&amp;" "&amp;D418&amp;" has a value greater than 0"&amp;CHAR(10),""),IF(E494&gt;0," * F01-15 for Age "&amp;D417&amp;" "&amp;E418&amp;" has a value greater than 0"&amp;CHAR(10),""),IF(D499&gt;0," * F01-20 for Age "&amp;D417&amp;" "&amp;D418&amp;" has a value greater than 0"&amp;CHAR(10),""),IF(E499&gt;0," * F01-20 for Age "&amp;D417&amp;" "&amp;E418&amp;" has a value greater than 0"&amp;CHAR(10),""),IF(D500&gt;0," * F01-21 for Age "&amp;D417&amp;" "&amp;D418&amp;" has a value greater than 0"&amp;CHAR(10),""),IF(E500&gt;0," * F01-21 for Age "&amp;D417&amp;" "&amp;E418&amp;" has a value greater than 0"&amp;CHAR(10),""),IF(D501&gt;0," * F01-22 for Age "&amp;D417&amp;" "&amp;D418&amp;" has a value greater than 0"&amp;CHAR(10),""),IF(E501&gt;0," * F01-22 for Age "&amp;D417&amp;" "&amp;E418&amp;" has a value greater than 0"&amp;CHAR(10),""),IF(D502&gt;0," * F01-23 for Age "&amp;D417&amp;" "&amp;D418&amp;" has a value greater than 0"&amp;CHAR(10),""),IF(E502&gt;0," * F01-23 for Age "&amp;D417&amp;" "&amp;E418&amp;" has a value greater than 0"&amp;CHAR(10),""),"")</f>
        <v/>
      </c>
      <c r="AN431" s="851"/>
      <c r="AO431" s="13">
        <v>33</v>
      </c>
      <c r="AP431" s="81"/>
      <c r="AQ431" s="82"/>
    </row>
    <row r="432" spans="1:43" s="83" customFormat="1" ht="25.9" hidden="1" thickBot="1" x14ac:dyDescent="0.8">
      <c r="A432" s="934" t="s">
        <v>15</v>
      </c>
      <c r="B432" s="780" t="s">
        <v>150</v>
      </c>
      <c r="C432" s="784" t="s">
        <v>1136</v>
      </c>
      <c r="D432" s="767"/>
      <c r="E432" s="795"/>
      <c r="F432" s="806">
        <f t="shared" ref="F432:AA432" si="164">F38</f>
        <v>0</v>
      </c>
      <c r="G432" s="503">
        <f t="shared" si="164"/>
        <v>0</v>
      </c>
      <c r="H432" s="503">
        <f t="shared" si="164"/>
        <v>0</v>
      </c>
      <c r="I432" s="503">
        <f t="shared" si="164"/>
        <v>0</v>
      </c>
      <c r="J432" s="503">
        <f t="shared" si="164"/>
        <v>0</v>
      </c>
      <c r="K432" s="503">
        <f t="shared" si="164"/>
        <v>0</v>
      </c>
      <c r="L432" s="503">
        <f t="shared" si="164"/>
        <v>0</v>
      </c>
      <c r="M432" s="503">
        <f t="shared" si="164"/>
        <v>0</v>
      </c>
      <c r="N432" s="503">
        <f t="shared" si="164"/>
        <v>0</v>
      </c>
      <c r="O432" s="503">
        <f t="shared" si="164"/>
        <v>0</v>
      </c>
      <c r="P432" s="503">
        <f t="shared" si="164"/>
        <v>0</v>
      </c>
      <c r="Q432" s="503">
        <f t="shared" si="164"/>
        <v>0</v>
      </c>
      <c r="R432" s="503">
        <f t="shared" si="164"/>
        <v>0</v>
      </c>
      <c r="S432" s="503">
        <f t="shared" si="164"/>
        <v>0</v>
      </c>
      <c r="T432" s="503">
        <f t="shared" si="164"/>
        <v>0</v>
      </c>
      <c r="U432" s="503">
        <f t="shared" si="164"/>
        <v>0</v>
      </c>
      <c r="V432" s="503">
        <f t="shared" si="164"/>
        <v>0</v>
      </c>
      <c r="W432" s="503">
        <f t="shared" si="164"/>
        <v>0</v>
      </c>
      <c r="X432" s="503">
        <f t="shared" si="164"/>
        <v>0</v>
      </c>
      <c r="Y432" s="503">
        <f t="shared" si="164"/>
        <v>0</v>
      </c>
      <c r="Z432" s="503">
        <f t="shared" si="164"/>
        <v>0</v>
      </c>
      <c r="AA432" s="503">
        <f t="shared" si="164"/>
        <v>0</v>
      </c>
      <c r="AB432" s="388"/>
      <c r="AC432" s="388"/>
      <c r="AD432" s="388"/>
      <c r="AE432" s="388"/>
      <c r="AF432" s="388"/>
      <c r="AG432" s="388"/>
      <c r="AH432" s="388"/>
      <c r="AI432" s="388"/>
      <c r="AJ432" s="493">
        <f t="shared" si="162"/>
        <v>0</v>
      </c>
      <c r="AK432" s="566" t="str">
        <f>CONCATENATE(IF((D433+D434+D435+D436)&lt;&gt;D432," * "&amp;$A432&amp;" , "&amp;$B433&amp;" plus "&amp;$B434&amp;" plus "&amp;$B435&amp;" plus "&amp;$B436&amp;" For age "&amp;$D$20&amp;" "&amp;$D$21&amp;" should be equal to "&amp;$B432&amp;""&amp;CHAR(10),""),IF((E433+E434+E435+E436)&lt;&gt;E432," * "&amp;$A432&amp;" , "&amp;$B433&amp;" plus "&amp;$B434&amp;" plus "&amp;$B435&amp;" plus "&amp;$B436&amp;" For age "&amp;$D$20&amp;" "&amp;$E$21&amp;" should be equal to "&amp;$B432&amp;""&amp;CHAR(10),""),IF((F433+F434+F435+F436)&lt;&gt;F432," * "&amp;$A432&amp;" , "&amp;$B433&amp;" plus "&amp;$B434&amp;" plus "&amp;$B435&amp;" plus "&amp;$B436&amp;" For age "&amp;$F$20&amp;" "&amp;$F$21&amp;" should be equal to "&amp;$B432&amp;""&amp;CHAR(10),""),IF((G433+G434+G435+G436)&lt;&gt;G432," * "&amp;$A432&amp;" , "&amp;$B433&amp;" plus "&amp;$B434&amp;" plus "&amp;$B435&amp;" plus "&amp;$B436&amp;" For age "&amp;$F$20&amp;" "&amp;$G$21&amp;" should be equal to "&amp;$B432&amp;""&amp;CHAR(10),""),IF((H433+H434+H435+H436)&lt;&gt;H432," * "&amp;$A432&amp;" , "&amp;$B433&amp;" plus "&amp;$B434&amp;" plus "&amp;$B435&amp;" plus "&amp;$B436&amp;" For age "&amp;$H$20&amp;" "&amp;$H$21&amp;" should be equal to "&amp;$B432&amp;""&amp;CHAR(10),""),IF((I433+I434+I435+I436)&lt;&gt;I432," * "&amp;$A432&amp;" , "&amp;$B433&amp;" plus "&amp;$B434&amp;" plus "&amp;$B435&amp;" plus "&amp;$B436&amp;" For age "&amp;$H$20&amp;" "&amp;$I$21&amp;" should be equal to "&amp;$B432&amp;""&amp;CHAR(10),""),IF((J433+J434+J435+J436)&lt;&gt;J432," * "&amp;$A432&amp;" , "&amp;$B433&amp;" plus "&amp;$B434&amp;" plus "&amp;$B435&amp;" plus "&amp;$B436&amp;" For age "&amp;$J$20&amp;" "&amp;$J$21&amp;" should be equal to "&amp;$B432&amp;""&amp;CHAR(10),""),IF((K433+K434+K435+K436)&lt;&gt;K432," * "&amp;$A432&amp;" , "&amp;$B433&amp;" plus "&amp;$B434&amp;" plus "&amp;$B435&amp;" plus "&amp;$B436&amp;" For age "&amp;$J$20&amp;" "&amp;$K$21&amp;" should be equal to "&amp;$B432&amp;""&amp;CHAR(10),""),IF((L433+L434+L435+L436)&lt;&gt;L432," * "&amp;$A432&amp;" , "&amp;$B433&amp;" plus "&amp;$B434&amp;" plus "&amp;$B435&amp;" plus "&amp;$B436&amp;" For age "&amp;$L$20&amp;" "&amp;$L$21&amp;" should be equal to "&amp;$B432&amp;""&amp;CHAR(10),""),IF((M433+M434+M435+M436)&lt;&gt;M432," * "&amp;$A432&amp;" , "&amp;$B433&amp;" plus "&amp;$B434&amp;" plus "&amp;$B435&amp;" plus "&amp;$B436&amp;" For age "&amp;$L$20&amp;" "&amp;$M$21&amp;" should be equal to "&amp;$B432&amp;""&amp;CHAR(10),""),IF((N433+N434+N435+N436)&lt;&gt;N432," * "&amp;$A432&amp;" , "&amp;$B433&amp;" plus "&amp;$B434&amp;" plus "&amp;$B435&amp;" plus "&amp;$B436&amp;" For age "&amp;$N$20&amp;" "&amp;$N$21&amp;" should be equal to "&amp;$B432&amp;""&amp;CHAR(10),""),IF((O433+O434+O435+O436)&lt;&gt;O432," * "&amp;$A432&amp;" , "&amp;$B433&amp;" plus "&amp;$B434&amp;" plus "&amp;$B435&amp;" plus "&amp;$B436&amp;" For age "&amp;$N$20&amp;" "&amp;$O$21&amp;" should be equal to "&amp;$B432&amp;""&amp;CHAR(10),""),IF((P433+P434+P435+P436)&lt;&gt;P432," * "&amp;$A432&amp;" , "&amp;$B433&amp;" plus "&amp;$B434&amp;" plus "&amp;$B435&amp;" plus "&amp;$B436&amp;" For age "&amp;$P$20&amp;" "&amp;$P$21&amp;" should be equal to "&amp;$B432&amp;""&amp;CHAR(10),""),IF((Q433+Q434+Q435+Q436)&lt;&gt;Q432," * "&amp;$A432&amp;" , "&amp;$B433&amp;" plus "&amp;$B434&amp;" plus "&amp;$B435&amp;" plus "&amp;$B436&amp;" For age "&amp;$P$20&amp;" "&amp;$Q$21&amp;" should be equal to "&amp;$B432&amp;""&amp;CHAR(10),""),IF((R433+R434+R435+R436)&lt;&gt;R432," * "&amp;$A432&amp;" , "&amp;$B433&amp;" plus "&amp;$B434&amp;" plus "&amp;$B435&amp;" plus "&amp;$B436&amp;" For age "&amp;$R$20&amp;" "&amp;$R$21&amp;" should be equal to "&amp;$B432&amp;""&amp;CHAR(10),""),IF((S433+S434+S435+S436)&lt;&gt;S432," * "&amp;$A432&amp;" , "&amp;$B433&amp;" plus "&amp;$B434&amp;" plus "&amp;$B435&amp;" plus "&amp;$B436&amp;" For age "&amp;$R$20&amp;" "&amp;$S$21&amp;" should be equal to "&amp;$B432&amp;""&amp;CHAR(10),""),IF((T433+T434+T435+T436)&lt;&gt;T432," * "&amp;$A432&amp;" , "&amp;$B433&amp;" plus "&amp;$B434&amp;" plus "&amp;$B435&amp;" plus "&amp;$B436&amp;" For age "&amp;$T$20&amp;" "&amp;$T$21&amp;" should be equal to "&amp;$B432&amp;""&amp;CHAR(10),""),IF((U433+U434+U435+U436)&lt;&gt;U432," * "&amp;$A432&amp;" , "&amp;$B433&amp;" plus "&amp;$B434&amp;" plus "&amp;$B435&amp;" plus "&amp;$B436&amp;" For age "&amp;$T$20&amp;" "&amp;$U$21&amp;" should be equal to "&amp;$B432&amp;""&amp;CHAR(10),""),IF((V433+V434+V435+V436)&lt;&gt;V432," * "&amp;$A432&amp;" , "&amp;$B433&amp;" plus "&amp;$B434&amp;" plus "&amp;$B435&amp;" plus "&amp;$B436&amp;" For age "&amp;$V$20&amp;" "&amp;$V$21&amp;" should be equal to "&amp;$B432&amp;""&amp;CHAR(10),""),IF((W433+W434+W435+W436)&lt;&gt;W432," * "&amp;$A432&amp;" , "&amp;$B433&amp;" plus "&amp;$B434&amp;" plus "&amp;$B435&amp;" plus "&amp;$B436&amp;" For age "&amp;$V$20&amp;" "&amp;$W$21&amp;" should be equal to "&amp;$B432&amp;""&amp;CHAR(10),""),IF((X433+X434+X435+X436)&lt;&gt;X432," * "&amp;$A432&amp;" , "&amp;$B433&amp;" plus "&amp;$B434&amp;" plus "&amp;$B435&amp;" plus "&amp;$B436&amp;" For age "&amp;$X$20&amp;" "&amp;$X$21&amp;" should be equal to "&amp;$B432&amp;""&amp;CHAR(10),""),IF((Y433+Y434+Y435+Y436)&lt;&gt;Y432," * "&amp;$A432&amp;" , "&amp;$B433&amp;" plus "&amp;$B434&amp;" plus "&amp;$B435&amp;" plus "&amp;$B436&amp;" For age "&amp;$X$20&amp;" "&amp;$Y$21&amp;" should be equal to "&amp;$B432&amp;""&amp;CHAR(10),""),IF((Z433+Z434+Z435+Z436)&lt;&gt;Z432," * "&amp;$A432&amp;" , "&amp;$B433&amp;" plus "&amp;$B434&amp;" plus "&amp;$B435&amp;" plus "&amp;$B436&amp;" For age "&amp;$Z$20&amp;" "&amp;$Z$21&amp;" should be equal to "&amp;$B432&amp;""&amp;CHAR(10),""),IF((AA433+AA434+AA435+AA436)&lt;&gt;AA432," * "&amp;$A432&amp;" , "&amp;$B433&amp;" plus "&amp;$B434&amp;" plus "&amp;$B435&amp;" plus "&amp;$B436&amp;" For age "&amp;$Z$20&amp;" "&amp;$AA$21&amp;" should be equal to "&amp;$B432&amp;""&amp;CHAR(10),""))</f>
        <v/>
      </c>
      <c r="AL432" s="1279"/>
      <c r="AM432" s="31"/>
      <c r="AN432" s="851"/>
      <c r="AO432" s="13">
        <v>31</v>
      </c>
      <c r="AP432" s="81"/>
      <c r="AQ432" s="82"/>
    </row>
    <row r="433" spans="1:43" s="83" customFormat="1" ht="25.5" hidden="1" x14ac:dyDescent="0.75">
      <c r="A433" s="935"/>
      <c r="B433" s="781" t="s">
        <v>1140</v>
      </c>
      <c r="C433" s="785" t="s">
        <v>1137</v>
      </c>
      <c r="D433" s="648"/>
      <c r="E433" s="796"/>
      <c r="F433" s="571"/>
      <c r="G433" s="568"/>
      <c r="H433" s="568"/>
      <c r="I433" s="568"/>
      <c r="J433" s="568"/>
      <c r="K433" s="568"/>
      <c r="L433" s="568"/>
      <c r="M433" s="568"/>
      <c r="N433" s="568"/>
      <c r="O433" s="568"/>
      <c r="P433" s="568"/>
      <c r="Q433" s="568"/>
      <c r="R433" s="568"/>
      <c r="S433" s="568"/>
      <c r="T433" s="568"/>
      <c r="U433" s="568"/>
      <c r="V433" s="568"/>
      <c r="W433" s="568"/>
      <c r="X433" s="568"/>
      <c r="Y433" s="568"/>
      <c r="Z433" s="568"/>
      <c r="AA433" s="568"/>
      <c r="AB433" s="357"/>
      <c r="AC433" s="357"/>
      <c r="AD433" s="357"/>
      <c r="AE433" s="357"/>
      <c r="AF433" s="357"/>
      <c r="AG433" s="357"/>
      <c r="AH433" s="357"/>
      <c r="AI433" s="357"/>
      <c r="AJ433" s="494">
        <f t="shared" si="162"/>
        <v>0</v>
      </c>
      <c r="AK433" s="1011" t="str">
        <f>CONCATENATE(IF(D434&gt;D433," * Positive F01-13 for Age "&amp;D420&amp;" "&amp;D421&amp;" is more than Tested F01-12"&amp;CHAR(10),""),IF(E434&gt;E433," * Positive F01-13 for Age "&amp;D420&amp;" "&amp;E421&amp;" is more than Tested F01-12"&amp;CHAR(10),""),IF(F434&gt;F433," * Positive F01-13 for Age "&amp;F420&amp;" "&amp;F421&amp;" is more than Tested F01-12"&amp;CHAR(10),""),IF(G434&gt;G433," * Positive F01-13 for Age "&amp;F420&amp;" "&amp;G421&amp;" is more than Tested F01-12"&amp;CHAR(10),""),IF(H434&gt;H433," * Positive F01-13 for Age "&amp;H420&amp;" "&amp;H421&amp;" is more than Tested F01-12"&amp;CHAR(10),""),IF(I434&gt;I433," * Positive F01-13 for Age "&amp;H420&amp;" "&amp;I421&amp;" is more than Tested F01-12"&amp;CHAR(10),""),IF(J434&gt;J433," * Positive F01-13 for Age "&amp;J420&amp;" "&amp;J421&amp;" is more than Tested F01-12"&amp;CHAR(10),""),IF(K434&gt;K433," * Positive F01-13 for Age "&amp;J420&amp;" "&amp;K421&amp;" is more than Tested F01-12"&amp;CHAR(10),""),IF(L434&gt;L433," * Positive F01-13 for Age "&amp;L420&amp;" "&amp;L421&amp;" is more than Tested F01-12"&amp;CHAR(10),""),IF(M434&gt;M433," * Positive F01-13 for Age "&amp;L420&amp;" "&amp;M421&amp;" is more than Tested F01-12"&amp;CHAR(10),""),IF(N434&gt;N433," * Positive F01-13 for Age "&amp;N420&amp;" "&amp;N421&amp;" is more than Tested F01-12"&amp;CHAR(10),""),IF(O434&gt;O433," * Positive F01-13 for Age "&amp;N420&amp;" "&amp;O421&amp;" is more than Tested F01-12"&amp;CHAR(10),""),IF(P434&gt;P433," * Positive F01-13 for Age "&amp;P420&amp;" "&amp;P421&amp;" is more than Tested F01-12"&amp;CHAR(10),""),IF(Q434&gt;Q433," * Positive F01-13 for Age "&amp;P420&amp;" "&amp;Q421&amp;" is more than Tested F01-12"&amp;CHAR(10),""),IF(R434&gt;R433," * Positive F01-13 for Age "&amp;R420&amp;" "&amp;R421&amp;" is more than Tested F01-12"&amp;CHAR(10),""),IF(S434&gt;S433," * Positive F01-13 for Age "&amp;R420&amp;" "&amp;S421&amp;" is more than Tested F01-12"&amp;CHAR(10),""),IF(T434&gt;T433," * Positive F01-13 for Age "&amp;T420&amp;" "&amp;T421&amp;" is more than Tested F01-12"&amp;CHAR(10),""),IF(U434&gt;U433," * Positive F01-13 for Age "&amp;T420&amp;" "&amp;U421&amp;" is more than Tested F01-12"&amp;CHAR(10),""),IF(V434&gt;V433," * Positive F01-13 for Age "&amp;V420&amp;" "&amp;V421&amp;" is more than Tested F01-12"&amp;CHAR(10),""),IF(W434&gt;W433," * Positive F01-13 for Age "&amp;V420&amp;" "&amp;W421&amp;" is more than Tested F01-12"&amp;CHAR(10),""),IF(X434&gt;X433," * Positive F01-13 for Age "&amp;X420&amp;" "&amp;X421&amp;" is more than Tested F01-12"&amp;CHAR(10),""),IF(Y434&gt;Y433," * Positive F01-13 for Age "&amp;X420&amp;" "&amp;Y421&amp;" is more than Tested F01-12"&amp;CHAR(10),""),IF(Z434&gt;Z433," * Positive F01-13 for Age "&amp;Z420&amp;" "&amp;Z421&amp;" is more than Tested F01-12"&amp;CHAR(10),""),IF(AA434&gt;AA433," * Positive F01-13 for Age "&amp;Z420&amp;" "&amp;AA421&amp;" is more than Tested F01-12"&amp;CHAR(10),""))</f>
        <v/>
      </c>
      <c r="AL433" s="1279"/>
      <c r="AM433" s="31" t="str">
        <f>CONCATENATE(IF(AND(IFERROR((AJ434*100)/AJ433,0)&gt;10,AJ434&gt;5)," * This facility has a high positivity rate for Index Testing. Kindly confirm if this is the true reflection"&amp;CHAR(10),""),"")</f>
        <v/>
      </c>
      <c r="AN433" s="851"/>
      <c r="AO433" s="13">
        <v>32</v>
      </c>
      <c r="AP433" s="81"/>
      <c r="AQ433" s="82"/>
    </row>
    <row r="434" spans="1:43" s="83" customFormat="1" ht="25.5" hidden="1" x14ac:dyDescent="0.75">
      <c r="A434" s="935"/>
      <c r="B434" s="781" t="s">
        <v>1121</v>
      </c>
      <c r="C434" s="785" t="s">
        <v>1138</v>
      </c>
      <c r="D434" s="769"/>
      <c r="E434" s="797"/>
      <c r="F434" s="572"/>
      <c r="G434" s="497"/>
      <c r="H434" s="497"/>
      <c r="I434" s="497"/>
      <c r="J434" s="497"/>
      <c r="K434" s="497"/>
      <c r="L434" s="497"/>
      <c r="M434" s="497"/>
      <c r="N434" s="497"/>
      <c r="O434" s="497"/>
      <c r="P434" s="497"/>
      <c r="Q434" s="497"/>
      <c r="R434" s="497"/>
      <c r="S434" s="497"/>
      <c r="T434" s="497"/>
      <c r="U434" s="497"/>
      <c r="V434" s="497"/>
      <c r="W434" s="497"/>
      <c r="X434" s="497"/>
      <c r="Y434" s="497"/>
      <c r="Z434" s="497"/>
      <c r="AA434" s="497"/>
      <c r="AB434" s="357"/>
      <c r="AC434" s="357"/>
      <c r="AD434" s="357"/>
      <c r="AE434" s="357"/>
      <c r="AF434" s="357"/>
      <c r="AG434" s="357"/>
      <c r="AH434" s="357"/>
      <c r="AI434" s="357"/>
      <c r="AJ434" s="495">
        <f t="shared" si="162"/>
        <v>0</v>
      </c>
      <c r="AK434" s="1011"/>
      <c r="AL434" s="1279"/>
      <c r="AM434" s="31" t="e">
        <f>CONCATENATE(IF(D433&gt;0," * F01-12 for Age "&amp;D420&amp;" "&amp;D421&amp;" has a value greater than 0"&amp;CHAR(10),""),IF(E433&gt;0," * F01-12 for Age "&amp;D420&amp;" "&amp;E421&amp;" has a value greater than 0"&amp;CHAR(10),""),IF(D434&gt;0," * F01-13 for Age "&amp;D420&amp;" "&amp;D421&amp;" has a value greater than 0"&amp;CHAR(10),""),IF(E434&gt;0," * F01-13 for Age "&amp;D420&amp;" "&amp;E421&amp;" has a value greater than 0"&amp;CHAR(10),""),IF(#REF!&gt;0," * F01-14 for Age "&amp;D420&amp;" "&amp;D421&amp;" has a value greater than 0"&amp;CHAR(10),""),IF(#REF!&gt;0," * F01-14 for Age "&amp;D420&amp;" "&amp;E421&amp;" has a value greater than 0"&amp;CHAR(10),""),IF(D497&gt;0," * F01-15 for Age "&amp;D420&amp;" "&amp;D421&amp;" has a value greater than 0"&amp;CHAR(10),""),IF(E497&gt;0," * F01-15 for Age "&amp;D420&amp;" "&amp;E421&amp;" has a value greater than 0"&amp;CHAR(10),""),IF(D502&gt;0," * F01-20 for Age "&amp;D420&amp;" "&amp;D421&amp;" has a value greater than 0"&amp;CHAR(10),""),IF(E502&gt;0," * F01-20 for Age "&amp;D420&amp;" "&amp;E421&amp;" has a value greater than 0"&amp;CHAR(10),""),IF(D503&gt;0," * F01-21 for Age "&amp;D420&amp;" "&amp;D421&amp;" has a value greater than 0"&amp;CHAR(10),""),IF(E503&gt;0," * F01-21 for Age "&amp;D420&amp;" "&amp;E421&amp;" has a value greater than 0"&amp;CHAR(10),""),IF(D504&gt;0," * F01-22 for Age "&amp;D420&amp;" "&amp;D421&amp;" has a value greater than 0"&amp;CHAR(10),""),IF(E504&gt;0," * F01-22 for Age "&amp;D420&amp;" "&amp;E421&amp;" has a value greater than 0"&amp;CHAR(10),""),IF(D505&gt;0," * F01-23 for Age "&amp;D420&amp;" "&amp;D421&amp;" has a value greater than 0"&amp;CHAR(10),""),IF(E505&gt;0," * F01-23 for Age "&amp;D420&amp;" "&amp;E421&amp;" has a value greater than 0"&amp;CHAR(10),""),"")</f>
        <v>#REF!</v>
      </c>
      <c r="AN434" s="851"/>
      <c r="AO434" s="13">
        <v>33</v>
      </c>
      <c r="AP434" s="81"/>
      <c r="AQ434" s="82"/>
    </row>
    <row r="435" spans="1:43" s="83" customFormat="1" ht="25.5" hidden="1" x14ac:dyDescent="0.75">
      <c r="A435" s="935"/>
      <c r="B435" s="781" t="s">
        <v>1123</v>
      </c>
      <c r="C435" s="785" t="s">
        <v>1139</v>
      </c>
      <c r="D435" s="769"/>
      <c r="E435" s="797"/>
      <c r="F435" s="573"/>
      <c r="G435" s="504"/>
      <c r="H435" s="504"/>
      <c r="I435" s="504"/>
      <c r="J435" s="504"/>
      <c r="K435" s="504"/>
      <c r="L435" s="504"/>
      <c r="M435" s="504"/>
      <c r="N435" s="504"/>
      <c r="O435" s="504"/>
      <c r="P435" s="504"/>
      <c r="Q435" s="504"/>
      <c r="R435" s="504"/>
      <c r="S435" s="504"/>
      <c r="T435" s="504"/>
      <c r="U435" s="504"/>
      <c r="V435" s="504"/>
      <c r="W435" s="504"/>
      <c r="X435" s="504"/>
      <c r="Y435" s="504"/>
      <c r="Z435" s="504"/>
      <c r="AA435" s="504"/>
      <c r="AB435" s="357"/>
      <c r="AC435" s="357"/>
      <c r="AD435" s="357"/>
      <c r="AE435" s="357"/>
      <c r="AF435" s="357"/>
      <c r="AG435" s="357"/>
      <c r="AH435" s="357"/>
      <c r="AI435" s="357"/>
      <c r="AJ435" s="495">
        <f t="shared" si="162"/>
        <v>0</v>
      </c>
      <c r="AK435" s="486"/>
      <c r="AL435" s="1279"/>
      <c r="AM435" s="31" t="str">
        <f>CONCATENATE(IF(D434&gt;0," * F01-12 for Age "&amp;D421&amp;" "&amp;D422&amp;" has a value greater than 0"&amp;CHAR(10),""),IF(E434&gt;0," * F01-12 for Age "&amp;D421&amp;" "&amp;E422&amp;" has a value greater than 0"&amp;CHAR(10),""),IF(D435&gt;0," * F01-13 for Age "&amp;D421&amp;" "&amp;D422&amp;" has a value greater than 0"&amp;CHAR(10),""),IF(E435&gt;0," * F01-13 for Age "&amp;D421&amp;" "&amp;E422&amp;" has a value greater than 0"&amp;CHAR(10),""),IF(D497&gt;0," * F01-14 for Age "&amp;D421&amp;" "&amp;D422&amp;" has a value greater than 0"&amp;CHAR(10),""),IF(E497&gt;0," * F01-14 for Age "&amp;D421&amp;" "&amp;E422&amp;" has a value greater than 0"&amp;CHAR(10),""),IF(D498&gt;0," * F01-15 for Age "&amp;D421&amp;" "&amp;D422&amp;" has a value greater than 0"&amp;CHAR(10),""),IF(E498&gt;0," * F01-15 for Age "&amp;D421&amp;" "&amp;E422&amp;" has a value greater than 0"&amp;CHAR(10),""),IF(D503&gt;0," * F01-20 for Age "&amp;D421&amp;" "&amp;D422&amp;" has a value greater than 0"&amp;CHAR(10),""),IF(E503&gt;0," * F01-20 for Age "&amp;D421&amp;" "&amp;E422&amp;" has a value greater than 0"&amp;CHAR(10),""),IF(D504&gt;0," * F01-21 for Age "&amp;D421&amp;" "&amp;D422&amp;" has a value greater than 0"&amp;CHAR(10),""),IF(E504&gt;0," * F01-21 for Age "&amp;D421&amp;" "&amp;E422&amp;" has a value greater than 0"&amp;CHAR(10),""),IF(D505&gt;0," * F01-22 for Age "&amp;D421&amp;" "&amp;D422&amp;" has a value greater than 0"&amp;CHAR(10),""),IF(E505&gt;0," * F01-22 for Age "&amp;D421&amp;" "&amp;E422&amp;" has a value greater than 0"&amp;CHAR(10),""),IF(D506&gt;0," * F01-23 for Age "&amp;D421&amp;" "&amp;D422&amp;" has a value greater than 0"&amp;CHAR(10),""),IF(E506&gt;0," * F01-23 for Age "&amp;D421&amp;" "&amp;E422&amp;" has a value greater than 0"&amp;CHAR(10),""),"")</f>
        <v/>
      </c>
      <c r="AN435" s="851"/>
      <c r="AO435" s="13">
        <v>33</v>
      </c>
      <c r="AP435" s="81"/>
      <c r="AQ435" s="82"/>
    </row>
    <row r="436" spans="1:43" s="83" customFormat="1" ht="25.9" hidden="1" thickBot="1" x14ac:dyDescent="0.8">
      <c r="A436" s="936"/>
      <c r="B436" s="782" t="s">
        <v>1125</v>
      </c>
      <c r="C436" s="786" t="s">
        <v>1145</v>
      </c>
      <c r="D436" s="770"/>
      <c r="E436" s="798"/>
      <c r="F436" s="574"/>
      <c r="G436" s="570"/>
      <c r="H436" s="570"/>
      <c r="I436" s="570"/>
      <c r="J436" s="570"/>
      <c r="K436" s="570"/>
      <c r="L436" s="570"/>
      <c r="M436" s="570"/>
      <c r="N436" s="570"/>
      <c r="O436" s="570"/>
      <c r="P436" s="570"/>
      <c r="Q436" s="570"/>
      <c r="R436" s="570"/>
      <c r="S436" s="570"/>
      <c r="T436" s="570"/>
      <c r="U436" s="570"/>
      <c r="V436" s="570"/>
      <c r="W436" s="570"/>
      <c r="X436" s="570"/>
      <c r="Y436" s="570"/>
      <c r="Z436" s="570"/>
      <c r="AA436" s="570"/>
      <c r="AB436" s="391"/>
      <c r="AC436" s="391"/>
      <c r="AD436" s="391"/>
      <c r="AE436" s="391"/>
      <c r="AF436" s="391"/>
      <c r="AG436" s="391"/>
      <c r="AH436" s="391"/>
      <c r="AI436" s="391"/>
      <c r="AJ436" s="496">
        <f t="shared" ref="AJ436:AJ455" si="165">SUM(D436:AA436)</f>
        <v>0</v>
      </c>
      <c r="AK436" s="486"/>
      <c r="AL436" s="1279"/>
      <c r="AM436" s="31" t="str">
        <f>CONCATENATE(IF(D435&gt;0," * F01-12 for Age "&amp;D422&amp;" "&amp;D423&amp;" has a value greater than 0"&amp;CHAR(10),""),IF(E435&gt;0," * F01-12 for Age "&amp;D422&amp;" "&amp;E423&amp;" has a value greater than 0"&amp;CHAR(10),""),IF(D436&gt;0," * F01-13 for Age "&amp;D422&amp;" "&amp;D423&amp;" has a value greater than 0"&amp;CHAR(10),""),IF(E436&gt;0," * F01-13 for Age "&amp;D422&amp;" "&amp;E423&amp;" has a value greater than 0"&amp;CHAR(10),""),IF(D498&gt;0," * F01-14 for Age "&amp;D422&amp;" "&amp;D423&amp;" has a value greater than 0"&amp;CHAR(10),""),IF(E498&gt;0," * F01-14 for Age "&amp;D422&amp;" "&amp;E423&amp;" has a value greater than 0"&amp;CHAR(10),""),IF(D499&gt;0," * F01-15 for Age "&amp;D422&amp;" "&amp;D423&amp;" has a value greater than 0"&amp;CHAR(10),""),IF(E499&gt;0," * F01-15 for Age "&amp;D422&amp;" "&amp;E423&amp;" has a value greater than 0"&amp;CHAR(10),""),IF(D504&gt;0," * F01-20 for Age "&amp;D422&amp;" "&amp;D423&amp;" has a value greater than 0"&amp;CHAR(10),""),IF(E504&gt;0," * F01-20 for Age "&amp;D422&amp;" "&amp;E423&amp;" has a value greater than 0"&amp;CHAR(10),""),IF(D505&gt;0," * F01-21 for Age "&amp;D422&amp;" "&amp;D423&amp;" has a value greater than 0"&amp;CHAR(10),""),IF(E505&gt;0," * F01-21 for Age "&amp;D422&amp;" "&amp;E423&amp;" has a value greater than 0"&amp;CHAR(10),""),IF(D506&gt;0," * F01-22 for Age "&amp;D422&amp;" "&amp;D423&amp;" has a value greater than 0"&amp;CHAR(10),""),IF(E506&gt;0," * F01-22 for Age "&amp;D422&amp;" "&amp;E423&amp;" has a value greater than 0"&amp;CHAR(10),""),IF(D507&gt;0," * F01-23 for Age "&amp;D422&amp;" "&amp;D423&amp;" has a value greater than 0"&amp;CHAR(10),""),IF(E507&gt;0," * F01-23 for Age "&amp;D422&amp;" "&amp;E423&amp;" has a value greater than 0"&amp;CHAR(10),""),"")</f>
        <v/>
      </c>
      <c r="AN436" s="851"/>
      <c r="AO436" s="13">
        <v>33</v>
      </c>
      <c r="AP436" s="81"/>
      <c r="AQ436" s="82"/>
    </row>
    <row r="437" spans="1:43" s="83" customFormat="1" ht="25.9" hidden="1" thickBot="1" x14ac:dyDescent="0.8">
      <c r="A437" s="934" t="s">
        <v>1141</v>
      </c>
      <c r="B437" s="780" t="s">
        <v>150</v>
      </c>
      <c r="C437" s="784" t="s">
        <v>1146</v>
      </c>
      <c r="D437" s="767"/>
      <c r="E437" s="795"/>
      <c r="F437" s="806">
        <f t="shared" ref="F437:AA437" si="166">F40</f>
        <v>0</v>
      </c>
      <c r="G437" s="503">
        <f t="shared" si="166"/>
        <v>0</v>
      </c>
      <c r="H437" s="503">
        <f t="shared" si="166"/>
        <v>0</v>
      </c>
      <c r="I437" s="503">
        <f t="shared" si="166"/>
        <v>0</v>
      </c>
      <c r="J437" s="503">
        <f t="shared" si="166"/>
        <v>0</v>
      </c>
      <c r="K437" s="503">
        <f t="shared" si="166"/>
        <v>0</v>
      </c>
      <c r="L437" s="503">
        <f t="shared" si="166"/>
        <v>0</v>
      </c>
      <c r="M437" s="503">
        <f t="shared" si="166"/>
        <v>0</v>
      </c>
      <c r="N437" s="503">
        <f t="shared" si="166"/>
        <v>0</v>
      </c>
      <c r="O437" s="503">
        <f t="shared" si="166"/>
        <v>0</v>
      </c>
      <c r="P437" s="503">
        <f t="shared" si="166"/>
        <v>0</v>
      </c>
      <c r="Q437" s="503">
        <f t="shared" si="166"/>
        <v>0</v>
      </c>
      <c r="R437" s="503">
        <f t="shared" si="166"/>
        <v>0</v>
      </c>
      <c r="S437" s="503">
        <f t="shared" si="166"/>
        <v>0</v>
      </c>
      <c r="T437" s="503">
        <f t="shared" si="166"/>
        <v>0</v>
      </c>
      <c r="U437" s="503">
        <f t="shared" si="166"/>
        <v>0</v>
      </c>
      <c r="V437" s="503">
        <f t="shared" si="166"/>
        <v>0</v>
      </c>
      <c r="W437" s="503">
        <f t="shared" si="166"/>
        <v>0</v>
      </c>
      <c r="X437" s="503">
        <f t="shared" si="166"/>
        <v>0</v>
      </c>
      <c r="Y437" s="503">
        <f t="shared" si="166"/>
        <v>0</v>
      </c>
      <c r="Z437" s="503">
        <f t="shared" si="166"/>
        <v>0</v>
      </c>
      <c r="AA437" s="503">
        <f t="shared" si="166"/>
        <v>0</v>
      </c>
      <c r="AB437" s="388"/>
      <c r="AC437" s="388"/>
      <c r="AD437" s="388"/>
      <c r="AE437" s="388"/>
      <c r="AF437" s="388"/>
      <c r="AG437" s="388"/>
      <c r="AH437" s="388"/>
      <c r="AI437" s="388"/>
      <c r="AJ437" s="493">
        <f t="shared" si="165"/>
        <v>0</v>
      </c>
      <c r="AK437" s="566" t="str">
        <f>CONCATENATE(IF((D438+D439+D440+D441)&lt;&gt;D437," * "&amp;$A437&amp;" , "&amp;$B438&amp;" plus "&amp;$B439&amp;" plus "&amp;$B440&amp;" plus "&amp;$B441&amp;" For age "&amp;$D$20&amp;" "&amp;$D$21&amp;" should be equal to "&amp;$B437&amp;""&amp;CHAR(10),""),IF((E438+E439+E440+E441)&lt;&gt;E437," * "&amp;$A437&amp;" , "&amp;$B438&amp;" plus "&amp;$B439&amp;" plus "&amp;$B440&amp;" plus "&amp;$B441&amp;" For age "&amp;$D$20&amp;" "&amp;$E$21&amp;" should be equal to "&amp;$B437&amp;""&amp;CHAR(10),""),IF((F438+F439+F440+F441)&lt;&gt;F437," * "&amp;$A437&amp;" , "&amp;$B438&amp;" plus "&amp;$B439&amp;" plus "&amp;$B440&amp;" plus "&amp;$B441&amp;" For age "&amp;$F$20&amp;" "&amp;$F$21&amp;" should be equal to "&amp;$B437&amp;""&amp;CHAR(10),""),IF((G438+G439+G440+G441)&lt;&gt;G437," * "&amp;$A437&amp;" , "&amp;$B438&amp;" plus "&amp;$B439&amp;" plus "&amp;$B440&amp;" plus "&amp;$B441&amp;" For age "&amp;$F$20&amp;" "&amp;$G$21&amp;" should be equal to "&amp;$B437&amp;""&amp;CHAR(10),""),IF((H438+H439+H440+H441)&lt;&gt;H437," * "&amp;$A437&amp;" , "&amp;$B438&amp;" plus "&amp;$B439&amp;" plus "&amp;$B440&amp;" plus "&amp;$B441&amp;" For age "&amp;$H$20&amp;" "&amp;$H$21&amp;" should be equal to "&amp;$B437&amp;""&amp;CHAR(10),""),IF((I438+I439+I440+I441)&lt;&gt;I437," * "&amp;$A437&amp;" , "&amp;$B438&amp;" plus "&amp;$B439&amp;" plus "&amp;$B440&amp;" plus "&amp;$B441&amp;" For age "&amp;$H$20&amp;" "&amp;$I$21&amp;" should be equal to "&amp;$B437&amp;""&amp;CHAR(10),""),IF((J438+J439+J440+J441)&lt;&gt;J437," * "&amp;$A437&amp;" , "&amp;$B438&amp;" plus "&amp;$B439&amp;" plus "&amp;$B440&amp;" plus "&amp;$B441&amp;" For age "&amp;$J$20&amp;" "&amp;$J$21&amp;" should be equal to "&amp;$B437&amp;""&amp;CHAR(10),""),IF((K438+K439+K440+K441)&lt;&gt;K437," * "&amp;$A437&amp;" , "&amp;$B438&amp;" plus "&amp;$B439&amp;" plus "&amp;$B440&amp;" plus "&amp;$B441&amp;" For age "&amp;$J$20&amp;" "&amp;$K$21&amp;" should be equal to "&amp;$B437&amp;""&amp;CHAR(10),""),IF((L438+L439+L440+L441)&lt;&gt;L437," * "&amp;$A437&amp;" , "&amp;$B438&amp;" plus "&amp;$B439&amp;" plus "&amp;$B440&amp;" plus "&amp;$B441&amp;" For age "&amp;$L$20&amp;" "&amp;$L$21&amp;" should be equal to "&amp;$B437&amp;""&amp;CHAR(10),""),IF((M438+M439+M440+M441)&lt;&gt;M437," * "&amp;$A437&amp;" , "&amp;$B438&amp;" plus "&amp;$B439&amp;" plus "&amp;$B440&amp;" plus "&amp;$B441&amp;" For age "&amp;$L$20&amp;" "&amp;$M$21&amp;" should be equal to "&amp;$B437&amp;""&amp;CHAR(10),""),IF((N438+N439+N440+N441)&lt;&gt;N437," * "&amp;$A437&amp;" , "&amp;$B438&amp;" plus "&amp;$B439&amp;" plus "&amp;$B440&amp;" plus "&amp;$B441&amp;" For age "&amp;$N$20&amp;" "&amp;$N$21&amp;" should be equal to "&amp;$B437&amp;""&amp;CHAR(10),""),IF((O438+O439+O440+O441)&lt;&gt;O437," * "&amp;$A437&amp;" , "&amp;$B438&amp;" plus "&amp;$B439&amp;" plus "&amp;$B440&amp;" plus "&amp;$B441&amp;" For age "&amp;$N$20&amp;" "&amp;$O$21&amp;" should be equal to "&amp;$B437&amp;""&amp;CHAR(10),""),IF((P438+P439+P440+P441)&lt;&gt;P437," * "&amp;$A437&amp;" , "&amp;$B438&amp;" plus "&amp;$B439&amp;" plus "&amp;$B440&amp;" plus "&amp;$B441&amp;" For age "&amp;$P$20&amp;" "&amp;$P$21&amp;" should be equal to "&amp;$B437&amp;""&amp;CHAR(10),""),IF((Q438+Q439+Q440+Q441)&lt;&gt;Q437," * "&amp;$A437&amp;" , "&amp;$B438&amp;" plus "&amp;$B439&amp;" plus "&amp;$B440&amp;" plus "&amp;$B441&amp;" For age "&amp;$P$20&amp;" "&amp;$Q$21&amp;" should be equal to "&amp;$B437&amp;""&amp;CHAR(10),""),IF((R438+R439+R440+R441)&lt;&gt;R437," * "&amp;$A437&amp;" , "&amp;$B438&amp;" plus "&amp;$B439&amp;" plus "&amp;$B440&amp;" plus "&amp;$B441&amp;" For age "&amp;$R$20&amp;" "&amp;$R$21&amp;" should be equal to "&amp;$B437&amp;""&amp;CHAR(10),""),IF((S438+S439+S440+S441)&lt;&gt;S437," * "&amp;$A437&amp;" , "&amp;$B438&amp;" plus "&amp;$B439&amp;" plus "&amp;$B440&amp;" plus "&amp;$B441&amp;" For age "&amp;$R$20&amp;" "&amp;$S$21&amp;" should be equal to "&amp;$B437&amp;""&amp;CHAR(10),""),IF((T438+T439+T440+T441)&lt;&gt;T437," * "&amp;$A437&amp;" , "&amp;$B438&amp;" plus "&amp;$B439&amp;" plus "&amp;$B440&amp;" plus "&amp;$B441&amp;" For age "&amp;$T$20&amp;" "&amp;$T$21&amp;" should be equal to "&amp;$B437&amp;""&amp;CHAR(10),""),IF((U438+U439+U440+U441)&lt;&gt;U437," * "&amp;$A437&amp;" , "&amp;$B438&amp;" plus "&amp;$B439&amp;" plus "&amp;$B440&amp;" plus "&amp;$B441&amp;" For age "&amp;$T$20&amp;" "&amp;$U$21&amp;" should be equal to "&amp;$B437&amp;""&amp;CHAR(10),""),IF((V438+V439+V440+V441)&lt;&gt;V437," * "&amp;$A437&amp;" , "&amp;$B438&amp;" plus "&amp;$B439&amp;" plus "&amp;$B440&amp;" plus "&amp;$B441&amp;" For age "&amp;$V$20&amp;" "&amp;$V$21&amp;" should be equal to "&amp;$B437&amp;""&amp;CHAR(10),""),IF((W438+W439+W440+W441)&lt;&gt;W437," * "&amp;$A437&amp;" , "&amp;$B438&amp;" plus "&amp;$B439&amp;" plus "&amp;$B440&amp;" plus "&amp;$B441&amp;" For age "&amp;$V$20&amp;" "&amp;$W$21&amp;" should be equal to "&amp;$B437&amp;""&amp;CHAR(10),""),IF((X438+X439+X440+X441)&lt;&gt;X437," * "&amp;$A437&amp;" , "&amp;$B438&amp;" plus "&amp;$B439&amp;" plus "&amp;$B440&amp;" plus "&amp;$B441&amp;" For age "&amp;$X$20&amp;" "&amp;$X$21&amp;" should be equal to "&amp;$B437&amp;""&amp;CHAR(10),""),IF((Y438+Y439+Y440+Y441)&lt;&gt;Y437," * "&amp;$A437&amp;" , "&amp;$B438&amp;" plus "&amp;$B439&amp;" plus "&amp;$B440&amp;" plus "&amp;$B441&amp;" For age "&amp;$X$20&amp;" "&amp;$Y$21&amp;" should be equal to "&amp;$B437&amp;""&amp;CHAR(10),""),IF((Z438+Z439+Z440+Z441)&lt;&gt;Z437," * "&amp;$A437&amp;" , "&amp;$B438&amp;" plus "&amp;$B439&amp;" plus "&amp;$B440&amp;" plus "&amp;$B441&amp;" For age "&amp;$Z$20&amp;" "&amp;$Z$21&amp;" should be equal to "&amp;$B437&amp;""&amp;CHAR(10),""),IF((AA438+AA439+AA440+AA441)&lt;&gt;AA437," * "&amp;$A437&amp;" , "&amp;$B438&amp;" plus "&amp;$B439&amp;" plus "&amp;$B440&amp;" plus "&amp;$B441&amp;" For age "&amp;$Z$20&amp;" "&amp;$AA$21&amp;" should be equal to "&amp;$B437&amp;""&amp;CHAR(10),""))</f>
        <v/>
      </c>
      <c r="AL437" s="1279"/>
      <c r="AM437" s="31"/>
      <c r="AN437" s="851"/>
      <c r="AO437" s="13">
        <v>31</v>
      </c>
      <c r="AP437" s="81"/>
      <c r="AQ437" s="82"/>
    </row>
    <row r="438" spans="1:43" s="83" customFormat="1" ht="25.5" hidden="1" x14ac:dyDescent="0.75">
      <c r="A438" s="935"/>
      <c r="B438" s="781" t="s">
        <v>1140</v>
      </c>
      <c r="C438" s="785" t="s">
        <v>1147</v>
      </c>
      <c r="D438" s="648"/>
      <c r="E438" s="796"/>
      <c r="F438" s="571"/>
      <c r="G438" s="568"/>
      <c r="H438" s="568"/>
      <c r="I438" s="568"/>
      <c r="J438" s="568"/>
      <c r="K438" s="568"/>
      <c r="L438" s="568"/>
      <c r="M438" s="568"/>
      <c r="N438" s="568"/>
      <c r="O438" s="568"/>
      <c r="P438" s="568"/>
      <c r="Q438" s="568"/>
      <c r="R438" s="568"/>
      <c r="S438" s="568"/>
      <c r="T438" s="568"/>
      <c r="U438" s="568"/>
      <c r="V438" s="568"/>
      <c r="W438" s="568"/>
      <c r="X438" s="568"/>
      <c r="Y438" s="568"/>
      <c r="Z438" s="568"/>
      <c r="AA438" s="568"/>
      <c r="AB438" s="357"/>
      <c r="AC438" s="357"/>
      <c r="AD438" s="357"/>
      <c r="AE438" s="357"/>
      <c r="AF438" s="357"/>
      <c r="AG438" s="357"/>
      <c r="AH438" s="357"/>
      <c r="AI438" s="357"/>
      <c r="AJ438" s="494">
        <f t="shared" si="165"/>
        <v>0</v>
      </c>
      <c r="AK438" s="1011" t="str">
        <f>CONCATENATE(IF(D439&gt;D438," * Positive F01-13 for Age "&amp;D425&amp;" "&amp;D426&amp;" is more than Tested F01-12"&amp;CHAR(10),""),IF(E439&gt;E438," * Positive F01-13 for Age "&amp;D425&amp;" "&amp;E426&amp;" is more than Tested F01-12"&amp;CHAR(10),""),IF(F439&gt;F438," * Positive F01-13 for Age "&amp;F425&amp;" "&amp;F426&amp;" is more than Tested F01-12"&amp;CHAR(10),""),IF(G439&gt;G438," * Positive F01-13 for Age "&amp;F425&amp;" "&amp;G426&amp;" is more than Tested F01-12"&amp;CHAR(10),""),IF(H439&gt;H438," * Positive F01-13 for Age "&amp;H425&amp;" "&amp;H426&amp;" is more than Tested F01-12"&amp;CHAR(10),""),IF(I439&gt;I438," * Positive F01-13 for Age "&amp;H425&amp;" "&amp;I426&amp;" is more than Tested F01-12"&amp;CHAR(10),""),IF(J439&gt;J438," * Positive F01-13 for Age "&amp;J425&amp;" "&amp;J426&amp;" is more than Tested F01-12"&amp;CHAR(10),""),IF(K439&gt;K438," * Positive F01-13 for Age "&amp;J425&amp;" "&amp;K426&amp;" is more than Tested F01-12"&amp;CHAR(10),""),IF(L439&gt;L438," * Positive F01-13 for Age "&amp;L425&amp;" "&amp;L426&amp;" is more than Tested F01-12"&amp;CHAR(10),""),IF(M439&gt;M438," * Positive F01-13 for Age "&amp;L425&amp;" "&amp;M426&amp;" is more than Tested F01-12"&amp;CHAR(10),""),IF(N439&gt;N438," * Positive F01-13 for Age "&amp;N425&amp;" "&amp;N426&amp;" is more than Tested F01-12"&amp;CHAR(10),""),IF(O439&gt;O438," * Positive F01-13 for Age "&amp;N425&amp;" "&amp;O426&amp;" is more than Tested F01-12"&amp;CHAR(10),""),IF(P439&gt;P438," * Positive F01-13 for Age "&amp;P425&amp;" "&amp;P426&amp;" is more than Tested F01-12"&amp;CHAR(10),""),IF(Q439&gt;Q438," * Positive F01-13 for Age "&amp;P425&amp;" "&amp;Q426&amp;" is more than Tested F01-12"&amp;CHAR(10),""),IF(R439&gt;R438," * Positive F01-13 for Age "&amp;R425&amp;" "&amp;R426&amp;" is more than Tested F01-12"&amp;CHAR(10),""),IF(S439&gt;S438," * Positive F01-13 for Age "&amp;R425&amp;" "&amp;S426&amp;" is more than Tested F01-12"&amp;CHAR(10),""),IF(T439&gt;T438," * Positive F01-13 for Age "&amp;T425&amp;" "&amp;T426&amp;" is more than Tested F01-12"&amp;CHAR(10),""),IF(U439&gt;U438," * Positive F01-13 for Age "&amp;T425&amp;" "&amp;U426&amp;" is more than Tested F01-12"&amp;CHAR(10),""),IF(V439&gt;V438," * Positive F01-13 for Age "&amp;V425&amp;" "&amp;V426&amp;" is more than Tested F01-12"&amp;CHAR(10),""),IF(W439&gt;W438," * Positive F01-13 for Age "&amp;V425&amp;" "&amp;W426&amp;" is more than Tested F01-12"&amp;CHAR(10),""),IF(X439&gt;X438," * Positive F01-13 for Age "&amp;X425&amp;" "&amp;X426&amp;" is more than Tested F01-12"&amp;CHAR(10),""),IF(Y439&gt;Y438," * Positive F01-13 for Age "&amp;X425&amp;" "&amp;Y426&amp;" is more than Tested F01-12"&amp;CHAR(10),""),IF(Z439&gt;Z438," * Positive F01-13 for Age "&amp;Z425&amp;" "&amp;Z426&amp;" is more than Tested F01-12"&amp;CHAR(10),""),IF(AA439&gt;AA438," * Positive F01-13 for Age "&amp;Z425&amp;" "&amp;AA426&amp;" is more than Tested F01-12"&amp;CHAR(10),""))</f>
        <v/>
      </c>
      <c r="AL438" s="1279"/>
      <c r="AM438" s="31" t="str">
        <f>CONCATENATE(IF(AND(IFERROR((AJ439*100)/AJ438,0)&gt;10,AJ439&gt;5)," * This facility has a high positivity rate for Index Testing. Kindly confirm if this is the true reflection"&amp;CHAR(10),""),"")</f>
        <v/>
      </c>
      <c r="AN438" s="851"/>
      <c r="AO438" s="13">
        <v>32</v>
      </c>
      <c r="AP438" s="81"/>
      <c r="AQ438" s="82"/>
    </row>
    <row r="439" spans="1:43" s="83" customFormat="1" ht="25.5" hidden="1" x14ac:dyDescent="0.75">
      <c r="A439" s="935"/>
      <c r="B439" s="781" t="s">
        <v>1121</v>
      </c>
      <c r="C439" s="785" t="s">
        <v>1148</v>
      </c>
      <c r="D439" s="769"/>
      <c r="E439" s="797"/>
      <c r="F439" s="572"/>
      <c r="G439" s="497"/>
      <c r="H439" s="497"/>
      <c r="I439" s="497"/>
      <c r="J439" s="497"/>
      <c r="K439" s="497"/>
      <c r="L439" s="497"/>
      <c r="M439" s="497"/>
      <c r="N439" s="497"/>
      <c r="O439" s="497"/>
      <c r="P439" s="497"/>
      <c r="Q439" s="497"/>
      <c r="R439" s="497"/>
      <c r="S439" s="497"/>
      <c r="T439" s="497"/>
      <c r="U439" s="497"/>
      <c r="V439" s="497"/>
      <c r="W439" s="497"/>
      <c r="X439" s="497"/>
      <c r="Y439" s="497"/>
      <c r="Z439" s="497"/>
      <c r="AA439" s="497"/>
      <c r="AB439" s="357"/>
      <c r="AC439" s="357"/>
      <c r="AD439" s="357"/>
      <c r="AE439" s="357"/>
      <c r="AF439" s="357"/>
      <c r="AG439" s="357"/>
      <c r="AH439" s="357"/>
      <c r="AI439" s="357"/>
      <c r="AJ439" s="495">
        <f t="shared" si="165"/>
        <v>0</v>
      </c>
      <c r="AK439" s="1011"/>
      <c r="AL439" s="1279"/>
      <c r="AM439" s="31" t="e">
        <f>CONCATENATE(IF(D438&gt;0," * F01-12 for Age "&amp;D425&amp;" "&amp;D426&amp;" has a value greater than 0"&amp;CHAR(10),""),IF(E438&gt;0," * F01-12 for Age "&amp;D425&amp;" "&amp;E426&amp;" has a value greater than 0"&amp;CHAR(10),""),IF(D439&gt;0," * F01-13 for Age "&amp;D425&amp;" "&amp;D426&amp;" has a value greater than 0"&amp;CHAR(10),""),IF(E439&gt;0," * F01-13 for Age "&amp;D425&amp;" "&amp;E426&amp;" has a value greater than 0"&amp;CHAR(10),""),IF(#REF!&gt;0," * F01-14 for Age "&amp;D425&amp;" "&amp;D426&amp;" has a value greater than 0"&amp;CHAR(10),""),IF(#REF!&gt;0," * F01-14 for Age "&amp;D425&amp;" "&amp;E426&amp;" has a value greater than 0"&amp;CHAR(10),""),IF(D502&gt;0," * F01-15 for Age "&amp;D425&amp;" "&amp;D426&amp;" has a value greater than 0"&amp;CHAR(10),""),IF(E502&gt;0," * F01-15 for Age "&amp;D425&amp;" "&amp;E426&amp;" has a value greater than 0"&amp;CHAR(10),""),IF(D507&gt;0," * F01-20 for Age "&amp;D425&amp;" "&amp;D426&amp;" has a value greater than 0"&amp;CHAR(10),""),IF(E507&gt;0," * F01-20 for Age "&amp;D425&amp;" "&amp;E426&amp;" has a value greater than 0"&amp;CHAR(10),""),IF(D508&gt;0," * F01-21 for Age "&amp;D425&amp;" "&amp;D426&amp;" has a value greater than 0"&amp;CHAR(10),""),IF(E508&gt;0," * F01-21 for Age "&amp;D425&amp;" "&amp;E426&amp;" has a value greater than 0"&amp;CHAR(10),""),IF(D509&gt;0," * F01-22 for Age "&amp;D425&amp;" "&amp;D426&amp;" has a value greater than 0"&amp;CHAR(10),""),IF(E509&gt;0," * F01-22 for Age "&amp;D425&amp;" "&amp;E426&amp;" has a value greater than 0"&amp;CHAR(10),""),IF(D510&gt;0," * F01-23 for Age "&amp;D425&amp;" "&amp;D426&amp;" has a value greater than 0"&amp;CHAR(10),""),IF(E510&gt;0," * F01-23 for Age "&amp;D425&amp;" "&amp;E426&amp;" has a value greater than 0"&amp;CHAR(10),""),"")</f>
        <v>#REF!</v>
      </c>
      <c r="AN439" s="851"/>
      <c r="AO439" s="13">
        <v>33</v>
      </c>
      <c r="AP439" s="81"/>
      <c r="AQ439" s="82"/>
    </row>
    <row r="440" spans="1:43" s="83" customFormat="1" ht="25.5" hidden="1" x14ac:dyDescent="0.75">
      <c r="A440" s="935"/>
      <c r="B440" s="781" t="s">
        <v>1123</v>
      </c>
      <c r="C440" s="785" t="s">
        <v>1149</v>
      </c>
      <c r="D440" s="769"/>
      <c r="E440" s="797"/>
      <c r="F440" s="573"/>
      <c r="G440" s="504"/>
      <c r="H440" s="504"/>
      <c r="I440" s="504"/>
      <c r="J440" s="504"/>
      <c r="K440" s="504"/>
      <c r="L440" s="504"/>
      <c r="M440" s="504"/>
      <c r="N440" s="504"/>
      <c r="O440" s="504"/>
      <c r="P440" s="504"/>
      <c r="Q440" s="504"/>
      <c r="R440" s="504"/>
      <c r="S440" s="504"/>
      <c r="T440" s="504"/>
      <c r="U440" s="504"/>
      <c r="V440" s="504"/>
      <c r="W440" s="504"/>
      <c r="X440" s="504"/>
      <c r="Y440" s="504"/>
      <c r="Z440" s="504"/>
      <c r="AA440" s="504"/>
      <c r="AB440" s="357"/>
      <c r="AC440" s="357"/>
      <c r="AD440" s="357"/>
      <c r="AE440" s="357"/>
      <c r="AF440" s="357"/>
      <c r="AG440" s="357"/>
      <c r="AH440" s="357"/>
      <c r="AI440" s="357"/>
      <c r="AJ440" s="495">
        <f t="shared" si="165"/>
        <v>0</v>
      </c>
      <c r="AK440" s="486"/>
      <c r="AL440" s="1279"/>
      <c r="AM440" s="31" t="str">
        <f>CONCATENATE(IF(D439&gt;0," * F01-12 for Age "&amp;D426&amp;" "&amp;D427&amp;" has a value greater than 0"&amp;CHAR(10),""),IF(E439&gt;0," * F01-12 for Age "&amp;D426&amp;" "&amp;E427&amp;" has a value greater than 0"&amp;CHAR(10),""),IF(D440&gt;0," * F01-13 for Age "&amp;D426&amp;" "&amp;D427&amp;" has a value greater than 0"&amp;CHAR(10),""),IF(E440&gt;0," * F01-13 for Age "&amp;D426&amp;" "&amp;E427&amp;" has a value greater than 0"&amp;CHAR(10),""),IF(D502&gt;0," * F01-14 for Age "&amp;D426&amp;" "&amp;D427&amp;" has a value greater than 0"&amp;CHAR(10),""),IF(E502&gt;0," * F01-14 for Age "&amp;D426&amp;" "&amp;E427&amp;" has a value greater than 0"&amp;CHAR(10),""),IF(D503&gt;0," * F01-15 for Age "&amp;D426&amp;" "&amp;D427&amp;" has a value greater than 0"&amp;CHAR(10),""),IF(E503&gt;0," * F01-15 for Age "&amp;D426&amp;" "&amp;E427&amp;" has a value greater than 0"&amp;CHAR(10),""),IF(D508&gt;0," * F01-20 for Age "&amp;D426&amp;" "&amp;D427&amp;" has a value greater than 0"&amp;CHAR(10),""),IF(E508&gt;0," * F01-20 for Age "&amp;D426&amp;" "&amp;E427&amp;" has a value greater than 0"&amp;CHAR(10),""),IF(D509&gt;0," * F01-21 for Age "&amp;D426&amp;" "&amp;D427&amp;" has a value greater than 0"&amp;CHAR(10),""),IF(E509&gt;0," * F01-21 for Age "&amp;D426&amp;" "&amp;E427&amp;" has a value greater than 0"&amp;CHAR(10),""),IF(D510&gt;0," * F01-22 for Age "&amp;D426&amp;" "&amp;D427&amp;" has a value greater than 0"&amp;CHAR(10),""),IF(E510&gt;0," * F01-22 for Age "&amp;D426&amp;" "&amp;E427&amp;" has a value greater than 0"&amp;CHAR(10),""),IF(D511&gt;0," * F01-23 for Age "&amp;D426&amp;" "&amp;D427&amp;" has a value greater than 0"&amp;CHAR(10),""),IF(E511&gt;0," * F01-23 for Age "&amp;D426&amp;" "&amp;E427&amp;" has a value greater than 0"&amp;CHAR(10),""),"")</f>
        <v/>
      </c>
      <c r="AN440" s="851"/>
      <c r="AO440" s="13">
        <v>33</v>
      </c>
      <c r="AP440" s="81"/>
      <c r="AQ440" s="82"/>
    </row>
    <row r="441" spans="1:43" s="83" customFormat="1" ht="25.9" hidden="1" thickBot="1" x14ac:dyDescent="0.8">
      <c r="A441" s="936"/>
      <c r="B441" s="782" t="s">
        <v>1125</v>
      </c>
      <c r="C441" s="786" t="s">
        <v>1150</v>
      </c>
      <c r="D441" s="770"/>
      <c r="E441" s="798"/>
      <c r="F441" s="574"/>
      <c r="G441" s="570"/>
      <c r="H441" s="570"/>
      <c r="I441" s="570"/>
      <c r="J441" s="570"/>
      <c r="K441" s="570"/>
      <c r="L441" s="570"/>
      <c r="M441" s="570"/>
      <c r="N441" s="570"/>
      <c r="O441" s="570"/>
      <c r="P441" s="570"/>
      <c r="Q441" s="570"/>
      <c r="R441" s="570"/>
      <c r="S441" s="570"/>
      <c r="T441" s="570"/>
      <c r="U441" s="570"/>
      <c r="V441" s="570"/>
      <c r="W441" s="570"/>
      <c r="X441" s="570"/>
      <c r="Y441" s="570"/>
      <c r="Z441" s="570"/>
      <c r="AA441" s="570"/>
      <c r="AB441" s="391"/>
      <c r="AC441" s="391"/>
      <c r="AD441" s="391"/>
      <c r="AE441" s="391"/>
      <c r="AF441" s="391"/>
      <c r="AG441" s="391"/>
      <c r="AH441" s="391"/>
      <c r="AI441" s="391"/>
      <c r="AJ441" s="496">
        <f t="shared" si="165"/>
        <v>0</v>
      </c>
      <c r="AK441" s="486"/>
      <c r="AL441" s="1279"/>
      <c r="AM441" s="31" t="str">
        <f>CONCATENATE(IF(D440&gt;0," * F01-12 for Age "&amp;D427&amp;" "&amp;D428&amp;" has a value greater than 0"&amp;CHAR(10),""),IF(E440&gt;0," * F01-12 for Age "&amp;D427&amp;" "&amp;E428&amp;" has a value greater than 0"&amp;CHAR(10),""),IF(D441&gt;0," * F01-13 for Age "&amp;D427&amp;" "&amp;D428&amp;" has a value greater than 0"&amp;CHAR(10),""),IF(E441&gt;0," * F01-13 for Age "&amp;D427&amp;" "&amp;E428&amp;" has a value greater than 0"&amp;CHAR(10),""),IF(D503&gt;0," * F01-14 for Age "&amp;D427&amp;" "&amp;D428&amp;" has a value greater than 0"&amp;CHAR(10),""),IF(E503&gt;0," * F01-14 for Age "&amp;D427&amp;" "&amp;E428&amp;" has a value greater than 0"&amp;CHAR(10),""),IF(D504&gt;0," * F01-15 for Age "&amp;D427&amp;" "&amp;D428&amp;" has a value greater than 0"&amp;CHAR(10),""),IF(E504&gt;0," * F01-15 for Age "&amp;D427&amp;" "&amp;E428&amp;" has a value greater than 0"&amp;CHAR(10),""),IF(D509&gt;0," * F01-20 for Age "&amp;D427&amp;" "&amp;D428&amp;" has a value greater than 0"&amp;CHAR(10),""),IF(E509&gt;0," * F01-20 for Age "&amp;D427&amp;" "&amp;E428&amp;" has a value greater than 0"&amp;CHAR(10),""),IF(D510&gt;0," * F01-21 for Age "&amp;D427&amp;" "&amp;D428&amp;" has a value greater than 0"&amp;CHAR(10),""),IF(E510&gt;0," * F01-21 for Age "&amp;D427&amp;" "&amp;E428&amp;" has a value greater than 0"&amp;CHAR(10),""),IF(D511&gt;0," * F01-22 for Age "&amp;D427&amp;" "&amp;D428&amp;" has a value greater than 0"&amp;CHAR(10),""),IF(E511&gt;0," * F01-22 for Age "&amp;D427&amp;" "&amp;E428&amp;" has a value greater than 0"&amp;CHAR(10),""),IF(D512&gt;0," * F01-23 for Age "&amp;D427&amp;" "&amp;D428&amp;" has a value greater than 0"&amp;CHAR(10),""),IF(E512&gt;0," * F01-23 for Age "&amp;D427&amp;" "&amp;E428&amp;" has a value greater than 0"&amp;CHAR(10),""),"")</f>
        <v/>
      </c>
      <c r="AN441" s="851"/>
      <c r="AO441" s="13">
        <v>33</v>
      </c>
      <c r="AP441" s="81"/>
      <c r="AQ441" s="82"/>
    </row>
    <row r="442" spans="1:43" s="83" customFormat="1" ht="25.9" hidden="1" thickBot="1" x14ac:dyDescent="0.8">
      <c r="A442" s="934" t="s">
        <v>16</v>
      </c>
      <c r="B442" s="780" t="s">
        <v>150</v>
      </c>
      <c r="C442" s="784" t="s">
        <v>1151</v>
      </c>
      <c r="D442" s="767"/>
      <c r="E442" s="795"/>
      <c r="F442" s="806">
        <f t="shared" ref="F442:AA442" si="167">F42</f>
        <v>0</v>
      </c>
      <c r="G442" s="503">
        <f t="shared" si="167"/>
        <v>0</v>
      </c>
      <c r="H442" s="503">
        <f t="shared" si="167"/>
        <v>0</v>
      </c>
      <c r="I442" s="503">
        <f t="shared" si="167"/>
        <v>0</v>
      </c>
      <c r="J442" s="503">
        <f t="shared" si="167"/>
        <v>0</v>
      </c>
      <c r="K442" s="503">
        <f t="shared" si="167"/>
        <v>0</v>
      </c>
      <c r="L442" s="503">
        <f t="shared" si="167"/>
        <v>0</v>
      </c>
      <c r="M442" s="503">
        <f t="shared" si="167"/>
        <v>0</v>
      </c>
      <c r="N442" s="503">
        <f t="shared" si="167"/>
        <v>0</v>
      </c>
      <c r="O442" s="503">
        <f t="shared" si="167"/>
        <v>0</v>
      </c>
      <c r="P442" s="503">
        <f t="shared" si="167"/>
        <v>0</v>
      </c>
      <c r="Q442" s="503">
        <f t="shared" si="167"/>
        <v>0</v>
      </c>
      <c r="R442" s="503">
        <f t="shared" si="167"/>
        <v>0</v>
      </c>
      <c r="S442" s="503">
        <f t="shared" si="167"/>
        <v>0</v>
      </c>
      <c r="T442" s="503">
        <f t="shared" si="167"/>
        <v>0</v>
      </c>
      <c r="U442" s="503">
        <f t="shared" si="167"/>
        <v>0</v>
      </c>
      <c r="V442" s="503">
        <f t="shared" si="167"/>
        <v>0</v>
      </c>
      <c r="W442" s="503">
        <f t="shared" si="167"/>
        <v>0</v>
      </c>
      <c r="X442" s="503">
        <f t="shared" si="167"/>
        <v>0</v>
      </c>
      <c r="Y442" s="503">
        <f t="shared" si="167"/>
        <v>0</v>
      </c>
      <c r="Z442" s="503">
        <f t="shared" si="167"/>
        <v>0</v>
      </c>
      <c r="AA442" s="503">
        <f t="shared" si="167"/>
        <v>0</v>
      </c>
      <c r="AB442" s="388"/>
      <c r="AC442" s="388"/>
      <c r="AD442" s="388"/>
      <c r="AE442" s="388"/>
      <c r="AF442" s="388"/>
      <c r="AG442" s="388"/>
      <c r="AH442" s="388"/>
      <c r="AI442" s="388"/>
      <c r="AJ442" s="493">
        <f t="shared" si="165"/>
        <v>0</v>
      </c>
      <c r="AK442" s="566" t="str">
        <f>CONCATENATE(IF((D443+D444+D445+D446)&lt;&gt;D442," * "&amp;$A442&amp;" , "&amp;$B443&amp;" plus "&amp;$B444&amp;" plus "&amp;$B445&amp;" plus "&amp;$B446&amp;" For age "&amp;$D$20&amp;" "&amp;$D$21&amp;" should be equal to "&amp;$B442&amp;""&amp;CHAR(10),""),IF((E443+E444+E445+E446)&lt;&gt;E442," * "&amp;$A442&amp;" , "&amp;$B443&amp;" plus "&amp;$B444&amp;" plus "&amp;$B445&amp;" plus "&amp;$B446&amp;" For age "&amp;$D$20&amp;" "&amp;$E$21&amp;" should be equal to "&amp;$B442&amp;""&amp;CHAR(10),""),IF((F443+F444+F445+F446)&lt;&gt;F442," * "&amp;$A442&amp;" , "&amp;$B443&amp;" plus "&amp;$B444&amp;" plus "&amp;$B445&amp;" plus "&amp;$B446&amp;" For age "&amp;$F$20&amp;" "&amp;$F$21&amp;" should be equal to "&amp;$B442&amp;""&amp;CHAR(10),""),IF((G443+G444+G445+G446)&lt;&gt;G442," * "&amp;$A442&amp;" , "&amp;$B443&amp;" plus "&amp;$B444&amp;" plus "&amp;$B445&amp;" plus "&amp;$B446&amp;" For age "&amp;$F$20&amp;" "&amp;$G$21&amp;" should be equal to "&amp;$B442&amp;""&amp;CHAR(10),""),IF((H443+H444+H445+H446)&lt;&gt;H442," * "&amp;$A442&amp;" , "&amp;$B443&amp;" plus "&amp;$B444&amp;" plus "&amp;$B445&amp;" plus "&amp;$B446&amp;" For age "&amp;$H$20&amp;" "&amp;$H$21&amp;" should be equal to "&amp;$B442&amp;""&amp;CHAR(10),""),IF((I443+I444+I445+I446)&lt;&gt;I442," * "&amp;$A442&amp;" , "&amp;$B443&amp;" plus "&amp;$B444&amp;" plus "&amp;$B445&amp;" plus "&amp;$B446&amp;" For age "&amp;$H$20&amp;" "&amp;$I$21&amp;" should be equal to "&amp;$B442&amp;""&amp;CHAR(10),""),IF((J443+J444+J445+J446)&lt;&gt;J442," * "&amp;$A442&amp;" , "&amp;$B443&amp;" plus "&amp;$B444&amp;" plus "&amp;$B445&amp;" plus "&amp;$B446&amp;" For age "&amp;$J$20&amp;" "&amp;$J$21&amp;" should be equal to "&amp;$B442&amp;""&amp;CHAR(10),""),IF((K443+K444+K445+K446)&lt;&gt;K442," * "&amp;$A442&amp;" , "&amp;$B443&amp;" plus "&amp;$B444&amp;" plus "&amp;$B445&amp;" plus "&amp;$B446&amp;" For age "&amp;$J$20&amp;" "&amp;$K$21&amp;" should be equal to "&amp;$B442&amp;""&amp;CHAR(10),""),IF((L443+L444+L445+L446)&lt;&gt;L442," * "&amp;$A442&amp;" , "&amp;$B443&amp;" plus "&amp;$B444&amp;" plus "&amp;$B445&amp;" plus "&amp;$B446&amp;" For age "&amp;$L$20&amp;" "&amp;$L$21&amp;" should be equal to "&amp;$B442&amp;""&amp;CHAR(10),""),IF((M443+M444+M445+M446)&lt;&gt;M442," * "&amp;$A442&amp;" , "&amp;$B443&amp;" plus "&amp;$B444&amp;" plus "&amp;$B445&amp;" plus "&amp;$B446&amp;" For age "&amp;$L$20&amp;" "&amp;$M$21&amp;" should be equal to "&amp;$B442&amp;""&amp;CHAR(10),""),IF((N443+N444+N445+N446)&lt;&gt;N442," * "&amp;$A442&amp;" , "&amp;$B443&amp;" plus "&amp;$B444&amp;" plus "&amp;$B445&amp;" plus "&amp;$B446&amp;" For age "&amp;$N$20&amp;" "&amp;$N$21&amp;" should be equal to "&amp;$B442&amp;""&amp;CHAR(10),""),IF((O443+O444+O445+O446)&lt;&gt;O442," * "&amp;$A442&amp;" , "&amp;$B443&amp;" plus "&amp;$B444&amp;" plus "&amp;$B445&amp;" plus "&amp;$B446&amp;" For age "&amp;$N$20&amp;" "&amp;$O$21&amp;" should be equal to "&amp;$B442&amp;""&amp;CHAR(10),""),IF((P443+P444+P445+P446)&lt;&gt;P442," * "&amp;$A442&amp;" , "&amp;$B443&amp;" plus "&amp;$B444&amp;" plus "&amp;$B445&amp;" plus "&amp;$B446&amp;" For age "&amp;$P$20&amp;" "&amp;$P$21&amp;" should be equal to "&amp;$B442&amp;""&amp;CHAR(10),""),IF((Q443+Q444+Q445+Q446)&lt;&gt;Q442," * "&amp;$A442&amp;" , "&amp;$B443&amp;" plus "&amp;$B444&amp;" plus "&amp;$B445&amp;" plus "&amp;$B446&amp;" For age "&amp;$P$20&amp;" "&amp;$Q$21&amp;" should be equal to "&amp;$B442&amp;""&amp;CHAR(10),""),IF((R443+R444+R445+R446)&lt;&gt;R442," * "&amp;$A442&amp;" , "&amp;$B443&amp;" plus "&amp;$B444&amp;" plus "&amp;$B445&amp;" plus "&amp;$B446&amp;" For age "&amp;$R$20&amp;" "&amp;$R$21&amp;" should be equal to "&amp;$B442&amp;""&amp;CHAR(10),""),IF((S443+S444+S445+S446)&lt;&gt;S442," * "&amp;$A442&amp;" , "&amp;$B443&amp;" plus "&amp;$B444&amp;" plus "&amp;$B445&amp;" plus "&amp;$B446&amp;" For age "&amp;$R$20&amp;" "&amp;$S$21&amp;" should be equal to "&amp;$B442&amp;""&amp;CHAR(10),""),IF((T443+T444+T445+T446)&lt;&gt;T442," * "&amp;$A442&amp;" , "&amp;$B443&amp;" plus "&amp;$B444&amp;" plus "&amp;$B445&amp;" plus "&amp;$B446&amp;" For age "&amp;$T$20&amp;" "&amp;$T$21&amp;" should be equal to "&amp;$B442&amp;""&amp;CHAR(10),""),IF((U443+U444+U445+U446)&lt;&gt;U442," * "&amp;$A442&amp;" , "&amp;$B443&amp;" plus "&amp;$B444&amp;" plus "&amp;$B445&amp;" plus "&amp;$B446&amp;" For age "&amp;$T$20&amp;" "&amp;$U$21&amp;" should be equal to "&amp;$B442&amp;""&amp;CHAR(10),""),IF((V443+V444+V445+V446)&lt;&gt;V442," * "&amp;$A442&amp;" , "&amp;$B443&amp;" plus "&amp;$B444&amp;" plus "&amp;$B445&amp;" plus "&amp;$B446&amp;" For age "&amp;$V$20&amp;" "&amp;$V$21&amp;" should be equal to "&amp;$B442&amp;""&amp;CHAR(10),""),IF((W443+W444+W445+W446)&lt;&gt;W442," * "&amp;$A442&amp;" , "&amp;$B443&amp;" plus "&amp;$B444&amp;" plus "&amp;$B445&amp;" plus "&amp;$B446&amp;" For age "&amp;$V$20&amp;" "&amp;$W$21&amp;" should be equal to "&amp;$B442&amp;""&amp;CHAR(10),""),IF((X443+X444+X445+X446)&lt;&gt;X442," * "&amp;$A442&amp;" , "&amp;$B443&amp;" plus "&amp;$B444&amp;" plus "&amp;$B445&amp;" plus "&amp;$B446&amp;" For age "&amp;$X$20&amp;" "&amp;$X$21&amp;" should be equal to "&amp;$B442&amp;""&amp;CHAR(10),""),IF((Y443+Y444+Y445+Y446)&lt;&gt;Y442," * "&amp;$A442&amp;" , "&amp;$B443&amp;" plus "&amp;$B444&amp;" plus "&amp;$B445&amp;" plus "&amp;$B446&amp;" For age "&amp;$X$20&amp;" "&amp;$Y$21&amp;" should be equal to "&amp;$B442&amp;""&amp;CHAR(10),""),IF((Z443+Z444+Z445+Z446)&lt;&gt;Z442," * "&amp;$A442&amp;" , "&amp;$B443&amp;" plus "&amp;$B444&amp;" plus "&amp;$B445&amp;" plus "&amp;$B446&amp;" For age "&amp;$Z$20&amp;" "&amp;$Z$21&amp;" should be equal to "&amp;$B442&amp;""&amp;CHAR(10),""),IF((AA443+AA444+AA445+AA446)&lt;&gt;AA442," * "&amp;$A442&amp;" , "&amp;$B443&amp;" plus "&amp;$B444&amp;" plus "&amp;$B445&amp;" plus "&amp;$B446&amp;" For age "&amp;$Z$20&amp;" "&amp;$AA$21&amp;" should be equal to "&amp;$B442&amp;""&amp;CHAR(10),""))</f>
        <v/>
      </c>
      <c r="AL442" s="1279"/>
      <c r="AM442" s="31"/>
      <c r="AN442" s="851"/>
      <c r="AO442" s="13">
        <v>31</v>
      </c>
      <c r="AP442" s="81"/>
      <c r="AQ442" s="82"/>
    </row>
    <row r="443" spans="1:43" s="83" customFormat="1" ht="25.5" hidden="1" x14ac:dyDescent="0.75">
      <c r="A443" s="935"/>
      <c r="B443" s="781" t="s">
        <v>1140</v>
      </c>
      <c r="C443" s="785" t="s">
        <v>1152</v>
      </c>
      <c r="D443" s="648"/>
      <c r="E443" s="796"/>
      <c r="F443" s="571"/>
      <c r="G443" s="568"/>
      <c r="H443" s="568"/>
      <c r="I443" s="568"/>
      <c r="J443" s="568"/>
      <c r="K443" s="568"/>
      <c r="L443" s="568"/>
      <c r="M443" s="568"/>
      <c r="N443" s="568"/>
      <c r="O443" s="568"/>
      <c r="P443" s="568"/>
      <c r="Q443" s="568"/>
      <c r="R443" s="568"/>
      <c r="S443" s="568"/>
      <c r="T443" s="568"/>
      <c r="U443" s="568"/>
      <c r="V443" s="568"/>
      <c r="W443" s="568"/>
      <c r="X443" s="568"/>
      <c r="Y443" s="568"/>
      <c r="Z443" s="568"/>
      <c r="AA443" s="568"/>
      <c r="AB443" s="357"/>
      <c r="AC443" s="357"/>
      <c r="AD443" s="357"/>
      <c r="AE443" s="357"/>
      <c r="AF443" s="357"/>
      <c r="AG443" s="357"/>
      <c r="AH443" s="357"/>
      <c r="AI443" s="357"/>
      <c r="AJ443" s="494">
        <f t="shared" si="165"/>
        <v>0</v>
      </c>
      <c r="AK443" s="1011" t="str">
        <f>CONCATENATE(IF(D444&gt;D443," * Positive F01-13 for Age "&amp;D430&amp;" "&amp;D431&amp;" is more than Tested F01-12"&amp;CHAR(10),""),IF(E444&gt;E443," * Positive F01-13 for Age "&amp;D430&amp;" "&amp;E431&amp;" is more than Tested F01-12"&amp;CHAR(10),""),IF(F444&gt;F443," * Positive F01-13 for Age "&amp;F430&amp;" "&amp;F431&amp;" is more than Tested F01-12"&amp;CHAR(10),""),IF(G444&gt;G443," * Positive F01-13 for Age "&amp;F430&amp;" "&amp;G431&amp;" is more than Tested F01-12"&amp;CHAR(10),""),IF(H444&gt;H443," * Positive F01-13 for Age "&amp;H430&amp;" "&amp;H431&amp;" is more than Tested F01-12"&amp;CHAR(10),""),IF(I444&gt;I443," * Positive F01-13 for Age "&amp;H430&amp;" "&amp;I431&amp;" is more than Tested F01-12"&amp;CHAR(10),""),IF(J444&gt;J443," * Positive F01-13 for Age "&amp;J430&amp;" "&amp;J431&amp;" is more than Tested F01-12"&amp;CHAR(10),""),IF(K444&gt;K443," * Positive F01-13 for Age "&amp;J430&amp;" "&amp;K431&amp;" is more than Tested F01-12"&amp;CHAR(10),""),IF(L444&gt;L443," * Positive F01-13 for Age "&amp;L430&amp;" "&amp;L431&amp;" is more than Tested F01-12"&amp;CHAR(10),""),IF(M444&gt;M443," * Positive F01-13 for Age "&amp;L430&amp;" "&amp;M431&amp;" is more than Tested F01-12"&amp;CHAR(10),""),IF(N444&gt;N443," * Positive F01-13 for Age "&amp;N430&amp;" "&amp;N431&amp;" is more than Tested F01-12"&amp;CHAR(10),""),IF(O444&gt;O443," * Positive F01-13 for Age "&amp;N430&amp;" "&amp;O431&amp;" is more than Tested F01-12"&amp;CHAR(10),""),IF(P444&gt;P443," * Positive F01-13 for Age "&amp;P430&amp;" "&amp;P431&amp;" is more than Tested F01-12"&amp;CHAR(10),""),IF(Q444&gt;Q443," * Positive F01-13 for Age "&amp;P430&amp;" "&amp;Q431&amp;" is more than Tested F01-12"&amp;CHAR(10),""),IF(R444&gt;R443," * Positive F01-13 for Age "&amp;R430&amp;" "&amp;R431&amp;" is more than Tested F01-12"&amp;CHAR(10),""),IF(S444&gt;S443," * Positive F01-13 for Age "&amp;R430&amp;" "&amp;S431&amp;" is more than Tested F01-12"&amp;CHAR(10),""),IF(T444&gt;T443," * Positive F01-13 for Age "&amp;T430&amp;" "&amp;T431&amp;" is more than Tested F01-12"&amp;CHAR(10),""),IF(U444&gt;U443," * Positive F01-13 for Age "&amp;T430&amp;" "&amp;U431&amp;" is more than Tested F01-12"&amp;CHAR(10),""),IF(V444&gt;V443," * Positive F01-13 for Age "&amp;V430&amp;" "&amp;V431&amp;" is more than Tested F01-12"&amp;CHAR(10),""),IF(W444&gt;W443," * Positive F01-13 for Age "&amp;V430&amp;" "&amp;W431&amp;" is more than Tested F01-12"&amp;CHAR(10),""),IF(X444&gt;X443," * Positive F01-13 for Age "&amp;X430&amp;" "&amp;X431&amp;" is more than Tested F01-12"&amp;CHAR(10),""),IF(Y444&gt;Y443," * Positive F01-13 for Age "&amp;X430&amp;" "&amp;Y431&amp;" is more than Tested F01-12"&amp;CHAR(10),""),IF(Z444&gt;Z443," * Positive F01-13 for Age "&amp;Z430&amp;" "&amp;Z431&amp;" is more than Tested F01-12"&amp;CHAR(10),""),IF(AA444&gt;AA443," * Positive F01-13 for Age "&amp;Z430&amp;" "&amp;AA431&amp;" is more than Tested F01-12"&amp;CHAR(10),""))</f>
        <v/>
      </c>
      <c r="AL443" s="1279"/>
      <c r="AM443" s="31" t="str">
        <f>CONCATENATE(IF(AND(IFERROR((AJ444*100)/AJ443,0)&gt;10,AJ444&gt;5)," * This facility has a high positivity rate for Index Testing. Kindly confirm if this is the true reflection"&amp;CHAR(10),""),"")</f>
        <v/>
      </c>
      <c r="AN443" s="851"/>
      <c r="AO443" s="13">
        <v>32</v>
      </c>
      <c r="AP443" s="81"/>
      <c r="AQ443" s="82"/>
    </row>
    <row r="444" spans="1:43" s="83" customFormat="1" ht="25.5" hidden="1" x14ac:dyDescent="0.75">
      <c r="A444" s="935"/>
      <c r="B444" s="781" t="s">
        <v>1121</v>
      </c>
      <c r="C444" s="785" t="s">
        <v>1153</v>
      </c>
      <c r="D444" s="769"/>
      <c r="E444" s="797"/>
      <c r="F444" s="572"/>
      <c r="G444" s="497"/>
      <c r="H444" s="497"/>
      <c r="I444" s="497"/>
      <c r="J444" s="497"/>
      <c r="K444" s="497"/>
      <c r="L444" s="497"/>
      <c r="M444" s="497"/>
      <c r="N444" s="497"/>
      <c r="O444" s="497"/>
      <c r="P444" s="497"/>
      <c r="Q444" s="497"/>
      <c r="R444" s="497"/>
      <c r="S444" s="497"/>
      <c r="T444" s="497"/>
      <c r="U444" s="497"/>
      <c r="V444" s="497"/>
      <c r="W444" s="497"/>
      <c r="X444" s="497"/>
      <c r="Y444" s="497"/>
      <c r="Z444" s="497"/>
      <c r="AA444" s="497"/>
      <c r="AB444" s="357"/>
      <c r="AC444" s="357"/>
      <c r="AD444" s="357"/>
      <c r="AE444" s="357"/>
      <c r="AF444" s="357"/>
      <c r="AG444" s="357"/>
      <c r="AH444" s="357"/>
      <c r="AI444" s="357"/>
      <c r="AJ444" s="495">
        <f t="shared" si="165"/>
        <v>0</v>
      </c>
      <c r="AK444" s="1011"/>
      <c r="AL444" s="1279"/>
      <c r="AM444" s="31" t="e">
        <f>CONCATENATE(IF(D443&gt;0," * F01-12 for Age "&amp;D430&amp;" "&amp;D431&amp;" has a value greater than 0"&amp;CHAR(10),""),IF(E443&gt;0," * F01-12 for Age "&amp;D430&amp;" "&amp;E431&amp;" has a value greater than 0"&amp;CHAR(10),""),IF(D444&gt;0," * F01-13 for Age "&amp;D430&amp;" "&amp;D431&amp;" has a value greater than 0"&amp;CHAR(10),""),IF(E444&gt;0," * F01-13 for Age "&amp;D430&amp;" "&amp;E431&amp;" has a value greater than 0"&amp;CHAR(10),""),IF(#REF!&gt;0," * F01-14 for Age "&amp;D430&amp;" "&amp;D431&amp;" has a value greater than 0"&amp;CHAR(10),""),IF(#REF!&gt;0," * F01-14 for Age "&amp;D430&amp;" "&amp;E431&amp;" has a value greater than 0"&amp;CHAR(10),""),IF(D507&gt;0," * F01-15 for Age "&amp;D430&amp;" "&amp;D431&amp;" has a value greater than 0"&amp;CHAR(10),""),IF(E507&gt;0," * F01-15 for Age "&amp;D430&amp;" "&amp;E431&amp;" has a value greater than 0"&amp;CHAR(10),""),IF(D512&gt;0," * F01-20 for Age "&amp;D430&amp;" "&amp;D431&amp;" has a value greater than 0"&amp;CHAR(10),""),IF(E512&gt;0," * F01-20 for Age "&amp;D430&amp;" "&amp;E431&amp;" has a value greater than 0"&amp;CHAR(10),""),IF(D513&gt;0," * F01-21 for Age "&amp;D430&amp;" "&amp;D431&amp;" has a value greater than 0"&amp;CHAR(10),""),IF(E513&gt;0," * F01-21 for Age "&amp;D430&amp;" "&amp;E431&amp;" has a value greater than 0"&amp;CHAR(10),""),IF(D514&gt;0," * F01-22 for Age "&amp;D430&amp;" "&amp;D431&amp;" has a value greater than 0"&amp;CHAR(10),""),IF(E514&gt;0," * F01-22 for Age "&amp;D430&amp;" "&amp;E431&amp;" has a value greater than 0"&amp;CHAR(10),""),IF(D515&gt;0," * F01-23 for Age "&amp;D430&amp;" "&amp;D431&amp;" has a value greater than 0"&amp;CHAR(10),""),IF(E515&gt;0," * F01-23 for Age "&amp;D430&amp;" "&amp;E431&amp;" has a value greater than 0"&amp;CHAR(10),""),"")</f>
        <v>#REF!</v>
      </c>
      <c r="AN444" s="851"/>
      <c r="AO444" s="13">
        <v>33</v>
      </c>
      <c r="AP444" s="81"/>
      <c r="AQ444" s="82"/>
    </row>
    <row r="445" spans="1:43" s="83" customFormat="1" ht="25.5" hidden="1" x14ac:dyDescent="0.75">
      <c r="A445" s="935"/>
      <c r="B445" s="781" t="s">
        <v>1123</v>
      </c>
      <c r="C445" s="785" t="s">
        <v>1154</v>
      </c>
      <c r="D445" s="769"/>
      <c r="E445" s="797"/>
      <c r="F445" s="573"/>
      <c r="G445" s="504"/>
      <c r="H445" s="504"/>
      <c r="I445" s="504"/>
      <c r="J445" s="504"/>
      <c r="K445" s="504"/>
      <c r="L445" s="504"/>
      <c r="M445" s="504"/>
      <c r="N445" s="504"/>
      <c r="O445" s="504"/>
      <c r="P445" s="504"/>
      <c r="Q445" s="504"/>
      <c r="R445" s="504"/>
      <c r="S445" s="504"/>
      <c r="T445" s="504"/>
      <c r="U445" s="504"/>
      <c r="V445" s="504"/>
      <c r="W445" s="504"/>
      <c r="X445" s="504"/>
      <c r="Y445" s="504"/>
      <c r="Z445" s="504"/>
      <c r="AA445" s="504"/>
      <c r="AB445" s="357"/>
      <c r="AC445" s="357"/>
      <c r="AD445" s="357"/>
      <c r="AE445" s="357"/>
      <c r="AF445" s="357"/>
      <c r="AG445" s="357"/>
      <c r="AH445" s="357"/>
      <c r="AI445" s="357"/>
      <c r="AJ445" s="495">
        <f t="shared" si="165"/>
        <v>0</v>
      </c>
      <c r="AK445" s="486"/>
      <c r="AL445" s="1279"/>
      <c r="AM445" s="31" t="str">
        <f>CONCATENATE(IF(D444&gt;0," * F01-12 for Age "&amp;D431&amp;" "&amp;D432&amp;" has a value greater than 0"&amp;CHAR(10),""),IF(E444&gt;0," * F01-12 for Age "&amp;D431&amp;" "&amp;E432&amp;" has a value greater than 0"&amp;CHAR(10),""),IF(D445&gt;0," * F01-13 for Age "&amp;D431&amp;" "&amp;D432&amp;" has a value greater than 0"&amp;CHAR(10),""),IF(E445&gt;0," * F01-13 for Age "&amp;D431&amp;" "&amp;E432&amp;" has a value greater than 0"&amp;CHAR(10),""),IF(D507&gt;0," * F01-14 for Age "&amp;D431&amp;" "&amp;D432&amp;" has a value greater than 0"&amp;CHAR(10),""),IF(E507&gt;0," * F01-14 for Age "&amp;D431&amp;" "&amp;E432&amp;" has a value greater than 0"&amp;CHAR(10),""),IF(D508&gt;0," * F01-15 for Age "&amp;D431&amp;" "&amp;D432&amp;" has a value greater than 0"&amp;CHAR(10),""),IF(E508&gt;0," * F01-15 for Age "&amp;D431&amp;" "&amp;E432&amp;" has a value greater than 0"&amp;CHAR(10),""),IF(D513&gt;0," * F01-20 for Age "&amp;D431&amp;" "&amp;D432&amp;" has a value greater than 0"&amp;CHAR(10),""),IF(E513&gt;0," * F01-20 for Age "&amp;D431&amp;" "&amp;E432&amp;" has a value greater than 0"&amp;CHAR(10),""),IF(D514&gt;0," * F01-21 for Age "&amp;D431&amp;" "&amp;D432&amp;" has a value greater than 0"&amp;CHAR(10),""),IF(E514&gt;0," * F01-21 for Age "&amp;D431&amp;" "&amp;E432&amp;" has a value greater than 0"&amp;CHAR(10),""),IF(D515&gt;0," * F01-22 for Age "&amp;D431&amp;" "&amp;D432&amp;" has a value greater than 0"&amp;CHAR(10),""),IF(E515&gt;0," * F01-22 for Age "&amp;D431&amp;" "&amp;E432&amp;" has a value greater than 0"&amp;CHAR(10),""),IF(D516&gt;0," * F01-23 for Age "&amp;D431&amp;" "&amp;D432&amp;" has a value greater than 0"&amp;CHAR(10),""),IF(E516&gt;0," * F01-23 for Age "&amp;D431&amp;" "&amp;E432&amp;" has a value greater than 0"&amp;CHAR(10),""),"")</f>
        <v/>
      </c>
      <c r="AN445" s="851"/>
      <c r="AO445" s="13">
        <v>33</v>
      </c>
      <c r="AP445" s="81"/>
      <c r="AQ445" s="82"/>
    </row>
    <row r="446" spans="1:43" s="83" customFormat="1" ht="25.9" hidden="1" thickBot="1" x14ac:dyDescent="0.8">
      <c r="A446" s="936"/>
      <c r="B446" s="782" t="s">
        <v>1125</v>
      </c>
      <c r="C446" s="786" t="s">
        <v>1155</v>
      </c>
      <c r="D446" s="770"/>
      <c r="E446" s="798"/>
      <c r="F446" s="574"/>
      <c r="G446" s="570"/>
      <c r="H446" s="570"/>
      <c r="I446" s="570"/>
      <c r="J446" s="570"/>
      <c r="K446" s="570"/>
      <c r="L446" s="570"/>
      <c r="M446" s="570"/>
      <c r="N446" s="570"/>
      <c r="O446" s="570"/>
      <c r="P446" s="570"/>
      <c r="Q446" s="570"/>
      <c r="R446" s="570"/>
      <c r="S446" s="570"/>
      <c r="T446" s="570"/>
      <c r="U446" s="570"/>
      <c r="V446" s="570"/>
      <c r="W446" s="570"/>
      <c r="X446" s="570"/>
      <c r="Y446" s="570"/>
      <c r="Z446" s="570"/>
      <c r="AA446" s="570"/>
      <c r="AB446" s="391"/>
      <c r="AC446" s="391"/>
      <c r="AD446" s="391"/>
      <c r="AE446" s="391"/>
      <c r="AF446" s="391"/>
      <c r="AG446" s="391"/>
      <c r="AH446" s="391"/>
      <c r="AI446" s="391"/>
      <c r="AJ446" s="496">
        <f t="shared" si="165"/>
        <v>0</v>
      </c>
      <c r="AK446" s="486"/>
      <c r="AL446" s="1279"/>
      <c r="AM446" s="31" t="str">
        <f>CONCATENATE(IF(D445&gt;0," * F01-12 for Age "&amp;D432&amp;" "&amp;D433&amp;" has a value greater than 0"&amp;CHAR(10),""),IF(E445&gt;0," * F01-12 for Age "&amp;D432&amp;" "&amp;E433&amp;" has a value greater than 0"&amp;CHAR(10),""),IF(D446&gt;0," * F01-13 for Age "&amp;D432&amp;" "&amp;D433&amp;" has a value greater than 0"&amp;CHAR(10),""),IF(E446&gt;0," * F01-13 for Age "&amp;D432&amp;" "&amp;E433&amp;" has a value greater than 0"&amp;CHAR(10),""),IF(D508&gt;0," * F01-14 for Age "&amp;D432&amp;" "&amp;D433&amp;" has a value greater than 0"&amp;CHAR(10),""),IF(E508&gt;0," * F01-14 for Age "&amp;D432&amp;" "&amp;E433&amp;" has a value greater than 0"&amp;CHAR(10),""),IF(D509&gt;0," * F01-15 for Age "&amp;D432&amp;" "&amp;D433&amp;" has a value greater than 0"&amp;CHAR(10),""),IF(E509&gt;0," * F01-15 for Age "&amp;D432&amp;" "&amp;E433&amp;" has a value greater than 0"&amp;CHAR(10),""),IF(D514&gt;0," * F01-20 for Age "&amp;D432&amp;" "&amp;D433&amp;" has a value greater than 0"&amp;CHAR(10),""),IF(E514&gt;0," * F01-20 for Age "&amp;D432&amp;" "&amp;E433&amp;" has a value greater than 0"&amp;CHAR(10),""),IF(D515&gt;0," * F01-21 for Age "&amp;D432&amp;" "&amp;D433&amp;" has a value greater than 0"&amp;CHAR(10),""),IF(E515&gt;0," * F01-21 for Age "&amp;D432&amp;" "&amp;E433&amp;" has a value greater than 0"&amp;CHAR(10),""),IF(D516&gt;0," * F01-22 for Age "&amp;D432&amp;" "&amp;D433&amp;" has a value greater than 0"&amp;CHAR(10),""),IF(E516&gt;0," * F01-22 for Age "&amp;D432&amp;" "&amp;E433&amp;" has a value greater than 0"&amp;CHAR(10),""),IF(D517&gt;0," * F01-23 for Age "&amp;D432&amp;" "&amp;D433&amp;" has a value greater than 0"&amp;CHAR(10),""),IF(E517&gt;0," * F01-23 for Age "&amp;D432&amp;" "&amp;E433&amp;" has a value greater than 0"&amp;CHAR(10),""),"")</f>
        <v/>
      </c>
      <c r="AN446" s="851"/>
      <c r="AO446" s="13">
        <v>33</v>
      </c>
      <c r="AP446" s="81"/>
      <c r="AQ446" s="82"/>
    </row>
    <row r="447" spans="1:43" s="83" customFormat="1" ht="25.9" hidden="1" thickBot="1" x14ac:dyDescent="0.8">
      <c r="A447" s="934" t="s">
        <v>1142</v>
      </c>
      <c r="B447" s="780" t="s">
        <v>150</v>
      </c>
      <c r="C447" s="784" t="s">
        <v>1156</v>
      </c>
      <c r="D447" s="767"/>
      <c r="E447" s="795"/>
      <c r="F447" s="806">
        <f t="shared" ref="F447:AA447" si="168">F44</f>
        <v>0</v>
      </c>
      <c r="G447" s="503">
        <f t="shared" si="168"/>
        <v>0</v>
      </c>
      <c r="H447" s="503">
        <f t="shared" si="168"/>
        <v>0</v>
      </c>
      <c r="I447" s="503">
        <f t="shared" si="168"/>
        <v>0</v>
      </c>
      <c r="J447" s="503">
        <f t="shared" si="168"/>
        <v>0</v>
      </c>
      <c r="K447" s="503">
        <f t="shared" si="168"/>
        <v>0</v>
      </c>
      <c r="L447" s="503">
        <f t="shared" si="168"/>
        <v>0</v>
      </c>
      <c r="M447" s="503">
        <f t="shared" si="168"/>
        <v>0</v>
      </c>
      <c r="N447" s="503">
        <f t="shared" si="168"/>
        <v>0</v>
      </c>
      <c r="O447" s="503">
        <f t="shared" si="168"/>
        <v>0</v>
      </c>
      <c r="P447" s="503">
        <f t="shared" si="168"/>
        <v>0</v>
      </c>
      <c r="Q447" s="503">
        <f t="shared" si="168"/>
        <v>0</v>
      </c>
      <c r="R447" s="503">
        <f t="shared" si="168"/>
        <v>0</v>
      </c>
      <c r="S447" s="503">
        <f t="shared" si="168"/>
        <v>0</v>
      </c>
      <c r="T447" s="503">
        <f t="shared" si="168"/>
        <v>0</v>
      </c>
      <c r="U447" s="503">
        <f t="shared" si="168"/>
        <v>0</v>
      </c>
      <c r="V447" s="503">
        <f t="shared" si="168"/>
        <v>0</v>
      </c>
      <c r="W447" s="503">
        <f t="shared" si="168"/>
        <v>0</v>
      </c>
      <c r="X447" s="503">
        <f t="shared" si="168"/>
        <v>0</v>
      </c>
      <c r="Y447" s="503">
        <f t="shared" si="168"/>
        <v>0</v>
      </c>
      <c r="Z447" s="503">
        <f t="shared" si="168"/>
        <v>0</v>
      </c>
      <c r="AA447" s="503">
        <f t="shared" si="168"/>
        <v>0</v>
      </c>
      <c r="AB447" s="388"/>
      <c r="AC447" s="388"/>
      <c r="AD447" s="388"/>
      <c r="AE447" s="388"/>
      <c r="AF447" s="388"/>
      <c r="AG447" s="388"/>
      <c r="AH447" s="388"/>
      <c r="AI447" s="388"/>
      <c r="AJ447" s="493">
        <f t="shared" si="165"/>
        <v>0</v>
      </c>
      <c r="AK447" s="566" t="str">
        <f>CONCATENATE(IF((D448+D449+D450+D451)&lt;&gt;D447," * "&amp;$A447&amp;" , "&amp;$B448&amp;" plus "&amp;$B449&amp;" plus "&amp;$B450&amp;" plus "&amp;$B451&amp;" For age "&amp;$D$20&amp;" "&amp;$D$21&amp;" should be equal to "&amp;$B447&amp;""&amp;CHAR(10),""),IF((E448+E449+E450+E451)&lt;&gt;E447," * "&amp;$A447&amp;" , "&amp;$B448&amp;" plus "&amp;$B449&amp;" plus "&amp;$B450&amp;" plus "&amp;$B451&amp;" For age "&amp;$D$20&amp;" "&amp;$E$21&amp;" should be equal to "&amp;$B447&amp;""&amp;CHAR(10),""),IF((F448+F449+F450+F451)&lt;&gt;F447," * "&amp;$A447&amp;" , "&amp;$B448&amp;" plus "&amp;$B449&amp;" plus "&amp;$B450&amp;" plus "&amp;$B451&amp;" For age "&amp;$F$20&amp;" "&amp;$F$21&amp;" should be equal to "&amp;$B447&amp;""&amp;CHAR(10),""),IF((G448+G449+G450+G451)&lt;&gt;G447," * "&amp;$A447&amp;" , "&amp;$B448&amp;" plus "&amp;$B449&amp;" plus "&amp;$B450&amp;" plus "&amp;$B451&amp;" For age "&amp;$F$20&amp;" "&amp;$G$21&amp;" should be equal to "&amp;$B447&amp;""&amp;CHAR(10),""),IF((H448+H449+H450+H451)&lt;&gt;H447," * "&amp;$A447&amp;" , "&amp;$B448&amp;" plus "&amp;$B449&amp;" plus "&amp;$B450&amp;" plus "&amp;$B451&amp;" For age "&amp;$H$20&amp;" "&amp;$H$21&amp;" should be equal to "&amp;$B447&amp;""&amp;CHAR(10),""),IF((I448+I449+I450+I451)&lt;&gt;I447," * "&amp;$A447&amp;" , "&amp;$B448&amp;" plus "&amp;$B449&amp;" plus "&amp;$B450&amp;" plus "&amp;$B451&amp;" For age "&amp;$H$20&amp;" "&amp;$I$21&amp;" should be equal to "&amp;$B447&amp;""&amp;CHAR(10),""),IF((J448+J449+J450+J451)&lt;&gt;J447," * "&amp;$A447&amp;" , "&amp;$B448&amp;" plus "&amp;$B449&amp;" plus "&amp;$B450&amp;" plus "&amp;$B451&amp;" For age "&amp;$J$20&amp;" "&amp;$J$21&amp;" should be equal to "&amp;$B447&amp;""&amp;CHAR(10),""),IF((K448+K449+K450+K451)&lt;&gt;K447," * "&amp;$A447&amp;" , "&amp;$B448&amp;" plus "&amp;$B449&amp;" plus "&amp;$B450&amp;" plus "&amp;$B451&amp;" For age "&amp;$J$20&amp;" "&amp;$K$21&amp;" should be equal to "&amp;$B447&amp;""&amp;CHAR(10),""),IF((L448+L449+L450+L451)&lt;&gt;L447," * "&amp;$A447&amp;" , "&amp;$B448&amp;" plus "&amp;$B449&amp;" plus "&amp;$B450&amp;" plus "&amp;$B451&amp;" For age "&amp;$L$20&amp;" "&amp;$L$21&amp;" should be equal to "&amp;$B447&amp;""&amp;CHAR(10),""),IF((M448+M449+M450+M451)&lt;&gt;M447," * "&amp;$A447&amp;" , "&amp;$B448&amp;" plus "&amp;$B449&amp;" plus "&amp;$B450&amp;" plus "&amp;$B451&amp;" For age "&amp;$L$20&amp;" "&amp;$M$21&amp;" should be equal to "&amp;$B447&amp;""&amp;CHAR(10),""),IF((N448+N449+N450+N451)&lt;&gt;N447," * "&amp;$A447&amp;" , "&amp;$B448&amp;" plus "&amp;$B449&amp;" plus "&amp;$B450&amp;" plus "&amp;$B451&amp;" For age "&amp;$N$20&amp;" "&amp;$N$21&amp;" should be equal to "&amp;$B447&amp;""&amp;CHAR(10),""),IF((O448+O449+O450+O451)&lt;&gt;O447," * "&amp;$A447&amp;" , "&amp;$B448&amp;" plus "&amp;$B449&amp;" plus "&amp;$B450&amp;" plus "&amp;$B451&amp;" For age "&amp;$N$20&amp;" "&amp;$O$21&amp;" should be equal to "&amp;$B447&amp;""&amp;CHAR(10),""),IF((P448+P449+P450+P451)&lt;&gt;P447," * "&amp;$A447&amp;" , "&amp;$B448&amp;" plus "&amp;$B449&amp;" plus "&amp;$B450&amp;" plus "&amp;$B451&amp;" For age "&amp;$P$20&amp;" "&amp;$P$21&amp;" should be equal to "&amp;$B447&amp;""&amp;CHAR(10),""),IF((Q448+Q449+Q450+Q451)&lt;&gt;Q447," * "&amp;$A447&amp;" , "&amp;$B448&amp;" plus "&amp;$B449&amp;" plus "&amp;$B450&amp;" plus "&amp;$B451&amp;" For age "&amp;$P$20&amp;" "&amp;$Q$21&amp;" should be equal to "&amp;$B447&amp;""&amp;CHAR(10),""),IF((R448+R449+R450+R451)&lt;&gt;R447," * "&amp;$A447&amp;" , "&amp;$B448&amp;" plus "&amp;$B449&amp;" plus "&amp;$B450&amp;" plus "&amp;$B451&amp;" For age "&amp;$R$20&amp;" "&amp;$R$21&amp;" should be equal to "&amp;$B447&amp;""&amp;CHAR(10),""),IF((S448+S449+S450+S451)&lt;&gt;S447," * "&amp;$A447&amp;" , "&amp;$B448&amp;" plus "&amp;$B449&amp;" plus "&amp;$B450&amp;" plus "&amp;$B451&amp;" For age "&amp;$R$20&amp;" "&amp;$S$21&amp;" should be equal to "&amp;$B447&amp;""&amp;CHAR(10),""),IF((T448+T449+T450+T451)&lt;&gt;T447," * "&amp;$A447&amp;" , "&amp;$B448&amp;" plus "&amp;$B449&amp;" plus "&amp;$B450&amp;" plus "&amp;$B451&amp;" For age "&amp;$T$20&amp;" "&amp;$T$21&amp;" should be equal to "&amp;$B447&amp;""&amp;CHAR(10),""),IF((U448+U449+U450+U451)&lt;&gt;U447," * "&amp;$A447&amp;" , "&amp;$B448&amp;" plus "&amp;$B449&amp;" plus "&amp;$B450&amp;" plus "&amp;$B451&amp;" For age "&amp;$T$20&amp;" "&amp;$U$21&amp;" should be equal to "&amp;$B447&amp;""&amp;CHAR(10),""),IF((V448+V449+V450+V451)&lt;&gt;V447," * "&amp;$A447&amp;" , "&amp;$B448&amp;" plus "&amp;$B449&amp;" plus "&amp;$B450&amp;" plus "&amp;$B451&amp;" For age "&amp;$V$20&amp;" "&amp;$V$21&amp;" should be equal to "&amp;$B447&amp;""&amp;CHAR(10),""),IF((W448+W449+W450+W451)&lt;&gt;W447," * "&amp;$A447&amp;" , "&amp;$B448&amp;" plus "&amp;$B449&amp;" plus "&amp;$B450&amp;" plus "&amp;$B451&amp;" For age "&amp;$V$20&amp;" "&amp;$W$21&amp;" should be equal to "&amp;$B447&amp;""&amp;CHAR(10),""),IF((X448+X449+X450+X451)&lt;&gt;X447," * "&amp;$A447&amp;" , "&amp;$B448&amp;" plus "&amp;$B449&amp;" plus "&amp;$B450&amp;" plus "&amp;$B451&amp;" For age "&amp;$X$20&amp;" "&amp;$X$21&amp;" should be equal to "&amp;$B447&amp;""&amp;CHAR(10),""),IF((Y448+Y449+Y450+Y451)&lt;&gt;Y447," * "&amp;$A447&amp;" , "&amp;$B448&amp;" plus "&amp;$B449&amp;" plus "&amp;$B450&amp;" plus "&amp;$B451&amp;" For age "&amp;$X$20&amp;" "&amp;$Y$21&amp;" should be equal to "&amp;$B447&amp;""&amp;CHAR(10),""),IF((Z448+Z449+Z450+Z451)&lt;&gt;Z447," * "&amp;$A447&amp;" , "&amp;$B448&amp;" plus "&amp;$B449&amp;" plus "&amp;$B450&amp;" plus "&amp;$B451&amp;" For age "&amp;$Z$20&amp;" "&amp;$Z$21&amp;" should be equal to "&amp;$B447&amp;""&amp;CHAR(10),""),IF((AA448+AA449+AA450+AA451)&lt;&gt;AA447," * "&amp;$A447&amp;" , "&amp;$B448&amp;" plus "&amp;$B449&amp;" plus "&amp;$B450&amp;" plus "&amp;$B451&amp;" For age "&amp;$Z$20&amp;" "&amp;$AA$21&amp;" should be equal to "&amp;$B447&amp;""&amp;CHAR(10),""))</f>
        <v/>
      </c>
      <c r="AL447" s="1279"/>
      <c r="AM447" s="31"/>
      <c r="AN447" s="851"/>
      <c r="AO447" s="13">
        <v>31</v>
      </c>
      <c r="AP447" s="81"/>
      <c r="AQ447" s="82"/>
    </row>
    <row r="448" spans="1:43" s="83" customFormat="1" ht="25.5" hidden="1" x14ac:dyDescent="0.75">
      <c r="A448" s="935"/>
      <c r="B448" s="781" t="s">
        <v>1140</v>
      </c>
      <c r="C448" s="785" t="s">
        <v>1157</v>
      </c>
      <c r="D448" s="648"/>
      <c r="E448" s="796"/>
      <c r="F448" s="571"/>
      <c r="G448" s="568"/>
      <c r="H448" s="568"/>
      <c r="I448" s="568"/>
      <c r="J448" s="568"/>
      <c r="K448" s="568"/>
      <c r="L448" s="568"/>
      <c r="M448" s="568"/>
      <c r="N448" s="568"/>
      <c r="O448" s="568"/>
      <c r="P448" s="568"/>
      <c r="Q448" s="568"/>
      <c r="R448" s="568"/>
      <c r="S448" s="568"/>
      <c r="T448" s="568"/>
      <c r="U448" s="568"/>
      <c r="V448" s="568"/>
      <c r="W448" s="568"/>
      <c r="X448" s="568"/>
      <c r="Y448" s="568"/>
      <c r="Z448" s="568"/>
      <c r="AA448" s="568"/>
      <c r="AB448" s="357"/>
      <c r="AC448" s="357"/>
      <c r="AD448" s="357"/>
      <c r="AE448" s="357"/>
      <c r="AF448" s="357"/>
      <c r="AG448" s="357"/>
      <c r="AH448" s="357"/>
      <c r="AI448" s="357"/>
      <c r="AJ448" s="494">
        <f t="shared" si="165"/>
        <v>0</v>
      </c>
      <c r="AK448" s="1011" t="str">
        <f>CONCATENATE(IF(D449&gt;D448," * Positive F01-13 for Age "&amp;D435&amp;" "&amp;D436&amp;" is more than Tested F01-12"&amp;CHAR(10),""),IF(E449&gt;E448," * Positive F01-13 for Age "&amp;D435&amp;" "&amp;E436&amp;" is more than Tested F01-12"&amp;CHAR(10),""),IF(F449&gt;F448," * Positive F01-13 for Age "&amp;F435&amp;" "&amp;F436&amp;" is more than Tested F01-12"&amp;CHAR(10),""),IF(G449&gt;G448," * Positive F01-13 for Age "&amp;F435&amp;" "&amp;G436&amp;" is more than Tested F01-12"&amp;CHAR(10),""),IF(H449&gt;H448," * Positive F01-13 for Age "&amp;H435&amp;" "&amp;H436&amp;" is more than Tested F01-12"&amp;CHAR(10),""),IF(I449&gt;I448," * Positive F01-13 for Age "&amp;H435&amp;" "&amp;I436&amp;" is more than Tested F01-12"&amp;CHAR(10),""),IF(J449&gt;J448," * Positive F01-13 for Age "&amp;J435&amp;" "&amp;J436&amp;" is more than Tested F01-12"&amp;CHAR(10),""),IF(K449&gt;K448," * Positive F01-13 for Age "&amp;J435&amp;" "&amp;K436&amp;" is more than Tested F01-12"&amp;CHAR(10),""),IF(L449&gt;L448," * Positive F01-13 for Age "&amp;L435&amp;" "&amp;L436&amp;" is more than Tested F01-12"&amp;CHAR(10),""),IF(M449&gt;M448," * Positive F01-13 for Age "&amp;L435&amp;" "&amp;M436&amp;" is more than Tested F01-12"&amp;CHAR(10),""),IF(N449&gt;N448," * Positive F01-13 for Age "&amp;N435&amp;" "&amp;N436&amp;" is more than Tested F01-12"&amp;CHAR(10),""),IF(O449&gt;O448," * Positive F01-13 for Age "&amp;N435&amp;" "&amp;O436&amp;" is more than Tested F01-12"&amp;CHAR(10),""),IF(P449&gt;P448," * Positive F01-13 for Age "&amp;P435&amp;" "&amp;P436&amp;" is more than Tested F01-12"&amp;CHAR(10),""),IF(Q449&gt;Q448," * Positive F01-13 for Age "&amp;P435&amp;" "&amp;Q436&amp;" is more than Tested F01-12"&amp;CHAR(10),""),IF(R449&gt;R448," * Positive F01-13 for Age "&amp;R435&amp;" "&amp;R436&amp;" is more than Tested F01-12"&amp;CHAR(10),""),IF(S449&gt;S448," * Positive F01-13 for Age "&amp;R435&amp;" "&amp;S436&amp;" is more than Tested F01-12"&amp;CHAR(10),""),IF(T449&gt;T448," * Positive F01-13 for Age "&amp;T435&amp;" "&amp;T436&amp;" is more than Tested F01-12"&amp;CHAR(10),""),IF(U449&gt;U448," * Positive F01-13 for Age "&amp;T435&amp;" "&amp;U436&amp;" is more than Tested F01-12"&amp;CHAR(10),""),IF(V449&gt;V448," * Positive F01-13 for Age "&amp;V435&amp;" "&amp;V436&amp;" is more than Tested F01-12"&amp;CHAR(10),""),IF(W449&gt;W448," * Positive F01-13 for Age "&amp;V435&amp;" "&amp;W436&amp;" is more than Tested F01-12"&amp;CHAR(10),""),IF(X449&gt;X448," * Positive F01-13 for Age "&amp;X435&amp;" "&amp;X436&amp;" is more than Tested F01-12"&amp;CHAR(10),""),IF(Y449&gt;Y448," * Positive F01-13 for Age "&amp;X435&amp;" "&amp;Y436&amp;" is more than Tested F01-12"&amp;CHAR(10),""),IF(Z449&gt;Z448," * Positive F01-13 for Age "&amp;Z435&amp;" "&amp;Z436&amp;" is more than Tested F01-12"&amp;CHAR(10),""),IF(AA449&gt;AA448," * Positive F01-13 for Age "&amp;Z435&amp;" "&amp;AA436&amp;" is more than Tested F01-12"&amp;CHAR(10),""))</f>
        <v/>
      </c>
      <c r="AL448" s="1279"/>
      <c r="AM448" s="31" t="str">
        <f>CONCATENATE(IF(AND(IFERROR((AJ449*100)/AJ448,0)&gt;10,AJ449&gt;5)," * This facility has a high positivity rate for Index Testing. Kindly confirm if this is the true reflection"&amp;CHAR(10),""),"")</f>
        <v/>
      </c>
      <c r="AN448" s="851"/>
      <c r="AO448" s="13">
        <v>32</v>
      </c>
      <c r="AP448" s="81"/>
      <c r="AQ448" s="82"/>
    </row>
    <row r="449" spans="1:43" s="83" customFormat="1" ht="25.5" hidden="1" x14ac:dyDescent="0.75">
      <c r="A449" s="935"/>
      <c r="B449" s="781" t="s">
        <v>1121</v>
      </c>
      <c r="C449" s="785" t="s">
        <v>1158</v>
      </c>
      <c r="D449" s="769"/>
      <c r="E449" s="797"/>
      <c r="F449" s="572"/>
      <c r="G449" s="497"/>
      <c r="H449" s="497"/>
      <c r="I449" s="497"/>
      <c r="J449" s="497"/>
      <c r="K449" s="497"/>
      <c r="L449" s="497"/>
      <c r="M449" s="497"/>
      <c r="N449" s="497"/>
      <c r="O449" s="497"/>
      <c r="P449" s="497"/>
      <c r="Q449" s="497"/>
      <c r="R449" s="497"/>
      <c r="S449" s="497"/>
      <c r="T449" s="497"/>
      <c r="U449" s="497"/>
      <c r="V449" s="497"/>
      <c r="W449" s="497"/>
      <c r="X449" s="497"/>
      <c r="Y449" s="497"/>
      <c r="Z449" s="497"/>
      <c r="AA449" s="497"/>
      <c r="AB449" s="357"/>
      <c r="AC449" s="357"/>
      <c r="AD449" s="357"/>
      <c r="AE449" s="357"/>
      <c r="AF449" s="357"/>
      <c r="AG449" s="357"/>
      <c r="AH449" s="357"/>
      <c r="AI449" s="357"/>
      <c r="AJ449" s="495">
        <f t="shared" si="165"/>
        <v>0</v>
      </c>
      <c r="AK449" s="1011"/>
      <c r="AL449" s="1279"/>
      <c r="AM449" s="31" t="e">
        <f>CONCATENATE(IF(D448&gt;0," * F01-12 for Age "&amp;D435&amp;" "&amp;D436&amp;" has a value greater than 0"&amp;CHAR(10),""),IF(E448&gt;0," * F01-12 for Age "&amp;D435&amp;" "&amp;E436&amp;" has a value greater than 0"&amp;CHAR(10),""),IF(D449&gt;0," * F01-13 for Age "&amp;D435&amp;" "&amp;D436&amp;" has a value greater than 0"&amp;CHAR(10),""),IF(E449&gt;0," * F01-13 for Age "&amp;D435&amp;" "&amp;E436&amp;" has a value greater than 0"&amp;CHAR(10),""),IF(#REF!&gt;0," * F01-14 for Age "&amp;D435&amp;" "&amp;D436&amp;" has a value greater than 0"&amp;CHAR(10),""),IF(#REF!&gt;0," * F01-14 for Age "&amp;D435&amp;" "&amp;E436&amp;" has a value greater than 0"&amp;CHAR(10),""),IF(D512&gt;0," * F01-15 for Age "&amp;D435&amp;" "&amp;D436&amp;" has a value greater than 0"&amp;CHAR(10),""),IF(E512&gt;0," * F01-15 for Age "&amp;D435&amp;" "&amp;E436&amp;" has a value greater than 0"&amp;CHAR(10),""),IF(D517&gt;0," * F01-20 for Age "&amp;D435&amp;" "&amp;D436&amp;" has a value greater than 0"&amp;CHAR(10),""),IF(E517&gt;0," * F01-20 for Age "&amp;D435&amp;" "&amp;E436&amp;" has a value greater than 0"&amp;CHAR(10),""),IF(D518&gt;0," * F01-21 for Age "&amp;D435&amp;" "&amp;D436&amp;" has a value greater than 0"&amp;CHAR(10),""),IF(E518&gt;0," * F01-21 for Age "&amp;D435&amp;" "&amp;E436&amp;" has a value greater than 0"&amp;CHAR(10),""),IF(D519&gt;0," * F01-22 for Age "&amp;D435&amp;" "&amp;D436&amp;" has a value greater than 0"&amp;CHAR(10),""),IF(E519&gt;0," * F01-22 for Age "&amp;D435&amp;" "&amp;E436&amp;" has a value greater than 0"&amp;CHAR(10),""),IF(D520&gt;0," * F01-23 for Age "&amp;D435&amp;" "&amp;D436&amp;" has a value greater than 0"&amp;CHAR(10),""),IF(E520&gt;0," * F01-23 for Age "&amp;D435&amp;" "&amp;E436&amp;" has a value greater than 0"&amp;CHAR(10),""),"")</f>
        <v>#REF!</v>
      </c>
      <c r="AN449" s="851"/>
      <c r="AO449" s="13">
        <v>33</v>
      </c>
      <c r="AP449" s="81"/>
      <c r="AQ449" s="82"/>
    </row>
    <row r="450" spans="1:43" s="83" customFormat="1" ht="25.5" hidden="1" x14ac:dyDescent="0.75">
      <c r="A450" s="935"/>
      <c r="B450" s="781" t="s">
        <v>1123</v>
      </c>
      <c r="C450" s="785" t="s">
        <v>1159</v>
      </c>
      <c r="D450" s="769"/>
      <c r="E450" s="797"/>
      <c r="F450" s="573"/>
      <c r="G450" s="504"/>
      <c r="H450" s="504"/>
      <c r="I450" s="504"/>
      <c r="J450" s="504"/>
      <c r="K450" s="504"/>
      <c r="L450" s="504"/>
      <c r="M450" s="504"/>
      <c r="N450" s="504"/>
      <c r="O450" s="504"/>
      <c r="P450" s="504"/>
      <c r="Q450" s="504"/>
      <c r="R450" s="504"/>
      <c r="S450" s="504"/>
      <c r="T450" s="504"/>
      <c r="U450" s="504"/>
      <c r="V450" s="504"/>
      <c r="W450" s="504"/>
      <c r="X450" s="504"/>
      <c r="Y450" s="504"/>
      <c r="Z450" s="504"/>
      <c r="AA450" s="504"/>
      <c r="AB450" s="357"/>
      <c r="AC450" s="357"/>
      <c r="AD450" s="357"/>
      <c r="AE450" s="357"/>
      <c r="AF450" s="357"/>
      <c r="AG450" s="357"/>
      <c r="AH450" s="357"/>
      <c r="AI450" s="357"/>
      <c r="AJ450" s="495">
        <f t="shared" si="165"/>
        <v>0</v>
      </c>
      <c r="AK450" s="486"/>
      <c r="AL450" s="1279"/>
      <c r="AM450" s="31" t="str">
        <f>CONCATENATE(IF(D449&gt;0," * F01-12 for Age "&amp;D436&amp;" "&amp;D437&amp;" has a value greater than 0"&amp;CHAR(10),""),IF(E449&gt;0," * F01-12 for Age "&amp;D436&amp;" "&amp;E437&amp;" has a value greater than 0"&amp;CHAR(10),""),IF(D450&gt;0," * F01-13 for Age "&amp;D436&amp;" "&amp;D437&amp;" has a value greater than 0"&amp;CHAR(10),""),IF(E450&gt;0," * F01-13 for Age "&amp;D436&amp;" "&amp;E437&amp;" has a value greater than 0"&amp;CHAR(10),""),IF(D512&gt;0," * F01-14 for Age "&amp;D436&amp;" "&amp;D437&amp;" has a value greater than 0"&amp;CHAR(10),""),IF(E512&gt;0," * F01-14 for Age "&amp;D436&amp;" "&amp;E437&amp;" has a value greater than 0"&amp;CHAR(10),""),IF(D513&gt;0," * F01-15 for Age "&amp;D436&amp;" "&amp;D437&amp;" has a value greater than 0"&amp;CHAR(10),""),IF(E513&gt;0," * F01-15 for Age "&amp;D436&amp;" "&amp;E437&amp;" has a value greater than 0"&amp;CHAR(10),""),IF(D518&gt;0," * F01-20 for Age "&amp;D436&amp;" "&amp;D437&amp;" has a value greater than 0"&amp;CHAR(10),""),IF(E518&gt;0," * F01-20 for Age "&amp;D436&amp;" "&amp;E437&amp;" has a value greater than 0"&amp;CHAR(10),""),IF(D519&gt;0," * F01-21 for Age "&amp;D436&amp;" "&amp;D437&amp;" has a value greater than 0"&amp;CHAR(10),""),IF(E519&gt;0," * F01-21 for Age "&amp;D436&amp;" "&amp;E437&amp;" has a value greater than 0"&amp;CHAR(10),""),IF(D520&gt;0," * F01-22 for Age "&amp;D436&amp;" "&amp;D437&amp;" has a value greater than 0"&amp;CHAR(10),""),IF(E520&gt;0," * F01-22 for Age "&amp;D436&amp;" "&amp;E437&amp;" has a value greater than 0"&amp;CHAR(10),""),IF(D521&gt;0," * F01-23 for Age "&amp;D436&amp;" "&amp;D437&amp;" has a value greater than 0"&amp;CHAR(10),""),IF(E521&gt;0," * F01-23 for Age "&amp;D436&amp;" "&amp;E437&amp;" has a value greater than 0"&amp;CHAR(10),""),"")</f>
        <v/>
      </c>
      <c r="AN450" s="851"/>
      <c r="AO450" s="13">
        <v>33</v>
      </c>
      <c r="AP450" s="81"/>
      <c r="AQ450" s="82"/>
    </row>
    <row r="451" spans="1:43" s="83" customFormat="1" ht="25.9" hidden="1" thickBot="1" x14ac:dyDescent="0.8">
      <c r="A451" s="936"/>
      <c r="B451" s="782" t="s">
        <v>1125</v>
      </c>
      <c r="C451" s="786" t="s">
        <v>1160</v>
      </c>
      <c r="D451" s="770"/>
      <c r="E451" s="798"/>
      <c r="F451" s="574"/>
      <c r="G451" s="570"/>
      <c r="H451" s="570"/>
      <c r="I451" s="570"/>
      <c r="J451" s="570"/>
      <c r="K451" s="570"/>
      <c r="L451" s="570"/>
      <c r="M451" s="570"/>
      <c r="N451" s="570"/>
      <c r="O451" s="570"/>
      <c r="P451" s="570"/>
      <c r="Q451" s="570"/>
      <c r="R451" s="570"/>
      <c r="S451" s="570"/>
      <c r="T451" s="570"/>
      <c r="U451" s="570"/>
      <c r="V451" s="570"/>
      <c r="W451" s="570"/>
      <c r="X451" s="570"/>
      <c r="Y451" s="570"/>
      <c r="Z451" s="570"/>
      <c r="AA451" s="570"/>
      <c r="AB451" s="391"/>
      <c r="AC451" s="391"/>
      <c r="AD451" s="391"/>
      <c r="AE451" s="391"/>
      <c r="AF451" s="391"/>
      <c r="AG451" s="391"/>
      <c r="AH451" s="391"/>
      <c r="AI451" s="391"/>
      <c r="AJ451" s="496">
        <f t="shared" si="165"/>
        <v>0</v>
      </c>
      <c r="AK451" s="486"/>
      <c r="AL451" s="1279"/>
      <c r="AM451" s="31" t="str">
        <f>CONCATENATE(IF(D450&gt;0," * F01-12 for Age "&amp;D437&amp;" "&amp;D438&amp;" has a value greater than 0"&amp;CHAR(10),""),IF(E450&gt;0," * F01-12 for Age "&amp;D437&amp;" "&amp;E438&amp;" has a value greater than 0"&amp;CHAR(10),""),IF(D451&gt;0," * F01-13 for Age "&amp;D437&amp;" "&amp;D438&amp;" has a value greater than 0"&amp;CHAR(10),""),IF(E451&gt;0," * F01-13 for Age "&amp;D437&amp;" "&amp;E438&amp;" has a value greater than 0"&amp;CHAR(10),""),IF(D513&gt;0," * F01-14 for Age "&amp;D437&amp;" "&amp;D438&amp;" has a value greater than 0"&amp;CHAR(10),""),IF(E513&gt;0," * F01-14 for Age "&amp;D437&amp;" "&amp;E438&amp;" has a value greater than 0"&amp;CHAR(10),""),IF(D514&gt;0," * F01-15 for Age "&amp;D437&amp;" "&amp;D438&amp;" has a value greater than 0"&amp;CHAR(10),""),IF(E514&gt;0," * F01-15 for Age "&amp;D437&amp;" "&amp;E438&amp;" has a value greater than 0"&amp;CHAR(10),""),IF(D519&gt;0," * F01-20 for Age "&amp;D437&amp;" "&amp;D438&amp;" has a value greater than 0"&amp;CHAR(10),""),IF(E519&gt;0," * F01-20 for Age "&amp;D437&amp;" "&amp;E438&amp;" has a value greater than 0"&amp;CHAR(10),""),IF(D520&gt;0," * F01-21 for Age "&amp;D437&amp;" "&amp;D438&amp;" has a value greater than 0"&amp;CHAR(10),""),IF(E520&gt;0," * F01-21 for Age "&amp;D437&amp;" "&amp;E438&amp;" has a value greater than 0"&amp;CHAR(10),""),IF(D521&gt;0," * F01-22 for Age "&amp;D437&amp;" "&amp;D438&amp;" has a value greater than 0"&amp;CHAR(10),""),IF(E521&gt;0," * F01-22 for Age "&amp;D437&amp;" "&amp;E438&amp;" has a value greater than 0"&amp;CHAR(10),""),IF(D522&gt;0," * F01-23 for Age "&amp;D437&amp;" "&amp;D438&amp;" has a value greater than 0"&amp;CHAR(10),""),IF(E522&gt;0," * F01-23 for Age "&amp;D437&amp;" "&amp;E438&amp;" has a value greater than 0"&amp;CHAR(10),""),"")</f>
        <v/>
      </c>
      <c r="AN451" s="851"/>
      <c r="AO451" s="13">
        <v>33</v>
      </c>
      <c r="AP451" s="81"/>
      <c r="AQ451" s="82"/>
    </row>
    <row r="452" spans="1:43" s="83" customFormat="1" ht="25.9" hidden="1" thickBot="1" x14ac:dyDescent="0.8">
      <c r="A452" s="934" t="s">
        <v>22</v>
      </c>
      <c r="B452" s="780" t="s">
        <v>150</v>
      </c>
      <c r="C452" s="784" t="s">
        <v>1161</v>
      </c>
      <c r="D452" s="767"/>
      <c r="E452" s="795"/>
      <c r="F452" s="806">
        <f t="shared" ref="F452:AA452" si="169">F46</f>
        <v>0</v>
      </c>
      <c r="G452" s="503">
        <f t="shared" si="169"/>
        <v>0</v>
      </c>
      <c r="H452" s="503">
        <f t="shared" si="169"/>
        <v>0</v>
      </c>
      <c r="I452" s="503">
        <f t="shared" si="169"/>
        <v>0</v>
      </c>
      <c r="J452" s="503">
        <f t="shared" si="169"/>
        <v>0</v>
      </c>
      <c r="K452" s="503">
        <f t="shared" si="169"/>
        <v>0</v>
      </c>
      <c r="L452" s="503">
        <f t="shared" si="169"/>
        <v>0</v>
      </c>
      <c r="M452" s="503">
        <f t="shared" si="169"/>
        <v>0</v>
      </c>
      <c r="N452" s="503">
        <f t="shared" si="169"/>
        <v>0</v>
      </c>
      <c r="O452" s="503">
        <f t="shared" si="169"/>
        <v>0</v>
      </c>
      <c r="P452" s="503">
        <f t="shared" si="169"/>
        <v>0</v>
      </c>
      <c r="Q452" s="503">
        <f t="shared" si="169"/>
        <v>0</v>
      </c>
      <c r="R452" s="503">
        <f t="shared" si="169"/>
        <v>0</v>
      </c>
      <c r="S452" s="503">
        <f t="shared" si="169"/>
        <v>0</v>
      </c>
      <c r="T452" s="503">
        <f t="shared" si="169"/>
        <v>0</v>
      </c>
      <c r="U452" s="503">
        <f t="shared" si="169"/>
        <v>0</v>
      </c>
      <c r="V452" s="503">
        <f t="shared" si="169"/>
        <v>0</v>
      </c>
      <c r="W452" s="503">
        <f t="shared" si="169"/>
        <v>0</v>
      </c>
      <c r="X452" s="503">
        <f t="shared" si="169"/>
        <v>0</v>
      </c>
      <c r="Y452" s="503">
        <f t="shared" si="169"/>
        <v>0</v>
      </c>
      <c r="Z452" s="503">
        <f t="shared" si="169"/>
        <v>0</v>
      </c>
      <c r="AA452" s="503">
        <f t="shared" si="169"/>
        <v>0</v>
      </c>
      <c r="AB452" s="388"/>
      <c r="AC452" s="388"/>
      <c r="AD452" s="388"/>
      <c r="AE452" s="388"/>
      <c r="AF452" s="388"/>
      <c r="AG452" s="388"/>
      <c r="AH452" s="388"/>
      <c r="AI452" s="388"/>
      <c r="AJ452" s="493">
        <f t="shared" si="165"/>
        <v>0</v>
      </c>
      <c r="AK452" s="566" t="str">
        <f>CONCATENATE(IF((D453+D454+D455+D456)&lt;&gt;D452," * "&amp;$A452&amp;" , "&amp;$B453&amp;" plus "&amp;$B454&amp;" plus "&amp;$B455&amp;" plus "&amp;$B456&amp;" For age "&amp;$D$20&amp;" "&amp;$D$21&amp;" should be equal to "&amp;$B452&amp;""&amp;CHAR(10),""),IF((E453+E454+E455+E456)&lt;&gt;E452," * "&amp;$A452&amp;" , "&amp;$B453&amp;" plus "&amp;$B454&amp;" plus "&amp;$B455&amp;" plus "&amp;$B456&amp;" For age "&amp;$D$20&amp;" "&amp;$E$21&amp;" should be equal to "&amp;$B452&amp;""&amp;CHAR(10),""),IF((F453+F454+F455+F456)&lt;&gt;F452," * "&amp;$A452&amp;" , "&amp;$B453&amp;" plus "&amp;$B454&amp;" plus "&amp;$B455&amp;" plus "&amp;$B456&amp;" For age "&amp;$F$20&amp;" "&amp;$F$21&amp;" should be equal to "&amp;$B452&amp;""&amp;CHAR(10),""),IF((G453+G454+G455+G456)&lt;&gt;G452," * "&amp;$A452&amp;" , "&amp;$B453&amp;" plus "&amp;$B454&amp;" plus "&amp;$B455&amp;" plus "&amp;$B456&amp;" For age "&amp;$F$20&amp;" "&amp;$G$21&amp;" should be equal to "&amp;$B452&amp;""&amp;CHAR(10),""),IF((H453+H454+H455+H456)&lt;&gt;H452," * "&amp;$A452&amp;" , "&amp;$B453&amp;" plus "&amp;$B454&amp;" plus "&amp;$B455&amp;" plus "&amp;$B456&amp;" For age "&amp;$H$20&amp;" "&amp;$H$21&amp;" should be equal to "&amp;$B452&amp;""&amp;CHAR(10),""),IF((I453+I454+I455+I456)&lt;&gt;I452," * "&amp;$A452&amp;" , "&amp;$B453&amp;" plus "&amp;$B454&amp;" plus "&amp;$B455&amp;" plus "&amp;$B456&amp;" For age "&amp;$H$20&amp;" "&amp;$I$21&amp;" should be equal to "&amp;$B452&amp;""&amp;CHAR(10),""),IF((J453+J454+J455+J456)&lt;&gt;J452," * "&amp;$A452&amp;" , "&amp;$B453&amp;" plus "&amp;$B454&amp;" plus "&amp;$B455&amp;" plus "&amp;$B456&amp;" For age "&amp;$J$20&amp;" "&amp;$J$21&amp;" should be equal to "&amp;$B452&amp;""&amp;CHAR(10),""),IF((K453+K454+K455+K456)&lt;&gt;K452," * "&amp;$A452&amp;" , "&amp;$B453&amp;" plus "&amp;$B454&amp;" plus "&amp;$B455&amp;" plus "&amp;$B456&amp;" For age "&amp;$J$20&amp;" "&amp;$K$21&amp;" should be equal to "&amp;$B452&amp;""&amp;CHAR(10),""),IF((L453+L454+L455+L456)&lt;&gt;L452," * "&amp;$A452&amp;" , "&amp;$B453&amp;" plus "&amp;$B454&amp;" plus "&amp;$B455&amp;" plus "&amp;$B456&amp;" For age "&amp;$L$20&amp;" "&amp;$L$21&amp;" should be equal to "&amp;$B452&amp;""&amp;CHAR(10),""),IF((M453+M454+M455+M456)&lt;&gt;M452," * "&amp;$A452&amp;" , "&amp;$B453&amp;" plus "&amp;$B454&amp;" plus "&amp;$B455&amp;" plus "&amp;$B456&amp;" For age "&amp;$L$20&amp;" "&amp;$M$21&amp;" should be equal to "&amp;$B452&amp;""&amp;CHAR(10),""),IF((N453+N454+N455+N456)&lt;&gt;N452," * "&amp;$A452&amp;" , "&amp;$B453&amp;" plus "&amp;$B454&amp;" plus "&amp;$B455&amp;" plus "&amp;$B456&amp;" For age "&amp;$N$20&amp;" "&amp;$N$21&amp;" should be equal to "&amp;$B452&amp;""&amp;CHAR(10),""),IF((O453+O454+O455+O456)&lt;&gt;O452," * "&amp;$A452&amp;" , "&amp;$B453&amp;" plus "&amp;$B454&amp;" plus "&amp;$B455&amp;" plus "&amp;$B456&amp;" For age "&amp;$N$20&amp;" "&amp;$O$21&amp;" should be equal to "&amp;$B452&amp;""&amp;CHAR(10),""),IF((P453+P454+P455+P456)&lt;&gt;P452," * "&amp;$A452&amp;" , "&amp;$B453&amp;" plus "&amp;$B454&amp;" plus "&amp;$B455&amp;" plus "&amp;$B456&amp;" For age "&amp;$P$20&amp;" "&amp;$P$21&amp;" should be equal to "&amp;$B452&amp;""&amp;CHAR(10),""),IF((Q453+Q454+Q455+Q456)&lt;&gt;Q452," * "&amp;$A452&amp;" , "&amp;$B453&amp;" plus "&amp;$B454&amp;" plus "&amp;$B455&amp;" plus "&amp;$B456&amp;" For age "&amp;$P$20&amp;" "&amp;$Q$21&amp;" should be equal to "&amp;$B452&amp;""&amp;CHAR(10),""),IF((R453+R454+R455+R456)&lt;&gt;R452," * "&amp;$A452&amp;" , "&amp;$B453&amp;" plus "&amp;$B454&amp;" plus "&amp;$B455&amp;" plus "&amp;$B456&amp;" For age "&amp;$R$20&amp;" "&amp;$R$21&amp;" should be equal to "&amp;$B452&amp;""&amp;CHAR(10),""),IF((S453+S454+S455+S456)&lt;&gt;S452," * "&amp;$A452&amp;" , "&amp;$B453&amp;" plus "&amp;$B454&amp;" plus "&amp;$B455&amp;" plus "&amp;$B456&amp;" For age "&amp;$R$20&amp;" "&amp;$S$21&amp;" should be equal to "&amp;$B452&amp;""&amp;CHAR(10),""),IF((T453+T454+T455+T456)&lt;&gt;T452," * "&amp;$A452&amp;" , "&amp;$B453&amp;" plus "&amp;$B454&amp;" plus "&amp;$B455&amp;" plus "&amp;$B456&amp;" For age "&amp;$T$20&amp;" "&amp;$T$21&amp;" should be equal to "&amp;$B452&amp;""&amp;CHAR(10),""),IF((U453+U454+U455+U456)&lt;&gt;U452," * "&amp;$A452&amp;" , "&amp;$B453&amp;" plus "&amp;$B454&amp;" plus "&amp;$B455&amp;" plus "&amp;$B456&amp;" For age "&amp;$T$20&amp;" "&amp;$U$21&amp;" should be equal to "&amp;$B452&amp;""&amp;CHAR(10),""),IF((V453+V454+V455+V456)&lt;&gt;V452," * "&amp;$A452&amp;" , "&amp;$B453&amp;" plus "&amp;$B454&amp;" plus "&amp;$B455&amp;" plus "&amp;$B456&amp;" For age "&amp;$V$20&amp;" "&amp;$V$21&amp;" should be equal to "&amp;$B452&amp;""&amp;CHAR(10),""),IF((W453+W454+W455+W456)&lt;&gt;W452," * "&amp;$A452&amp;" , "&amp;$B453&amp;" plus "&amp;$B454&amp;" plus "&amp;$B455&amp;" plus "&amp;$B456&amp;" For age "&amp;$V$20&amp;" "&amp;$W$21&amp;" should be equal to "&amp;$B452&amp;""&amp;CHAR(10),""),IF((X453+X454+X455+X456)&lt;&gt;X452," * "&amp;$A452&amp;" , "&amp;$B453&amp;" plus "&amp;$B454&amp;" plus "&amp;$B455&amp;" plus "&amp;$B456&amp;" For age "&amp;$X$20&amp;" "&amp;$X$21&amp;" should be equal to "&amp;$B452&amp;""&amp;CHAR(10),""),IF((Y453+Y454+Y455+Y456)&lt;&gt;Y452," * "&amp;$A452&amp;" , "&amp;$B453&amp;" plus "&amp;$B454&amp;" plus "&amp;$B455&amp;" plus "&amp;$B456&amp;" For age "&amp;$X$20&amp;" "&amp;$Y$21&amp;" should be equal to "&amp;$B452&amp;""&amp;CHAR(10),""),IF((Z453+Z454+Z455+Z456)&lt;&gt;Z452," * "&amp;$A452&amp;" , "&amp;$B453&amp;" plus "&amp;$B454&amp;" plus "&amp;$B455&amp;" plus "&amp;$B456&amp;" For age "&amp;$Z$20&amp;" "&amp;$Z$21&amp;" should be equal to "&amp;$B452&amp;""&amp;CHAR(10),""),IF((AA453+AA454+AA455+AA456)&lt;&gt;AA452," * "&amp;$A452&amp;" , "&amp;$B453&amp;" plus "&amp;$B454&amp;" plus "&amp;$B455&amp;" plus "&amp;$B456&amp;" For age "&amp;$Z$20&amp;" "&amp;$AA$21&amp;" should be equal to "&amp;$B452&amp;""&amp;CHAR(10),""))</f>
        <v/>
      </c>
      <c r="AL452" s="1279"/>
      <c r="AM452" s="31"/>
      <c r="AN452" s="851"/>
      <c r="AO452" s="13">
        <v>31</v>
      </c>
      <c r="AP452" s="81"/>
      <c r="AQ452" s="82"/>
    </row>
    <row r="453" spans="1:43" s="83" customFormat="1" ht="25.5" hidden="1" x14ac:dyDescent="0.75">
      <c r="A453" s="935"/>
      <c r="B453" s="781" t="s">
        <v>1140</v>
      </c>
      <c r="C453" s="785" t="s">
        <v>1162</v>
      </c>
      <c r="D453" s="648"/>
      <c r="E453" s="796"/>
      <c r="F453" s="571"/>
      <c r="G453" s="568"/>
      <c r="H453" s="568"/>
      <c r="I453" s="568"/>
      <c r="J453" s="568"/>
      <c r="K453" s="568"/>
      <c r="L453" s="568"/>
      <c r="M453" s="568"/>
      <c r="N453" s="568"/>
      <c r="O453" s="568"/>
      <c r="P453" s="568"/>
      <c r="Q453" s="568"/>
      <c r="R453" s="568"/>
      <c r="S453" s="568"/>
      <c r="T453" s="568"/>
      <c r="U453" s="568"/>
      <c r="V453" s="568"/>
      <c r="W453" s="568"/>
      <c r="X453" s="568"/>
      <c r="Y453" s="568"/>
      <c r="Z453" s="568"/>
      <c r="AA453" s="568"/>
      <c r="AB453" s="357"/>
      <c r="AC453" s="357"/>
      <c r="AD453" s="357"/>
      <c r="AE453" s="357"/>
      <c r="AF453" s="357"/>
      <c r="AG453" s="357"/>
      <c r="AH453" s="357"/>
      <c r="AI453" s="357"/>
      <c r="AJ453" s="494">
        <f t="shared" si="165"/>
        <v>0</v>
      </c>
      <c r="AK453" s="1011" t="str">
        <f>CONCATENATE(IF(D454&gt;D453," * Positive F01-13 for Age "&amp;D440&amp;" "&amp;D441&amp;" is more than Tested F01-12"&amp;CHAR(10),""),IF(E454&gt;E453," * Positive F01-13 for Age "&amp;D440&amp;" "&amp;E441&amp;" is more than Tested F01-12"&amp;CHAR(10),""),IF(F454&gt;F453," * Positive F01-13 for Age "&amp;F440&amp;" "&amp;F441&amp;" is more than Tested F01-12"&amp;CHAR(10),""),IF(G454&gt;G453," * Positive F01-13 for Age "&amp;F440&amp;" "&amp;G441&amp;" is more than Tested F01-12"&amp;CHAR(10),""),IF(H454&gt;H453," * Positive F01-13 for Age "&amp;H440&amp;" "&amp;H441&amp;" is more than Tested F01-12"&amp;CHAR(10),""),IF(I454&gt;I453," * Positive F01-13 for Age "&amp;H440&amp;" "&amp;I441&amp;" is more than Tested F01-12"&amp;CHAR(10),""),IF(J454&gt;J453," * Positive F01-13 for Age "&amp;J440&amp;" "&amp;J441&amp;" is more than Tested F01-12"&amp;CHAR(10),""),IF(K454&gt;K453," * Positive F01-13 for Age "&amp;J440&amp;" "&amp;K441&amp;" is more than Tested F01-12"&amp;CHAR(10),""),IF(L454&gt;L453," * Positive F01-13 for Age "&amp;L440&amp;" "&amp;L441&amp;" is more than Tested F01-12"&amp;CHAR(10),""),IF(M454&gt;M453," * Positive F01-13 for Age "&amp;L440&amp;" "&amp;M441&amp;" is more than Tested F01-12"&amp;CHAR(10),""),IF(N454&gt;N453," * Positive F01-13 for Age "&amp;N440&amp;" "&amp;N441&amp;" is more than Tested F01-12"&amp;CHAR(10),""),IF(O454&gt;O453," * Positive F01-13 for Age "&amp;N440&amp;" "&amp;O441&amp;" is more than Tested F01-12"&amp;CHAR(10),""),IF(P454&gt;P453," * Positive F01-13 for Age "&amp;P440&amp;" "&amp;P441&amp;" is more than Tested F01-12"&amp;CHAR(10),""),IF(Q454&gt;Q453," * Positive F01-13 for Age "&amp;P440&amp;" "&amp;Q441&amp;" is more than Tested F01-12"&amp;CHAR(10),""),IF(R454&gt;R453," * Positive F01-13 for Age "&amp;R440&amp;" "&amp;R441&amp;" is more than Tested F01-12"&amp;CHAR(10),""),IF(S454&gt;S453," * Positive F01-13 for Age "&amp;R440&amp;" "&amp;S441&amp;" is more than Tested F01-12"&amp;CHAR(10),""),IF(T454&gt;T453," * Positive F01-13 for Age "&amp;T440&amp;" "&amp;T441&amp;" is more than Tested F01-12"&amp;CHAR(10),""),IF(U454&gt;U453," * Positive F01-13 for Age "&amp;T440&amp;" "&amp;U441&amp;" is more than Tested F01-12"&amp;CHAR(10),""),IF(V454&gt;V453," * Positive F01-13 for Age "&amp;V440&amp;" "&amp;V441&amp;" is more than Tested F01-12"&amp;CHAR(10),""),IF(W454&gt;W453," * Positive F01-13 for Age "&amp;V440&amp;" "&amp;W441&amp;" is more than Tested F01-12"&amp;CHAR(10),""),IF(X454&gt;X453," * Positive F01-13 for Age "&amp;X440&amp;" "&amp;X441&amp;" is more than Tested F01-12"&amp;CHAR(10),""),IF(Y454&gt;Y453," * Positive F01-13 for Age "&amp;X440&amp;" "&amp;Y441&amp;" is more than Tested F01-12"&amp;CHAR(10),""),IF(Z454&gt;Z453," * Positive F01-13 for Age "&amp;Z440&amp;" "&amp;Z441&amp;" is more than Tested F01-12"&amp;CHAR(10),""),IF(AA454&gt;AA453," * Positive F01-13 for Age "&amp;Z440&amp;" "&amp;AA441&amp;" is more than Tested F01-12"&amp;CHAR(10),""))</f>
        <v/>
      </c>
      <c r="AL453" s="1279"/>
      <c r="AM453" s="31" t="str">
        <f>CONCATENATE(IF(AND(IFERROR((AJ454*100)/AJ453,0)&gt;10,AJ454&gt;5)," * This facility has a high positivity rate for Index Testing. Kindly confirm if this is the true reflection"&amp;CHAR(10),""),"")</f>
        <v/>
      </c>
      <c r="AN453" s="851"/>
      <c r="AO453" s="13">
        <v>32</v>
      </c>
      <c r="AP453" s="81"/>
      <c r="AQ453" s="82"/>
    </row>
    <row r="454" spans="1:43" s="83" customFormat="1" ht="25.5" hidden="1" x14ac:dyDescent="0.75">
      <c r="A454" s="935"/>
      <c r="B454" s="781" t="s">
        <v>1121</v>
      </c>
      <c r="C454" s="785" t="s">
        <v>1163</v>
      </c>
      <c r="D454" s="769"/>
      <c r="E454" s="797"/>
      <c r="F454" s="572"/>
      <c r="G454" s="497"/>
      <c r="H454" s="497"/>
      <c r="I454" s="497"/>
      <c r="J454" s="497"/>
      <c r="K454" s="497"/>
      <c r="L454" s="497"/>
      <c r="M454" s="497"/>
      <c r="N454" s="497"/>
      <c r="O454" s="497"/>
      <c r="P454" s="497"/>
      <c r="Q454" s="497"/>
      <c r="R454" s="497"/>
      <c r="S454" s="497"/>
      <c r="T454" s="497"/>
      <c r="U454" s="497"/>
      <c r="V454" s="497"/>
      <c r="W454" s="497"/>
      <c r="X454" s="497"/>
      <c r="Y454" s="497"/>
      <c r="Z454" s="497"/>
      <c r="AA454" s="497"/>
      <c r="AB454" s="357"/>
      <c r="AC454" s="357"/>
      <c r="AD454" s="357"/>
      <c r="AE454" s="357"/>
      <c r="AF454" s="357"/>
      <c r="AG454" s="357"/>
      <c r="AH454" s="357"/>
      <c r="AI454" s="357"/>
      <c r="AJ454" s="495">
        <f t="shared" si="165"/>
        <v>0</v>
      </c>
      <c r="AK454" s="1011"/>
      <c r="AL454" s="1279"/>
      <c r="AM454" s="31" t="e">
        <f>CONCATENATE(IF(D453&gt;0," * F01-12 for Age "&amp;D440&amp;" "&amp;D441&amp;" has a value greater than 0"&amp;CHAR(10),""),IF(E453&gt;0," * F01-12 for Age "&amp;D440&amp;" "&amp;E441&amp;" has a value greater than 0"&amp;CHAR(10),""),IF(D454&gt;0," * F01-13 for Age "&amp;D440&amp;" "&amp;D441&amp;" has a value greater than 0"&amp;CHAR(10),""),IF(E454&gt;0," * F01-13 for Age "&amp;D440&amp;" "&amp;E441&amp;" has a value greater than 0"&amp;CHAR(10),""),IF(#REF!&gt;0," * F01-14 for Age "&amp;D440&amp;" "&amp;D441&amp;" has a value greater than 0"&amp;CHAR(10),""),IF(#REF!&gt;0," * F01-14 for Age "&amp;D440&amp;" "&amp;E441&amp;" has a value greater than 0"&amp;CHAR(10),""),IF(D517&gt;0," * F01-15 for Age "&amp;D440&amp;" "&amp;D441&amp;" has a value greater than 0"&amp;CHAR(10),""),IF(E517&gt;0," * F01-15 for Age "&amp;D440&amp;" "&amp;E441&amp;" has a value greater than 0"&amp;CHAR(10),""),IF(D522&gt;0," * F01-20 for Age "&amp;D440&amp;" "&amp;D441&amp;" has a value greater than 0"&amp;CHAR(10),""),IF(E522&gt;0," * F01-20 for Age "&amp;D440&amp;" "&amp;E441&amp;" has a value greater than 0"&amp;CHAR(10),""),IF(D523&gt;0," * F01-21 for Age "&amp;D440&amp;" "&amp;D441&amp;" has a value greater than 0"&amp;CHAR(10),""),IF(E523&gt;0," * F01-21 for Age "&amp;D440&amp;" "&amp;E441&amp;" has a value greater than 0"&amp;CHAR(10),""),IF(D524&gt;0," * F01-22 for Age "&amp;D440&amp;" "&amp;D441&amp;" has a value greater than 0"&amp;CHAR(10),""),IF(E524&gt;0," * F01-22 for Age "&amp;D440&amp;" "&amp;E441&amp;" has a value greater than 0"&amp;CHAR(10),""),IF(D525&gt;0," * F01-23 for Age "&amp;D440&amp;" "&amp;D441&amp;" has a value greater than 0"&amp;CHAR(10),""),IF(E525&gt;0," * F01-23 for Age "&amp;D440&amp;" "&amp;E441&amp;" has a value greater than 0"&amp;CHAR(10),""),"")</f>
        <v>#REF!</v>
      </c>
      <c r="AN454" s="851"/>
      <c r="AO454" s="13">
        <v>33</v>
      </c>
      <c r="AP454" s="81"/>
      <c r="AQ454" s="82"/>
    </row>
    <row r="455" spans="1:43" s="83" customFormat="1" ht="25.5" hidden="1" x14ac:dyDescent="0.75">
      <c r="A455" s="935"/>
      <c r="B455" s="781" t="s">
        <v>1123</v>
      </c>
      <c r="C455" s="785" t="s">
        <v>1164</v>
      </c>
      <c r="D455" s="769"/>
      <c r="E455" s="797"/>
      <c r="F455" s="573"/>
      <c r="G455" s="504"/>
      <c r="H455" s="504"/>
      <c r="I455" s="504"/>
      <c r="J455" s="504"/>
      <c r="K455" s="504"/>
      <c r="L455" s="504"/>
      <c r="M455" s="504"/>
      <c r="N455" s="504"/>
      <c r="O455" s="504"/>
      <c r="P455" s="504"/>
      <c r="Q455" s="504"/>
      <c r="R455" s="504"/>
      <c r="S455" s="504"/>
      <c r="T455" s="504"/>
      <c r="U455" s="504"/>
      <c r="V455" s="504"/>
      <c r="W455" s="504"/>
      <c r="X455" s="504"/>
      <c r="Y455" s="504"/>
      <c r="Z455" s="504"/>
      <c r="AA455" s="504"/>
      <c r="AB455" s="357"/>
      <c r="AC455" s="357"/>
      <c r="AD455" s="357"/>
      <c r="AE455" s="357"/>
      <c r="AF455" s="357"/>
      <c r="AG455" s="357"/>
      <c r="AH455" s="357"/>
      <c r="AI455" s="357"/>
      <c r="AJ455" s="495">
        <f t="shared" si="165"/>
        <v>0</v>
      </c>
      <c r="AK455" s="486"/>
      <c r="AL455" s="1279"/>
      <c r="AM455" s="31" t="str">
        <f>CONCATENATE(IF(D454&gt;0," * F01-12 for Age "&amp;D441&amp;" "&amp;D442&amp;" has a value greater than 0"&amp;CHAR(10),""),IF(E454&gt;0," * F01-12 for Age "&amp;D441&amp;" "&amp;E442&amp;" has a value greater than 0"&amp;CHAR(10),""),IF(D455&gt;0," * F01-13 for Age "&amp;D441&amp;" "&amp;D442&amp;" has a value greater than 0"&amp;CHAR(10),""),IF(E455&gt;0," * F01-13 for Age "&amp;D441&amp;" "&amp;E442&amp;" has a value greater than 0"&amp;CHAR(10),""),IF(D517&gt;0," * F01-14 for Age "&amp;D441&amp;" "&amp;D442&amp;" has a value greater than 0"&amp;CHAR(10),""),IF(E517&gt;0," * F01-14 for Age "&amp;D441&amp;" "&amp;E442&amp;" has a value greater than 0"&amp;CHAR(10),""),IF(D518&gt;0," * F01-15 for Age "&amp;D441&amp;" "&amp;D442&amp;" has a value greater than 0"&amp;CHAR(10),""),IF(E518&gt;0," * F01-15 for Age "&amp;D441&amp;" "&amp;E442&amp;" has a value greater than 0"&amp;CHAR(10),""),IF(D523&gt;0," * F01-20 for Age "&amp;D441&amp;" "&amp;D442&amp;" has a value greater than 0"&amp;CHAR(10),""),IF(E523&gt;0," * F01-20 for Age "&amp;D441&amp;" "&amp;E442&amp;" has a value greater than 0"&amp;CHAR(10),""),IF(D524&gt;0," * F01-21 for Age "&amp;D441&amp;" "&amp;D442&amp;" has a value greater than 0"&amp;CHAR(10),""),IF(E524&gt;0," * F01-21 for Age "&amp;D441&amp;" "&amp;E442&amp;" has a value greater than 0"&amp;CHAR(10),""),IF(D525&gt;0," * F01-22 for Age "&amp;D441&amp;" "&amp;D442&amp;" has a value greater than 0"&amp;CHAR(10),""),IF(E525&gt;0," * F01-22 for Age "&amp;D441&amp;" "&amp;E442&amp;" has a value greater than 0"&amp;CHAR(10),""),IF(D526&gt;0," * F01-23 for Age "&amp;D441&amp;" "&amp;D442&amp;" has a value greater than 0"&amp;CHAR(10),""),IF(E526&gt;0," * F01-23 for Age "&amp;D441&amp;" "&amp;E442&amp;" has a value greater than 0"&amp;CHAR(10),""),"")</f>
        <v/>
      </c>
      <c r="AN455" s="851"/>
      <c r="AO455" s="13">
        <v>33</v>
      </c>
      <c r="AP455" s="81"/>
      <c r="AQ455" s="82"/>
    </row>
    <row r="456" spans="1:43" s="83" customFormat="1" ht="25.9" hidden="1" thickBot="1" x14ac:dyDescent="0.8">
      <c r="A456" s="936"/>
      <c r="B456" s="782" t="s">
        <v>1125</v>
      </c>
      <c r="C456" s="786" t="s">
        <v>1165</v>
      </c>
      <c r="D456" s="770"/>
      <c r="E456" s="798"/>
      <c r="F456" s="802"/>
      <c r="G456" s="760"/>
      <c r="H456" s="760"/>
      <c r="I456" s="760"/>
      <c r="J456" s="760"/>
      <c r="K456" s="760"/>
      <c r="L456" s="760"/>
      <c r="M456" s="760"/>
      <c r="N456" s="760"/>
      <c r="O456" s="760"/>
      <c r="P456" s="760"/>
      <c r="Q456" s="760"/>
      <c r="R456" s="760"/>
      <c r="S456" s="760"/>
      <c r="T456" s="760"/>
      <c r="U456" s="760"/>
      <c r="V456" s="760"/>
      <c r="W456" s="760"/>
      <c r="X456" s="760"/>
      <c r="Y456" s="760"/>
      <c r="Z456" s="760"/>
      <c r="AA456" s="760"/>
      <c r="AB456" s="391"/>
      <c r="AC456" s="391"/>
      <c r="AD456" s="391"/>
      <c r="AE456" s="391"/>
      <c r="AF456" s="391"/>
      <c r="AG456" s="391"/>
      <c r="AH456" s="391"/>
      <c r="AI456" s="391"/>
      <c r="AJ456" s="496">
        <f t="shared" ref="AJ456:AJ475" si="170">SUM(D456:AA456)</f>
        <v>0</v>
      </c>
      <c r="AK456" s="486"/>
      <c r="AL456" s="1279"/>
      <c r="AM456" s="31" t="str">
        <f>CONCATENATE(IF(D455&gt;0," * F01-12 for Age "&amp;D442&amp;" "&amp;D443&amp;" has a value greater than 0"&amp;CHAR(10),""),IF(E455&gt;0," * F01-12 for Age "&amp;D442&amp;" "&amp;E443&amp;" has a value greater than 0"&amp;CHAR(10),""),IF(D456&gt;0," * F01-13 for Age "&amp;D442&amp;" "&amp;D443&amp;" has a value greater than 0"&amp;CHAR(10),""),IF(E456&gt;0," * F01-13 for Age "&amp;D442&amp;" "&amp;E443&amp;" has a value greater than 0"&amp;CHAR(10),""),IF(D518&gt;0," * F01-14 for Age "&amp;D442&amp;" "&amp;D443&amp;" has a value greater than 0"&amp;CHAR(10),""),IF(E518&gt;0," * F01-14 for Age "&amp;D442&amp;" "&amp;E443&amp;" has a value greater than 0"&amp;CHAR(10),""),IF(D519&gt;0," * F01-15 for Age "&amp;D442&amp;" "&amp;D443&amp;" has a value greater than 0"&amp;CHAR(10),""),IF(E519&gt;0," * F01-15 for Age "&amp;D442&amp;" "&amp;E443&amp;" has a value greater than 0"&amp;CHAR(10),""),IF(D524&gt;0," * F01-20 for Age "&amp;D442&amp;" "&amp;D443&amp;" has a value greater than 0"&amp;CHAR(10),""),IF(E524&gt;0," * F01-20 for Age "&amp;D442&amp;" "&amp;E443&amp;" has a value greater than 0"&amp;CHAR(10),""),IF(D525&gt;0," * F01-21 for Age "&amp;D442&amp;" "&amp;D443&amp;" has a value greater than 0"&amp;CHAR(10),""),IF(E525&gt;0," * F01-21 for Age "&amp;D442&amp;" "&amp;E443&amp;" has a value greater than 0"&amp;CHAR(10),""),IF(D526&gt;0," * F01-22 for Age "&amp;D442&amp;" "&amp;D443&amp;" has a value greater than 0"&amp;CHAR(10),""),IF(E526&gt;0," * F01-22 for Age "&amp;D442&amp;" "&amp;E443&amp;" has a value greater than 0"&amp;CHAR(10),""),IF(D527&gt;0," * F01-23 for Age "&amp;D442&amp;" "&amp;D443&amp;" has a value greater than 0"&amp;CHAR(10),""),IF(E527&gt;0," * F01-23 for Age "&amp;D442&amp;" "&amp;E443&amp;" has a value greater than 0"&amp;CHAR(10),""),"")</f>
        <v/>
      </c>
      <c r="AN456" s="851"/>
      <c r="AO456" s="13">
        <v>33</v>
      </c>
      <c r="AP456" s="81"/>
      <c r="AQ456" s="82"/>
    </row>
    <row r="457" spans="1:43" s="83" customFormat="1" ht="25.5" hidden="1" x14ac:dyDescent="0.75">
      <c r="A457" s="934" t="s">
        <v>18</v>
      </c>
      <c r="B457" s="780" t="s">
        <v>150</v>
      </c>
      <c r="C457" s="784" t="s">
        <v>1166</v>
      </c>
      <c r="D457" s="767"/>
      <c r="E457" s="795"/>
      <c r="F457" s="779">
        <f t="shared" ref="F457:AA457" si="171">F48</f>
        <v>0</v>
      </c>
      <c r="G457" s="773">
        <f t="shared" si="171"/>
        <v>0</v>
      </c>
      <c r="H457" s="773">
        <f t="shared" si="171"/>
        <v>0</v>
      </c>
      <c r="I457" s="773">
        <f t="shared" si="171"/>
        <v>0</v>
      </c>
      <c r="J457" s="773">
        <f t="shared" si="171"/>
        <v>0</v>
      </c>
      <c r="K457" s="773">
        <f t="shared" si="171"/>
        <v>0</v>
      </c>
      <c r="L457" s="773">
        <f t="shared" si="171"/>
        <v>0</v>
      </c>
      <c r="M457" s="773">
        <f t="shared" si="171"/>
        <v>0</v>
      </c>
      <c r="N457" s="773">
        <f t="shared" si="171"/>
        <v>0</v>
      </c>
      <c r="O457" s="773">
        <f t="shared" si="171"/>
        <v>0</v>
      </c>
      <c r="P457" s="773">
        <f t="shared" si="171"/>
        <v>0</v>
      </c>
      <c r="Q457" s="773">
        <f t="shared" si="171"/>
        <v>0</v>
      </c>
      <c r="R457" s="773">
        <f t="shared" si="171"/>
        <v>0</v>
      </c>
      <c r="S457" s="773">
        <f t="shared" si="171"/>
        <v>0</v>
      </c>
      <c r="T457" s="773">
        <f t="shared" si="171"/>
        <v>0</v>
      </c>
      <c r="U457" s="773">
        <f t="shared" si="171"/>
        <v>0</v>
      </c>
      <c r="V457" s="773">
        <f t="shared" si="171"/>
        <v>0</v>
      </c>
      <c r="W457" s="773">
        <f t="shared" si="171"/>
        <v>0</v>
      </c>
      <c r="X457" s="773">
        <f t="shared" si="171"/>
        <v>0</v>
      </c>
      <c r="Y457" s="773">
        <f t="shared" si="171"/>
        <v>0</v>
      </c>
      <c r="Z457" s="773">
        <f t="shared" si="171"/>
        <v>0</v>
      </c>
      <c r="AA457" s="774">
        <f t="shared" si="171"/>
        <v>0</v>
      </c>
      <c r="AB457" s="388"/>
      <c r="AC457" s="388"/>
      <c r="AD457" s="388"/>
      <c r="AE457" s="388"/>
      <c r="AF457" s="388"/>
      <c r="AG457" s="388"/>
      <c r="AH457" s="388"/>
      <c r="AI457" s="388"/>
      <c r="AJ457" s="493">
        <f t="shared" si="170"/>
        <v>0</v>
      </c>
      <c r="AK457" s="566" t="str">
        <f>CONCATENATE(IF((D458+D459+D460+D461)&lt;&gt;D457," * "&amp;$A457&amp;" , "&amp;$B458&amp;" plus "&amp;$B459&amp;" plus "&amp;$B460&amp;" plus "&amp;$B461&amp;" For age "&amp;$D$20&amp;" "&amp;$D$21&amp;" should be equal to "&amp;$B457&amp;""&amp;CHAR(10),""),IF((E458+E459+E460+E461)&lt;&gt;E457," * "&amp;$A457&amp;" , "&amp;$B458&amp;" plus "&amp;$B459&amp;" plus "&amp;$B460&amp;" plus "&amp;$B461&amp;" For age "&amp;$D$20&amp;" "&amp;$E$21&amp;" should be equal to "&amp;$B457&amp;""&amp;CHAR(10),""),IF((F458+F459+F460+F461)&lt;&gt;F457," * "&amp;$A457&amp;" , "&amp;$B458&amp;" plus "&amp;$B459&amp;" plus "&amp;$B460&amp;" plus "&amp;$B461&amp;" For age "&amp;$F$20&amp;" "&amp;$F$21&amp;" should be equal to "&amp;$B457&amp;""&amp;CHAR(10),""),IF((G458+G459+G460+G461)&lt;&gt;G457," * "&amp;$A457&amp;" , "&amp;$B458&amp;" plus "&amp;$B459&amp;" plus "&amp;$B460&amp;" plus "&amp;$B461&amp;" For age "&amp;$F$20&amp;" "&amp;$G$21&amp;" should be equal to "&amp;$B457&amp;""&amp;CHAR(10),""),IF((H458+H459+H460+H461)&lt;&gt;H457," * "&amp;$A457&amp;" , "&amp;$B458&amp;" plus "&amp;$B459&amp;" plus "&amp;$B460&amp;" plus "&amp;$B461&amp;" For age "&amp;$H$20&amp;" "&amp;$H$21&amp;" should be equal to "&amp;$B457&amp;""&amp;CHAR(10),""),IF((I458+I459+I460+I461)&lt;&gt;I457," * "&amp;$A457&amp;" , "&amp;$B458&amp;" plus "&amp;$B459&amp;" plus "&amp;$B460&amp;" plus "&amp;$B461&amp;" For age "&amp;$H$20&amp;" "&amp;$I$21&amp;" should be equal to "&amp;$B457&amp;""&amp;CHAR(10),""),IF((J458+J459+J460+J461)&lt;&gt;J457," * "&amp;$A457&amp;" , "&amp;$B458&amp;" plus "&amp;$B459&amp;" plus "&amp;$B460&amp;" plus "&amp;$B461&amp;" For age "&amp;$J$20&amp;" "&amp;$J$21&amp;" should be equal to "&amp;$B457&amp;""&amp;CHAR(10),""),IF((K458+K459+K460+K461)&lt;&gt;K457," * "&amp;$A457&amp;" , "&amp;$B458&amp;" plus "&amp;$B459&amp;" plus "&amp;$B460&amp;" plus "&amp;$B461&amp;" For age "&amp;$J$20&amp;" "&amp;$K$21&amp;" should be equal to "&amp;$B457&amp;""&amp;CHAR(10),""),IF((L458+L459+L460+L461)&lt;&gt;L457," * "&amp;$A457&amp;" , "&amp;$B458&amp;" plus "&amp;$B459&amp;" plus "&amp;$B460&amp;" plus "&amp;$B461&amp;" For age "&amp;$L$20&amp;" "&amp;$L$21&amp;" should be equal to "&amp;$B457&amp;""&amp;CHAR(10),""),IF((M458+M459+M460+M461)&lt;&gt;M457," * "&amp;$A457&amp;" , "&amp;$B458&amp;" plus "&amp;$B459&amp;" plus "&amp;$B460&amp;" plus "&amp;$B461&amp;" For age "&amp;$L$20&amp;" "&amp;$M$21&amp;" should be equal to "&amp;$B457&amp;""&amp;CHAR(10),""),IF((N458+N459+N460+N461)&lt;&gt;N457," * "&amp;$A457&amp;" , "&amp;$B458&amp;" plus "&amp;$B459&amp;" plus "&amp;$B460&amp;" plus "&amp;$B461&amp;" For age "&amp;$N$20&amp;" "&amp;$N$21&amp;" should be equal to "&amp;$B457&amp;""&amp;CHAR(10),""),IF((O458+O459+O460+O461)&lt;&gt;O457," * "&amp;$A457&amp;" , "&amp;$B458&amp;" plus "&amp;$B459&amp;" plus "&amp;$B460&amp;" plus "&amp;$B461&amp;" For age "&amp;$N$20&amp;" "&amp;$O$21&amp;" should be equal to "&amp;$B457&amp;""&amp;CHAR(10),""),IF((P458+P459+P460+P461)&lt;&gt;P457," * "&amp;$A457&amp;" , "&amp;$B458&amp;" plus "&amp;$B459&amp;" plus "&amp;$B460&amp;" plus "&amp;$B461&amp;" For age "&amp;$P$20&amp;" "&amp;$P$21&amp;" should be equal to "&amp;$B457&amp;""&amp;CHAR(10),""),IF((Q458+Q459+Q460+Q461)&lt;&gt;Q457," * "&amp;$A457&amp;" , "&amp;$B458&amp;" plus "&amp;$B459&amp;" plus "&amp;$B460&amp;" plus "&amp;$B461&amp;" For age "&amp;$P$20&amp;" "&amp;$Q$21&amp;" should be equal to "&amp;$B457&amp;""&amp;CHAR(10),""),IF((R458+R459+R460+R461)&lt;&gt;R457," * "&amp;$A457&amp;" , "&amp;$B458&amp;" plus "&amp;$B459&amp;" plus "&amp;$B460&amp;" plus "&amp;$B461&amp;" For age "&amp;$R$20&amp;" "&amp;$R$21&amp;" should be equal to "&amp;$B457&amp;""&amp;CHAR(10),""),IF((S458+S459+S460+S461)&lt;&gt;S457," * "&amp;$A457&amp;" , "&amp;$B458&amp;" plus "&amp;$B459&amp;" plus "&amp;$B460&amp;" plus "&amp;$B461&amp;" For age "&amp;$R$20&amp;" "&amp;$S$21&amp;" should be equal to "&amp;$B457&amp;""&amp;CHAR(10),""),IF((T458+T459+T460+T461)&lt;&gt;T457," * "&amp;$A457&amp;" , "&amp;$B458&amp;" plus "&amp;$B459&amp;" plus "&amp;$B460&amp;" plus "&amp;$B461&amp;" For age "&amp;$T$20&amp;" "&amp;$T$21&amp;" should be equal to "&amp;$B457&amp;""&amp;CHAR(10),""),IF((U458+U459+U460+U461)&lt;&gt;U457," * "&amp;$A457&amp;" , "&amp;$B458&amp;" plus "&amp;$B459&amp;" plus "&amp;$B460&amp;" plus "&amp;$B461&amp;" For age "&amp;$T$20&amp;" "&amp;$U$21&amp;" should be equal to "&amp;$B457&amp;""&amp;CHAR(10),""),IF((V458+V459+V460+V461)&lt;&gt;V457," * "&amp;$A457&amp;" , "&amp;$B458&amp;" plus "&amp;$B459&amp;" plus "&amp;$B460&amp;" plus "&amp;$B461&amp;" For age "&amp;$V$20&amp;" "&amp;$V$21&amp;" should be equal to "&amp;$B457&amp;""&amp;CHAR(10),""),IF((W458+W459+W460+W461)&lt;&gt;W457," * "&amp;$A457&amp;" , "&amp;$B458&amp;" plus "&amp;$B459&amp;" plus "&amp;$B460&amp;" plus "&amp;$B461&amp;" For age "&amp;$V$20&amp;" "&amp;$W$21&amp;" should be equal to "&amp;$B457&amp;""&amp;CHAR(10),""),IF((X458+X459+X460+X461)&lt;&gt;X457," * "&amp;$A457&amp;" , "&amp;$B458&amp;" plus "&amp;$B459&amp;" plus "&amp;$B460&amp;" plus "&amp;$B461&amp;" For age "&amp;$X$20&amp;" "&amp;$X$21&amp;" should be equal to "&amp;$B457&amp;""&amp;CHAR(10),""),IF((Y458+Y459+Y460+Y461)&lt;&gt;Y457," * "&amp;$A457&amp;" , "&amp;$B458&amp;" plus "&amp;$B459&amp;" plus "&amp;$B460&amp;" plus "&amp;$B461&amp;" For age "&amp;$X$20&amp;" "&amp;$Y$21&amp;" should be equal to "&amp;$B457&amp;""&amp;CHAR(10),""),IF((Z458+Z459+Z460+Z461)&lt;&gt;Z457," * "&amp;$A457&amp;" , "&amp;$B458&amp;" plus "&amp;$B459&amp;" plus "&amp;$B460&amp;" plus "&amp;$B461&amp;" For age "&amp;$Z$20&amp;" "&amp;$Z$21&amp;" should be equal to "&amp;$B457&amp;""&amp;CHAR(10),""),IF((AA458+AA459+AA460+AA461)&lt;&gt;AA457," * "&amp;$A457&amp;" , "&amp;$B458&amp;" plus "&amp;$B459&amp;" plus "&amp;$B460&amp;" plus "&amp;$B461&amp;" For age "&amp;$Z$20&amp;" "&amp;$AA$21&amp;" should be equal to "&amp;$B457&amp;""&amp;CHAR(10),""))</f>
        <v/>
      </c>
      <c r="AL457" s="1279"/>
      <c r="AM457" s="31"/>
      <c r="AN457" s="851"/>
      <c r="AO457" s="13">
        <v>31</v>
      </c>
      <c r="AP457" s="81"/>
      <c r="AQ457" s="82"/>
    </row>
    <row r="458" spans="1:43" s="83" customFormat="1" ht="25.5" hidden="1" x14ac:dyDescent="0.75">
      <c r="A458" s="935"/>
      <c r="B458" s="781" t="s">
        <v>1140</v>
      </c>
      <c r="C458" s="785" t="s">
        <v>1167</v>
      </c>
      <c r="D458" s="648"/>
      <c r="E458" s="796"/>
      <c r="F458" s="800"/>
      <c r="G458" s="762"/>
      <c r="H458" s="762"/>
      <c r="I458" s="762"/>
      <c r="J458" s="762"/>
      <c r="K458" s="762"/>
      <c r="L458" s="497"/>
      <c r="M458" s="497"/>
      <c r="N458" s="497"/>
      <c r="O458" s="497"/>
      <c r="P458" s="497"/>
      <c r="Q458" s="497"/>
      <c r="R458" s="497"/>
      <c r="S458" s="497"/>
      <c r="T458" s="497"/>
      <c r="U458" s="497"/>
      <c r="V458" s="497"/>
      <c r="W458" s="497"/>
      <c r="X458" s="497"/>
      <c r="Y458" s="497"/>
      <c r="Z458" s="497"/>
      <c r="AA458" s="775"/>
      <c r="AB458" s="357"/>
      <c r="AC458" s="357"/>
      <c r="AD458" s="357"/>
      <c r="AE458" s="357"/>
      <c r="AF458" s="357"/>
      <c r="AG458" s="357"/>
      <c r="AH458" s="357"/>
      <c r="AI458" s="357"/>
      <c r="AJ458" s="494">
        <f t="shared" si="170"/>
        <v>0</v>
      </c>
      <c r="AK458" s="1011" t="str">
        <f>CONCATENATE(IF(D459&gt;D458," * Positive F01-13 for Age "&amp;D445&amp;" "&amp;D446&amp;" is more than Tested F01-12"&amp;CHAR(10),""),IF(E459&gt;E458," * Positive F01-13 for Age "&amp;D445&amp;" "&amp;E446&amp;" is more than Tested F01-12"&amp;CHAR(10),""),IF(F459&gt;F458," * Positive F01-13 for Age "&amp;F445&amp;" "&amp;F446&amp;" is more than Tested F01-12"&amp;CHAR(10),""),IF(G459&gt;G458," * Positive F01-13 for Age "&amp;F445&amp;" "&amp;G446&amp;" is more than Tested F01-12"&amp;CHAR(10),""),IF(H459&gt;H458," * Positive F01-13 for Age "&amp;H445&amp;" "&amp;H446&amp;" is more than Tested F01-12"&amp;CHAR(10),""),IF(I459&gt;I458," * Positive F01-13 for Age "&amp;H445&amp;" "&amp;I446&amp;" is more than Tested F01-12"&amp;CHAR(10),""),IF(J459&gt;J458," * Positive F01-13 for Age "&amp;J445&amp;" "&amp;J446&amp;" is more than Tested F01-12"&amp;CHAR(10),""),IF(K459&gt;K458," * Positive F01-13 for Age "&amp;J445&amp;" "&amp;K446&amp;" is more than Tested F01-12"&amp;CHAR(10),""),IF(L459&gt;L458," * Positive F01-13 for Age "&amp;L445&amp;" "&amp;L446&amp;" is more than Tested F01-12"&amp;CHAR(10),""),IF(M459&gt;M458," * Positive F01-13 for Age "&amp;L445&amp;" "&amp;M446&amp;" is more than Tested F01-12"&amp;CHAR(10),""),IF(N459&gt;N458," * Positive F01-13 for Age "&amp;N445&amp;" "&amp;N446&amp;" is more than Tested F01-12"&amp;CHAR(10),""),IF(O459&gt;O458," * Positive F01-13 for Age "&amp;N445&amp;" "&amp;O446&amp;" is more than Tested F01-12"&amp;CHAR(10),""),IF(P459&gt;P458," * Positive F01-13 for Age "&amp;P445&amp;" "&amp;P446&amp;" is more than Tested F01-12"&amp;CHAR(10),""),IF(Q459&gt;Q458," * Positive F01-13 for Age "&amp;P445&amp;" "&amp;Q446&amp;" is more than Tested F01-12"&amp;CHAR(10),""),IF(R459&gt;R458," * Positive F01-13 for Age "&amp;R445&amp;" "&amp;R446&amp;" is more than Tested F01-12"&amp;CHAR(10),""),IF(S459&gt;S458," * Positive F01-13 for Age "&amp;R445&amp;" "&amp;S446&amp;" is more than Tested F01-12"&amp;CHAR(10),""),IF(T459&gt;T458," * Positive F01-13 for Age "&amp;T445&amp;" "&amp;T446&amp;" is more than Tested F01-12"&amp;CHAR(10),""),IF(U459&gt;U458," * Positive F01-13 for Age "&amp;T445&amp;" "&amp;U446&amp;" is more than Tested F01-12"&amp;CHAR(10),""),IF(V459&gt;V458," * Positive F01-13 for Age "&amp;V445&amp;" "&amp;V446&amp;" is more than Tested F01-12"&amp;CHAR(10),""),IF(W459&gt;W458," * Positive F01-13 for Age "&amp;V445&amp;" "&amp;W446&amp;" is more than Tested F01-12"&amp;CHAR(10),""),IF(X459&gt;X458," * Positive F01-13 for Age "&amp;X445&amp;" "&amp;X446&amp;" is more than Tested F01-12"&amp;CHAR(10),""),IF(Y459&gt;Y458," * Positive F01-13 for Age "&amp;X445&amp;" "&amp;Y446&amp;" is more than Tested F01-12"&amp;CHAR(10),""),IF(Z459&gt;Z458," * Positive F01-13 for Age "&amp;Z445&amp;" "&amp;Z446&amp;" is more than Tested F01-12"&amp;CHAR(10),""),IF(AA459&gt;AA458," * Positive F01-13 for Age "&amp;Z445&amp;" "&amp;AA446&amp;" is more than Tested F01-12"&amp;CHAR(10),""))</f>
        <v/>
      </c>
      <c r="AL458" s="1279"/>
      <c r="AM458" s="31" t="str">
        <f>CONCATENATE(IF(AND(IFERROR((AJ459*100)/AJ458,0)&gt;10,AJ459&gt;5)," * This facility has a high positivity rate for Index Testing. Kindly confirm if this is the true reflection"&amp;CHAR(10),""),"")</f>
        <v/>
      </c>
      <c r="AN458" s="851"/>
      <c r="AO458" s="13">
        <v>32</v>
      </c>
      <c r="AP458" s="81"/>
      <c r="AQ458" s="82"/>
    </row>
    <row r="459" spans="1:43" s="83" customFormat="1" ht="25.5" hidden="1" x14ac:dyDescent="0.75">
      <c r="A459" s="935"/>
      <c r="B459" s="781" t="s">
        <v>1121</v>
      </c>
      <c r="C459" s="785" t="s">
        <v>1168</v>
      </c>
      <c r="D459" s="769"/>
      <c r="E459" s="797"/>
      <c r="F459" s="800"/>
      <c r="G459" s="762"/>
      <c r="H459" s="762"/>
      <c r="I459" s="762"/>
      <c r="J459" s="762"/>
      <c r="K459" s="762"/>
      <c r="L459" s="497"/>
      <c r="M459" s="497"/>
      <c r="N459" s="497"/>
      <c r="O459" s="497"/>
      <c r="P459" s="497"/>
      <c r="Q459" s="497"/>
      <c r="R459" s="497"/>
      <c r="S459" s="497"/>
      <c r="T459" s="497"/>
      <c r="U459" s="497"/>
      <c r="V459" s="497"/>
      <c r="W459" s="497"/>
      <c r="X459" s="497"/>
      <c r="Y459" s="497"/>
      <c r="Z459" s="497"/>
      <c r="AA459" s="775"/>
      <c r="AB459" s="357"/>
      <c r="AC459" s="357"/>
      <c r="AD459" s="357"/>
      <c r="AE459" s="357"/>
      <c r="AF459" s="357"/>
      <c r="AG459" s="357"/>
      <c r="AH459" s="357"/>
      <c r="AI459" s="357"/>
      <c r="AJ459" s="495">
        <f t="shared" si="170"/>
        <v>0</v>
      </c>
      <c r="AK459" s="1011"/>
      <c r="AL459" s="1279"/>
      <c r="AM459" s="31" t="e">
        <f>CONCATENATE(IF(D458&gt;0," * F01-12 for Age "&amp;D445&amp;" "&amp;D446&amp;" has a value greater than 0"&amp;CHAR(10),""),IF(E458&gt;0," * F01-12 for Age "&amp;D445&amp;" "&amp;E446&amp;" has a value greater than 0"&amp;CHAR(10),""),IF(D459&gt;0," * F01-13 for Age "&amp;D445&amp;" "&amp;D446&amp;" has a value greater than 0"&amp;CHAR(10),""),IF(E459&gt;0," * F01-13 for Age "&amp;D445&amp;" "&amp;E446&amp;" has a value greater than 0"&amp;CHAR(10),""),IF(#REF!&gt;0," * F01-14 for Age "&amp;D445&amp;" "&amp;D446&amp;" has a value greater than 0"&amp;CHAR(10),""),IF(#REF!&gt;0," * F01-14 for Age "&amp;D445&amp;" "&amp;E446&amp;" has a value greater than 0"&amp;CHAR(10),""),IF(D522&gt;0," * F01-15 for Age "&amp;D445&amp;" "&amp;D446&amp;" has a value greater than 0"&amp;CHAR(10),""),IF(E522&gt;0," * F01-15 for Age "&amp;D445&amp;" "&amp;E446&amp;" has a value greater than 0"&amp;CHAR(10),""),IF(D527&gt;0," * F01-20 for Age "&amp;D445&amp;" "&amp;D446&amp;" has a value greater than 0"&amp;CHAR(10),""),IF(E527&gt;0," * F01-20 for Age "&amp;D445&amp;" "&amp;E446&amp;" has a value greater than 0"&amp;CHAR(10),""),IF(D528&gt;0," * F01-21 for Age "&amp;D445&amp;" "&amp;D446&amp;" has a value greater than 0"&amp;CHAR(10),""),IF(E528&gt;0," * F01-21 for Age "&amp;D445&amp;" "&amp;E446&amp;" has a value greater than 0"&amp;CHAR(10),""),IF(D529&gt;0," * F01-22 for Age "&amp;D445&amp;" "&amp;D446&amp;" has a value greater than 0"&amp;CHAR(10),""),IF(E529&gt;0," * F01-22 for Age "&amp;D445&amp;" "&amp;E446&amp;" has a value greater than 0"&amp;CHAR(10),""),IF(D530&gt;0," * F01-23 for Age "&amp;D445&amp;" "&amp;D446&amp;" has a value greater than 0"&amp;CHAR(10),""),IF(E530&gt;0," * F01-23 for Age "&amp;D445&amp;" "&amp;E446&amp;" has a value greater than 0"&amp;CHAR(10),""),"")</f>
        <v>#REF!</v>
      </c>
      <c r="AN459" s="851"/>
      <c r="AO459" s="13">
        <v>33</v>
      </c>
      <c r="AP459" s="81"/>
      <c r="AQ459" s="82"/>
    </row>
    <row r="460" spans="1:43" s="83" customFormat="1" ht="25.5" hidden="1" x14ac:dyDescent="0.75">
      <c r="A460" s="935"/>
      <c r="B460" s="781" t="s">
        <v>1123</v>
      </c>
      <c r="C460" s="785" t="s">
        <v>1169</v>
      </c>
      <c r="D460" s="769"/>
      <c r="E460" s="797"/>
      <c r="F460" s="800"/>
      <c r="G460" s="762"/>
      <c r="H460" s="762"/>
      <c r="I460" s="762"/>
      <c r="J460" s="762"/>
      <c r="K460" s="762"/>
      <c r="L460" s="497"/>
      <c r="M460" s="497"/>
      <c r="N460" s="497"/>
      <c r="O460" s="497"/>
      <c r="P460" s="497"/>
      <c r="Q460" s="497"/>
      <c r="R460" s="497"/>
      <c r="S460" s="497"/>
      <c r="T460" s="497"/>
      <c r="U460" s="497"/>
      <c r="V460" s="497"/>
      <c r="W460" s="497"/>
      <c r="X460" s="497"/>
      <c r="Y460" s="497"/>
      <c r="Z460" s="497"/>
      <c r="AA460" s="775"/>
      <c r="AB460" s="357"/>
      <c r="AC460" s="357"/>
      <c r="AD460" s="357"/>
      <c r="AE460" s="357"/>
      <c r="AF460" s="357"/>
      <c r="AG460" s="357"/>
      <c r="AH460" s="357"/>
      <c r="AI460" s="357"/>
      <c r="AJ460" s="495">
        <f t="shared" si="170"/>
        <v>0</v>
      </c>
      <c r="AK460" s="486"/>
      <c r="AL460" s="1279"/>
      <c r="AM460" s="31" t="str">
        <f>CONCATENATE(IF(D459&gt;0," * F01-12 for Age "&amp;D446&amp;" "&amp;D447&amp;" has a value greater than 0"&amp;CHAR(10),""),IF(E459&gt;0," * F01-12 for Age "&amp;D446&amp;" "&amp;E447&amp;" has a value greater than 0"&amp;CHAR(10),""),IF(D460&gt;0," * F01-13 for Age "&amp;D446&amp;" "&amp;D447&amp;" has a value greater than 0"&amp;CHAR(10),""),IF(E460&gt;0," * F01-13 for Age "&amp;D446&amp;" "&amp;E447&amp;" has a value greater than 0"&amp;CHAR(10),""),IF(D522&gt;0," * F01-14 for Age "&amp;D446&amp;" "&amp;D447&amp;" has a value greater than 0"&amp;CHAR(10),""),IF(E522&gt;0," * F01-14 for Age "&amp;D446&amp;" "&amp;E447&amp;" has a value greater than 0"&amp;CHAR(10),""),IF(D523&gt;0," * F01-15 for Age "&amp;D446&amp;" "&amp;D447&amp;" has a value greater than 0"&amp;CHAR(10),""),IF(E523&gt;0," * F01-15 for Age "&amp;D446&amp;" "&amp;E447&amp;" has a value greater than 0"&amp;CHAR(10),""),IF(D528&gt;0," * F01-20 for Age "&amp;D446&amp;" "&amp;D447&amp;" has a value greater than 0"&amp;CHAR(10),""),IF(E528&gt;0," * F01-20 for Age "&amp;D446&amp;" "&amp;E447&amp;" has a value greater than 0"&amp;CHAR(10),""),IF(D529&gt;0," * F01-21 for Age "&amp;D446&amp;" "&amp;D447&amp;" has a value greater than 0"&amp;CHAR(10),""),IF(E529&gt;0," * F01-21 for Age "&amp;D446&amp;" "&amp;E447&amp;" has a value greater than 0"&amp;CHAR(10),""),IF(D530&gt;0," * F01-22 for Age "&amp;D446&amp;" "&amp;D447&amp;" has a value greater than 0"&amp;CHAR(10),""),IF(E530&gt;0," * F01-22 for Age "&amp;D446&amp;" "&amp;E447&amp;" has a value greater than 0"&amp;CHAR(10),""),IF(D531&gt;0," * F01-23 for Age "&amp;D446&amp;" "&amp;D447&amp;" has a value greater than 0"&amp;CHAR(10),""),IF(E531&gt;0," * F01-23 for Age "&amp;D446&amp;" "&amp;E447&amp;" has a value greater than 0"&amp;CHAR(10),""),"")</f>
        <v/>
      </c>
      <c r="AN460" s="851"/>
      <c r="AO460" s="13">
        <v>33</v>
      </c>
      <c r="AP460" s="81"/>
      <c r="AQ460" s="82"/>
    </row>
    <row r="461" spans="1:43" s="83" customFormat="1" ht="25.9" hidden="1" thickBot="1" x14ac:dyDescent="0.8">
      <c r="A461" s="936"/>
      <c r="B461" s="782" t="s">
        <v>1125</v>
      </c>
      <c r="C461" s="786" t="s">
        <v>1170</v>
      </c>
      <c r="D461" s="770"/>
      <c r="E461" s="798"/>
      <c r="F461" s="801">
        <f>F457-SUM(F458:F460)</f>
        <v>0</v>
      </c>
      <c r="G461" s="771">
        <f t="shared" ref="G461" si="172">G457-SUM(G458:G460)</f>
        <v>0</v>
      </c>
      <c r="H461" s="771">
        <f t="shared" ref="H461" si="173">H457-SUM(H458:H460)</f>
        <v>0</v>
      </c>
      <c r="I461" s="771">
        <f t="shared" ref="I461" si="174">I457-SUM(I458:I460)</f>
        <v>0</v>
      </c>
      <c r="J461" s="771">
        <f t="shared" ref="J461" si="175">J457-SUM(J458:J460)</f>
        <v>0</v>
      </c>
      <c r="K461" s="771">
        <f t="shared" ref="K461" si="176">K457-SUM(K458:K460)</f>
        <v>0</v>
      </c>
      <c r="L461" s="570"/>
      <c r="M461" s="570"/>
      <c r="N461" s="570"/>
      <c r="O461" s="570"/>
      <c r="P461" s="570"/>
      <c r="Q461" s="570"/>
      <c r="R461" s="570"/>
      <c r="S461" s="570"/>
      <c r="T461" s="570"/>
      <c r="U461" s="570"/>
      <c r="V461" s="570"/>
      <c r="W461" s="570"/>
      <c r="X461" s="570"/>
      <c r="Y461" s="570"/>
      <c r="Z461" s="570"/>
      <c r="AA461" s="777"/>
      <c r="AB461" s="391"/>
      <c r="AC461" s="391"/>
      <c r="AD461" s="391"/>
      <c r="AE461" s="391"/>
      <c r="AF461" s="391"/>
      <c r="AG461" s="391"/>
      <c r="AH461" s="391"/>
      <c r="AI461" s="391"/>
      <c r="AJ461" s="496">
        <f t="shared" si="170"/>
        <v>0</v>
      </c>
      <c r="AK461" s="486"/>
      <c r="AL461" s="1279"/>
      <c r="AM461" s="31" t="str">
        <f>CONCATENATE(IF(D460&gt;0," * F01-12 for Age "&amp;D447&amp;" "&amp;D448&amp;" has a value greater than 0"&amp;CHAR(10),""),IF(E460&gt;0," * F01-12 for Age "&amp;D447&amp;" "&amp;E448&amp;" has a value greater than 0"&amp;CHAR(10),""),IF(D461&gt;0," * F01-13 for Age "&amp;D447&amp;" "&amp;D448&amp;" has a value greater than 0"&amp;CHAR(10),""),IF(E461&gt;0," * F01-13 for Age "&amp;D447&amp;" "&amp;E448&amp;" has a value greater than 0"&amp;CHAR(10),""),IF(D523&gt;0," * F01-14 for Age "&amp;D447&amp;" "&amp;D448&amp;" has a value greater than 0"&amp;CHAR(10),""),IF(E523&gt;0," * F01-14 for Age "&amp;D447&amp;" "&amp;E448&amp;" has a value greater than 0"&amp;CHAR(10),""),IF(D524&gt;0," * F01-15 for Age "&amp;D447&amp;" "&amp;D448&amp;" has a value greater than 0"&amp;CHAR(10),""),IF(E524&gt;0," * F01-15 for Age "&amp;D447&amp;" "&amp;E448&amp;" has a value greater than 0"&amp;CHAR(10),""),IF(D529&gt;0," * F01-20 for Age "&amp;D447&amp;" "&amp;D448&amp;" has a value greater than 0"&amp;CHAR(10),""),IF(E529&gt;0," * F01-20 for Age "&amp;D447&amp;" "&amp;E448&amp;" has a value greater than 0"&amp;CHAR(10),""),IF(D530&gt;0," * F01-21 for Age "&amp;D447&amp;" "&amp;D448&amp;" has a value greater than 0"&amp;CHAR(10),""),IF(E530&gt;0," * F01-21 for Age "&amp;D447&amp;" "&amp;E448&amp;" has a value greater than 0"&amp;CHAR(10),""),IF(D531&gt;0," * F01-22 for Age "&amp;D447&amp;" "&amp;D448&amp;" has a value greater than 0"&amp;CHAR(10),""),IF(E531&gt;0," * F01-22 for Age "&amp;D447&amp;" "&amp;E448&amp;" has a value greater than 0"&amp;CHAR(10),""),IF(D532&gt;0," * F01-23 for Age "&amp;D447&amp;" "&amp;D448&amp;" has a value greater than 0"&amp;CHAR(10),""),IF(E532&gt;0," * F01-23 for Age "&amp;D447&amp;" "&amp;E448&amp;" has a value greater than 0"&amp;CHAR(10),""),"")</f>
        <v/>
      </c>
      <c r="AN461" s="851"/>
      <c r="AO461" s="13">
        <v>33</v>
      </c>
      <c r="AP461" s="81"/>
      <c r="AQ461" s="82"/>
    </row>
    <row r="462" spans="1:43" s="83" customFormat="1" ht="25.9" hidden="1" thickBot="1" x14ac:dyDescent="0.8">
      <c r="A462" s="934" t="s">
        <v>1056</v>
      </c>
      <c r="B462" s="780" t="s">
        <v>150</v>
      </c>
      <c r="C462" s="784" t="s">
        <v>1171</v>
      </c>
      <c r="D462" s="767"/>
      <c r="E462" s="795"/>
      <c r="F462" s="806">
        <f t="shared" ref="F462:AA462" si="177">F53</f>
        <v>0</v>
      </c>
      <c r="G462" s="503">
        <f t="shared" si="177"/>
        <v>0</v>
      </c>
      <c r="H462" s="503">
        <f t="shared" si="177"/>
        <v>0</v>
      </c>
      <c r="I462" s="503">
        <f t="shared" si="177"/>
        <v>0</v>
      </c>
      <c r="J462" s="503">
        <f t="shared" si="177"/>
        <v>0</v>
      </c>
      <c r="K462" s="503">
        <f t="shared" si="177"/>
        <v>0</v>
      </c>
      <c r="L462" s="503">
        <f t="shared" si="177"/>
        <v>0</v>
      </c>
      <c r="M462" s="503">
        <f t="shared" si="177"/>
        <v>0</v>
      </c>
      <c r="N462" s="503">
        <f t="shared" si="177"/>
        <v>0</v>
      </c>
      <c r="O462" s="503">
        <f t="shared" si="177"/>
        <v>0</v>
      </c>
      <c r="P462" s="503">
        <f t="shared" si="177"/>
        <v>0</v>
      </c>
      <c r="Q462" s="503">
        <f t="shared" si="177"/>
        <v>0</v>
      </c>
      <c r="R462" s="503">
        <f t="shared" si="177"/>
        <v>0</v>
      </c>
      <c r="S462" s="503">
        <f t="shared" si="177"/>
        <v>0</v>
      </c>
      <c r="T462" s="503">
        <f t="shared" si="177"/>
        <v>0</v>
      </c>
      <c r="U462" s="503">
        <f t="shared" si="177"/>
        <v>0</v>
      </c>
      <c r="V462" s="503">
        <f t="shared" si="177"/>
        <v>0</v>
      </c>
      <c r="W462" s="503">
        <f t="shared" si="177"/>
        <v>0</v>
      </c>
      <c r="X462" s="503">
        <f t="shared" si="177"/>
        <v>0</v>
      </c>
      <c r="Y462" s="503">
        <f t="shared" si="177"/>
        <v>0</v>
      </c>
      <c r="Z462" s="503">
        <f t="shared" si="177"/>
        <v>0</v>
      </c>
      <c r="AA462" s="792">
        <f t="shared" si="177"/>
        <v>0</v>
      </c>
      <c r="AB462" s="388"/>
      <c r="AC462" s="388"/>
      <c r="AD462" s="388"/>
      <c r="AE462" s="388"/>
      <c r="AF462" s="388"/>
      <c r="AG462" s="388"/>
      <c r="AH462" s="388"/>
      <c r="AI462" s="388"/>
      <c r="AJ462" s="493">
        <f t="shared" si="170"/>
        <v>0</v>
      </c>
      <c r="AK462" s="566" t="str">
        <f>CONCATENATE(IF((D463+D464+D465+D466)&lt;&gt;D462," * "&amp;$A462&amp;" , "&amp;$B463&amp;" plus "&amp;$B464&amp;" plus "&amp;$B465&amp;" plus "&amp;$B466&amp;" For age "&amp;$D$20&amp;" "&amp;$D$21&amp;" should be equal to "&amp;$B462&amp;""&amp;CHAR(10),""),IF((E463+E464+E465+E466)&lt;&gt;E462," * "&amp;$A462&amp;" , "&amp;$B463&amp;" plus "&amp;$B464&amp;" plus "&amp;$B465&amp;" plus "&amp;$B466&amp;" For age "&amp;$D$20&amp;" "&amp;$E$21&amp;" should be equal to "&amp;$B462&amp;""&amp;CHAR(10),""),IF((F463+F464+F465+F466)&lt;&gt;F462," * "&amp;$A462&amp;" , "&amp;$B463&amp;" plus "&amp;$B464&amp;" plus "&amp;$B465&amp;" plus "&amp;$B466&amp;" For age "&amp;$F$20&amp;" "&amp;$F$21&amp;" should be equal to "&amp;$B462&amp;""&amp;CHAR(10),""),IF((G463+G464+G465+G466)&lt;&gt;G462," * "&amp;$A462&amp;" , "&amp;$B463&amp;" plus "&amp;$B464&amp;" plus "&amp;$B465&amp;" plus "&amp;$B466&amp;" For age "&amp;$F$20&amp;" "&amp;$G$21&amp;" should be equal to "&amp;$B462&amp;""&amp;CHAR(10),""),IF((H463+H464+H465+H466)&lt;&gt;H462," * "&amp;$A462&amp;" , "&amp;$B463&amp;" plus "&amp;$B464&amp;" plus "&amp;$B465&amp;" plus "&amp;$B466&amp;" For age "&amp;$H$20&amp;" "&amp;$H$21&amp;" should be equal to "&amp;$B462&amp;""&amp;CHAR(10),""),IF((I463+I464+I465+I466)&lt;&gt;I462," * "&amp;$A462&amp;" , "&amp;$B463&amp;" plus "&amp;$B464&amp;" plus "&amp;$B465&amp;" plus "&amp;$B466&amp;" For age "&amp;$H$20&amp;" "&amp;$I$21&amp;" should be equal to "&amp;$B462&amp;""&amp;CHAR(10),""),IF((J463+J464+J465+J466)&lt;&gt;J462," * "&amp;$A462&amp;" , "&amp;$B463&amp;" plus "&amp;$B464&amp;" plus "&amp;$B465&amp;" plus "&amp;$B466&amp;" For age "&amp;$J$20&amp;" "&amp;$J$21&amp;" should be equal to "&amp;$B462&amp;""&amp;CHAR(10),""),IF((K463+K464+K465+K466)&lt;&gt;K462," * "&amp;$A462&amp;" , "&amp;$B463&amp;" plus "&amp;$B464&amp;" plus "&amp;$B465&amp;" plus "&amp;$B466&amp;" For age "&amp;$J$20&amp;" "&amp;$K$21&amp;" should be equal to "&amp;$B462&amp;""&amp;CHAR(10),""),IF((L463+L464+L465+L466)&lt;&gt;L462," * "&amp;$A462&amp;" , "&amp;$B463&amp;" plus "&amp;$B464&amp;" plus "&amp;$B465&amp;" plus "&amp;$B466&amp;" For age "&amp;$L$20&amp;" "&amp;$L$21&amp;" should be equal to "&amp;$B462&amp;""&amp;CHAR(10),""),IF((M463+M464+M465+M466)&lt;&gt;M462," * "&amp;$A462&amp;" , "&amp;$B463&amp;" plus "&amp;$B464&amp;" plus "&amp;$B465&amp;" plus "&amp;$B466&amp;" For age "&amp;$L$20&amp;" "&amp;$M$21&amp;" should be equal to "&amp;$B462&amp;""&amp;CHAR(10),""),IF((N463+N464+N465+N466)&lt;&gt;N462," * "&amp;$A462&amp;" , "&amp;$B463&amp;" plus "&amp;$B464&amp;" plus "&amp;$B465&amp;" plus "&amp;$B466&amp;" For age "&amp;$N$20&amp;" "&amp;$N$21&amp;" should be equal to "&amp;$B462&amp;""&amp;CHAR(10),""),IF((O463+O464+O465+O466)&lt;&gt;O462," * "&amp;$A462&amp;" , "&amp;$B463&amp;" plus "&amp;$B464&amp;" plus "&amp;$B465&amp;" plus "&amp;$B466&amp;" For age "&amp;$N$20&amp;" "&amp;$O$21&amp;" should be equal to "&amp;$B462&amp;""&amp;CHAR(10),""),IF((P463+P464+P465+P466)&lt;&gt;P462," * "&amp;$A462&amp;" , "&amp;$B463&amp;" plus "&amp;$B464&amp;" plus "&amp;$B465&amp;" plus "&amp;$B466&amp;" For age "&amp;$P$20&amp;" "&amp;$P$21&amp;" should be equal to "&amp;$B462&amp;""&amp;CHAR(10),""),IF((Q463+Q464+Q465+Q466)&lt;&gt;Q462," * "&amp;$A462&amp;" , "&amp;$B463&amp;" plus "&amp;$B464&amp;" plus "&amp;$B465&amp;" plus "&amp;$B466&amp;" For age "&amp;$P$20&amp;" "&amp;$Q$21&amp;" should be equal to "&amp;$B462&amp;""&amp;CHAR(10),""),IF((R463+R464+R465+R466)&lt;&gt;R462," * "&amp;$A462&amp;" , "&amp;$B463&amp;" plus "&amp;$B464&amp;" plus "&amp;$B465&amp;" plus "&amp;$B466&amp;" For age "&amp;$R$20&amp;" "&amp;$R$21&amp;" should be equal to "&amp;$B462&amp;""&amp;CHAR(10),""),IF((S463+S464+S465+S466)&lt;&gt;S462," * "&amp;$A462&amp;" , "&amp;$B463&amp;" plus "&amp;$B464&amp;" plus "&amp;$B465&amp;" plus "&amp;$B466&amp;" For age "&amp;$R$20&amp;" "&amp;$S$21&amp;" should be equal to "&amp;$B462&amp;""&amp;CHAR(10),""),IF((T463+T464+T465+T466)&lt;&gt;T462," * "&amp;$A462&amp;" , "&amp;$B463&amp;" plus "&amp;$B464&amp;" plus "&amp;$B465&amp;" plus "&amp;$B466&amp;" For age "&amp;$T$20&amp;" "&amp;$T$21&amp;" should be equal to "&amp;$B462&amp;""&amp;CHAR(10),""),IF((U463+U464+U465+U466)&lt;&gt;U462," * "&amp;$A462&amp;" , "&amp;$B463&amp;" plus "&amp;$B464&amp;" plus "&amp;$B465&amp;" plus "&amp;$B466&amp;" For age "&amp;$T$20&amp;" "&amp;$U$21&amp;" should be equal to "&amp;$B462&amp;""&amp;CHAR(10),""),IF((V463+V464+V465+V466)&lt;&gt;V462," * "&amp;$A462&amp;" , "&amp;$B463&amp;" plus "&amp;$B464&amp;" plus "&amp;$B465&amp;" plus "&amp;$B466&amp;" For age "&amp;$V$20&amp;" "&amp;$V$21&amp;" should be equal to "&amp;$B462&amp;""&amp;CHAR(10),""),IF((W463+W464+W465+W466)&lt;&gt;W462," * "&amp;$A462&amp;" , "&amp;$B463&amp;" plus "&amp;$B464&amp;" plus "&amp;$B465&amp;" plus "&amp;$B466&amp;" For age "&amp;$V$20&amp;" "&amp;$W$21&amp;" should be equal to "&amp;$B462&amp;""&amp;CHAR(10),""),IF((X463+X464+X465+X466)&lt;&gt;X462," * "&amp;$A462&amp;" , "&amp;$B463&amp;" plus "&amp;$B464&amp;" plus "&amp;$B465&amp;" plus "&amp;$B466&amp;" For age "&amp;$X$20&amp;" "&amp;$X$21&amp;" should be equal to "&amp;$B462&amp;""&amp;CHAR(10),""),IF((Y463+Y464+Y465+Y466)&lt;&gt;Y462," * "&amp;$A462&amp;" , "&amp;$B463&amp;" plus "&amp;$B464&amp;" plus "&amp;$B465&amp;" plus "&amp;$B466&amp;" For age "&amp;$X$20&amp;" "&amp;$Y$21&amp;" should be equal to "&amp;$B462&amp;""&amp;CHAR(10),""),IF((Z463+Z464+Z465+Z466)&lt;&gt;Z462," * "&amp;$A462&amp;" , "&amp;$B463&amp;" plus "&amp;$B464&amp;" plus "&amp;$B465&amp;" plus "&amp;$B466&amp;" For age "&amp;$Z$20&amp;" "&amp;$Z$21&amp;" should be equal to "&amp;$B462&amp;""&amp;CHAR(10),""),IF((AA463+AA464+AA465+AA466)&lt;&gt;AA462," * "&amp;$A462&amp;" , "&amp;$B463&amp;" plus "&amp;$B464&amp;" plus "&amp;$B465&amp;" plus "&amp;$B466&amp;" For age "&amp;$Z$20&amp;" "&amp;$AA$21&amp;" should be equal to "&amp;$B462&amp;""&amp;CHAR(10),""))</f>
        <v/>
      </c>
      <c r="AL462" s="1279"/>
      <c r="AM462" s="31"/>
      <c r="AN462" s="851"/>
      <c r="AO462" s="13">
        <v>31</v>
      </c>
      <c r="AP462" s="81"/>
      <c r="AQ462" s="82"/>
    </row>
    <row r="463" spans="1:43" s="83" customFormat="1" ht="25.5" hidden="1" x14ac:dyDescent="0.75">
      <c r="A463" s="935"/>
      <c r="B463" s="781" t="s">
        <v>1140</v>
      </c>
      <c r="C463" s="785" t="s">
        <v>1172</v>
      </c>
      <c r="D463" s="648"/>
      <c r="E463" s="796"/>
      <c r="F463" s="571"/>
      <c r="G463" s="568"/>
      <c r="H463" s="568"/>
      <c r="I463" s="568"/>
      <c r="J463" s="568"/>
      <c r="K463" s="568"/>
      <c r="L463" s="568"/>
      <c r="M463" s="568"/>
      <c r="N463" s="568"/>
      <c r="O463" s="568"/>
      <c r="P463" s="568"/>
      <c r="Q463" s="568"/>
      <c r="R463" s="568"/>
      <c r="S463" s="568"/>
      <c r="T463" s="568"/>
      <c r="U463" s="568"/>
      <c r="V463" s="568"/>
      <c r="W463" s="568"/>
      <c r="X463" s="568"/>
      <c r="Y463" s="568"/>
      <c r="Z463" s="568"/>
      <c r="AA463" s="793"/>
      <c r="AB463" s="357"/>
      <c r="AC463" s="357"/>
      <c r="AD463" s="357"/>
      <c r="AE463" s="357"/>
      <c r="AF463" s="357"/>
      <c r="AG463" s="357"/>
      <c r="AH463" s="357"/>
      <c r="AI463" s="357"/>
      <c r="AJ463" s="494">
        <f t="shared" si="170"/>
        <v>0</v>
      </c>
      <c r="AK463" s="1011" t="str">
        <f>CONCATENATE(IF(D464&gt;D463," * Positive F01-13 for Age "&amp;D450&amp;" "&amp;D451&amp;" is more than Tested F01-12"&amp;CHAR(10),""),IF(E464&gt;E463," * Positive F01-13 for Age "&amp;D450&amp;" "&amp;E451&amp;" is more than Tested F01-12"&amp;CHAR(10),""),IF(F464&gt;F463," * Positive F01-13 for Age "&amp;F450&amp;" "&amp;F451&amp;" is more than Tested F01-12"&amp;CHAR(10),""),IF(G464&gt;G463," * Positive F01-13 for Age "&amp;F450&amp;" "&amp;G451&amp;" is more than Tested F01-12"&amp;CHAR(10),""),IF(H464&gt;H463," * Positive F01-13 for Age "&amp;H450&amp;" "&amp;H451&amp;" is more than Tested F01-12"&amp;CHAR(10),""),IF(I464&gt;I463," * Positive F01-13 for Age "&amp;H450&amp;" "&amp;I451&amp;" is more than Tested F01-12"&amp;CHAR(10),""),IF(J464&gt;J463," * Positive F01-13 for Age "&amp;J450&amp;" "&amp;J451&amp;" is more than Tested F01-12"&amp;CHAR(10),""),IF(K464&gt;K463," * Positive F01-13 for Age "&amp;J450&amp;" "&amp;K451&amp;" is more than Tested F01-12"&amp;CHAR(10),""),IF(L464&gt;L463," * Positive F01-13 for Age "&amp;L450&amp;" "&amp;L451&amp;" is more than Tested F01-12"&amp;CHAR(10),""),IF(M464&gt;M463," * Positive F01-13 for Age "&amp;L450&amp;" "&amp;M451&amp;" is more than Tested F01-12"&amp;CHAR(10),""),IF(N464&gt;N463," * Positive F01-13 for Age "&amp;N450&amp;" "&amp;N451&amp;" is more than Tested F01-12"&amp;CHAR(10),""),IF(O464&gt;O463," * Positive F01-13 for Age "&amp;N450&amp;" "&amp;O451&amp;" is more than Tested F01-12"&amp;CHAR(10),""),IF(P464&gt;P463," * Positive F01-13 for Age "&amp;P450&amp;" "&amp;P451&amp;" is more than Tested F01-12"&amp;CHAR(10),""),IF(Q464&gt;Q463," * Positive F01-13 for Age "&amp;P450&amp;" "&amp;Q451&amp;" is more than Tested F01-12"&amp;CHAR(10),""),IF(R464&gt;R463," * Positive F01-13 for Age "&amp;R450&amp;" "&amp;R451&amp;" is more than Tested F01-12"&amp;CHAR(10),""),IF(S464&gt;S463," * Positive F01-13 for Age "&amp;R450&amp;" "&amp;S451&amp;" is more than Tested F01-12"&amp;CHAR(10),""),IF(T464&gt;T463," * Positive F01-13 for Age "&amp;T450&amp;" "&amp;T451&amp;" is more than Tested F01-12"&amp;CHAR(10),""),IF(U464&gt;U463," * Positive F01-13 for Age "&amp;T450&amp;" "&amp;U451&amp;" is more than Tested F01-12"&amp;CHAR(10),""),IF(V464&gt;V463," * Positive F01-13 for Age "&amp;V450&amp;" "&amp;V451&amp;" is more than Tested F01-12"&amp;CHAR(10),""),IF(W464&gt;W463," * Positive F01-13 for Age "&amp;V450&amp;" "&amp;W451&amp;" is more than Tested F01-12"&amp;CHAR(10),""),IF(X464&gt;X463," * Positive F01-13 for Age "&amp;X450&amp;" "&amp;X451&amp;" is more than Tested F01-12"&amp;CHAR(10),""),IF(Y464&gt;Y463," * Positive F01-13 for Age "&amp;X450&amp;" "&amp;Y451&amp;" is more than Tested F01-12"&amp;CHAR(10),""),IF(Z464&gt;Z463," * Positive F01-13 for Age "&amp;Z450&amp;" "&amp;Z451&amp;" is more than Tested F01-12"&amp;CHAR(10),""),IF(AA464&gt;AA463," * Positive F01-13 for Age "&amp;Z450&amp;" "&amp;AA451&amp;" is more than Tested F01-12"&amp;CHAR(10),""))</f>
        <v/>
      </c>
      <c r="AL463" s="1279"/>
      <c r="AM463" s="31" t="str">
        <f>CONCATENATE(IF(AND(IFERROR((AJ464*100)/AJ463,0)&gt;10,AJ464&gt;5)," * This facility has a high positivity rate for Index Testing. Kindly confirm if this is the true reflection"&amp;CHAR(10),""),"")</f>
        <v/>
      </c>
      <c r="AN463" s="851"/>
      <c r="AO463" s="13">
        <v>32</v>
      </c>
      <c r="AP463" s="81"/>
      <c r="AQ463" s="82"/>
    </row>
    <row r="464" spans="1:43" s="83" customFormat="1" ht="25.5" hidden="1" x14ac:dyDescent="0.75">
      <c r="A464" s="935"/>
      <c r="B464" s="781" t="s">
        <v>1121</v>
      </c>
      <c r="C464" s="785" t="s">
        <v>1173</v>
      </c>
      <c r="D464" s="769"/>
      <c r="E464" s="797"/>
      <c r="F464" s="572"/>
      <c r="G464" s="497"/>
      <c r="H464" s="497"/>
      <c r="I464" s="497"/>
      <c r="J464" s="497"/>
      <c r="K464" s="497"/>
      <c r="L464" s="497"/>
      <c r="M464" s="497"/>
      <c r="N464" s="497"/>
      <c r="O464" s="497"/>
      <c r="P464" s="497"/>
      <c r="Q464" s="497"/>
      <c r="R464" s="497"/>
      <c r="S464" s="497"/>
      <c r="T464" s="497"/>
      <c r="U464" s="497"/>
      <c r="V464" s="497"/>
      <c r="W464" s="497"/>
      <c r="X464" s="497"/>
      <c r="Y464" s="497"/>
      <c r="Z464" s="497"/>
      <c r="AA464" s="775"/>
      <c r="AB464" s="357"/>
      <c r="AC464" s="357"/>
      <c r="AD464" s="357"/>
      <c r="AE464" s="357"/>
      <c r="AF464" s="357"/>
      <c r="AG464" s="357"/>
      <c r="AH464" s="357"/>
      <c r="AI464" s="357"/>
      <c r="AJ464" s="495">
        <f t="shared" si="170"/>
        <v>0</v>
      </c>
      <c r="AK464" s="1011"/>
      <c r="AL464" s="1279"/>
      <c r="AM464" s="31" t="e">
        <f>CONCATENATE(IF(D463&gt;0," * F01-12 for Age "&amp;D450&amp;" "&amp;D451&amp;" has a value greater than 0"&amp;CHAR(10),""),IF(E463&gt;0," * F01-12 for Age "&amp;D450&amp;" "&amp;E451&amp;" has a value greater than 0"&amp;CHAR(10),""),IF(D464&gt;0," * F01-13 for Age "&amp;D450&amp;" "&amp;D451&amp;" has a value greater than 0"&amp;CHAR(10),""),IF(E464&gt;0," * F01-13 for Age "&amp;D450&amp;" "&amp;E451&amp;" has a value greater than 0"&amp;CHAR(10),""),IF(#REF!&gt;0," * F01-14 for Age "&amp;D450&amp;" "&amp;D451&amp;" has a value greater than 0"&amp;CHAR(10),""),IF(#REF!&gt;0," * F01-14 for Age "&amp;D450&amp;" "&amp;E451&amp;" has a value greater than 0"&amp;CHAR(10),""),IF(D527&gt;0," * F01-15 for Age "&amp;D450&amp;" "&amp;D451&amp;" has a value greater than 0"&amp;CHAR(10),""),IF(E527&gt;0," * F01-15 for Age "&amp;D450&amp;" "&amp;E451&amp;" has a value greater than 0"&amp;CHAR(10),""),IF(D532&gt;0," * F01-20 for Age "&amp;D450&amp;" "&amp;D451&amp;" has a value greater than 0"&amp;CHAR(10),""),IF(E532&gt;0," * F01-20 for Age "&amp;D450&amp;" "&amp;E451&amp;" has a value greater than 0"&amp;CHAR(10),""),IF(D533&gt;0," * F01-21 for Age "&amp;D450&amp;" "&amp;D451&amp;" has a value greater than 0"&amp;CHAR(10),""),IF(E533&gt;0," * F01-21 for Age "&amp;D450&amp;" "&amp;E451&amp;" has a value greater than 0"&amp;CHAR(10),""),IF(D534&gt;0," * F01-22 for Age "&amp;D450&amp;" "&amp;D451&amp;" has a value greater than 0"&amp;CHAR(10),""),IF(E534&gt;0," * F01-22 for Age "&amp;D450&amp;" "&amp;E451&amp;" has a value greater than 0"&amp;CHAR(10),""),IF(D535&gt;0," * F01-23 for Age "&amp;D450&amp;" "&amp;D451&amp;" has a value greater than 0"&amp;CHAR(10),""),IF(E535&gt;0," * F01-23 for Age "&amp;D450&amp;" "&amp;E451&amp;" has a value greater than 0"&amp;CHAR(10),""),"")</f>
        <v>#REF!</v>
      </c>
      <c r="AN464" s="851"/>
      <c r="AO464" s="13">
        <v>33</v>
      </c>
      <c r="AP464" s="81"/>
      <c r="AQ464" s="82"/>
    </row>
    <row r="465" spans="1:43" s="83" customFormat="1" ht="25.5" hidden="1" x14ac:dyDescent="0.75">
      <c r="A465" s="935"/>
      <c r="B465" s="781" t="s">
        <v>1123</v>
      </c>
      <c r="C465" s="785" t="s">
        <v>1174</v>
      </c>
      <c r="D465" s="769"/>
      <c r="E465" s="797"/>
      <c r="F465" s="573"/>
      <c r="G465" s="504"/>
      <c r="H465" s="504"/>
      <c r="I465" s="504"/>
      <c r="J465" s="504"/>
      <c r="K465" s="504"/>
      <c r="L465" s="504"/>
      <c r="M465" s="504"/>
      <c r="N465" s="504"/>
      <c r="O465" s="504"/>
      <c r="P465" s="504"/>
      <c r="Q465" s="504"/>
      <c r="R465" s="504"/>
      <c r="S465" s="504"/>
      <c r="T465" s="504"/>
      <c r="U465" s="504"/>
      <c r="V465" s="504"/>
      <c r="W465" s="504"/>
      <c r="X465" s="504"/>
      <c r="Y465" s="504"/>
      <c r="Z465" s="504"/>
      <c r="AA465" s="794"/>
      <c r="AB465" s="357"/>
      <c r="AC465" s="357"/>
      <c r="AD465" s="357"/>
      <c r="AE465" s="357"/>
      <c r="AF465" s="357"/>
      <c r="AG465" s="357"/>
      <c r="AH465" s="357"/>
      <c r="AI465" s="357"/>
      <c r="AJ465" s="495">
        <f t="shared" si="170"/>
        <v>0</v>
      </c>
      <c r="AK465" s="486"/>
      <c r="AL465" s="1279"/>
      <c r="AM465" s="31" t="str">
        <f>CONCATENATE(IF(D464&gt;0," * F01-12 for Age "&amp;D451&amp;" "&amp;D452&amp;" has a value greater than 0"&amp;CHAR(10),""),IF(E464&gt;0," * F01-12 for Age "&amp;D451&amp;" "&amp;E452&amp;" has a value greater than 0"&amp;CHAR(10),""),IF(D465&gt;0," * F01-13 for Age "&amp;D451&amp;" "&amp;D452&amp;" has a value greater than 0"&amp;CHAR(10),""),IF(E465&gt;0," * F01-13 for Age "&amp;D451&amp;" "&amp;E452&amp;" has a value greater than 0"&amp;CHAR(10),""),IF(D527&gt;0," * F01-14 for Age "&amp;D451&amp;" "&amp;D452&amp;" has a value greater than 0"&amp;CHAR(10),""),IF(E527&gt;0," * F01-14 for Age "&amp;D451&amp;" "&amp;E452&amp;" has a value greater than 0"&amp;CHAR(10),""),IF(D528&gt;0," * F01-15 for Age "&amp;D451&amp;" "&amp;D452&amp;" has a value greater than 0"&amp;CHAR(10),""),IF(E528&gt;0," * F01-15 for Age "&amp;D451&amp;" "&amp;E452&amp;" has a value greater than 0"&amp;CHAR(10),""),IF(D533&gt;0," * F01-20 for Age "&amp;D451&amp;" "&amp;D452&amp;" has a value greater than 0"&amp;CHAR(10),""),IF(E533&gt;0," * F01-20 for Age "&amp;D451&amp;" "&amp;E452&amp;" has a value greater than 0"&amp;CHAR(10),""),IF(D534&gt;0," * F01-21 for Age "&amp;D451&amp;" "&amp;D452&amp;" has a value greater than 0"&amp;CHAR(10),""),IF(E534&gt;0," * F01-21 for Age "&amp;D451&amp;" "&amp;E452&amp;" has a value greater than 0"&amp;CHAR(10),""),IF(D535&gt;0," * F01-22 for Age "&amp;D451&amp;" "&amp;D452&amp;" has a value greater than 0"&amp;CHAR(10),""),IF(E535&gt;0," * F01-22 for Age "&amp;D451&amp;" "&amp;E452&amp;" has a value greater than 0"&amp;CHAR(10),""),IF(D536&gt;0," * F01-23 for Age "&amp;D451&amp;" "&amp;D452&amp;" has a value greater than 0"&amp;CHAR(10),""),IF(E536&gt;0," * F01-23 for Age "&amp;D451&amp;" "&amp;E452&amp;" has a value greater than 0"&amp;CHAR(10),""),"")</f>
        <v/>
      </c>
      <c r="AN465" s="851"/>
      <c r="AO465" s="13">
        <v>33</v>
      </c>
      <c r="AP465" s="81"/>
      <c r="AQ465" s="82"/>
    </row>
    <row r="466" spans="1:43" s="83" customFormat="1" ht="25.9" hidden="1" thickBot="1" x14ac:dyDescent="0.8">
      <c r="A466" s="936"/>
      <c r="B466" s="782" t="s">
        <v>1125</v>
      </c>
      <c r="C466" s="786" t="s">
        <v>1175</v>
      </c>
      <c r="D466" s="770"/>
      <c r="E466" s="798"/>
      <c r="F466" s="574"/>
      <c r="G466" s="570"/>
      <c r="H466" s="570"/>
      <c r="I466" s="570"/>
      <c r="J466" s="570"/>
      <c r="K466" s="570"/>
      <c r="L466" s="570"/>
      <c r="M466" s="570"/>
      <c r="N466" s="570"/>
      <c r="O466" s="570"/>
      <c r="P466" s="570"/>
      <c r="Q466" s="570"/>
      <c r="R466" s="570"/>
      <c r="S466" s="570"/>
      <c r="T466" s="570"/>
      <c r="U466" s="570"/>
      <c r="V466" s="570"/>
      <c r="W466" s="570"/>
      <c r="X466" s="570"/>
      <c r="Y466" s="570"/>
      <c r="Z466" s="570"/>
      <c r="AA466" s="777"/>
      <c r="AB466" s="391"/>
      <c r="AC466" s="391"/>
      <c r="AD466" s="391"/>
      <c r="AE466" s="391"/>
      <c r="AF466" s="391"/>
      <c r="AG466" s="391"/>
      <c r="AH466" s="391"/>
      <c r="AI466" s="391"/>
      <c r="AJ466" s="496">
        <f t="shared" si="170"/>
        <v>0</v>
      </c>
      <c r="AK466" s="486"/>
      <c r="AL466" s="1279"/>
      <c r="AM466" s="31" t="str">
        <f>CONCATENATE(IF(D465&gt;0," * F01-12 for Age "&amp;D452&amp;" "&amp;D453&amp;" has a value greater than 0"&amp;CHAR(10),""),IF(E465&gt;0," * F01-12 for Age "&amp;D452&amp;" "&amp;E453&amp;" has a value greater than 0"&amp;CHAR(10),""),IF(D466&gt;0," * F01-13 for Age "&amp;D452&amp;" "&amp;D453&amp;" has a value greater than 0"&amp;CHAR(10),""),IF(E466&gt;0," * F01-13 for Age "&amp;D452&amp;" "&amp;E453&amp;" has a value greater than 0"&amp;CHAR(10),""),IF(D528&gt;0," * F01-14 for Age "&amp;D452&amp;" "&amp;D453&amp;" has a value greater than 0"&amp;CHAR(10),""),IF(E528&gt;0," * F01-14 for Age "&amp;D452&amp;" "&amp;E453&amp;" has a value greater than 0"&amp;CHAR(10),""),IF(D529&gt;0," * F01-15 for Age "&amp;D452&amp;" "&amp;D453&amp;" has a value greater than 0"&amp;CHAR(10),""),IF(E529&gt;0," * F01-15 for Age "&amp;D452&amp;" "&amp;E453&amp;" has a value greater than 0"&amp;CHAR(10),""),IF(D534&gt;0," * F01-20 for Age "&amp;D452&amp;" "&amp;D453&amp;" has a value greater than 0"&amp;CHAR(10),""),IF(E534&gt;0," * F01-20 for Age "&amp;D452&amp;" "&amp;E453&amp;" has a value greater than 0"&amp;CHAR(10),""),IF(D535&gt;0," * F01-21 for Age "&amp;D452&amp;" "&amp;D453&amp;" has a value greater than 0"&amp;CHAR(10),""),IF(E535&gt;0," * F01-21 for Age "&amp;D452&amp;" "&amp;E453&amp;" has a value greater than 0"&amp;CHAR(10),""),IF(D536&gt;0," * F01-22 for Age "&amp;D452&amp;" "&amp;D453&amp;" has a value greater than 0"&amp;CHAR(10),""),IF(E536&gt;0," * F01-22 for Age "&amp;D452&amp;" "&amp;E453&amp;" has a value greater than 0"&amp;CHAR(10),""),IF(D537&gt;0," * F01-23 for Age "&amp;D452&amp;" "&amp;D453&amp;" has a value greater than 0"&amp;CHAR(10),""),IF(E537&gt;0," * F01-23 for Age "&amp;D452&amp;" "&amp;E453&amp;" has a value greater than 0"&amp;CHAR(10),""),"")</f>
        <v/>
      </c>
      <c r="AN466" s="851"/>
      <c r="AO466" s="13">
        <v>33</v>
      </c>
      <c r="AP466" s="81"/>
      <c r="AQ466" s="82"/>
    </row>
    <row r="467" spans="1:43" s="83" customFormat="1" ht="29.65" hidden="1" customHeight="1" x14ac:dyDescent="0.75">
      <c r="A467" s="934" t="s">
        <v>1143</v>
      </c>
      <c r="B467" s="780" t="s">
        <v>150</v>
      </c>
      <c r="C467" s="784" t="s">
        <v>1176</v>
      </c>
      <c r="D467" s="767"/>
      <c r="E467" s="795"/>
      <c r="F467" s="788">
        <f>F280</f>
        <v>0</v>
      </c>
      <c r="G467" s="789"/>
      <c r="H467" s="778">
        <f t="shared" ref="H467:AA467" si="178">H280</f>
        <v>0</v>
      </c>
      <c r="I467" s="790">
        <f t="shared" si="178"/>
        <v>0</v>
      </c>
      <c r="J467" s="778">
        <f t="shared" si="178"/>
        <v>0</v>
      </c>
      <c r="K467" s="790">
        <f t="shared" si="178"/>
        <v>0</v>
      </c>
      <c r="L467" s="778">
        <f t="shared" si="178"/>
        <v>0</v>
      </c>
      <c r="M467" s="790">
        <f t="shared" si="178"/>
        <v>0</v>
      </c>
      <c r="N467" s="778">
        <f t="shared" si="178"/>
        <v>0</v>
      </c>
      <c r="O467" s="790">
        <f t="shared" si="178"/>
        <v>0</v>
      </c>
      <c r="P467" s="778">
        <f t="shared" si="178"/>
        <v>0</v>
      </c>
      <c r="Q467" s="790">
        <f t="shared" si="178"/>
        <v>0</v>
      </c>
      <c r="R467" s="778">
        <f t="shared" si="178"/>
        <v>0</v>
      </c>
      <c r="S467" s="790">
        <f t="shared" si="178"/>
        <v>0</v>
      </c>
      <c r="T467" s="778">
        <f t="shared" si="178"/>
        <v>0</v>
      </c>
      <c r="U467" s="790">
        <f t="shared" si="178"/>
        <v>0</v>
      </c>
      <c r="V467" s="778">
        <f t="shared" si="178"/>
        <v>0</v>
      </c>
      <c r="W467" s="790">
        <f t="shared" si="178"/>
        <v>0</v>
      </c>
      <c r="X467" s="778">
        <f t="shared" si="178"/>
        <v>0</v>
      </c>
      <c r="Y467" s="790">
        <f t="shared" si="178"/>
        <v>0</v>
      </c>
      <c r="Z467" s="778">
        <f t="shared" si="178"/>
        <v>0</v>
      </c>
      <c r="AA467" s="791">
        <f t="shared" si="178"/>
        <v>0</v>
      </c>
      <c r="AB467" s="388"/>
      <c r="AC467" s="388"/>
      <c r="AD467" s="388"/>
      <c r="AE467" s="388"/>
      <c r="AF467" s="388"/>
      <c r="AG467" s="388"/>
      <c r="AH467" s="388"/>
      <c r="AI467" s="388"/>
      <c r="AJ467" s="493">
        <f t="shared" si="170"/>
        <v>0</v>
      </c>
      <c r="AK467" s="566" t="str">
        <f>CONCATENATE(IF((D468+D469+D470+D471)&lt;&gt;D467," * "&amp;$A467&amp;" , "&amp;$B468&amp;" plus "&amp;$B469&amp;" plus "&amp;$B470&amp;" plus "&amp;$B471&amp;" For age "&amp;$D$20&amp;" "&amp;$D$21&amp;" should be equal to "&amp;$B467&amp;""&amp;CHAR(10),""),IF((E468+E469+E470+E471)&lt;&gt;E467," * "&amp;$A467&amp;" , "&amp;$B468&amp;" plus "&amp;$B469&amp;" plus "&amp;$B470&amp;" plus "&amp;$B471&amp;" For age "&amp;$D$20&amp;" "&amp;$E$21&amp;" should be equal to "&amp;$B467&amp;""&amp;CHAR(10),""),IF((F468+F469+F470+F471)&lt;&gt;F467," * "&amp;$A467&amp;" , "&amp;$B468&amp;" plus "&amp;$B469&amp;" plus "&amp;$B470&amp;" plus "&amp;$B471&amp;" For age "&amp;$F$20&amp;" "&amp;$F$21&amp;" should be equal to "&amp;$B467&amp;""&amp;CHAR(10),""),IF((G468+G469+G470+G471)&lt;&gt;G467," * "&amp;$A467&amp;" , "&amp;$B468&amp;" plus "&amp;$B469&amp;" plus "&amp;$B470&amp;" plus "&amp;$B471&amp;" For age "&amp;$F$20&amp;" "&amp;$G$21&amp;" should be equal to "&amp;$B467&amp;""&amp;CHAR(10),""),IF((H468+H469+H470+H471)&lt;&gt;H467," * "&amp;$A467&amp;" , "&amp;$B468&amp;" plus "&amp;$B469&amp;" plus "&amp;$B470&amp;" plus "&amp;$B471&amp;" For age "&amp;$H$20&amp;" "&amp;$H$21&amp;" should be equal to "&amp;$B467&amp;""&amp;CHAR(10),""),IF((I468+I469+I470+I471)&lt;&gt;I467," * "&amp;$A467&amp;" , "&amp;$B468&amp;" plus "&amp;$B469&amp;" plus "&amp;$B470&amp;" plus "&amp;$B471&amp;" For age "&amp;$H$20&amp;" "&amp;$I$21&amp;" should be equal to "&amp;$B467&amp;""&amp;CHAR(10),""),IF((J468+J469+J470+J471)&lt;&gt;J467," * "&amp;$A467&amp;" , "&amp;$B468&amp;" plus "&amp;$B469&amp;" plus "&amp;$B470&amp;" plus "&amp;$B471&amp;" For age "&amp;$J$20&amp;" "&amp;$J$21&amp;" should be equal to "&amp;$B467&amp;""&amp;CHAR(10),""),IF((K468+K469+K470+K471)&lt;&gt;K467," * "&amp;$A467&amp;" , "&amp;$B468&amp;" plus "&amp;$B469&amp;" plus "&amp;$B470&amp;" plus "&amp;$B471&amp;" For age "&amp;$J$20&amp;" "&amp;$K$21&amp;" should be equal to "&amp;$B467&amp;""&amp;CHAR(10),""),IF((L468+L469+L470+L471)&lt;&gt;L467," * "&amp;$A467&amp;" , "&amp;$B468&amp;" plus "&amp;$B469&amp;" plus "&amp;$B470&amp;" plus "&amp;$B471&amp;" For age "&amp;$L$20&amp;" "&amp;$L$21&amp;" should be equal to "&amp;$B467&amp;""&amp;CHAR(10),""),IF((M468+M469+M470+M471)&lt;&gt;M467," * "&amp;$A467&amp;" , "&amp;$B468&amp;" plus "&amp;$B469&amp;" plus "&amp;$B470&amp;" plus "&amp;$B471&amp;" For age "&amp;$L$20&amp;" "&amp;$M$21&amp;" should be equal to "&amp;$B467&amp;""&amp;CHAR(10),""),IF((N468+N469+N470+N471)&lt;&gt;N467," * "&amp;$A467&amp;" , "&amp;$B468&amp;" plus "&amp;$B469&amp;" plus "&amp;$B470&amp;" plus "&amp;$B471&amp;" For age "&amp;$N$20&amp;" "&amp;$N$21&amp;" should be equal to "&amp;$B467&amp;""&amp;CHAR(10),""),IF((O468+O469+O470+O471)&lt;&gt;O467," * "&amp;$A467&amp;" , "&amp;$B468&amp;" plus "&amp;$B469&amp;" plus "&amp;$B470&amp;" plus "&amp;$B471&amp;" For age "&amp;$N$20&amp;" "&amp;$O$21&amp;" should be equal to "&amp;$B467&amp;""&amp;CHAR(10),""),IF((P468+P469+P470+P471)&lt;&gt;P467," * "&amp;$A467&amp;" , "&amp;$B468&amp;" plus "&amp;$B469&amp;" plus "&amp;$B470&amp;" plus "&amp;$B471&amp;" For age "&amp;$P$20&amp;" "&amp;$P$21&amp;" should be equal to "&amp;$B467&amp;""&amp;CHAR(10),""),IF((Q468+Q469+Q470+Q471)&lt;&gt;Q467," * "&amp;$A467&amp;" , "&amp;$B468&amp;" plus "&amp;$B469&amp;" plus "&amp;$B470&amp;" plus "&amp;$B471&amp;" For age "&amp;$P$20&amp;" "&amp;$Q$21&amp;" should be equal to "&amp;$B467&amp;""&amp;CHAR(10),""),IF((R468+R469+R470+R471)&lt;&gt;R467," * "&amp;$A467&amp;" , "&amp;$B468&amp;" plus "&amp;$B469&amp;" plus "&amp;$B470&amp;" plus "&amp;$B471&amp;" For age "&amp;$R$20&amp;" "&amp;$R$21&amp;" should be equal to "&amp;$B467&amp;""&amp;CHAR(10),""),IF((S468+S469+S470+S471)&lt;&gt;S467," * "&amp;$A467&amp;" , "&amp;$B468&amp;" plus "&amp;$B469&amp;" plus "&amp;$B470&amp;" plus "&amp;$B471&amp;" For age "&amp;$R$20&amp;" "&amp;$S$21&amp;" should be equal to "&amp;$B467&amp;""&amp;CHAR(10),""),IF((T468+T469+T470+T471)&lt;&gt;T467," * "&amp;$A467&amp;" , "&amp;$B468&amp;" plus "&amp;$B469&amp;" plus "&amp;$B470&amp;" plus "&amp;$B471&amp;" For age "&amp;$T$20&amp;" "&amp;$T$21&amp;" should be equal to "&amp;$B467&amp;""&amp;CHAR(10),""),IF((U468+U469+U470+U471)&lt;&gt;U467," * "&amp;$A467&amp;" , "&amp;$B468&amp;" plus "&amp;$B469&amp;" plus "&amp;$B470&amp;" plus "&amp;$B471&amp;" For age "&amp;$T$20&amp;" "&amp;$U$21&amp;" should be equal to "&amp;$B467&amp;""&amp;CHAR(10),""),IF((V468+V469+V470+V471)&lt;&gt;V467," * "&amp;$A467&amp;" , "&amp;$B468&amp;" plus "&amp;$B469&amp;" plus "&amp;$B470&amp;" plus "&amp;$B471&amp;" For age "&amp;$V$20&amp;" "&amp;$V$21&amp;" should be equal to "&amp;$B467&amp;""&amp;CHAR(10),""),IF((W468+W469+W470+W471)&lt;&gt;W467," * "&amp;$A467&amp;" , "&amp;$B468&amp;" plus "&amp;$B469&amp;" plus "&amp;$B470&amp;" plus "&amp;$B471&amp;" For age "&amp;$V$20&amp;" "&amp;$W$21&amp;" should be equal to "&amp;$B467&amp;""&amp;CHAR(10),""),IF((X468+X469+X470+X471)&lt;&gt;X467," * "&amp;$A467&amp;" , "&amp;$B468&amp;" plus "&amp;$B469&amp;" plus "&amp;$B470&amp;" plus "&amp;$B471&amp;" For age "&amp;$X$20&amp;" "&amp;$X$21&amp;" should be equal to "&amp;$B467&amp;""&amp;CHAR(10),""),IF((Y468+Y469+Y470+Y471)&lt;&gt;Y467," * "&amp;$A467&amp;" , "&amp;$B468&amp;" plus "&amp;$B469&amp;" plus "&amp;$B470&amp;" plus "&amp;$B471&amp;" For age "&amp;$X$20&amp;" "&amp;$Y$21&amp;" should be equal to "&amp;$B467&amp;""&amp;CHAR(10),""),IF((Z468+Z469+Z470+Z471)&lt;&gt;Z467," * "&amp;$A467&amp;" , "&amp;$B468&amp;" plus "&amp;$B469&amp;" plus "&amp;$B470&amp;" plus "&amp;$B471&amp;" For age "&amp;$Z$20&amp;" "&amp;$Z$21&amp;" should be equal to "&amp;$B467&amp;""&amp;CHAR(10),""),IF((AA468+AA469+AA470+AA471)&lt;&gt;AA467," * "&amp;$A467&amp;" , "&amp;$B468&amp;" plus "&amp;$B469&amp;" plus "&amp;$B470&amp;" plus "&amp;$B471&amp;" For age "&amp;$Z$20&amp;" "&amp;$AA$21&amp;" should be equal to "&amp;$B467&amp;""&amp;CHAR(10),""))</f>
        <v/>
      </c>
      <c r="AL467" s="1279"/>
      <c r="AM467" s="31"/>
      <c r="AN467" s="851"/>
      <c r="AO467" s="13">
        <v>31</v>
      </c>
      <c r="AP467" s="81"/>
      <c r="AQ467" s="82"/>
    </row>
    <row r="468" spans="1:43" s="83" customFormat="1" ht="25.5" hidden="1" x14ac:dyDescent="0.75">
      <c r="A468" s="935"/>
      <c r="B468" s="781" t="s">
        <v>1140</v>
      </c>
      <c r="C468" s="785" t="s">
        <v>1177</v>
      </c>
      <c r="D468" s="648"/>
      <c r="E468" s="796"/>
      <c r="F468" s="783"/>
      <c r="G468" s="572"/>
      <c r="H468" s="761"/>
      <c r="I468" s="497"/>
      <c r="J468" s="761"/>
      <c r="K468" s="497"/>
      <c r="L468" s="761"/>
      <c r="M468" s="497"/>
      <c r="N468" s="761"/>
      <c r="O468" s="497"/>
      <c r="P468" s="761"/>
      <c r="Q468" s="497"/>
      <c r="R468" s="761"/>
      <c r="S468" s="497"/>
      <c r="T468" s="761"/>
      <c r="U468" s="497"/>
      <c r="V468" s="761"/>
      <c r="W468" s="497"/>
      <c r="X468" s="761"/>
      <c r="Y468" s="497"/>
      <c r="Z468" s="761"/>
      <c r="AA468" s="775"/>
      <c r="AB468" s="357"/>
      <c r="AC468" s="357"/>
      <c r="AD468" s="357"/>
      <c r="AE468" s="357"/>
      <c r="AF468" s="357"/>
      <c r="AG468" s="357"/>
      <c r="AH468" s="357"/>
      <c r="AI468" s="357"/>
      <c r="AJ468" s="494">
        <f t="shared" si="170"/>
        <v>0</v>
      </c>
      <c r="AK468" s="1011" t="str">
        <f>CONCATENATE(IF(D469&gt;D468," * Positive F01-13 for Age "&amp;D455&amp;" "&amp;D456&amp;" is more than Tested F01-12"&amp;CHAR(10),""),IF(E469&gt;E468," * Positive F01-13 for Age "&amp;D455&amp;" "&amp;E456&amp;" is more than Tested F01-12"&amp;CHAR(10),""),IF(F469&gt;F468," * Positive F01-13 for Age "&amp;F455&amp;" "&amp;F456&amp;" is more than Tested F01-12"&amp;CHAR(10),""),IF(G469&gt;G468," * Positive F01-13 for Age "&amp;F455&amp;" "&amp;G456&amp;" is more than Tested F01-12"&amp;CHAR(10),""),IF(H469&gt;H468," * Positive F01-13 for Age "&amp;H455&amp;" "&amp;H456&amp;" is more than Tested F01-12"&amp;CHAR(10),""),IF(I469&gt;I468," * Positive F01-13 for Age "&amp;H455&amp;" "&amp;I456&amp;" is more than Tested F01-12"&amp;CHAR(10),""),IF(J469&gt;J468," * Positive F01-13 for Age "&amp;J455&amp;" "&amp;J456&amp;" is more than Tested F01-12"&amp;CHAR(10),""),IF(K469&gt;K468," * Positive F01-13 for Age "&amp;J455&amp;" "&amp;K456&amp;" is more than Tested F01-12"&amp;CHAR(10),""),IF(L469&gt;L468," * Positive F01-13 for Age "&amp;L455&amp;" "&amp;L456&amp;" is more than Tested F01-12"&amp;CHAR(10),""),IF(M469&gt;M468," * Positive F01-13 for Age "&amp;L455&amp;" "&amp;M456&amp;" is more than Tested F01-12"&amp;CHAR(10),""),IF(N469&gt;N468," * Positive F01-13 for Age "&amp;N455&amp;" "&amp;N456&amp;" is more than Tested F01-12"&amp;CHAR(10),""),IF(O469&gt;O468," * Positive F01-13 for Age "&amp;N455&amp;" "&amp;O456&amp;" is more than Tested F01-12"&amp;CHAR(10),""),IF(P469&gt;P468," * Positive F01-13 for Age "&amp;P455&amp;" "&amp;P456&amp;" is more than Tested F01-12"&amp;CHAR(10),""),IF(Q469&gt;Q468," * Positive F01-13 for Age "&amp;P455&amp;" "&amp;Q456&amp;" is more than Tested F01-12"&amp;CHAR(10),""),IF(R469&gt;R468," * Positive F01-13 for Age "&amp;R455&amp;" "&amp;R456&amp;" is more than Tested F01-12"&amp;CHAR(10),""),IF(S469&gt;S468," * Positive F01-13 for Age "&amp;R455&amp;" "&amp;S456&amp;" is more than Tested F01-12"&amp;CHAR(10),""),IF(T469&gt;T468," * Positive F01-13 for Age "&amp;T455&amp;" "&amp;T456&amp;" is more than Tested F01-12"&amp;CHAR(10),""),IF(U469&gt;U468," * Positive F01-13 for Age "&amp;T455&amp;" "&amp;U456&amp;" is more than Tested F01-12"&amp;CHAR(10),""),IF(V469&gt;V468," * Positive F01-13 for Age "&amp;V455&amp;" "&amp;V456&amp;" is more than Tested F01-12"&amp;CHAR(10),""),IF(W469&gt;W468," * Positive F01-13 for Age "&amp;V455&amp;" "&amp;W456&amp;" is more than Tested F01-12"&amp;CHAR(10),""),IF(X469&gt;X468," * Positive F01-13 for Age "&amp;X455&amp;" "&amp;X456&amp;" is more than Tested F01-12"&amp;CHAR(10),""),IF(Y469&gt;Y468," * Positive F01-13 for Age "&amp;X455&amp;" "&amp;Y456&amp;" is more than Tested F01-12"&amp;CHAR(10),""),IF(Z469&gt;Z468," * Positive F01-13 for Age "&amp;Z455&amp;" "&amp;Z456&amp;" is more than Tested F01-12"&amp;CHAR(10),""),IF(AA469&gt;AA468," * Positive F01-13 for Age "&amp;Z455&amp;" "&amp;AA456&amp;" is more than Tested F01-12"&amp;CHAR(10),""))</f>
        <v/>
      </c>
      <c r="AL468" s="1279"/>
      <c r="AM468" s="31" t="str">
        <f>CONCATENATE(IF(AND(IFERROR((AJ469*100)/AJ468,0)&gt;10,AJ469&gt;5)," * This facility has a high positivity rate for Index Testing. Kindly confirm if this is the true reflection"&amp;CHAR(10),""),"")</f>
        <v/>
      </c>
      <c r="AN468" s="851"/>
      <c r="AO468" s="13">
        <v>32</v>
      </c>
      <c r="AP468" s="81"/>
      <c r="AQ468" s="82"/>
    </row>
    <row r="469" spans="1:43" s="83" customFormat="1" ht="25.5" hidden="1" x14ac:dyDescent="0.75">
      <c r="A469" s="935"/>
      <c r="B469" s="781" t="s">
        <v>1121</v>
      </c>
      <c r="C469" s="785" t="s">
        <v>1178</v>
      </c>
      <c r="D469" s="769"/>
      <c r="E469" s="797"/>
      <c r="F469" s="783"/>
      <c r="G469" s="572"/>
      <c r="H469" s="761"/>
      <c r="I469" s="497"/>
      <c r="J469" s="761"/>
      <c r="K469" s="497"/>
      <c r="L469" s="761"/>
      <c r="M469" s="497"/>
      <c r="N469" s="761"/>
      <c r="O469" s="497"/>
      <c r="P469" s="761"/>
      <c r="Q469" s="497"/>
      <c r="R469" s="761"/>
      <c r="S469" s="497"/>
      <c r="T469" s="761"/>
      <c r="U469" s="497"/>
      <c r="V469" s="761"/>
      <c r="W469" s="497"/>
      <c r="X469" s="761"/>
      <c r="Y469" s="497"/>
      <c r="Z469" s="761"/>
      <c r="AA469" s="775"/>
      <c r="AB469" s="357"/>
      <c r="AC469" s="357"/>
      <c r="AD469" s="357"/>
      <c r="AE469" s="357"/>
      <c r="AF469" s="357"/>
      <c r="AG469" s="357"/>
      <c r="AH469" s="357"/>
      <c r="AI469" s="357"/>
      <c r="AJ469" s="495">
        <f t="shared" si="170"/>
        <v>0</v>
      </c>
      <c r="AK469" s="1011"/>
      <c r="AL469" s="1279"/>
      <c r="AM469" s="31" t="e">
        <f>CONCATENATE(IF(D468&gt;0," * F01-12 for Age "&amp;D455&amp;" "&amp;D456&amp;" has a value greater than 0"&amp;CHAR(10),""),IF(E468&gt;0," * F01-12 for Age "&amp;D455&amp;" "&amp;E456&amp;" has a value greater than 0"&amp;CHAR(10),""),IF(D469&gt;0," * F01-13 for Age "&amp;D455&amp;" "&amp;D456&amp;" has a value greater than 0"&amp;CHAR(10),""),IF(E469&gt;0," * F01-13 for Age "&amp;D455&amp;" "&amp;E456&amp;" has a value greater than 0"&amp;CHAR(10),""),IF(#REF!&gt;0," * F01-14 for Age "&amp;D455&amp;" "&amp;D456&amp;" has a value greater than 0"&amp;CHAR(10),""),IF(#REF!&gt;0," * F01-14 for Age "&amp;D455&amp;" "&amp;E456&amp;" has a value greater than 0"&amp;CHAR(10),""),IF(D532&gt;0," * F01-15 for Age "&amp;D455&amp;" "&amp;D456&amp;" has a value greater than 0"&amp;CHAR(10),""),IF(E532&gt;0," * F01-15 for Age "&amp;D455&amp;" "&amp;E456&amp;" has a value greater than 0"&amp;CHAR(10),""),IF(D537&gt;0," * F01-20 for Age "&amp;D455&amp;" "&amp;D456&amp;" has a value greater than 0"&amp;CHAR(10),""),IF(E537&gt;0," * F01-20 for Age "&amp;D455&amp;" "&amp;E456&amp;" has a value greater than 0"&amp;CHAR(10),""),IF(D538&gt;0," * F01-21 for Age "&amp;D455&amp;" "&amp;D456&amp;" has a value greater than 0"&amp;CHAR(10),""),IF(E538&gt;0," * F01-21 for Age "&amp;D455&amp;" "&amp;E456&amp;" has a value greater than 0"&amp;CHAR(10),""),IF(D539&gt;0," * F01-22 for Age "&amp;D455&amp;" "&amp;D456&amp;" has a value greater than 0"&amp;CHAR(10),""),IF(E539&gt;0," * F01-22 for Age "&amp;D455&amp;" "&amp;E456&amp;" has a value greater than 0"&amp;CHAR(10),""),IF(D540&gt;0," * F01-23 for Age "&amp;D455&amp;" "&amp;D456&amp;" has a value greater than 0"&amp;CHAR(10),""),IF(E540&gt;0," * F01-23 for Age "&amp;D455&amp;" "&amp;E456&amp;" has a value greater than 0"&amp;CHAR(10),""),"")</f>
        <v>#REF!</v>
      </c>
      <c r="AN469" s="851"/>
      <c r="AO469" s="13">
        <v>33</v>
      </c>
      <c r="AP469" s="81"/>
      <c r="AQ469" s="82"/>
    </row>
    <row r="470" spans="1:43" s="83" customFormat="1" ht="25.5" hidden="1" x14ac:dyDescent="0.75">
      <c r="A470" s="935"/>
      <c r="B470" s="781" t="s">
        <v>1123</v>
      </c>
      <c r="C470" s="785" t="s">
        <v>1179</v>
      </c>
      <c r="D470" s="769"/>
      <c r="E470" s="797"/>
      <c r="F470" s="783"/>
      <c r="G470" s="572"/>
      <c r="H470" s="761"/>
      <c r="I470" s="497"/>
      <c r="J470" s="761"/>
      <c r="K470" s="497"/>
      <c r="L470" s="761"/>
      <c r="M470" s="497"/>
      <c r="N470" s="761"/>
      <c r="O470" s="497"/>
      <c r="P470" s="761"/>
      <c r="Q470" s="497"/>
      <c r="R470" s="761"/>
      <c r="S470" s="497"/>
      <c r="T470" s="761"/>
      <c r="U470" s="497"/>
      <c r="V470" s="761"/>
      <c r="W470" s="497"/>
      <c r="X470" s="761"/>
      <c r="Y470" s="497"/>
      <c r="Z470" s="761"/>
      <c r="AA470" s="775"/>
      <c r="AB470" s="357"/>
      <c r="AC470" s="357"/>
      <c r="AD470" s="357"/>
      <c r="AE470" s="357"/>
      <c r="AF470" s="357"/>
      <c r="AG470" s="357"/>
      <c r="AH470" s="357"/>
      <c r="AI470" s="357"/>
      <c r="AJ470" s="495">
        <f t="shared" si="170"/>
        <v>0</v>
      </c>
      <c r="AK470" s="486"/>
      <c r="AL470" s="1279"/>
      <c r="AM470" s="31" t="str">
        <f>CONCATENATE(IF(D469&gt;0," * F01-12 for Age "&amp;D456&amp;" "&amp;D457&amp;" has a value greater than 0"&amp;CHAR(10),""),IF(E469&gt;0," * F01-12 for Age "&amp;D456&amp;" "&amp;E457&amp;" has a value greater than 0"&amp;CHAR(10),""),IF(D470&gt;0," * F01-13 for Age "&amp;D456&amp;" "&amp;D457&amp;" has a value greater than 0"&amp;CHAR(10),""),IF(E470&gt;0," * F01-13 for Age "&amp;D456&amp;" "&amp;E457&amp;" has a value greater than 0"&amp;CHAR(10),""),IF(D532&gt;0," * F01-14 for Age "&amp;D456&amp;" "&amp;D457&amp;" has a value greater than 0"&amp;CHAR(10),""),IF(E532&gt;0," * F01-14 for Age "&amp;D456&amp;" "&amp;E457&amp;" has a value greater than 0"&amp;CHAR(10),""),IF(D533&gt;0," * F01-15 for Age "&amp;D456&amp;" "&amp;D457&amp;" has a value greater than 0"&amp;CHAR(10),""),IF(E533&gt;0," * F01-15 for Age "&amp;D456&amp;" "&amp;E457&amp;" has a value greater than 0"&amp;CHAR(10),""),IF(D538&gt;0," * F01-20 for Age "&amp;D456&amp;" "&amp;D457&amp;" has a value greater than 0"&amp;CHAR(10),""),IF(E538&gt;0," * F01-20 for Age "&amp;D456&amp;" "&amp;E457&amp;" has a value greater than 0"&amp;CHAR(10),""),IF(D539&gt;0," * F01-21 for Age "&amp;D456&amp;" "&amp;D457&amp;" has a value greater than 0"&amp;CHAR(10),""),IF(E539&gt;0," * F01-21 for Age "&amp;D456&amp;" "&amp;E457&amp;" has a value greater than 0"&amp;CHAR(10),""),IF(D540&gt;0," * F01-22 for Age "&amp;D456&amp;" "&amp;D457&amp;" has a value greater than 0"&amp;CHAR(10),""),IF(E540&gt;0," * F01-22 for Age "&amp;D456&amp;" "&amp;E457&amp;" has a value greater than 0"&amp;CHAR(10),""),IF(D541&gt;0," * F01-23 for Age "&amp;D456&amp;" "&amp;D457&amp;" has a value greater than 0"&amp;CHAR(10),""),IF(E541&gt;0," * F01-23 for Age "&amp;D456&amp;" "&amp;E457&amp;" has a value greater than 0"&amp;CHAR(10),""),"")</f>
        <v/>
      </c>
      <c r="AN470" s="851"/>
      <c r="AO470" s="13">
        <v>33</v>
      </c>
      <c r="AP470" s="81"/>
      <c r="AQ470" s="82"/>
    </row>
    <row r="471" spans="1:43" s="83" customFormat="1" ht="25.9" hidden="1" thickBot="1" x14ac:dyDescent="0.8">
      <c r="A471" s="936"/>
      <c r="B471" s="782" t="s">
        <v>1125</v>
      </c>
      <c r="C471" s="786" t="s">
        <v>1180</v>
      </c>
      <c r="D471" s="770"/>
      <c r="E471" s="798"/>
      <c r="F471" s="787"/>
      <c r="G471" s="802"/>
      <c r="H471" s="766"/>
      <c r="I471" s="760"/>
      <c r="J471" s="766"/>
      <c r="K471" s="760"/>
      <c r="L471" s="766"/>
      <c r="M471" s="760"/>
      <c r="N471" s="766"/>
      <c r="O471" s="760"/>
      <c r="P471" s="766"/>
      <c r="Q471" s="760"/>
      <c r="R471" s="766"/>
      <c r="S471" s="760"/>
      <c r="T471" s="766"/>
      <c r="U471" s="760"/>
      <c r="V471" s="766"/>
      <c r="W471" s="760"/>
      <c r="X471" s="766"/>
      <c r="Y471" s="760"/>
      <c r="Z471" s="766"/>
      <c r="AA471" s="803"/>
      <c r="AB471" s="391"/>
      <c r="AC471" s="391"/>
      <c r="AD471" s="391"/>
      <c r="AE471" s="391"/>
      <c r="AF471" s="391"/>
      <c r="AG471" s="391"/>
      <c r="AH471" s="391"/>
      <c r="AI471" s="391"/>
      <c r="AJ471" s="496">
        <f t="shared" si="170"/>
        <v>0</v>
      </c>
      <c r="AK471" s="486"/>
      <c r="AL471" s="1279"/>
      <c r="AM471" s="31" t="str">
        <f>CONCATENATE(IF(D470&gt;0," * F01-12 for Age "&amp;D457&amp;" "&amp;D458&amp;" has a value greater than 0"&amp;CHAR(10),""),IF(E470&gt;0," * F01-12 for Age "&amp;D457&amp;" "&amp;E458&amp;" has a value greater than 0"&amp;CHAR(10),""),IF(D471&gt;0," * F01-13 for Age "&amp;D457&amp;" "&amp;D458&amp;" has a value greater than 0"&amp;CHAR(10),""),IF(E471&gt;0," * F01-13 for Age "&amp;D457&amp;" "&amp;E458&amp;" has a value greater than 0"&amp;CHAR(10),""),IF(D533&gt;0," * F01-14 for Age "&amp;D457&amp;" "&amp;D458&amp;" has a value greater than 0"&amp;CHAR(10),""),IF(E533&gt;0," * F01-14 for Age "&amp;D457&amp;" "&amp;E458&amp;" has a value greater than 0"&amp;CHAR(10),""),IF(D534&gt;0," * F01-15 for Age "&amp;D457&amp;" "&amp;D458&amp;" has a value greater than 0"&amp;CHAR(10),""),IF(E534&gt;0," * F01-15 for Age "&amp;D457&amp;" "&amp;E458&amp;" has a value greater than 0"&amp;CHAR(10),""),IF(D539&gt;0," * F01-20 for Age "&amp;D457&amp;" "&amp;D458&amp;" has a value greater than 0"&amp;CHAR(10),""),IF(E539&gt;0," * F01-20 for Age "&amp;D457&amp;" "&amp;E458&amp;" has a value greater than 0"&amp;CHAR(10),""),IF(D540&gt;0," * F01-21 for Age "&amp;D457&amp;" "&amp;D458&amp;" has a value greater than 0"&amp;CHAR(10),""),IF(E540&gt;0," * F01-21 for Age "&amp;D457&amp;" "&amp;E458&amp;" has a value greater than 0"&amp;CHAR(10),""),IF(D541&gt;0," * F01-22 for Age "&amp;D457&amp;" "&amp;D458&amp;" has a value greater than 0"&amp;CHAR(10),""),IF(E541&gt;0," * F01-22 for Age "&amp;D457&amp;" "&amp;E458&amp;" has a value greater than 0"&amp;CHAR(10),""),IF(D542&gt;0," * F01-23 for Age "&amp;D457&amp;" "&amp;D458&amp;" has a value greater than 0"&amp;CHAR(10),""),IF(E542&gt;0," * F01-23 for Age "&amp;D457&amp;" "&amp;E458&amp;" has a value greater than 0"&amp;CHAR(10),""),"")</f>
        <v/>
      </c>
      <c r="AN471" s="851"/>
      <c r="AO471" s="13">
        <v>33</v>
      </c>
      <c r="AP471" s="81"/>
      <c r="AQ471" s="82"/>
    </row>
    <row r="472" spans="1:43" s="83" customFormat="1" ht="25.5" hidden="1" x14ac:dyDescent="0.75">
      <c r="A472" s="934" t="s">
        <v>1144</v>
      </c>
      <c r="B472" s="780" t="s">
        <v>150</v>
      </c>
      <c r="C472" s="784" t="s">
        <v>1181</v>
      </c>
      <c r="D472" s="767"/>
      <c r="E472" s="795"/>
      <c r="F472" s="767">
        <f>F284+F286+F288+F290+F292+F294+F296</f>
        <v>0</v>
      </c>
      <c r="G472" s="779">
        <f>G284+G286+G288+G290+G292+G294+G296+G298</f>
        <v>0</v>
      </c>
      <c r="H472" s="779">
        <f t="shared" ref="H472:AA472" si="179">H284+H286+H288+H290+H292+H294+H296+H298</f>
        <v>0</v>
      </c>
      <c r="I472" s="779">
        <f t="shared" si="179"/>
        <v>0</v>
      </c>
      <c r="J472" s="779">
        <f t="shared" si="179"/>
        <v>0</v>
      </c>
      <c r="K472" s="779">
        <f t="shared" si="179"/>
        <v>0</v>
      </c>
      <c r="L472" s="779">
        <f t="shared" si="179"/>
        <v>0</v>
      </c>
      <c r="M472" s="779">
        <f t="shared" si="179"/>
        <v>0</v>
      </c>
      <c r="N472" s="779">
        <f t="shared" si="179"/>
        <v>0</v>
      </c>
      <c r="O472" s="779">
        <f t="shared" si="179"/>
        <v>0</v>
      </c>
      <c r="P472" s="779">
        <f t="shared" si="179"/>
        <v>0</v>
      </c>
      <c r="Q472" s="779">
        <f t="shared" si="179"/>
        <v>0</v>
      </c>
      <c r="R472" s="779">
        <f t="shared" si="179"/>
        <v>0</v>
      </c>
      <c r="S472" s="779">
        <f t="shared" si="179"/>
        <v>0</v>
      </c>
      <c r="T472" s="779">
        <f t="shared" si="179"/>
        <v>0</v>
      </c>
      <c r="U472" s="779">
        <f t="shared" si="179"/>
        <v>0</v>
      </c>
      <c r="V472" s="779">
        <f t="shared" si="179"/>
        <v>0</v>
      </c>
      <c r="W472" s="779">
        <f t="shared" si="179"/>
        <v>0</v>
      </c>
      <c r="X472" s="779">
        <f t="shared" si="179"/>
        <v>0</v>
      </c>
      <c r="Y472" s="779">
        <f t="shared" si="179"/>
        <v>0</v>
      </c>
      <c r="Z472" s="779">
        <f t="shared" si="179"/>
        <v>0</v>
      </c>
      <c r="AA472" s="779">
        <f t="shared" si="179"/>
        <v>0</v>
      </c>
      <c r="AB472" s="388"/>
      <c r="AC472" s="388"/>
      <c r="AD472" s="388"/>
      <c r="AE472" s="388"/>
      <c r="AF472" s="388"/>
      <c r="AG472" s="388"/>
      <c r="AH472" s="388"/>
      <c r="AI472" s="388"/>
      <c r="AJ472" s="493">
        <f t="shared" si="170"/>
        <v>0</v>
      </c>
      <c r="AK472" s="566" t="str">
        <f>CONCATENATE(IF((D473+D474+D475+D476)&lt;&gt;D472," * "&amp;$A472&amp;" , "&amp;$B473&amp;" plus "&amp;$B474&amp;" plus "&amp;$B475&amp;" plus "&amp;$B476&amp;" For age "&amp;$D$20&amp;" "&amp;$D$21&amp;" should be equal to "&amp;$B472&amp;""&amp;CHAR(10),""),IF((E473+E474+E475+E476)&lt;&gt;E472," * "&amp;$A472&amp;" , "&amp;$B473&amp;" plus "&amp;$B474&amp;" plus "&amp;$B475&amp;" plus "&amp;$B476&amp;" For age "&amp;$D$20&amp;" "&amp;$E$21&amp;" should be equal to "&amp;$B472&amp;""&amp;CHAR(10),""),IF((F473+F474+F475+F476)&lt;&gt;F472," * "&amp;$A472&amp;" , "&amp;$B473&amp;" plus "&amp;$B474&amp;" plus "&amp;$B475&amp;" plus "&amp;$B476&amp;" For age "&amp;$F$20&amp;" "&amp;$F$21&amp;" should be equal to "&amp;$B472&amp;""&amp;CHAR(10),""),IF((G473+G474+G475+G476)&lt;&gt;G472," * "&amp;$A472&amp;" , "&amp;$B473&amp;" plus "&amp;$B474&amp;" plus "&amp;$B475&amp;" plus "&amp;$B476&amp;" For age "&amp;$F$20&amp;" "&amp;$G$21&amp;" should be equal to "&amp;$B472&amp;""&amp;CHAR(10),""),IF((H473+H474+H475+H476)&lt;&gt;H472," * "&amp;$A472&amp;" , "&amp;$B473&amp;" plus "&amp;$B474&amp;" plus "&amp;$B475&amp;" plus "&amp;$B476&amp;" For age "&amp;$H$20&amp;" "&amp;$H$21&amp;" should be equal to "&amp;$B472&amp;""&amp;CHAR(10),""),IF((I473+I474+I475+I476)&lt;&gt;I472," * "&amp;$A472&amp;" , "&amp;$B473&amp;" plus "&amp;$B474&amp;" plus "&amp;$B475&amp;" plus "&amp;$B476&amp;" For age "&amp;$H$20&amp;" "&amp;$I$21&amp;" should be equal to "&amp;$B472&amp;""&amp;CHAR(10),""),IF((J473+J474+J475+J476)&lt;&gt;J472," * "&amp;$A472&amp;" , "&amp;$B473&amp;" plus "&amp;$B474&amp;" plus "&amp;$B475&amp;" plus "&amp;$B476&amp;" For age "&amp;$J$20&amp;" "&amp;$J$21&amp;" should be equal to "&amp;$B472&amp;""&amp;CHAR(10),""),IF((K473+K474+K475+K476)&lt;&gt;K472," * "&amp;$A472&amp;" , "&amp;$B473&amp;" plus "&amp;$B474&amp;" plus "&amp;$B475&amp;" plus "&amp;$B476&amp;" For age "&amp;$J$20&amp;" "&amp;$K$21&amp;" should be equal to "&amp;$B472&amp;""&amp;CHAR(10),""),IF((L473+L474+L475+L476)&lt;&gt;L472," * "&amp;$A472&amp;" , "&amp;$B473&amp;" plus "&amp;$B474&amp;" plus "&amp;$B475&amp;" plus "&amp;$B476&amp;" For age "&amp;$L$20&amp;" "&amp;$L$21&amp;" should be equal to "&amp;$B472&amp;""&amp;CHAR(10),""),IF((M473+M474+M475+M476)&lt;&gt;M472," * "&amp;$A472&amp;" , "&amp;$B473&amp;" plus "&amp;$B474&amp;" plus "&amp;$B475&amp;" plus "&amp;$B476&amp;" For age "&amp;$L$20&amp;" "&amp;$M$21&amp;" should be equal to "&amp;$B472&amp;""&amp;CHAR(10),""),IF((N473+N474+N475+N476)&lt;&gt;N472," * "&amp;$A472&amp;" , "&amp;$B473&amp;" plus "&amp;$B474&amp;" plus "&amp;$B475&amp;" plus "&amp;$B476&amp;" For age "&amp;$N$20&amp;" "&amp;$N$21&amp;" should be equal to "&amp;$B472&amp;""&amp;CHAR(10),""),IF((O473+O474+O475+O476)&lt;&gt;O472," * "&amp;$A472&amp;" , "&amp;$B473&amp;" plus "&amp;$B474&amp;" plus "&amp;$B475&amp;" plus "&amp;$B476&amp;" For age "&amp;$N$20&amp;" "&amp;$O$21&amp;" should be equal to "&amp;$B472&amp;""&amp;CHAR(10),""),IF((P473+P474+P475+P476)&lt;&gt;P472," * "&amp;$A472&amp;" , "&amp;$B473&amp;" plus "&amp;$B474&amp;" plus "&amp;$B475&amp;" plus "&amp;$B476&amp;" For age "&amp;$P$20&amp;" "&amp;$P$21&amp;" should be equal to "&amp;$B472&amp;""&amp;CHAR(10),""),IF((Q473+Q474+Q475+Q476)&lt;&gt;Q472," * "&amp;$A472&amp;" , "&amp;$B473&amp;" plus "&amp;$B474&amp;" plus "&amp;$B475&amp;" plus "&amp;$B476&amp;" For age "&amp;$P$20&amp;" "&amp;$Q$21&amp;" should be equal to "&amp;$B472&amp;""&amp;CHAR(10),""),IF((R473+R474+R475+R476)&lt;&gt;R472," * "&amp;$A472&amp;" , "&amp;$B473&amp;" plus "&amp;$B474&amp;" plus "&amp;$B475&amp;" plus "&amp;$B476&amp;" For age "&amp;$R$20&amp;" "&amp;$R$21&amp;" should be equal to "&amp;$B472&amp;""&amp;CHAR(10),""),IF((S473+S474+S475+S476)&lt;&gt;S472," * "&amp;$A472&amp;" , "&amp;$B473&amp;" plus "&amp;$B474&amp;" plus "&amp;$B475&amp;" plus "&amp;$B476&amp;" For age "&amp;$R$20&amp;" "&amp;$S$21&amp;" should be equal to "&amp;$B472&amp;""&amp;CHAR(10),""),IF((T473+T474+T475+T476)&lt;&gt;T472," * "&amp;$A472&amp;" , "&amp;$B473&amp;" plus "&amp;$B474&amp;" plus "&amp;$B475&amp;" plus "&amp;$B476&amp;" For age "&amp;$T$20&amp;" "&amp;$T$21&amp;" should be equal to "&amp;$B472&amp;""&amp;CHAR(10),""),IF((U473+U474+U475+U476)&lt;&gt;U472," * "&amp;$A472&amp;" , "&amp;$B473&amp;" plus "&amp;$B474&amp;" plus "&amp;$B475&amp;" plus "&amp;$B476&amp;" For age "&amp;$T$20&amp;" "&amp;$U$21&amp;" should be equal to "&amp;$B472&amp;""&amp;CHAR(10),""),IF((V473+V474+V475+V476)&lt;&gt;V472," * "&amp;$A472&amp;" , "&amp;$B473&amp;" plus "&amp;$B474&amp;" plus "&amp;$B475&amp;" plus "&amp;$B476&amp;" For age "&amp;$V$20&amp;" "&amp;$V$21&amp;" should be equal to "&amp;$B472&amp;""&amp;CHAR(10),""),IF((W473+W474+W475+W476)&lt;&gt;W472," * "&amp;$A472&amp;" , "&amp;$B473&amp;" plus "&amp;$B474&amp;" plus "&amp;$B475&amp;" plus "&amp;$B476&amp;" For age "&amp;$V$20&amp;" "&amp;$W$21&amp;" should be equal to "&amp;$B472&amp;""&amp;CHAR(10),""),IF((X473+X474+X475+X476)&lt;&gt;X472," * "&amp;$A472&amp;" , "&amp;$B473&amp;" plus "&amp;$B474&amp;" plus "&amp;$B475&amp;" plus "&amp;$B476&amp;" For age "&amp;$X$20&amp;" "&amp;$X$21&amp;" should be equal to "&amp;$B472&amp;""&amp;CHAR(10),""),IF((Y473+Y474+Y475+Y476)&lt;&gt;Y472," * "&amp;$A472&amp;" , "&amp;$B473&amp;" plus "&amp;$B474&amp;" plus "&amp;$B475&amp;" plus "&amp;$B476&amp;" For age "&amp;$X$20&amp;" "&amp;$Y$21&amp;" should be equal to "&amp;$B472&amp;""&amp;CHAR(10),""),IF((Z473+Z474+Z475+Z476)&lt;&gt;Z472," * "&amp;$A472&amp;" , "&amp;$B473&amp;" plus "&amp;$B474&amp;" plus "&amp;$B475&amp;" plus "&amp;$B476&amp;" For age "&amp;$Z$20&amp;" "&amp;$Z$21&amp;" should be equal to "&amp;$B472&amp;""&amp;CHAR(10),""),IF((AA473+AA474+AA475+AA476)&lt;&gt;AA472," * "&amp;$A472&amp;" , "&amp;$B473&amp;" plus "&amp;$B474&amp;" plus "&amp;$B475&amp;" plus "&amp;$B476&amp;" For age "&amp;$Z$20&amp;" "&amp;$AA$21&amp;" should be equal to "&amp;$B472&amp;""&amp;CHAR(10),""))</f>
        <v/>
      </c>
      <c r="AL472" s="1279"/>
      <c r="AM472" s="31"/>
      <c r="AN472" s="851"/>
      <c r="AO472" s="13">
        <v>31</v>
      </c>
      <c r="AP472" s="81"/>
      <c r="AQ472" s="82"/>
    </row>
    <row r="473" spans="1:43" s="83" customFormat="1" ht="25.5" hidden="1" x14ac:dyDescent="0.75">
      <c r="A473" s="935"/>
      <c r="B473" s="781" t="s">
        <v>1140</v>
      </c>
      <c r="C473" s="785" t="s">
        <v>1182</v>
      </c>
      <c r="D473" s="648"/>
      <c r="E473" s="796"/>
      <c r="F473" s="769"/>
      <c r="G473" s="572"/>
      <c r="H473" s="761"/>
      <c r="I473" s="497"/>
      <c r="J473" s="761"/>
      <c r="K473" s="497"/>
      <c r="L473" s="761"/>
      <c r="M473" s="497"/>
      <c r="N473" s="761"/>
      <c r="O473" s="497"/>
      <c r="P473" s="761"/>
      <c r="Q473" s="497"/>
      <c r="R473" s="761"/>
      <c r="S473" s="497"/>
      <c r="T473" s="761"/>
      <c r="U473" s="497"/>
      <c r="V473" s="761"/>
      <c r="W473" s="497"/>
      <c r="X473" s="761"/>
      <c r="Y473" s="497"/>
      <c r="Z473" s="761"/>
      <c r="AA473" s="775"/>
      <c r="AB473" s="357"/>
      <c r="AC473" s="357"/>
      <c r="AD473" s="357"/>
      <c r="AE473" s="357"/>
      <c r="AF473" s="357"/>
      <c r="AG473" s="357"/>
      <c r="AH473" s="357"/>
      <c r="AI473" s="357"/>
      <c r="AJ473" s="494">
        <f t="shared" si="170"/>
        <v>0</v>
      </c>
      <c r="AK473" s="1011" t="str">
        <f>CONCATENATE(IF(D474&gt;D473," * Positive F01-13 for Age "&amp;D460&amp;" "&amp;D461&amp;" is more than Tested F01-12"&amp;CHAR(10),""),IF(E474&gt;E473," * Positive F01-13 for Age "&amp;D460&amp;" "&amp;E461&amp;" is more than Tested F01-12"&amp;CHAR(10),""),IF(F474&gt;F473," * Positive F01-13 for Age "&amp;F460&amp;" "&amp;F461&amp;" is more than Tested F01-12"&amp;CHAR(10),""),IF(G474&gt;G473," * Positive F01-13 for Age "&amp;F460&amp;" "&amp;G461&amp;" is more than Tested F01-12"&amp;CHAR(10),""),IF(H474&gt;H473," * Positive F01-13 for Age "&amp;H460&amp;" "&amp;H461&amp;" is more than Tested F01-12"&amp;CHAR(10),""),IF(I474&gt;I473," * Positive F01-13 for Age "&amp;H460&amp;" "&amp;I461&amp;" is more than Tested F01-12"&amp;CHAR(10),""),IF(J474&gt;J473," * Positive F01-13 for Age "&amp;J460&amp;" "&amp;J461&amp;" is more than Tested F01-12"&amp;CHAR(10),""),IF(K474&gt;K473," * Positive F01-13 for Age "&amp;J460&amp;" "&amp;K461&amp;" is more than Tested F01-12"&amp;CHAR(10),""),IF(L474&gt;L473," * Positive F01-13 for Age "&amp;L460&amp;" "&amp;L461&amp;" is more than Tested F01-12"&amp;CHAR(10),""),IF(M474&gt;M473," * Positive F01-13 for Age "&amp;L460&amp;" "&amp;M461&amp;" is more than Tested F01-12"&amp;CHAR(10),""),IF(N474&gt;N473," * Positive F01-13 for Age "&amp;N460&amp;" "&amp;N461&amp;" is more than Tested F01-12"&amp;CHAR(10),""),IF(O474&gt;O473," * Positive F01-13 for Age "&amp;N460&amp;" "&amp;O461&amp;" is more than Tested F01-12"&amp;CHAR(10),""),IF(P474&gt;P473," * Positive F01-13 for Age "&amp;P460&amp;" "&amp;P461&amp;" is more than Tested F01-12"&amp;CHAR(10),""),IF(Q474&gt;Q473," * Positive F01-13 for Age "&amp;P460&amp;" "&amp;Q461&amp;" is more than Tested F01-12"&amp;CHAR(10),""),IF(R474&gt;R473," * Positive F01-13 for Age "&amp;R460&amp;" "&amp;R461&amp;" is more than Tested F01-12"&amp;CHAR(10),""),IF(S474&gt;S473," * Positive F01-13 for Age "&amp;R460&amp;" "&amp;S461&amp;" is more than Tested F01-12"&amp;CHAR(10),""),IF(T474&gt;T473," * Positive F01-13 for Age "&amp;T460&amp;" "&amp;T461&amp;" is more than Tested F01-12"&amp;CHAR(10),""),IF(U474&gt;U473," * Positive F01-13 for Age "&amp;T460&amp;" "&amp;U461&amp;" is more than Tested F01-12"&amp;CHAR(10),""),IF(V474&gt;V473," * Positive F01-13 for Age "&amp;V460&amp;" "&amp;V461&amp;" is more than Tested F01-12"&amp;CHAR(10),""),IF(W474&gt;W473," * Positive F01-13 for Age "&amp;V460&amp;" "&amp;W461&amp;" is more than Tested F01-12"&amp;CHAR(10),""),IF(X474&gt;X473," * Positive F01-13 for Age "&amp;X460&amp;" "&amp;X461&amp;" is more than Tested F01-12"&amp;CHAR(10),""),IF(Y474&gt;Y473," * Positive F01-13 for Age "&amp;X460&amp;" "&amp;Y461&amp;" is more than Tested F01-12"&amp;CHAR(10),""),IF(Z474&gt;Z473," * Positive F01-13 for Age "&amp;Z460&amp;" "&amp;Z461&amp;" is more than Tested F01-12"&amp;CHAR(10),""),IF(AA474&gt;AA473," * Positive F01-13 for Age "&amp;Z460&amp;" "&amp;AA461&amp;" is more than Tested F01-12"&amp;CHAR(10),""))</f>
        <v/>
      </c>
      <c r="AL473" s="1279"/>
      <c r="AM473" s="31" t="str">
        <f>CONCATENATE(IF(AND(IFERROR((AJ474*100)/AJ473,0)&gt;10,AJ474&gt;5)," * This facility has a high positivity rate for Index Testing. Kindly confirm if this is the true reflection"&amp;CHAR(10),""),"")</f>
        <v/>
      </c>
      <c r="AN473" s="851"/>
      <c r="AO473" s="13">
        <v>32</v>
      </c>
      <c r="AP473" s="81"/>
      <c r="AQ473" s="82"/>
    </row>
    <row r="474" spans="1:43" s="83" customFormat="1" ht="25.5" hidden="1" x14ac:dyDescent="0.75">
      <c r="A474" s="935"/>
      <c r="B474" s="781" t="s">
        <v>1121</v>
      </c>
      <c r="C474" s="785" t="s">
        <v>1183</v>
      </c>
      <c r="D474" s="769"/>
      <c r="E474" s="797"/>
      <c r="F474" s="769"/>
      <c r="G474" s="572"/>
      <c r="H474" s="761"/>
      <c r="I474" s="497"/>
      <c r="J474" s="761"/>
      <c r="K474" s="497"/>
      <c r="L474" s="761"/>
      <c r="M474" s="497"/>
      <c r="N474" s="761"/>
      <c r="O474" s="497"/>
      <c r="P474" s="761"/>
      <c r="Q474" s="497"/>
      <c r="R474" s="761"/>
      <c r="S474" s="497"/>
      <c r="T474" s="761"/>
      <c r="U474" s="497"/>
      <c r="V474" s="761"/>
      <c r="W474" s="497"/>
      <c r="X474" s="761"/>
      <c r="Y474" s="497"/>
      <c r="Z474" s="761"/>
      <c r="AA474" s="775"/>
      <c r="AB474" s="357"/>
      <c r="AC474" s="357"/>
      <c r="AD474" s="357"/>
      <c r="AE474" s="357"/>
      <c r="AF474" s="357"/>
      <c r="AG474" s="357"/>
      <c r="AH474" s="357"/>
      <c r="AI474" s="357"/>
      <c r="AJ474" s="495">
        <f t="shared" si="170"/>
        <v>0</v>
      </c>
      <c r="AK474" s="1011"/>
      <c r="AL474" s="1279"/>
      <c r="AM474" s="31" t="e">
        <f>CONCATENATE(IF(D473&gt;0," * F01-12 for Age "&amp;D460&amp;" "&amp;D461&amp;" has a value greater than 0"&amp;CHAR(10),""),IF(E473&gt;0," * F01-12 for Age "&amp;D460&amp;" "&amp;E461&amp;" has a value greater than 0"&amp;CHAR(10),""),IF(D474&gt;0," * F01-13 for Age "&amp;D460&amp;" "&amp;D461&amp;" has a value greater than 0"&amp;CHAR(10),""),IF(E474&gt;0," * F01-13 for Age "&amp;D460&amp;" "&amp;E461&amp;" has a value greater than 0"&amp;CHAR(10),""),IF(#REF!&gt;0," * F01-14 for Age "&amp;D460&amp;" "&amp;D461&amp;" has a value greater than 0"&amp;CHAR(10),""),IF(#REF!&gt;0," * F01-14 for Age "&amp;D460&amp;" "&amp;E461&amp;" has a value greater than 0"&amp;CHAR(10),""),IF(D537&gt;0," * F01-15 for Age "&amp;D460&amp;" "&amp;D461&amp;" has a value greater than 0"&amp;CHAR(10),""),IF(E537&gt;0," * F01-15 for Age "&amp;D460&amp;" "&amp;E461&amp;" has a value greater than 0"&amp;CHAR(10),""),IF(D542&gt;0," * F01-20 for Age "&amp;D460&amp;" "&amp;D461&amp;" has a value greater than 0"&amp;CHAR(10),""),IF(E542&gt;0," * F01-20 for Age "&amp;D460&amp;" "&amp;E461&amp;" has a value greater than 0"&amp;CHAR(10),""),IF(D543&gt;0," * F01-21 for Age "&amp;D460&amp;" "&amp;D461&amp;" has a value greater than 0"&amp;CHAR(10),""),IF(E543&gt;0," * F01-21 for Age "&amp;D460&amp;" "&amp;E461&amp;" has a value greater than 0"&amp;CHAR(10),""),IF(D544&gt;0," * F01-22 for Age "&amp;D460&amp;" "&amp;D461&amp;" has a value greater than 0"&amp;CHAR(10),""),IF(E544&gt;0," * F01-22 for Age "&amp;D460&amp;" "&amp;E461&amp;" has a value greater than 0"&amp;CHAR(10),""),IF(D545&gt;0," * F01-23 for Age "&amp;D460&amp;" "&amp;D461&amp;" has a value greater than 0"&amp;CHAR(10),""),IF(E545&gt;0," * F01-23 for Age "&amp;D460&amp;" "&amp;E461&amp;" has a value greater than 0"&amp;CHAR(10),""),"")</f>
        <v>#REF!</v>
      </c>
      <c r="AN474" s="851"/>
      <c r="AO474" s="13">
        <v>33</v>
      </c>
      <c r="AP474" s="81"/>
      <c r="AQ474" s="82"/>
    </row>
    <row r="475" spans="1:43" s="83" customFormat="1" ht="25.5" hidden="1" x14ac:dyDescent="0.75">
      <c r="A475" s="935"/>
      <c r="B475" s="781" t="s">
        <v>1123</v>
      </c>
      <c r="C475" s="785" t="s">
        <v>1184</v>
      </c>
      <c r="D475" s="769"/>
      <c r="E475" s="797"/>
      <c r="F475" s="769"/>
      <c r="G475" s="572"/>
      <c r="H475" s="761"/>
      <c r="I475" s="497"/>
      <c r="J475" s="761"/>
      <c r="K475" s="497"/>
      <c r="L475" s="761"/>
      <c r="M475" s="497"/>
      <c r="N475" s="761"/>
      <c r="O475" s="497"/>
      <c r="P475" s="761"/>
      <c r="Q475" s="497"/>
      <c r="R475" s="761"/>
      <c r="S475" s="497"/>
      <c r="T475" s="761"/>
      <c r="U475" s="497"/>
      <c r="V475" s="761"/>
      <c r="W475" s="497"/>
      <c r="X475" s="761"/>
      <c r="Y475" s="497"/>
      <c r="Z475" s="761"/>
      <c r="AA475" s="775"/>
      <c r="AB475" s="357"/>
      <c r="AC475" s="357"/>
      <c r="AD475" s="357"/>
      <c r="AE475" s="357"/>
      <c r="AF475" s="357"/>
      <c r="AG475" s="357"/>
      <c r="AH475" s="357"/>
      <c r="AI475" s="357"/>
      <c r="AJ475" s="495">
        <f t="shared" si="170"/>
        <v>0</v>
      </c>
      <c r="AK475" s="486"/>
      <c r="AL475" s="1279"/>
      <c r="AM475" s="31" t="str">
        <f>CONCATENATE(IF(D474&gt;0," * F01-12 for Age "&amp;D461&amp;" "&amp;D462&amp;" has a value greater than 0"&amp;CHAR(10),""),IF(E474&gt;0," * F01-12 for Age "&amp;D461&amp;" "&amp;E462&amp;" has a value greater than 0"&amp;CHAR(10),""),IF(D475&gt;0," * F01-13 for Age "&amp;D461&amp;" "&amp;D462&amp;" has a value greater than 0"&amp;CHAR(10),""),IF(E475&gt;0," * F01-13 for Age "&amp;D461&amp;" "&amp;E462&amp;" has a value greater than 0"&amp;CHAR(10),""),IF(D537&gt;0," * F01-14 for Age "&amp;D461&amp;" "&amp;D462&amp;" has a value greater than 0"&amp;CHAR(10),""),IF(E537&gt;0," * F01-14 for Age "&amp;D461&amp;" "&amp;E462&amp;" has a value greater than 0"&amp;CHAR(10),""),IF(D538&gt;0," * F01-15 for Age "&amp;D461&amp;" "&amp;D462&amp;" has a value greater than 0"&amp;CHAR(10),""),IF(E538&gt;0," * F01-15 for Age "&amp;D461&amp;" "&amp;E462&amp;" has a value greater than 0"&amp;CHAR(10),""),IF(D543&gt;0," * F01-20 for Age "&amp;D461&amp;" "&amp;D462&amp;" has a value greater than 0"&amp;CHAR(10),""),IF(E543&gt;0," * F01-20 for Age "&amp;D461&amp;" "&amp;E462&amp;" has a value greater than 0"&amp;CHAR(10),""),IF(D544&gt;0," * F01-21 for Age "&amp;D461&amp;" "&amp;D462&amp;" has a value greater than 0"&amp;CHAR(10),""),IF(E544&gt;0," * F01-21 for Age "&amp;D461&amp;" "&amp;E462&amp;" has a value greater than 0"&amp;CHAR(10),""),IF(D545&gt;0," * F01-22 for Age "&amp;D461&amp;" "&amp;D462&amp;" has a value greater than 0"&amp;CHAR(10),""),IF(E545&gt;0," * F01-22 for Age "&amp;D461&amp;" "&amp;E462&amp;" has a value greater than 0"&amp;CHAR(10),""),IF(D546&gt;0," * F01-23 for Age "&amp;D461&amp;" "&amp;D462&amp;" has a value greater than 0"&amp;CHAR(10),""),IF(E546&gt;0," * F01-23 for Age "&amp;D461&amp;" "&amp;E462&amp;" has a value greater than 0"&amp;CHAR(10),""),"")</f>
        <v/>
      </c>
      <c r="AN475" s="851"/>
      <c r="AO475" s="13">
        <v>33</v>
      </c>
      <c r="AP475" s="81"/>
      <c r="AQ475" s="82"/>
    </row>
    <row r="476" spans="1:43" s="83" customFormat="1" ht="25.9" hidden="1" thickBot="1" x14ac:dyDescent="0.8">
      <c r="A476" s="936"/>
      <c r="B476" s="782" t="s">
        <v>1125</v>
      </c>
      <c r="C476" s="786" t="s">
        <v>1185</v>
      </c>
      <c r="D476" s="770"/>
      <c r="E476" s="798"/>
      <c r="F476" s="805"/>
      <c r="G476" s="574"/>
      <c r="H476" s="776"/>
      <c r="I476" s="570"/>
      <c r="J476" s="776"/>
      <c r="K476" s="570"/>
      <c r="L476" s="776"/>
      <c r="M476" s="570"/>
      <c r="N476" s="776"/>
      <c r="O476" s="570"/>
      <c r="P476" s="776"/>
      <c r="Q476" s="570"/>
      <c r="R476" s="776"/>
      <c r="S476" s="570"/>
      <c r="T476" s="776"/>
      <c r="U476" s="570"/>
      <c r="V476" s="776"/>
      <c r="W476" s="570"/>
      <c r="X476" s="776"/>
      <c r="Y476" s="570"/>
      <c r="Z476" s="776"/>
      <c r="AA476" s="777"/>
      <c r="AB476" s="391"/>
      <c r="AC476" s="391"/>
      <c r="AD476" s="391"/>
      <c r="AE476" s="391"/>
      <c r="AF476" s="391"/>
      <c r="AG476" s="391"/>
      <c r="AH476" s="391"/>
      <c r="AI476" s="391"/>
      <c r="AJ476" s="496">
        <f t="shared" ref="AJ476:AJ480" si="180">SUM(D476:AA476)</f>
        <v>0</v>
      </c>
      <c r="AK476" s="486"/>
      <c r="AL476" s="1279"/>
      <c r="AM476" s="31" t="str">
        <f>CONCATENATE(IF(D475&gt;0," * F01-12 for Age "&amp;D462&amp;" "&amp;D463&amp;" has a value greater than 0"&amp;CHAR(10),""),IF(E475&gt;0," * F01-12 for Age "&amp;D462&amp;" "&amp;E463&amp;" has a value greater than 0"&amp;CHAR(10),""),IF(D476&gt;0," * F01-13 for Age "&amp;D462&amp;" "&amp;D463&amp;" has a value greater than 0"&amp;CHAR(10),""),IF(E476&gt;0," * F01-13 for Age "&amp;D462&amp;" "&amp;E463&amp;" has a value greater than 0"&amp;CHAR(10),""),IF(D538&gt;0," * F01-14 for Age "&amp;D462&amp;" "&amp;D463&amp;" has a value greater than 0"&amp;CHAR(10),""),IF(E538&gt;0," * F01-14 for Age "&amp;D462&amp;" "&amp;E463&amp;" has a value greater than 0"&amp;CHAR(10),""),IF(D539&gt;0," * F01-15 for Age "&amp;D462&amp;" "&amp;D463&amp;" has a value greater than 0"&amp;CHAR(10),""),IF(E539&gt;0," * F01-15 for Age "&amp;D462&amp;" "&amp;E463&amp;" has a value greater than 0"&amp;CHAR(10),""),IF(D544&gt;0," * F01-20 for Age "&amp;D462&amp;" "&amp;D463&amp;" has a value greater than 0"&amp;CHAR(10),""),IF(E544&gt;0," * F01-20 for Age "&amp;D462&amp;" "&amp;E463&amp;" has a value greater than 0"&amp;CHAR(10),""),IF(D545&gt;0," * F01-21 for Age "&amp;D462&amp;" "&amp;D463&amp;" has a value greater than 0"&amp;CHAR(10),""),IF(E545&gt;0," * F01-21 for Age "&amp;D462&amp;" "&amp;E463&amp;" has a value greater than 0"&amp;CHAR(10),""),IF(D546&gt;0," * F01-22 for Age "&amp;D462&amp;" "&amp;D463&amp;" has a value greater than 0"&amp;CHAR(10),""),IF(E546&gt;0," * F01-22 for Age "&amp;D462&amp;" "&amp;E463&amp;" has a value greater than 0"&amp;CHAR(10),""),IF(D547&gt;0," * F01-23 for Age "&amp;D462&amp;" "&amp;D463&amp;" has a value greater than 0"&amp;CHAR(10),""),IF(E547&gt;0," * F01-23 for Age "&amp;D462&amp;" "&amp;E463&amp;" has a value greater than 0"&amp;CHAR(10),""),"")</f>
        <v/>
      </c>
      <c r="AN476" s="851"/>
      <c r="AO476" s="13">
        <v>33</v>
      </c>
      <c r="AP476" s="81"/>
      <c r="AQ476" s="82"/>
    </row>
    <row r="477" spans="1:43" s="83" customFormat="1" ht="25.5" hidden="1" x14ac:dyDescent="0.75">
      <c r="A477" s="934" t="s">
        <v>1191</v>
      </c>
      <c r="B477" s="491" t="s">
        <v>150</v>
      </c>
      <c r="C477" s="763" t="s">
        <v>1186</v>
      </c>
      <c r="D477" s="767"/>
      <c r="E477" s="795"/>
      <c r="F477" s="799">
        <f>F417+F422+F427+F432+F437+F442+F447+F452+F457+F462+F467+F472</f>
        <v>0</v>
      </c>
      <c r="G477" s="778">
        <f t="shared" ref="G477:AA480" si="181">G417+G422+G427+G432+G437+G442+G447+G452+G457+G462+G467+G472</f>
        <v>0</v>
      </c>
      <c r="H477" s="778">
        <f t="shared" si="181"/>
        <v>0</v>
      </c>
      <c r="I477" s="778">
        <f t="shared" si="181"/>
        <v>0</v>
      </c>
      <c r="J477" s="778">
        <f t="shared" si="181"/>
        <v>0</v>
      </c>
      <c r="K477" s="778">
        <f t="shared" si="181"/>
        <v>0</v>
      </c>
      <c r="L477" s="778">
        <f t="shared" si="181"/>
        <v>0</v>
      </c>
      <c r="M477" s="778">
        <f t="shared" si="181"/>
        <v>0</v>
      </c>
      <c r="N477" s="778">
        <f t="shared" si="181"/>
        <v>0</v>
      </c>
      <c r="O477" s="778">
        <f t="shared" si="181"/>
        <v>0</v>
      </c>
      <c r="P477" s="778">
        <f t="shared" si="181"/>
        <v>0</v>
      </c>
      <c r="Q477" s="778">
        <f t="shared" si="181"/>
        <v>0</v>
      </c>
      <c r="R477" s="778">
        <f t="shared" si="181"/>
        <v>0</v>
      </c>
      <c r="S477" s="778">
        <f t="shared" si="181"/>
        <v>0</v>
      </c>
      <c r="T477" s="778">
        <f t="shared" si="181"/>
        <v>0</v>
      </c>
      <c r="U477" s="778">
        <f t="shared" si="181"/>
        <v>0</v>
      </c>
      <c r="V477" s="778">
        <f t="shared" si="181"/>
        <v>0</v>
      </c>
      <c r="W477" s="778">
        <f t="shared" si="181"/>
        <v>0</v>
      </c>
      <c r="X477" s="778">
        <f t="shared" si="181"/>
        <v>0</v>
      </c>
      <c r="Y477" s="778">
        <f t="shared" si="181"/>
        <v>0</v>
      </c>
      <c r="Z477" s="778">
        <f t="shared" si="181"/>
        <v>0</v>
      </c>
      <c r="AA477" s="804">
        <f t="shared" si="181"/>
        <v>0</v>
      </c>
      <c r="AB477" s="388"/>
      <c r="AC477" s="388"/>
      <c r="AD477" s="388"/>
      <c r="AE477" s="388"/>
      <c r="AF477" s="388"/>
      <c r="AG477" s="388"/>
      <c r="AH477" s="388"/>
      <c r="AI477" s="388"/>
      <c r="AJ477" s="493">
        <f t="shared" si="180"/>
        <v>0</v>
      </c>
      <c r="AK477" s="484"/>
      <c r="AL477" s="1279"/>
      <c r="AM477" s="31"/>
      <c r="AN477" s="851"/>
      <c r="AO477" s="13">
        <v>31</v>
      </c>
      <c r="AP477" s="81"/>
      <c r="AQ477" s="82"/>
    </row>
    <row r="478" spans="1:43" s="83" customFormat="1" ht="25.5" hidden="1" x14ac:dyDescent="0.75">
      <c r="A478" s="935"/>
      <c r="B478" s="488" t="s">
        <v>1140</v>
      </c>
      <c r="C478" s="764" t="s">
        <v>1187</v>
      </c>
      <c r="D478" s="648"/>
      <c r="E478" s="796"/>
      <c r="F478" s="800">
        <f t="shared" ref="F478:U480" si="182">F418+F423+F428+F433+F438+F443+F448+F453+F458+F463+F468+F473</f>
        <v>0</v>
      </c>
      <c r="G478" s="762">
        <f t="shared" si="182"/>
        <v>0</v>
      </c>
      <c r="H478" s="762">
        <f t="shared" si="182"/>
        <v>0</v>
      </c>
      <c r="I478" s="762">
        <f t="shared" si="182"/>
        <v>0</v>
      </c>
      <c r="J478" s="762">
        <f t="shared" si="182"/>
        <v>0</v>
      </c>
      <c r="K478" s="762">
        <f t="shared" si="182"/>
        <v>0</v>
      </c>
      <c r="L478" s="762">
        <f t="shared" si="182"/>
        <v>0</v>
      </c>
      <c r="M478" s="762">
        <f t="shared" si="182"/>
        <v>0</v>
      </c>
      <c r="N478" s="762">
        <f t="shared" si="182"/>
        <v>0</v>
      </c>
      <c r="O478" s="762">
        <f t="shared" si="182"/>
        <v>0</v>
      </c>
      <c r="P478" s="762">
        <f t="shared" si="182"/>
        <v>0</v>
      </c>
      <c r="Q478" s="762">
        <f t="shared" si="182"/>
        <v>0</v>
      </c>
      <c r="R478" s="762">
        <f t="shared" si="182"/>
        <v>0</v>
      </c>
      <c r="S478" s="762">
        <f t="shared" si="182"/>
        <v>0</v>
      </c>
      <c r="T478" s="762">
        <f t="shared" si="182"/>
        <v>0</v>
      </c>
      <c r="U478" s="762">
        <f t="shared" si="182"/>
        <v>0</v>
      </c>
      <c r="V478" s="762">
        <f t="shared" si="181"/>
        <v>0</v>
      </c>
      <c r="W478" s="762">
        <f t="shared" si="181"/>
        <v>0</v>
      </c>
      <c r="X478" s="762">
        <f t="shared" si="181"/>
        <v>0</v>
      </c>
      <c r="Y478" s="762">
        <f t="shared" si="181"/>
        <v>0</v>
      </c>
      <c r="Z478" s="762">
        <f t="shared" si="181"/>
        <v>0</v>
      </c>
      <c r="AA478" s="768">
        <f t="shared" si="181"/>
        <v>0</v>
      </c>
      <c r="AB478" s="357"/>
      <c r="AC478" s="357"/>
      <c r="AD478" s="357"/>
      <c r="AE478" s="357"/>
      <c r="AF478" s="357"/>
      <c r="AG478" s="357"/>
      <c r="AH478" s="357"/>
      <c r="AI478" s="357"/>
      <c r="AJ478" s="494">
        <f t="shared" si="180"/>
        <v>0</v>
      </c>
      <c r="AK478" s="1011" t="str">
        <f>CONCATENATE(IF(D479&gt;D478," * Positive F01-13 for Age "&amp;D465&amp;" "&amp;D466&amp;" is more than Tested F01-12"&amp;CHAR(10),""),IF(E479&gt;E478," * Positive F01-13 for Age "&amp;D465&amp;" "&amp;E466&amp;" is more than Tested F01-12"&amp;CHAR(10),""),IF(F479&gt;F478," * Positive F01-13 for Age "&amp;F465&amp;" "&amp;F466&amp;" is more than Tested F01-12"&amp;CHAR(10),""),IF(G479&gt;G478," * Positive F01-13 for Age "&amp;F465&amp;" "&amp;G466&amp;" is more than Tested F01-12"&amp;CHAR(10),""),IF(H479&gt;H478," * Positive F01-13 for Age "&amp;H465&amp;" "&amp;H466&amp;" is more than Tested F01-12"&amp;CHAR(10),""),IF(I479&gt;I478," * Positive F01-13 for Age "&amp;H465&amp;" "&amp;I466&amp;" is more than Tested F01-12"&amp;CHAR(10),""),IF(J479&gt;J478," * Positive F01-13 for Age "&amp;J465&amp;" "&amp;J466&amp;" is more than Tested F01-12"&amp;CHAR(10),""),IF(K479&gt;K478," * Positive F01-13 for Age "&amp;J465&amp;" "&amp;K466&amp;" is more than Tested F01-12"&amp;CHAR(10),""),IF(L479&gt;L478," * Positive F01-13 for Age "&amp;L465&amp;" "&amp;L466&amp;" is more than Tested F01-12"&amp;CHAR(10),""),IF(M479&gt;M478," * Positive F01-13 for Age "&amp;L465&amp;" "&amp;M466&amp;" is more than Tested F01-12"&amp;CHAR(10),""),IF(N479&gt;N478," * Positive F01-13 for Age "&amp;N465&amp;" "&amp;N466&amp;" is more than Tested F01-12"&amp;CHAR(10),""),IF(O479&gt;O478," * Positive F01-13 for Age "&amp;N465&amp;" "&amp;O466&amp;" is more than Tested F01-12"&amp;CHAR(10),""),IF(P479&gt;P478," * Positive F01-13 for Age "&amp;P465&amp;" "&amp;P466&amp;" is more than Tested F01-12"&amp;CHAR(10),""),IF(Q479&gt;Q478," * Positive F01-13 for Age "&amp;P465&amp;" "&amp;Q466&amp;" is more than Tested F01-12"&amp;CHAR(10),""),IF(R479&gt;R478," * Positive F01-13 for Age "&amp;R465&amp;" "&amp;R466&amp;" is more than Tested F01-12"&amp;CHAR(10),""),IF(S479&gt;S478," * Positive F01-13 for Age "&amp;R465&amp;" "&amp;S466&amp;" is more than Tested F01-12"&amp;CHAR(10),""),IF(T479&gt;T478," * Positive F01-13 for Age "&amp;T465&amp;" "&amp;T466&amp;" is more than Tested F01-12"&amp;CHAR(10),""),IF(U479&gt;U478," * Positive F01-13 for Age "&amp;T465&amp;" "&amp;U466&amp;" is more than Tested F01-12"&amp;CHAR(10),""),IF(V479&gt;V478," * Positive F01-13 for Age "&amp;V465&amp;" "&amp;V466&amp;" is more than Tested F01-12"&amp;CHAR(10),""),IF(W479&gt;W478," * Positive F01-13 for Age "&amp;V465&amp;" "&amp;W466&amp;" is more than Tested F01-12"&amp;CHAR(10),""),IF(X479&gt;X478," * Positive F01-13 for Age "&amp;X465&amp;" "&amp;X466&amp;" is more than Tested F01-12"&amp;CHAR(10),""),IF(Y479&gt;Y478," * Positive F01-13 for Age "&amp;X465&amp;" "&amp;Y466&amp;" is more than Tested F01-12"&amp;CHAR(10),""),IF(Z479&gt;Z478," * Positive F01-13 for Age "&amp;Z465&amp;" "&amp;Z466&amp;" is more than Tested F01-12"&amp;CHAR(10),""),IF(AA479&gt;AA478," * Positive F01-13 for Age "&amp;Z465&amp;" "&amp;AA466&amp;" is more than Tested F01-12"&amp;CHAR(10),""))</f>
        <v/>
      </c>
      <c r="AL478" s="1279"/>
      <c r="AM478" s="31" t="str">
        <f>CONCATENATE(IF(AND(IFERROR((AJ479*100)/AJ478,0)&gt;10,AJ479&gt;5)," * This facility has a high positivity rate for Index Testing. Kindly confirm if this is the true reflection"&amp;CHAR(10),""),"")</f>
        <v/>
      </c>
      <c r="AN478" s="851"/>
      <c r="AO478" s="13">
        <v>32</v>
      </c>
      <c r="AP478" s="81"/>
      <c r="AQ478" s="82"/>
    </row>
    <row r="479" spans="1:43" s="83" customFormat="1" ht="25.5" hidden="1" x14ac:dyDescent="0.75">
      <c r="A479" s="935"/>
      <c r="B479" s="488" t="s">
        <v>1121</v>
      </c>
      <c r="C479" s="764" t="s">
        <v>1188</v>
      </c>
      <c r="D479" s="769"/>
      <c r="E479" s="797"/>
      <c r="F479" s="800">
        <f t="shared" si="182"/>
        <v>0</v>
      </c>
      <c r="G479" s="762">
        <f t="shared" si="181"/>
        <v>0</v>
      </c>
      <c r="H479" s="762">
        <f t="shared" si="181"/>
        <v>0</v>
      </c>
      <c r="I479" s="762">
        <f t="shared" si="181"/>
        <v>0</v>
      </c>
      <c r="J479" s="762">
        <f t="shared" si="181"/>
        <v>0</v>
      </c>
      <c r="K479" s="762">
        <f t="shared" si="181"/>
        <v>0</v>
      </c>
      <c r="L479" s="762">
        <f t="shared" si="181"/>
        <v>0</v>
      </c>
      <c r="M479" s="762">
        <f t="shared" si="181"/>
        <v>0</v>
      </c>
      <c r="N479" s="762">
        <f t="shared" si="181"/>
        <v>0</v>
      </c>
      <c r="O479" s="762">
        <f t="shared" si="181"/>
        <v>0</v>
      </c>
      <c r="P479" s="762">
        <f t="shared" si="181"/>
        <v>0</v>
      </c>
      <c r="Q479" s="762">
        <f t="shared" si="181"/>
        <v>0</v>
      </c>
      <c r="R479" s="762">
        <f t="shared" si="181"/>
        <v>0</v>
      </c>
      <c r="S479" s="762">
        <f t="shared" si="181"/>
        <v>0</v>
      </c>
      <c r="T479" s="762">
        <f t="shared" si="181"/>
        <v>0</v>
      </c>
      <c r="U479" s="762">
        <f t="shared" si="181"/>
        <v>0</v>
      </c>
      <c r="V479" s="762">
        <f t="shared" si="181"/>
        <v>0</v>
      </c>
      <c r="W479" s="762">
        <f t="shared" si="181"/>
        <v>0</v>
      </c>
      <c r="X479" s="762">
        <f t="shared" si="181"/>
        <v>0</v>
      </c>
      <c r="Y479" s="762">
        <f t="shared" si="181"/>
        <v>0</v>
      </c>
      <c r="Z479" s="762">
        <f t="shared" si="181"/>
        <v>0</v>
      </c>
      <c r="AA479" s="768">
        <f t="shared" si="181"/>
        <v>0</v>
      </c>
      <c r="AB479" s="357"/>
      <c r="AC479" s="357"/>
      <c r="AD479" s="357"/>
      <c r="AE479" s="357"/>
      <c r="AF479" s="357"/>
      <c r="AG479" s="357"/>
      <c r="AH479" s="357"/>
      <c r="AI479" s="357"/>
      <c r="AJ479" s="495">
        <f t="shared" si="180"/>
        <v>0</v>
      </c>
      <c r="AK479" s="1011"/>
      <c r="AL479" s="1279"/>
      <c r="AM479" s="31" t="e">
        <f>CONCATENATE(IF(D478&gt;0," * F01-12 for Age "&amp;D465&amp;" "&amp;D466&amp;" has a value greater than 0"&amp;CHAR(10),""),IF(E478&gt;0," * F01-12 for Age "&amp;D465&amp;" "&amp;E466&amp;" has a value greater than 0"&amp;CHAR(10),""),IF(D479&gt;0," * F01-13 for Age "&amp;D465&amp;" "&amp;D466&amp;" has a value greater than 0"&amp;CHAR(10),""),IF(E479&gt;0," * F01-13 for Age "&amp;D465&amp;" "&amp;E466&amp;" has a value greater than 0"&amp;CHAR(10),""),IF(#REF!&gt;0," * F01-14 for Age "&amp;D465&amp;" "&amp;D466&amp;" has a value greater than 0"&amp;CHAR(10),""),IF(#REF!&gt;0," * F01-14 for Age "&amp;D465&amp;" "&amp;E466&amp;" has a value greater than 0"&amp;CHAR(10),""),IF(D542&gt;0," * F01-15 for Age "&amp;D465&amp;" "&amp;D466&amp;" has a value greater than 0"&amp;CHAR(10),""),IF(E542&gt;0," * F01-15 for Age "&amp;D465&amp;" "&amp;E466&amp;" has a value greater than 0"&amp;CHAR(10),""),IF(D547&gt;0," * F01-20 for Age "&amp;D465&amp;" "&amp;D466&amp;" has a value greater than 0"&amp;CHAR(10),""),IF(E547&gt;0," * F01-20 for Age "&amp;D465&amp;" "&amp;E466&amp;" has a value greater than 0"&amp;CHAR(10),""),IF(D548&gt;0," * F01-21 for Age "&amp;D465&amp;" "&amp;D466&amp;" has a value greater than 0"&amp;CHAR(10),""),IF(E548&gt;0," * F01-21 for Age "&amp;D465&amp;" "&amp;E466&amp;" has a value greater than 0"&amp;CHAR(10),""),IF(D549&gt;0," * F01-22 for Age "&amp;D465&amp;" "&amp;D466&amp;" has a value greater than 0"&amp;CHAR(10),""),IF(E549&gt;0," * F01-22 for Age "&amp;D465&amp;" "&amp;E466&amp;" has a value greater than 0"&amp;CHAR(10),""),IF(D550&gt;0," * F01-23 for Age "&amp;D465&amp;" "&amp;D466&amp;" has a value greater than 0"&amp;CHAR(10),""),IF(E550&gt;0," * F01-23 for Age "&amp;D465&amp;" "&amp;E466&amp;" has a value greater than 0"&amp;CHAR(10),""),"")</f>
        <v>#REF!</v>
      </c>
      <c r="AN479" s="851"/>
      <c r="AO479" s="13">
        <v>33</v>
      </c>
      <c r="AP479" s="81"/>
      <c r="AQ479" s="82"/>
    </row>
    <row r="480" spans="1:43" s="83" customFormat="1" ht="25.5" hidden="1" x14ac:dyDescent="0.75">
      <c r="A480" s="935"/>
      <c r="B480" s="488" t="s">
        <v>1123</v>
      </c>
      <c r="C480" s="764" t="s">
        <v>1189</v>
      </c>
      <c r="D480" s="769"/>
      <c r="E480" s="797"/>
      <c r="F480" s="800">
        <f t="shared" si="182"/>
        <v>0</v>
      </c>
      <c r="G480" s="762">
        <f t="shared" si="181"/>
        <v>0</v>
      </c>
      <c r="H480" s="762">
        <f t="shared" si="181"/>
        <v>0</v>
      </c>
      <c r="I480" s="762">
        <f t="shared" si="181"/>
        <v>0</v>
      </c>
      <c r="J480" s="762">
        <f t="shared" si="181"/>
        <v>0</v>
      </c>
      <c r="K480" s="762">
        <f t="shared" si="181"/>
        <v>0</v>
      </c>
      <c r="L480" s="762">
        <f t="shared" si="181"/>
        <v>0</v>
      </c>
      <c r="M480" s="762">
        <f t="shared" si="181"/>
        <v>0</v>
      </c>
      <c r="N480" s="762">
        <f t="shared" si="181"/>
        <v>0</v>
      </c>
      <c r="O480" s="762">
        <f t="shared" si="181"/>
        <v>0</v>
      </c>
      <c r="P480" s="762">
        <f t="shared" si="181"/>
        <v>0</v>
      </c>
      <c r="Q480" s="762">
        <f t="shared" si="181"/>
        <v>0</v>
      </c>
      <c r="R480" s="762">
        <f t="shared" si="181"/>
        <v>0</v>
      </c>
      <c r="S480" s="762">
        <f t="shared" si="181"/>
        <v>0</v>
      </c>
      <c r="T480" s="762">
        <f t="shared" si="181"/>
        <v>0</v>
      </c>
      <c r="U480" s="762">
        <f t="shared" si="181"/>
        <v>0</v>
      </c>
      <c r="V480" s="762">
        <f t="shared" si="181"/>
        <v>0</v>
      </c>
      <c r="W480" s="762">
        <f t="shared" si="181"/>
        <v>0</v>
      </c>
      <c r="X480" s="762">
        <f t="shared" si="181"/>
        <v>0</v>
      </c>
      <c r="Y480" s="762">
        <f t="shared" si="181"/>
        <v>0</v>
      </c>
      <c r="Z480" s="762">
        <f t="shared" si="181"/>
        <v>0</v>
      </c>
      <c r="AA480" s="768">
        <f t="shared" si="181"/>
        <v>0</v>
      </c>
      <c r="AB480" s="357"/>
      <c r="AC480" s="357"/>
      <c r="AD480" s="357"/>
      <c r="AE480" s="357"/>
      <c r="AF480" s="357"/>
      <c r="AG480" s="357"/>
      <c r="AH480" s="357"/>
      <c r="AI480" s="357"/>
      <c r="AJ480" s="495">
        <f t="shared" si="180"/>
        <v>0</v>
      </c>
      <c r="AK480" s="486"/>
      <c r="AL480" s="1279"/>
      <c r="AM480" s="31" t="str">
        <f>CONCATENATE(IF(D479&gt;0," * F01-12 for Age "&amp;D466&amp;" "&amp;D467&amp;" has a value greater than 0"&amp;CHAR(10),""),IF(E479&gt;0," * F01-12 for Age "&amp;D466&amp;" "&amp;E467&amp;" has a value greater than 0"&amp;CHAR(10),""),IF(D480&gt;0," * F01-13 for Age "&amp;D466&amp;" "&amp;D467&amp;" has a value greater than 0"&amp;CHAR(10),""),IF(E480&gt;0," * F01-13 for Age "&amp;D466&amp;" "&amp;E467&amp;" has a value greater than 0"&amp;CHAR(10),""),IF(D542&gt;0," * F01-14 for Age "&amp;D466&amp;" "&amp;D467&amp;" has a value greater than 0"&amp;CHAR(10),""),IF(E542&gt;0," * F01-14 for Age "&amp;D466&amp;" "&amp;E467&amp;" has a value greater than 0"&amp;CHAR(10),""),IF(D543&gt;0," * F01-15 for Age "&amp;D466&amp;" "&amp;D467&amp;" has a value greater than 0"&amp;CHAR(10),""),IF(E543&gt;0," * F01-15 for Age "&amp;D466&amp;" "&amp;E467&amp;" has a value greater than 0"&amp;CHAR(10),""),IF(D548&gt;0," * F01-20 for Age "&amp;D466&amp;" "&amp;D467&amp;" has a value greater than 0"&amp;CHAR(10),""),IF(E548&gt;0," * F01-20 for Age "&amp;D466&amp;" "&amp;E467&amp;" has a value greater than 0"&amp;CHAR(10),""),IF(D549&gt;0," * F01-21 for Age "&amp;D466&amp;" "&amp;D467&amp;" has a value greater than 0"&amp;CHAR(10),""),IF(E549&gt;0," * F01-21 for Age "&amp;D466&amp;" "&amp;E467&amp;" has a value greater than 0"&amp;CHAR(10),""),IF(D550&gt;0," * F01-22 for Age "&amp;D466&amp;" "&amp;D467&amp;" has a value greater than 0"&amp;CHAR(10),""),IF(E550&gt;0," * F01-22 for Age "&amp;D466&amp;" "&amp;E467&amp;" has a value greater than 0"&amp;CHAR(10),""),IF(D551&gt;0," * F01-23 for Age "&amp;D466&amp;" "&amp;D467&amp;" has a value greater than 0"&amp;CHAR(10),""),IF(E551&gt;0," * F01-23 for Age "&amp;D466&amp;" "&amp;E467&amp;" has a value greater than 0"&amp;CHAR(10),""),"")</f>
        <v/>
      </c>
      <c r="AN480" s="851"/>
      <c r="AO480" s="13">
        <v>33</v>
      </c>
      <c r="AP480" s="81"/>
      <c r="AQ480" s="82"/>
    </row>
    <row r="481" spans="1:43" s="83" customFormat="1" ht="25.9" hidden="1" thickBot="1" x14ac:dyDescent="0.8">
      <c r="A481" s="936"/>
      <c r="B481" s="567" t="s">
        <v>1125</v>
      </c>
      <c r="C481" s="765" t="s">
        <v>1190</v>
      </c>
      <c r="D481" s="770"/>
      <c r="E481" s="798"/>
      <c r="F481" s="801">
        <f>SUM(F476,F471,F466,F461,F456,F451,F446,F441,F436,F431,F426,F421)</f>
        <v>0</v>
      </c>
      <c r="G481" s="771">
        <f t="shared" ref="G481:AA481" si="183">SUM(G476,G471,G466,G461,G456,G451,G446,G441,G436,G431,G426,G421)</f>
        <v>0</v>
      </c>
      <c r="H481" s="771">
        <f t="shared" si="183"/>
        <v>0</v>
      </c>
      <c r="I481" s="771">
        <f t="shared" si="183"/>
        <v>0</v>
      </c>
      <c r="J481" s="771">
        <f t="shared" si="183"/>
        <v>0</v>
      </c>
      <c r="K481" s="771">
        <f t="shared" si="183"/>
        <v>0</v>
      </c>
      <c r="L481" s="771">
        <f t="shared" si="183"/>
        <v>0</v>
      </c>
      <c r="M481" s="771">
        <f t="shared" si="183"/>
        <v>0</v>
      </c>
      <c r="N481" s="771">
        <f t="shared" si="183"/>
        <v>0</v>
      </c>
      <c r="O481" s="771">
        <f t="shared" si="183"/>
        <v>0</v>
      </c>
      <c r="P481" s="771">
        <f t="shared" si="183"/>
        <v>0</v>
      </c>
      <c r="Q481" s="771">
        <f t="shared" si="183"/>
        <v>0</v>
      </c>
      <c r="R481" s="771">
        <f t="shared" si="183"/>
        <v>0</v>
      </c>
      <c r="S481" s="771">
        <f t="shared" si="183"/>
        <v>0</v>
      </c>
      <c r="T481" s="771">
        <f t="shared" si="183"/>
        <v>0</v>
      </c>
      <c r="U481" s="771">
        <f t="shared" si="183"/>
        <v>0</v>
      </c>
      <c r="V481" s="771">
        <f t="shared" si="183"/>
        <v>0</v>
      </c>
      <c r="W481" s="771">
        <f t="shared" si="183"/>
        <v>0</v>
      </c>
      <c r="X481" s="771">
        <f t="shared" si="183"/>
        <v>0</v>
      </c>
      <c r="Y481" s="771">
        <f t="shared" si="183"/>
        <v>0</v>
      </c>
      <c r="Z481" s="771">
        <f t="shared" si="183"/>
        <v>0</v>
      </c>
      <c r="AA481" s="772">
        <f t="shared" si="183"/>
        <v>0</v>
      </c>
      <c r="AB481" s="391"/>
      <c r="AC481" s="391"/>
      <c r="AD481" s="391"/>
      <c r="AE481" s="391"/>
      <c r="AF481" s="391"/>
      <c r="AG481" s="391"/>
      <c r="AH481" s="391"/>
      <c r="AI481" s="391"/>
      <c r="AJ481" s="496">
        <f t="shared" ref="AJ481" si="184">SUM(D481:AA481)</f>
        <v>0</v>
      </c>
      <c r="AK481" s="486"/>
      <c r="AL481" s="1280"/>
      <c r="AM481" s="31" t="str">
        <f>CONCATENATE(IF(D480&gt;0," * F01-12 for Age "&amp;D467&amp;" "&amp;D468&amp;" has a value greater than 0"&amp;CHAR(10),""),IF(E480&gt;0," * F01-12 for Age "&amp;D467&amp;" "&amp;E468&amp;" has a value greater than 0"&amp;CHAR(10),""),IF(D481&gt;0," * F01-13 for Age "&amp;D467&amp;" "&amp;D468&amp;" has a value greater than 0"&amp;CHAR(10),""),IF(E481&gt;0," * F01-13 for Age "&amp;D467&amp;" "&amp;E468&amp;" has a value greater than 0"&amp;CHAR(10),""),IF(D543&gt;0," * F01-14 for Age "&amp;D467&amp;" "&amp;D468&amp;" has a value greater than 0"&amp;CHAR(10),""),IF(E543&gt;0," * F01-14 for Age "&amp;D467&amp;" "&amp;E468&amp;" has a value greater than 0"&amp;CHAR(10),""),IF(D544&gt;0," * F01-15 for Age "&amp;D467&amp;" "&amp;D468&amp;" has a value greater than 0"&amp;CHAR(10),""),IF(E544&gt;0," * F01-15 for Age "&amp;D467&amp;" "&amp;E468&amp;" has a value greater than 0"&amp;CHAR(10),""),IF(D549&gt;0," * F01-20 for Age "&amp;D467&amp;" "&amp;D468&amp;" has a value greater than 0"&amp;CHAR(10),""),IF(E549&gt;0," * F01-20 for Age "&amp;D467&amp;" "&amp;E468&amp;" has a value greater than 0"&amp;CHAR(10),""),IF(D550&gt;0," * F01-21 for Age "&amp;D467&amp;" "&amp;D468&amp;" has a value greater than 0"&amp;CHAR(10),""),IF(E550&gt;0," * F01-21 for Age "&amp;D467&amp;" "&amp;E468&amp;" has a value greater than 0"&amp;CHAR(10),""),IF(D551&gt;0," * F01-22 for Age "&amp;D467&amp;" "&amp;D468&amp;" has a value greater than 0"&amp;CHAR(10),""),IF(E551&gt;0," * F01-22 for Age "&amp;D467&amp;" "&amp;E468&amp;" has a value greater than 0"&amp;CHAR(10),""),IF(D552&gt;0," * F01-23 for Age "&amp;D467&amp;" "&amp;D468&amp;" has a value greater than 0"&amp;CHAR(10),""),IF(E552&gt;0," * F01-23 for Age "&amp;D467&amp;" "&amp;E468&amp;" has a value greater than 0"&amp;CHAR(10),""),"")</f>
        <v/>
      </c>
      <c r="AN481" s="852"/>
      <c r="AO481" s="13">
        <v>33</v>
      </c>
      <c r="AP481" s="81"/>
      <c r="AQ481" s="82"/>
    </row>
    <row r="482" spans="1:43" ht="63" customHeight="1" thickBot="1" x14ac:dyDescent="0.8">
      <c r="A482" s="663" t="s">
        <v>467</v>
      </c>
      <c r="B482" s="490"/>
      <c r="C482" s="9"/>
      <c r="D482" s="280"/>
      <c r="E482" s="280"/>
      <c r="F482" s="7"/>
      <c r="G482" s="7"/>
      <c r="H482" s="280"/>
      <c r="I482" s="7"/>
      <c r="J482" s="7"/>
      <c r="K482" s="280"/>
      <c r="L482" s="280"/>
      <c r="M482" s="7"/>
      <c r="N482" s="7"/>
      <c r="O482" s="7"/>
      <c r="P482" s="280"/>
      <c r="Q482" s="7"/>
      <c r="R482" s="280"/>
      <c r="S482" s="280"/>
      <c r="T482" s="280"/>
      <c r="U482" s="280"/>
      <c r="V482" s="280"/>
      <c r="W482" s="280"/>
      <c r="X482" s="7"/>
      <c r="Y482" s="280"/>
      <c r="Z482" s="280"/>
      <c r="AA482" s="280"/>
      <c r="AB482" s="280"/>
      <c r="AC482" s="280"/>
      <c r="AD482" s="280"/>
      <c r="AE482" s="280"/>
      <c r="AF482" s="280"/>
      <c r="AG482" s="280"/>
      <c r="AH482" s="280"/>
      <c r="AI482" s="280"/>
      <c r="AJ482" s="280"/>
      <c r="AK482" s="9"/>
      <c r="AM482" s="280"/>
      <c r="AN482" s="280"/>
      <c r="AO482" s="281"/>
      <c r="AP482" s="74"/>
      <c r="AQ482" s="75"/>
    </row>
    <row r="484" spans="1:43" ht="28.9" thickBot="1" x14ac:dyDescent="0.75">
      <c r="A484" s="664"/>
      <c r="B484" s="282"/>
      <c r="E484" s="8"/>
      <c r="F484" s="8"/>
      <c r="G484" s="8"/>
      <c r="H484" s="8"/>
      <c r="I484" s="8"/>
      <c r="J484" s="8"/>
      <c r="K484" s="8"/>
      <c r="L484" s="8"/>
      <c r="M484" s="8"/>
    </row>
    <row r="485" spans="1:43" s="289" customFormat="1" ht="41.25" customHeight="1" thickBot="1" x14ac:dyDescent="0.5">
      <c r="A485" s="1161" t="s">
        <v>949</v>
      </c>
      <c r="B485" s="1162"/>
      <c r="C485" s="1162"/>
      <c r="D485" s="1162"/>
      <c r="E485" s="1162"/>
      <c r="F485" s="1162"/>
      <c r="G485" s="1162"/>
      <c r="H485" s="1162"/>
      <c r="I485" s="1162"/>
      <c r="J485" s="1162"/>
      <c r="K485" s="1162"/>
      <c r="L485" s="1162"/>
      <c r="M485" s="1163" t="s">
        <v>946</v>
      </c>
      <c r="N485" s="1162"/>
      <c r="O485" s="1162"/>
      <c r="P485" s="1162"/>
      <c r="Q485" s="1162"/>
      <c r="R485" s="1162"/>
      <c r="S485" s="1162"/>
      <c r="T485" s="1162"/>
      <c r="U485" s="1162"/>
      <c r="V485" s="1162"/>
      <c r="W485" s="1162"/>
      <c r="X485" s="1162"/>
      <c r="Y485" s="1162"/>
      <c r="Z485" s="1162"/>
      <c r="AA485" s="1162"/>
      <c r="AB485" s="1162"/>
      <c r="AC485" s="1162"/>
      <c r="AD485" s="1162"/>
      <c r="AE485" s="1162"/>
      <c r="AF485" s="1162"/>
      <c r="AG485" s="1162"/>
      <c r="AH485" s="1162"/>
      <c r="AI485" s="1162"/>
      <c r="AJ485" s="1162"/>
      <c r="AK485" s="1162"/>
      <c r="AL485" s="1162"/>
      <c r="AM485" s="1162"/>
      <c r="AN485" s="1164"/>
      <c r="AO485" s="286"/>
      <c r="AP485" s="287"/>
      <c r="AQ485" s="288"/>
    </row>
    <row r="486" spans="1:43" ht="30.75" customHeight="1" x14ac:dyDescent="0.7">
      <c r="A486" s="1152" t="str">
        <f>CONCATENATE(AL401,AL381,AL370,AL356,AL331,AL313,AL301,AL277,AL259,AL250,AL241,AL232,AL223,AL196,AL166,AL123,AL111,AL22,AL8,AL66,AL417,AL180)</f>
        <v/>
      </c>
      <c r="B486" s="1153"/>
      <c r="C486" s="1153"/>
      <c r="D486" s="1153"/>
      <c r="E486" s="1153"/>
      <c r="F486" s="1153"/>
      <c r="G486" s="1153"/>
      <c r="H486" s="1153"/>
      <c r="I486" s="1153"/>
      <c r="J486" s="1153"/>
      <c r="K486" s="1153"/>
      <c r="L486" s="1154"/>
      <c r="M486" s="1165" t="str">
        <f>IF(LEN(A486)&lt;=0,"","Please ensure you solve the errors appearing on the left . However, In the cases where the errors are valid and can be explained ( We expect this to be very rare cases), Please delete this message and type the  justification for the error here)")</f>
        <v/>
      </c>
      <c r="N486" s="1166"/>
      <c r="O486" s="1166"/>
      <c r="P486" s="1166"/>
      <c r="Q486" s="1166"/>
      <c r="R486" s="1166"/>
      <c r="S486" s="1166"/>
      <c r="T486" s="1166"/>
      <c r="U486" s="1166"/>
      <c r="V486" s="1166"/>
      <c r="W486" s="1166"/>
      <c r="X486" s="1166"/>
      <c r="Y486" s="1166"/>
      <c r="Z486" s="1166"/>
      <c r="AA486" s="1166"/>
      <c r="AB486" s="1166"/>
      <c r="AC486" s="1166"/>
      <c r="AD486" s="1166"/>
      <c r="AE486" s="1166"/>
      <c r="AF486" s="1166"/>
      <c r="AG486" s="1166"/>
      <c r="AH486" s="1166"/>
      <c r="AI486" s="1166"/>
      <c r="AJ486" s="1166"/>
      <c r="AK486" s="1166"/>
      <c r="AL486" s="1166"/>
      <c r="AM486" s="1166"/>
      <c r="AN486" s="1167"/>
    </row>
    <row r="487" spans="1:43" ht="25.5" customHeight="1" x14ac:dyDescent="0.7">
      <c r="A487" s="1155"/>
      <c r="B487" s="1156"/>
      <c r="C487" s="1156"/>
      <c r="D487" s="1156"/>
      <c r="E487" s="1156"/>
      <c r="F487" s="1156"/>
      <c r="G487" s="1156"/>
      <c r="H487" s="1156"/>
      <c r="I487" s="1156"/>
      <c r="J487" s="1156"/>
      <c r="K487" s="1156"/>
      <c r="L487" s="1157"/>
      <c r="M487" s="1168"/>
      <c r="N487" s="1169"/>
      <c r="O487" s="1169"/>
      <c r="P487" s="1169"/>
      <c r="Q487" s="1169"/>
      <c r="R487" s="1169"/>
      <c r="S487" s="1169"/>
      <c r="T487" s="1169"/>
      <c r="U487" s="1169"/>
      <c r="V487" s="1169"/>
      <c r="W487" s="1169"/>
      <c r="X487" s="1169"/>
      <c r="Y487" s="1169"/>
      <c r="Z487" s="1169"/>
      <c r="AA487" s="1169"/>
      <c r="AB487" s="1169"/>
      <c r="AC487" s="1169"/>
      <c r="AD487" s="1169"/>
      <c r="AE487" s="1169"/>
      <c r="AF487" s="1169"/>
      <c r="AG487" s="1169"/>
      <c r="AH487" s="1169"/>
      <c r="AI487" s="1169"/>
      <c r="AJ487" s="1169"/>
      <c r="AK487" s="1169"/>
      <c r="AL487" s="1169"/>
      <c r="AM487" s="1169"/>
      <c r="AN487" s="1170"/>
    </row>
    <row r="488" spans="1:43" ht="30.75" customHeight="1" x14ac:dyDescent="0.7">
      <c r="A488" s="1155"/>
      <c r="B488" s="1156"/>
      <c r="C488" s="1156"/>
      <c r="D488" s="1156"/>
      <c r="E488" s="1156"/>
      <c r="F488" s="1156"/>
      <c r="G488" s="1156"/>
      <c r="H488" s="1156"/>
      <c r="I488" s="1156"/>
      <c r="J488" s="1156"/>
      <c r="K488" s="1156"/>
      <c r="L488" s="1157"/>
      <c r="M488" s="1168"/>
      <c r="N488" s="1169"/>
      <c r="O488" s="1169"/>
      <c r="P488" s="1169"/>
      <c r="Q488" s="1169"/>
      <c r="R488" s="1169"/>
      <c r="S488" s="1169"/>
      <c r="T488" s="1169"/>
      <c r="U488" s="1169"/>
      <c r="V488" s="1169"/>
      <c r="W488" s="1169"/>
      <c r="X488" s="1169"/>
      <c r="Y488" s="1169"/>
      <c r="Z488" s="1169"/>
      <c r="AA488" s="1169"/>
      <c r="AB488" s="1169"/>
      <c r="AC488" s="1169"/>
      <c r="AD488" s="1169"/>
      <c r="AE488" s="1169"/>
      <c r="AF488" s="1169"/>
      <c r="AG488" s="1169"/>
      <c r="AH488" s="1169"/>
      <c r="AI488" s="1169"/>
      <c r="AJ488" s="1169"/>
      <c r="AK488" s="1169"/>
      <c r="AL488" s="1169"/>
      <c r="AM488" s="1169"/>
      <c r="AN488" s="1170"/>
    </row>
    <row r="489" spans="1:43" ht="25.5" customHeight="1" x14ac:dyDescent="0.7">
      <c r="A489" s="1155"/>
      <c r="B489" s="1156"/>
      <c r="C489" s="1156"/>
      <c r="D489" s="1156"/>
      <c r="E489" s="1156"/>
      <c r="F489" s="1156"/>
      <c r="G489" s="1156"/>
      <c r="H489" s="1156"/>
      <c r="I489" s="1156"/>
      <c r="J489" s="1156"/>
      <c r="K489" s="1156"/>
      <c r="L489" s="1157"/>
      <c r="M489" s="1168"/>
      <c r="N489" s="1169"/>
      <c r="O489" s="1169"/>
      <c r="P489" s="1169"/>
      <c r="Q489" s="1169"/>
      <c r="R489" s="1169"/>
      <c r="S489" s="1169"/>
      <c r="T489" s="1169"/>
      <c r="U489" s="1169"/>
      <c r="V489" s="1169"/>
      <c r="W489" s="1169"/>
      <c r="X489" s="1169"/>
      <c r="Y489" s="1169"/>
      <c r="Z489" s="1169"/>
      <c r="AA489" s="1169"/>
      <c r="AB489" s="1169"/>
      <c r="AC489" s="1169"/>
      <c r="AD489" s="1169"/>
      <c r="AE489" s="1169"/>
      <c r="AF489" s="1169"/>
      <c r="AG489" s="1169"/>
      <c r="AH489" s="1169"/>
      <c r="AI489" s="1169"/>
      <c r="AJ489" s="1169"/>
      <c r="AK489" s="1169"/>
      <c r="AL489" s="1169"/>
      <c r="AM489" s="1169"/>
      <c r="AN489" s="1170"/>
    </row>
    <row r="490" spans="1:43" ht="25.5" customHeight="1" x14ac:dyDescent="0.7">
      <c r="A490" s="1155"/>
      <c r="B490" s="1156"/>
      <c r="C490" s="1156"/>
      <c r="D490" s="1156"/>
      <c r="E490" s="1156"/>
      <c r="F490" s="1156"/>
      <c r="G490" s="1156"/>
      <c r="H490" s="1156"/>
      <c r="I490" s="1156"/>
      <c r="J490" s="1156"/>
      <c r="K490" s="1156"/>
      <c r="L490" s="1157"/>
      <c r="M490" s="1168"/>
      <c r="N490" s="1169"/>
      <c r="O490" s="1169"/>
      <c r="P490" s="1169"/>
      <c r="Q490" s="1169"/>
      <c r="R490" s="1169"/>
      <c r="S490" s="1169"/>
      <c r="T490" s="1169"/>
      <c r="U490" s="1169"/>
      <c r="V490" s="1169"/>
      <c r="W490" s="1169"/>
      <c r="X490" s="1169"/>
      <c r="Y490" s="1169"/>
      <c r="Z490" s="1169"/>
      <c r="AA490" s="1169"/>
      <c r="AB490" s="1169"/>
      <c r="AC490" s="1169"/>
      <c r="AD490" s="1169"/>
      <c r="AE490" s="1169"/>
      <c r="AF490" s="1169"/>
      <c r="AG490" s="1169"/>
      <c r="AH490" s="1169"/>
      <c r="AI490" s="1169"/>
      <c r="AJ490" s="1169"/>
      <c r="AK490" s="1169"/>
      <c r="AL490" s="1169"/>
      <c r="AM490" s="1169"/>
      <c r="AN490" s="1170"/>
    </row>
    <row r="491" spans="1:43" ht="25.5" customHeight="1" x14ac:dyDescent="0.7">
      <c r="A491" s="1155"/>
      <c r="B491" s="1156"/>
      <c r="C491" s="1156"/>
      <c r="D491" s="1156"/>
      <c r="E491" s="1156"/>
      <c r="F491" s="1156"/>
      <c r="G491" s="1156"/>
      <c r="H491" s="1156"/>
      <c r="I491" s="1156"/>
      <c r="J491" s="1156"/>
      <c r="K491" s="1156"/>
      <c r="L491" s="1157"/>
      <c r="M491" s="1168"/>
      <c r="N491" s="1169"/>
      <c r="O491" s="1169"/>
      <c r="P491" s="1169"/>
      <c r="Q491" s="1169"/>
      <c r="R491" s="1169"/>
      <c r="S491" s="1169"/>
      <c r="T491" s="1169"/>
      <c r="U491" s="1169"/>
      <c r="V491" s="1169"/>
      <c r="W491" s="1169"/>
      <c r="X491" s="1169"/>
      <c r="Y491" s="1169"/>
      <c r="Z491" s="1169"/>
      <c r="AA491" s="1169"/>
      <c r="AB491" s="1169"/>
      <c r="AC491" s="1169"/>
      <c r="AD491" s="1169"/>
      <c r="AE491" s="1169"/>
      <c r="AF491" s="1169"/>
      <c r="AG491" s="1169"/>
      <c r="AH491" s="1169"/>
      <c r="AI491" s="1169"/>
      <c r="AJ491" s="1169"/>
      <c r="AK491" s="1169"/>
      <c r="AL491" s="1169"/>
      <c r="AM491" s="1169"/>
      <c r="AN491" s="1170"/>
    </row>
    <row r="492" spans="1:43" ht="25.5" customHeight="1" x14ac:dyDescent="0.7">
      <c r="A492" s="1155"/>
      <c r="B492" s="1156"/>
      <c r="C492" s="1156"/>
      <c r="D492" s="1156"/>
      <c r="E492" s="1156"/>
      <c r="F492" s="1156"/>
      <c r="G492" s="1156"/>
      <c r="H492" s="1156"/>
      <c r="I492" s="1156"/>
      <c r="J492" s="1156"/>
      <c r="K492" s="1156"/>
      <c r="L492" s="1157"/>
      <c r="M492" s="1168"/>
      <c r="N492" s="1169"/>
      <c r="O492" s="1169"/>
      <c r="P492" s="1169"/>
      <c r="Q492" s="1169"/>
      <c r="R492" s="1169"/>
      <c r="S492" s="1169"/>
      <c r="T492" s="1169"/>
      <c r="U492" s="1169"/>
      <c r="V492" s="1169"/>
      <c r="W492" s="1169"/>
      <c r="X492" s="1169"/>
      <c r="Y492" s="1169"/>
      <c r="Z492" s="1169"/>
      <c r="AA492" s="1169"/>
      <c r="AB492" s="1169"/>
      <c r="AC492" s="1169"/>
      <c r="AD492" s="1169"/>
      <c r="AE492" s="1169"/>
      <c r="AF492" s="1169"/>
      <c r="AG492" s="1169"/>
      <c r="AH492" s="1169"/>
      <c r="AI492" s="1169"/>
      <c r="AJ492" s="1169"/>
      <c r="AK492" s="1169"/>
      <c r="AL492" s="1169"/>
      <c r="AM492" s="1169"/>
      <c r="AN492" s="1170"/>
    </row>
    <row r="493" spans="1:43" ht="25.5" customHeight="1" x14ac:dyDescent="0.7">
      <c r="A493" s="1155"/>
      <c r="B493" s="1156"/>
      <c r="C493" s="1156"/>
      <c r="D493" s="1156"/>
      <c r="E493" s="1156"/>
      <c r="F493" s="1156"/>
      <c r="G493" s="1156"/>
      <c r="H493" s="1156"/>
      <c r="I493" s="1156"/>
      <c r="J493" s="1156"/>
      <c r="K493" s="1156"/>
      <c r="L493" s="1157"/>
      <c r="M493" s="1168"/>
      <c r="N493" s="1169"/>
      <c r="O493" s="1169"/>
      <c r="P493" s="1169"/>
      <c r="Q493" s="1169"/>
      <c r="R493" s="1169"/>
      <c r="S493" s="1169"/>
      <c r="T493" s="1169"/>
      <c r="U493" s="1169"/>
      <c r="V493" s="1169"/>
      <c r="W493" s="1169"/>
      <c r="X493" s="1169"/>
      <c r="Y493" s="1169"/>
      <c r="Z493" s="1169"/>
      <c r="AA493" s="1169"/>
      <c r="AB493" s="1169"/>
      <c r="AC493" s="1169"/>
      <c r="AD493" s="1169"/>
      <c r="AE493" s="1169"/>
      <c r="AF493" s="1169"/>
      <c r="AG493" s="1169"/>
      <c r="AH493" s="1169"/>
      <c r="AI493" s="1169"/>
      <c r="AJ493" s="1169"/>
      <c r="AK493" s="1169"/>
      <c r="AL493" s="1169"/>
      <c r="AM493" s="1169"/>
      <c r="AN493" s="1170"/>
    </row>
    <row r="494" spans="1:43" ht="25.5" customHeight="1" x14ac:dyDescent="0.7">
      <c r="A494" s="1155"/>
      <c r="B494" s="1156"/>
      <c r="C494" s="1156"/>
      <c r="D494" s="1156"/>
      <c r="E494" s="1156"/>
      <c r="F494" s="1156"/>
      <c r="G494" s="1156"/>
      <c r="H494" s="1156"/>
      <c r="I494" s="1156"/>
      <c r="J494" s="1156"/>
      <c r="K494" s="1156"/>
      <c r="L494" s="1157"/>
      <c r="M494" s="1168"/>
      <c r="N494" s="1169"/>
      <c r="O494" s="1169"/>
      <c r="P494" s="1169"/>
      <c r="Q494" s="1169"/>
      <c r="R494" s="1169"/>
      <c r="S494" s="1169"/>
      <c r="T494" s="1169"/>
      <c r="U494" s="1169"/>
      <c r="V494" s="1169"/>
      <c r="W494" s="1169"/>
      <c r="X494" s="1169"/>
      <c r="Y494" s="1169"/>
      <c r="Z494" s="1169"/>
      <c r="AA494" s="1169"/>
      <c r="AB494" s="1169"/>
      <c r="AC494" s="1169"/>
      <c r="AD494" s="1169"/>
      <c r="AE494" s="1169"/>
      <c r="AF494" s="1169"/>
      <c r="AG494" s="1169"/>
      <c r="AH494" s="1169"/>
      <c r="AI494" s="1169"/>
      <c r="AJ494" s="1169"/>
      <c r="AK494" s="1169"/>
      <c r="AL494" s="1169"/>
      <c r="AM494" s="1169"/>
      <c r="AN494" s="1170"/>
    </row>
    <row r="495" spans="1:43" ht="25.5" customHeight="1" x14ac:dyDescent="0.7">
      <c r="A495" s="1155"/>
      <c r="B495" s="1156"/>
      <c r="C495" s="1156"/>
      <c r="D495" s="1156"/>
      <c r="E495" s="1156"/>
      <c r="F495" s="1156"/>
      <c r="G495" s="1156"/>
      <c r="H495" s="1156"/>
      <c r="I495" s="1156"/>
      <c r="J495" s="1156"/>
      <c r="K495" s="1156"/>
      <c r="L495" s="1157"/>
      <c r="M495" s="1168"/>
      <c r="N495" s="1169"/>
      <c r="O495" s="1169"/>
      <c r="P495" s="1169"/>
      <c r="Q495" s="1169"/>
      <c r="R495" s="1169"/>
      <c r="S495" s="1169"/>
      <c r="T495" s="1169"/>
      <c r="U495" s="1169"/>
      <c r="V495" s="1169"/>
      <c r="W495" s="1169"/>
      <c r="X495" s="1169"/>
      <c r="Y495" s="1169"/>
      <c r="Z495" s="1169"/>
      <c r="AA495" s="1169"/>
      <c r="AB495" s="1169"/>
      <c r="AC495" s="1169"/>
      <c r="AD495" s="1169"/>
      <c r="AE495" s="1169"/>
      <c r="AF495" s="1169"/>
      <c r="AG495" s="1169"/>
      <c r="AH495" s="1169"/>
      <c r="AI495" s="1169"/>
      <c r="AJ495" s="1169"/>
      <c r="AK495" s="1169"/>
      <c r="AL495" s="1169"/>
      <c r="AM495" s="1169"/>
      <c r="AN495" s="1170"/>
    </row>
    <row r="496" spans="1:43" ht="25.5" customHeight="1" x14ac:dyDescent="0.7">
      <c r="A496" s="1155"/>
      <c r="B496" s="1156"/>
      <c r="C496" s="1156"/>
      <c r="D496" s="1156"/>
      <c r="E496" s="1156"/>
      <c r="F496" s="1156"/>
      <c r="G496" s="1156"/>
      <c r="H496" s="1156"/>
      <c r="I496" s="1156"/>
      <c r="J496" s="1156"/>
      <c r="K496" s="1156"/>
      <c r="L496" s="1157"/>
      <c r="M496" s="1168"/>
      <c r="N496" s="1169"/>
      <c r="O496" s="1169"/>
      <c r="P496" s="1169"/>
      <c r="Q496" s="1169"/>
      <c r="R496" s="1169"/>
      <c r="S496" s="1169"/>
      <c r="T496" s="1169"/>
      <c r="U496" s="1169"/>
      <c r="V496" s="1169"/>
      <c r="W496" s="1169"/>
      <c r="X496" s="1169"/>
      <c r="Y496" s="1169"/>
      <c r="Z496" s="1169"/>
      <c r="AA496" s="1169"/>
      <c r="AB496" s="1169"/>
      <c r="AC496" s="1169"/>
      <c r="AD496" s="1169"/>
      <c r="AE496" s="1169"/>
      <c r="AF496" s="1169"/>
      <c r="AG496" s="1169"/>
      <c r="AH496" s="1169"/>
      <c r="AI496" s="1169"/>
      <c r="AJ496" s="1169"/>
      <c r="AK496" s="1169"/>
      <c r="AL496" s="1169"/>
      <c r="AM496" s="1169"/>
      <c r="AN496" s="1170"/>
    </row>
    <row r="497" spans="1:43" ht="25.5" customHeight="1" x14ac:dyDescent="0.7">
      <c r="A497" s="1155"/>
      <c r="B497" s="1156"/>
      <c r="C497" s="1156"/>
      <c r="D497" s="1156"/>
      <c r="E497" s="1156"/>
      <c r="F497" s="1156"/>
      <c r="G497" s="1156"/>
      <c r="H497" s="1156"/>
      <c r="I497" s="1156"/>
      <c r="J497" s="1156"/>
      <c r="K497" s="1156"/>
      <c r="L497" s="1157"/>
      <c r="M497" s="1168"/>
      <c r="N497" s="1169"/>
      <c r="O497" s="1169"/>
      <c r="P497" s="1169"/>
      <c r="Q497" s="1169"/>
      <c r="R497" s="1169"/>
      <c r="S497" s="1169"/>
      <c r="T497" s="1169"/>
      <c r="U497" s="1169"/>
      <c r="V497" s="1169"/>
      <c r="W497" s="1169"/>
      <c r="X497" s="1169"/>
      <c r="Y497" s="1169"/>
      <c r="Z497" s="1169"/>
      <c r="AA497" s="1169"/>
      <c r="AB497" s="1169"/>
      <c r="AC497" s="1169"/>
      <c r="AD497" s="1169"/>
      <c r="AE497" s="1169"/>
      <c r="AF497" s="1169"/>
      <c r="AG497" s="1169"/>
      <c r="AH497" s="1169"/>
      <c r="AI497" s="1169"/>
      <c r="AJ497" s="1169"/>
      <c r="AK497" s="1169"/>
      <c r="AL497" s="1169"/>
      <c r="AM497" s="1169"/>
      <c r="AN497" s="1170"/>
    </row>
    <row r="498" spans="1:43" ht="25.5" customHeight="1" x14ac:dyDescent="0.7">
      <c r="A498" s="1155"/>
      <c r="B498" s="1156"/>
      <c r="C498" s="1156"/>
      <c r="D498" s="1156"/>
      <c r="E498" s="1156"/>
      <c r="F498" s="1156"/>
      <c r="G498" s="1156"/>
      <c r="H498" s="1156"/>
      <c r="I498" s="1156"/>
      <c r="J498" s="1156"/>
      <c r="K498" s="1156"/>
      <c r="L498" s="1157"/>
      <c r="M498" s="1168"/>
      <c r="N498" s="1169"/>
      <c r="O498" s="1169"/>
      <c r="P498" s="1169"/>
      <c r="Q498" s="1169"/>
      <c r="R498" s="1169"/>
      <c r="S498" s="1169"/>
      <c r="T498" s="1169"/>
      <c r="U498" s="1169"/>
      <c r="V498" s="1169"/>
      <c r="W498" s="1169"/>
      <c r="X498" s="1169"/>
      <c r="Y498" s="1169"/>
      <c r="Z498" s="1169"/>
      <c r="AA498" s="1169"/>
      <c r="AB498" s="1169"/>
      <c r="AC498" s="1169"/>
      <c r="AD498" s="1169"/>
      <c r="AE498" s="1169"/>
      <c r="AF498" s="1169"/>
      <c r="AG498" s="1169"/>
      <c r="AH498" s="1169"/>
      <c r="AI498" s="1169"/>
      <c r="AJ498" s="1169"/>
      <c r="AK498" s="1169"/>
      <c r="AL498" s="1169"/>
      <c r="AM498" s="1169"/>
      <c r="AN498" s="1170"/>
    </row>
    <row r="499" spans="1:43" ht="25.5" customHeight="1" x14ac:dyDescent="0.7">
      <c r="A499" s="1155"/>
      <c r="B499" s="1156"/>
      <c r="C499" s="1156"/>
      <c r="D499" s="1156"/>
      <c r="E499" s="1156"/>
      <c r="F499" s="1156"/>
      <c r="G499" s="1156"/>
      <c r="H499" s="1156"/>
      <c r="I499" s="1156"/>
      <c r="J499" s="1156"/>
      <c r="K499" s="1156"/>
      <c r="L499" s="1157"/>
      <c r="M499" s="1168"/>
      <c r="N499" s="1169"/>
      <c r="O499" s="1169"/>
      <c r="P499" s="1169"/>
      <c r="Q499" s="1169"/>
      <c r="R499" s="1169"/>
      <c r="S499" s="1169"/>
      <c r="T499" s="1169"/>
      <c r="U499" s="1169"/>
      <c r="V499" s="1169"/>
      <c r="W499" s="1169"/>
      <c r="X499" s="1169"/>
      <c r="Y499" s="1169"/>
      <c r="Z499" s="1169"/>
      <c r="AA499" s="1169"/>
      <c r="AB499" s="1169"/>
      <c r="AC499" s="1169"/>
      <c r="AD499" s="1169"/>
      <c r="AE499" s="1169"/>
      <c r="AF499" s="1169"/>
      <c r="AG499" s="1169"/>
      <c r="AH499" s="1169"/>
      <c r="AI499" s="1169"/>
      <c r="AJ499" s="1169"/>
      <c r="AK499" s="1169"/>
      <c r="AL499" s="1169"/>
      <c r="AM499" s="1169"/>
      <c r="AN499" s="1170"/>
    </row>
    <row r="500" spans="1:43" ht="25.5" customHeight="1" x14ac:dyDescent="0.7">
      <c r="A500" s="1155"/>
      <c r="B500" s="1156"/>
      <c r="C500" s="1156"/>
      <c r="D500" s="1156"/>
      <c r="E500" s="1156"/>
      <c r="F500" s="1156"/>
      <c r="G500" s="1156"/>
      <c r="H500" s="1156"/>
      <c r="I500" s="1156"/>
      <c r="J500" s="1156"/>
      <c r="K500" s="1156"/>
      <c r="L500" s="1157"/>
      <c r="M500" s="1168"/>
      <c r="N500" s="1169"/>
      <c r="O500" s="1169"/>
      <c r="P500" s="1169"/>
      <c r="Q500" s="1169"/>
      <c r="R500" s="1169"/>
      <c r="S500" s="1169"/>
      <c r="T500" s="1169"/>
      <c r="U500" s="1169"/>
      <c r="V500" s="1169"/>
      <c r="W500" s="1169"/>
      <c r="X500" s="1169"/>
      <c r="Y500" s="1169"/>
      <c r="Z500" s="1169"/>
      <c r="AA500" s="1169"/>
      <c r="AB500" s="1169"/>
      <c r="AC500" s="1169"/>
      <c r="AD500" s="1169"/>
      <c r="AE500" s="1169"/>
      <c r="AF500" s="1169"/>
      <c r="AG500" s="1169"/>
      <c r="AH500" s="1169"/>
      <c r="AI500" s="1169"/>
      <c r="AJ500" s="1169"/>
      <c r="AK500" s="1169"/>
      <c r="AL500" s="1169"/>
      <c r="AM500" s="1169"/>
      <c r="AN500" s="1170"/>
    </row>
    <row r="501" spans="1:43" ht="25.5" customHeight="1" x14ac:dyDescent="0.7">
      <c r="A501" s="1155"/>
      <c r="B501" s="1156"/>
      <c r="C501" s="1156"/>
      <c r="D501" s="1156"/>
      <c r="E501" s="1156"/>
      <c r="F501" s="1156"/>
      <c r="G501" s="1156"/>
      <c r="H501" s="1156"/>
      <c r="I501" s="1156"/>
      <c r="J501" s="1156"/>
      <c r="K501" s="1156"/>
      <c r="L501" s="1157"/>
      <c r="M501" s="1168"/>
      <c r="N501" s="1169"/>
      <c r="O501" s="1169"/>
      <c r="P501" s="1169"/>
      <c r="Q501" s="1169"/>
      <c r="R501" s="1169"/>
      <c r="S501" s="1169"/>
      <c r="T501" s="1169"/>
      <c r="U501" s="1169"/>
      <c r="V501" s="1169"/>
      <c r="W501" s="1169"/>
      <c r="X501" s="1169"/>
      <c r="Y501" s="1169"/>
      <c r="Z501" s="1169"/>
      <c r="AA501" s="1169"/>
      <c r="AB501" s="1169"/>
      <c r="AC501" s="1169"/>
      <c r="AD501" s="1169"/>
      <c r="AE501" s="1169"/>
      <c r="AF501" s="1169"/>
      <c r="AG501" s="1169"/>
      <c r="AH501" s="1169"/>
      <c r="AI501" s="1169"/>
      <c r="AJ501" s="1169"/>
      <c r="AK501" s="1169"/>
      <c r="AL501" s="1169"/>
      <c r="AM501" s="1169"/>
      <c r="AN501" s="1170"/>
    </row>
    <row r="502" spans="1:43" ht="25.5" customHeight="1" x14ac:dyDescent="0.7">
      <c r="A502" s="1155"/>
      <c r="B502" s="1156"/>
      <c r="C502" s="1156"/>
      <c r="D502" s="1156"/>
      <c r="E502" s="1156"/>
      <c r="F502" s="1156"/>
      <c r="G502" s="1156"/>
      <c r="H502" s="1156"/>
      <c r="I502" s="1156"/>
      <c r="J502" s="1156"/>
      <c r="K502" s="1156"/>
      <c r="L502" s="1157"/>
      <c r="M502" s="1168"/>
      <c r="N502" s="1169"/>
      <c r="O502" s="1169"/>
      <c r="P502" s="1169"/>
      <c r="Q502" s="1169"/>
      <c r="R502" s="1169"/>
      <c r="S502" s="1169"/>
      <c r="T502" s="1169"/>
      <c r="U502" s="1169"/>
      <c r="V502" s="1169"/>
      <c r="W502" s="1169"/>
      <c r="X502" s="1169"/>
      <c r="Y502" s="1169"/>
      <c r="Z502" s="1169"/>
      <c r="AA502" s="1169"/>
      <c r="AB502" s="1169"/>
      <c r="AC502" s="1169"/>
      <c r="AD502" s="1169"/>
      <c r="AE502" s="1169"/>
      <c r="AF502" s="1169"/>
      <c r="AG502" s="1169"/>
      <c r="AH502" s="1169"/>
      <c r="AI502" s="1169"/>
      <c r="AJ502" s="1169"/>
      <c r="AK502" s="1169"/>
      <c r="AL502" s="1169"/>
      <c r="AM502" s="1169"/>
      <c r="AN502" s="1170"/>
    </row>
    <row r="503" spans="1:43" ht="25.5" customHeight="1" x14ac:dyDescent="0.7">
      <c r="A503" s="1155"/>
      <c r="B503" s="1156"/>
      <c r="C503" s="1156"/>
      <c r="D503" s="1156"/>
      <c r="E503" s="1156"/>
      <c r="F503" s="1156"/>
      <c r="G503" s="1156"/>
      <c r="H503" s="1156"/>
      <c r="I503" s="1156"/>
      <c r="J503" s="1156"/>
      <c r="K503" s="1156"/>
      <c r="L503" s="1157"/>
      <c r="M503" s="1168"/>
      <c r="N503" s="1169"/>
      <c r="O503" s="1169"/>
      <c r="P503" s="1169"/>
      <c r="Q503" s="1169"/>
      <c r="R503" s="1169"/>
      <c r="S503" s="1169"/>
      <c r="T503" s="1169"/>
      <c r="U503" s="1169"/>
      <c r="V503" s="1169"/>
      <c r="W503" s="1169"/>
      <c r="X503" s="1169"/>
      <c r="Y503" s="1169"/>
      <c r="Z503" s="1169"/>
      <c r="AA503" s="1169"/>
      <c r="AB503" s="1169"/>
      <c r="AC503" s="1169"/>
      <c r="AD503" s="1169"/>
      <c r="AE503" s="1169"/>
      <c r="AF503" s="1169"/>
      <c r="AG503" s="1169"/>
      <c r="AH503" s="1169"/>
      <c r="AI503" s="1169"/>
      <c r="AJ503" s="1169"/>
      <c r="AK503" s="1169"/>
      <c r="AL503" s="1169"/>
      <c r="AM503" s="1169"/>
      <c r="AN503" s="1170"/>
    </row>
    <row r="504" spans="1:43" ht="25.5" customHeight="1" x14ac:dyDescent="0.7">
      <c r="A504" s="1155"/>
      <c r="B504" s="1156"/>
      <c r="C504" s="1156"/>
      <c r="D504" s="1156"/>
      <c r="E504" s="1156"/>
      <c r="F504" s="1156"/>
      <c r="G504" s="1156"/>
      <c r="H504" s="1156"/>
      <c r="I504" s="1156"/>
      <c r="J504" s="1156"/>
      <c r="K504" s="1156"/>
      <c r="L504" s="1157"/>
      <c r="M504" s="1168"/>
      <c r="N504" s="1169"/>
      <c r="O504" s="1169"/>
      <c r="P504" s="1169"/>
      <c r="Q504" s="1169"/>
      <c r="R504" s="1169"/>
      <c r="S504" s="1169"/>
      <c r="T504" s="1169"/>
      <c r="U504" s="1169"/>
      <c r="V504" s="1169"/>
      <c r="W504" s="1169"/>
      <c r="X504" s="1169"/>
      <c r="Y504" s="1169"/>
      <c r="Z504" s="1169"/>
      <c r="AA504" s="1169"/>
      <c r="AB504" s="1169"/>
      <c r="AC504" s="1169"/>
      <c r="AD504" s="1169"/>
      <c r="AE504" s="1169"/>
      <c r="AF504" s="1169"/>
      <c r="AG504" s="1169"/>
      <c r="AH504" s="1169"/>
      <c r="AI504" s="1169"/>
      <c r="AJ504" s="1169"/>
      <c r="AK504" s="1169"/>
      <c r="AL504" s="1169"/>
      <c r="AM504" s="1169"/>
      <c r="AN504" s="1170"/>
    </row>
    <row r="505" spans="1:43" ht="25.5" customHeight="1" x14ac:dyDescent="0.7">
      <c r="A505" s="1155"/>
      <c r="B505" s="1156"/>
      <c r="C505" s="1156"/>
      <c r="D505" s="1156"/>
      <c r="E505" s="1156"/>
      <c r="F505" s="1156"/>
      <c r="G505" s="1156"/>
      <c r="H505" s="1156"/>
      <c r="I505" s="1156"/>
      <c r="J505" s="1156"/>
      <c r="K505" s="1156"/>
      <c r="L505" s="1157"/>
      <c r="M505" s="1168"/>
      <c r="N505" s="1169"/>
      <c r="O505" s="1169"/>
      <c r="P505" s="1169"/>
      <c r="Q505" s="1169"/>
      <c r="R505" s="1169"/>
      <c r="S505" s="1169"/>
      <c r="T505" s="1169"/>
      <c r="U505" s="1169"/>
      <c r="V505" s="1169"/>
      <c r="W505" s="1169"/>
      <c r="X505" s="1169"/>
      <c r="Y505" s="1169"/>
      <c r="Z505" s="1169"/>
      <c r="AA505" s="1169"/>
      <c r="AB505" s="1169"/>
      <c r="AC505" s="1169"/>
      <c r="AD505" s="1169"/>
      <c r="AE505" s="1169"/>
      <c r="AF505" s="1169"/>
      <c r="AG505" s="1169"/>
      <c r="AH505" s="1169"/>
      <c r="AI505" s="1169"/>
      <c r="AJ505" s="1169"/>
      <c r="AK505" s="1169"/>
      <c r="AL505" s="1169"/>
      <c r="AM505" s="1169"/>
      <c r="AN505" s="1170"/>
    </row>
    <row r="506" spans="1:43" ht="26.25" customHeight="1" thickBot="1" x14ac:dyDescent="0.75">
      <c r="A506" s="1158"/>
      <c r="B506" s="1159"/>
      <c r="C506" s="1159"/>
      <c r="D506" s="1159"/>
      <c r="E506" s="1159"/>
      <c r="F506" s="1159"/>
      <c r="G506" s="1159"/>
      <c r="H506" s="1159"/>
      <c r="I506" s="1159"/>
      <c r="J506" s="1159"/>
      <c r="K506" s="1159"/>
      <c r="L506" s="1160"/>
      <c r="M506" s="1171"/>
      <c r="N506" s="1172"/>
      <c r="O506" s="1172"/>
      <c r="P506" s="1172"/>
      <c r="Q506" s="1172"/>
      <c r="R506" s="1172"/>
      <c r="S506" s="1172"/>
      <c r="T506" s="1172"/>
      <c r="U506" s="1172"/>
      <c r="V506" s="1172"/>
      <c r="W506" s="1172"/>
      <c r="X506" s="1172"/>
      <c r="Y506" s="1172"/>
      <c r="Z506" s="1172"/>
      <c r="AA506" s="1172"/>
      <c r="AB506" s="1172"/>
      <c r="AC506" s="1172"/>
      <c r="AD506" s="1172"/>
      <c r="AE506" s="1172"/>
      <c r="AF506" s="1172"/>
      <c r="AG506" s="1172"/>
      <c r="AH506" s="1172"/>
      <c r="AI506" s="1172"/>
      <c r="AJ506" s="1172"/>
      <c r="AK506" s="1172"/>
      <c r="AL506" s="1172"/>
      <c r="AM506" s="1172"/>
      <c r="AN506" s="1173"/>
    </row>
    <row r="507" spans="1:43" s="293" customFormat="1" ht="41.25" customHeight="1" thickBot="1" x14ac:dyDescent="1.1000000000000001">
      <c r="A507" s="1147" t="s">
        <v>945</v>
      </c>
      <c r="B507" s="1148"/>
      <c r="C507" s="1148"/>
      <c r="D507" s="1148"/>
      <c r="E507" s="1148"/>
      <c r="F507" s="1148"/>
      <c r="G507" s="1148"/>
      <c r="H507" s="1148"/>
      <c r="I507" s="1148"/>
      <c r="J507" s="1148"/>
      <c r="K507" s="1148"/>
      <c r="L507" s="1149"/>
      <c r="M507" s="1150" t="s">
        <v>947</v>
      </c>
      <c r="N507" s="1150"/>
      <c r="O507" s="1150"/>
      <c r="P507" s="1150"/>
      <c r="Q507" s="1150"/>
      <c r="R507" s="1150"/>
      <c r="S507" s="1150"/>
      <c r="T507" s="1150"/>
      <c r="U507" s="1150"/>
      <c r="V507" s="1150"/>
      <c r="W507" s="1150"/>
      <c r="X507" s="1150"/>
      <c r="Y507" s="1150"/>
      <c r="Z507" s="1150"/>
      <c r="AA507" s="1150"/>
      <c r="AB507" s="1150"/>
      <c r="AC507" s="1150"/>
      <c r="AD507" s="1150"/>
      <c r="AE507" s="1150"/>
      <c r="AF507" s="1150"/>
      <c r="AG507" s="1150"/>
      <c r="AH507" s="1150"/>
      <c r="AI507" s="1150"/>
      <c r="AJ507" s="1150"/>
      <c r="AK507" s="1150"/>
      <c r="AL507" s="1150"/>
      <c r="AM507" s="1150"/>
      <c r="AN507" s="1151"/>
      <c r="AO507" s="290"/>
      <c r="AP507" s="291"/>
      <c r="AQ507" s="292"/>
    </row>
    <row r="508" spans="1:43" ht="30.75" customHeight="1" x14ac:dyDescent="0.7">
      <c r="A508" s="1129" t="str">
        <f>CONCATENATE(AN401,AN381,AN370,AN356,AN331,AN313,AN301,AN277,AN223,AN196,AN167,AN123,AN111,AN22,AN8)</f>
        <v/>
      </c>
      <c r="B508" s="1130"/>
      <c r="C508" s="1130"/>
      <c r="D508" s="1130"/>
      <c r="E508" s="1130"/>
      <c r="F508" s="1130"/>
      <c r="G508" s="1130"/>
      <c r="H508" s="1130"/>
      <c r="I508" s="1130"/>
      <c r="J508" s="1130"/>
      <c r="K508" s="1130"/>
      <c r="L508" s="1131"/>
      <c r="M508" s="1138"/>
      <c r="N508" s="1139"/>
      <c r="O508" s="1139"/>
      <c r="P508" s="1139"/>
      <c r="Q508" s="1139"/>
      <c r="R508" s="1139"/>
      <c r="S508" s="1139"/>
      <c r="T508" s="1139"/>
      <c r="U508" s="1139"/>
      <c r="V508" s="1139"/>
      <c r="W508" s="1139"/>
      <c r="X508" s="1139"/>
      <c r="Y508" s="1139"/>
      <c r="Z508" s="1139"/>
      <c r="AA508" s="1139"/>
      <c r="AB508" s="1139"/>
      <c r="AC508" s="1139"/>
      <c r="AD508" s="1139"/>
      <c r="AE508" s="1139"/>
      <c r="AF508" s="1139"/>
      <c r="AG508" s="1139"/>
      <c r="AH508" s="1139"/>
      <c r="AI508" s="1139"/>
      <c r="AJ508" s="1139"/>
      <c r="AK508" s="1139"/>
      <c r="AL508" s="1139"/>
      <c r="AM508" s="1139"/>
      <c r="AN508" s="1140"/>
    </row>
    <row r="509" spans="1:43" ht="30.75" customHeight="1" x14ac:dyDescent="0.7">
      <c r="A509" s="1132"/>
      <c r="B509" s="1133"/>
      <c r="C509" s="1133"/>
      <c r="D509" s="1133"/>
      <c r="E509" s="1133"/>
      <c r="F509" s="1133"/>
      <c r="G509" s="1133"/>
      <c r="H509" s="1133"/>
      <c r="I509" s="1133"/>
      <c r="J509" s="1133"/>
      <c r="K509" s="1133"/>
      <c r="L509" s="1134"/>
      <c r="M509" s="1141"/>
      <c r="N509" s="1142"/>
      <c r="O509" s="1142"/>
      <c r="P509" s="1142"/>
      <c r="Q509" s="1142"/>
      <c r="R509" s="1142"/>
      <c r="S509" s="1142"/>
      <c r="T509" s="1142"/>
      <c r="U509" s="1142"/>
      <c r="V509" s="1142"/>
      <c r="W509" s="1142"/>
      <c r="X509" s="1142"/>
      <c r="Y509" s="1142"/>
      <c r="Z509" s="1142"/>
      <c r="AA509" s="1142"/>
      <c r="AB509" s="1142"/>
      <c r="AC509" s="1142"/>
      <c r="AD509" s="1142"/>
      <c r="AE509" s="1142"/>
      <c r="AF509" s="1142"/>
      <c r="AG509" s="1142"/>
      <c r="AH509" s="1142"/>
      <c r="AI509" s="1142"/>
      <c r="AJ509" s="1142"/>
      <c r="AK509" s="1142"/>
      <c r="AL509" s="1142"/>
      <c r="AM509" s="1142"/>
      <c r="AN509" s="1143"/>
    </row>
    <row r="510" spans="1:43" ht="30.75" customHeight="1" x14ac:dyDescent="0.7">
      <c r="A510" s="1132"/>
      <c r="B510" s="1133"/>
      <c r="C510" s="1133"/>
      <c r="D510" s="1133"/>
      <c r="E510" s="1133"/>
      <c r="F510" s="1133"/>
      <c r="G510" s="1133"/>
      <c r="H510" s="1133"/>
      <c r="I510" s="1133"/>
      <c r="J510" s="1133"/>
      <c r="K510" s="1133"/>
      <c r="L510" s="1134"/>
      <c r="M510" s="1141"/>
      <c r="N510" s="1142"/>
      <c r="O510" s="1142"/>
      <c r="P510" s="1142"/>
      <c r="Q510" s="1142"/>
      <c r="R510" s="1142"/>
      <c r="S510" s="1142"/>
      <c r="T510" s="1142"/>
      <c r="U510" s="1142"/>
      <c r="V510" s="1142"/>
      <c r="W510" s="1142"/>
      <c r="X510" s="1142"/>
      <c r="Y510" s="1142"/>
      <c r="Z510" s="1142"/>
      <c r="AA510" s="1142"/>
      <c r="AB510" s="1142"/>
      <c r="AC510" s="1142"/>
      <c r="AD510" s="1142"/>
      <c r="AE510" s="1142"/>
      <c r="AF510" s="1142"/>
      <c r="AG510" s="1142"/>
      <c r="AH510" s="1142"/>
      <c r="AI510" s="1142"/>
      <c r="AJ510" s="1142"/>
      <c r="AK510" s="1142"/>
      <c r="AL510" s="1142"/>
      <c r="AM510" s="1142"/>
      <c r="AN510" s="1143"/>
    </row>
    <row r="511" spans="1:43" ht="30.75" customHeight="1" x14ac:dyDescent="0.7">
      <c r="A511" s="1132"/>
      <c r="B511" s="1133"/>
      <c r="C511" s="1133"/>
      <c r="D511" s="1133"/>
      <c r="E511" s="1133"/>
      <c r="F511" s="1133"/>
      <c r="G511" s="1133"/>
      <c r="H511" s="1133"/>
      <c r="I511" s="1133"/>
      <c r="J511" s="1133"/>
      <c r="K511" s="1133"/>
      <c r="L511" s="1134"/>
      <c r="M511" s="1141"/>
      <c r="N511" s="1142"/>
      <c r="O511" s="1142"/>
      <c r="P511" s="1142"/>
      <c r="Q511" s="1142"/>
      <c r="R511" s="1142"/>
      <c r="S511" s="1142"/>
      <c r="T511" s="1142"/>
      <c r="U511" s="1142"/>
      <c r="V511" s="1142"/>
      <c r="W511" s="1142"/>
      <c r="X511" s="1142"/>
      <c r="Y511" s="1142"/>
      <c r="Z511" s="1142"/>
      <c r="AA511" s="1142"/>
      <c r="AB511" s="1142"/>
      <c r="AC511" s="1142"/>
      <c r="AD511" s="1142"/>
      <c r="AE511" s="1142"/>
      <c r="AF511" s="1142"/>
      <c r="AG511" s="1142"/>
      <c r="AH511" s="1142"/>
      <c r="AI511" s="1142"/>
      <c r="AJ511" s="1142"/>
      <c r="AK511" s="1142"/>
      <c r="AL511" s="1142"/>
      <c r="AM511" s="1142"/>
      <c r="AN511" s="1143"/>
    </row>
    <row r="512" spans="1:43" ht="30.75" customHeight="1" x14ac:dyDescent="0.7">
      <c r="A512" s="1132"/>
      <c r="B512" s="1133"/>
      <c r="C512" s="1133"/>
      <c r="D512" s="1133"/>
      <c r="E512" s="1133"/>
      <c r="F512" s="1133"/>
      <c r="G512" s="1133"/>
      <c r="H512" s="1133"/>
      <c r="I512" s="1133"/>
      <c r="J512" s="1133"/>
      <c r="K512" s="1133"/>
      <c r="L512" s="1134"/>
      <c r="M512" s="1141"/>
      <c r="N512" s="1142"/>
      <c r="O512" s="1142"/>
      <c r="P512" s="1142"/>
      <c r="Q512" s="1142"/>
      <c r="R512" s="1142"/>
      <c r="S512" s="1142"/>
      <c r="T512" s="1142"/>
      <c r="U512" s="1142"/>
      <c r="V512" s="1142"/>
      <c r="W512" s="1142"/>
      <c r="X512" s="1142"/>
      <c r="Y512" s="1142"/>
      <c r="Z512" s="1142"/>
      <c r="AA512" s="1142"/>
      <c r="AB512" s="1142"/>
      <c r="AC512" s="1142"/>
      <c r="AD512" s="1142"/>
      <c r="AE512" s="1142"/>
      <c r="AF512" s="1142"/>
      <c r="AG512" s="1142"/>
      <c r="AH512" s="1142"/>
      <c r="AI512" s="1142"/>
      <c r="AJ512" s="1142"/>
      <c r="AK512" s="1142"/>
      <c r="AL512" s="1142"/>
      <c r="AM512" s="1142"/>
      <c r="AN512" s="1143"/>
    </row>
    <row r="513" spans="1:40" ht="30.75" customHeight="1" x14ac:dyDescent="0.7">
      <c r="A513" s="1132"/>
      <c r="B513" s="1133"/>
      <c r="C513" s="1133"/>
      <c r="D513" s="1133"/>
      <c r="E513" s="1133"/>
      <c r="F513" s="1133"/>
      <c r="G513" s="1133"/>
      <c r="H513" s="1133"/>
      <c r="I513" s="1133"/>
      <c r="J513" s="1133"/>
      <c r="K513" s="1133"/>
      <c r="L513" s="1134"/>
      <c r="M513" s="1141"/>
      <c r="N513" s="1142"/>
      <c r="O513" s="1142"/>
      <c r="P513" s="1142"/>
      <c r="Q513" s="1142"/>
      <c r="R513" s="1142"/>
      <c r="S513" s="1142"/>
      <c r="T513" s="1142"/>
      <c r="U513" s="1142"/>
      <c r="V513" s="1142"/>
      <c r="W513" s="1142"/>
      <c r="X513" s="1142"/>
      <c r="Y513" s="1142"/>
      <c r="Z513" s="1142"/>
      <c r="AA513" s="1142"/>
      <c r="AB513" s="1142"/>
      <c r="AC513" s="1142"/>
      <c r="AD513" s="1142"/>
      <c r="AE513" s="1142"/>
      <c r="AF513" s="1142"/>
      <c r="AG513" s="1142"/>
      <c r="AH513" s="1142"/>
      <c r="AI513" s="1142"/>
      <c r="AJ513" s="1142"/>
      <c r="AK513" s="1142"/>
      <c r="AL513" s="1142"/>
      <c r="AM513" s="1142"/>
      <c r="AN513" s="1143"/>
    </row>
    <row r="514" spans="1:40" ht="30.75" customHeight="1" x14ac:dyDescent="0.7">
      <c r="A514" s="1132"/>
      <c r="B514" s="1133"/>
      <c r="C514" s="1133"/>
      <c r="D514" s="1133"/>
      <c r="E514" s="1133"/>
      <c r="F514" s="1133"/>
      <c r="G514" s="1133"/>
      <c r="H514" s="1133"/>
      <c r="I514" s="1133"/>
      <c r="J514" s="1133"/>
      <c r="K514" s="1133"/>
      <c r="L514" s="1134"/>
      <c r="M514" s="1141"/>
      <c r="N514" s="1142"/>
      <c r="O514" s="1142"/>
      <c r="P514" s="1142"/>
      <c r="Q514" s="1142"/>
      <c r="R514" s="1142"/>
      <c r="S514" s="1142"/>
      <c r="T514" s="1142"/>
      <c r="U514" s="1142"/>
      <c r="V514" s="1142"/>
      <c r="W514" s="1142"/>
      <c r="X514" s="1142"/>
      <c r="Y514" s="1142"/>
      <c r="Z514" s="1142"/>
      <c r="AA514" s="1142"/>
      <c r="AB514" s="1142"/>
      <c r="AC514" s="1142"/>
      <c r="AD514" s="1142"/>
      <c r="AE514" s="1142"/>
      <c r="AF514" s="1142"/>
      <c r="AG514" s="1142"/>
      <c r="AH514" s="1142"/>
      <c r="AI514" s="1142"/>
      <c r="AJ514" s="1142"/>
      <c r="AK514" s="1142"/>
      <c r="AL514" s="1142"/>
      <c r="AM514" s="1142"/>
      <c r="AN514" s="1143"/>
    </row>
    <row r="515" spans="1:40" ht="30.75" customHeight="1" x14ac:dyDescent="0.7">
      <c r="A515" s="1132"/>
      <c r="B515" s="1133"/>
      <c r="C515" s="1133"/>
      <c r="D515" s="1133"/>
      <c r="E515" s="1133"/>
      <c r="F515" s="1133"/>
      <c r="G515" s="1133"/>
      <c r="H515" s="1133"/>
      <c r="I515" s="1133"/>
      <c r="J515" s="1133"/>
      <c r="K515" s="1133"/>
      <c r="L515" s="1134"/>
      <c r="M515" s="1141"/>
      <c r="N515" s="1142"/>
      <c r="O515" s="1142"/>
      <c r="P515" s="1142"/>
      <c r="Q515" s="1142"/>
      <c r="R515" s="1142"/>
      <c r="S515" s="1142"/>
      <c r="T515" s="1142"/>
      <c r="U515" s="1142"/>
      <c r="V515" s="1142"/>
      <c r="W515" s="1142"/>
      <c r="X515" s="1142"/>
      <c r="Y515" s="1142"/>
      <c r="Z515" s="1142"/>
      <c r="AA515" s="1142"/>
      <c r="AB515" s="1142"/>
      <c r="AC515" s="1142"/>
      <c r="AD515" s="1142"/>
      <c r="AE515" s="1142"/>
      <c r="AF515" s="1142"/>
      <c r="AG515" s="1142"/>
      <c r="AH515" s="1142"/>
      <c r="AI515" s="1142"/>
      <c r="AJ515" s="1142"/>
      <c r="AK515" s="1142"/>
      <c r="AL515" s="1142"/>
      <c r="AM515" s="1142"/>
      <c r="AN515" s="1143"/>
    </row>
    <row r="516" spans="1:40" ht="30.75" customHeight="1" x14ac:dyDescent="0.7">
      <c r="A516" s="1132"/>
      <c r="B516" s="1133"/>
      <c r="C516" s="1133"/>
      <c r="D516" s="1133"/>
      <c r="E516" s="1133"/>
      <c r="F516" s="1133"/>
      <c r="G516" s="1133"/>
      <c r="H516" s="1133"/>
      <c r="I516" s="1133"/>
      <c r="J516" s="1133"/>
      <c r="K516" s="1133"/>
      <c r="L516" s="1134"/>
      <c r="M516" s="1141"/>
      <c r="N516" s="1142"/>
      <c r="O516" s="1142"/>
      <c r="P516" s="1142"/>
      <c r="Q516" s="1142"/>
      <c r="R516" s="1142"/>
      <c r="S516" s="1142"/>
      <c r="T516" s="1142"/>
      <c r="U516" s="1142"/>
      <c r="V516" s="1142"/>
      <c r="W516" s="1142"/>
      <c r="X516" s="1142"/>
      <c r="Y516" s="1142"/>
      <c r="Z516" s="1142"/>
      <c r="AA516" s="1142"/>
      <c r="AB516" s="1142"/>
      <c r="AC516" s="1142"/>
      <c r="AD516" s="1142"/>
      <c r="AE516" s="1142"/>
      <c r="AF516" s="1142"/>
      <c r="AG516" s="1142"/>
      <c r="AH516" s="1142"/>
      <c r="AI516" s="1142"/>
      <c r="AJ516" s="1142"/>
      <c r="AK516" s="1142"/>
      <c r="AL516" s="1142"/>
      <c r="AM516" s="1142"/>
      <c r="AN516" s="1143"/>
    </row>
    <row r="517" spans="1:40" ht="30.75" customHeight="1" x14ac:dyDescent="0.7">
      <c r="A517" s="1132"/>
      <c r="B517" s="1133"/>
      <c r="C517" s="1133"/>
      <c r="D517" s="1133"/>
      <c r="E517" s="1133"/>
      <c r="F517" s="1133"/>
      <c r="G517" s="1133"/>
      <c r="H517" s="1133"/>
      <c r="I517" s="1133"/>
      <c r="J517" s="1133"/>
      <c r="K517" s="1133"/>
      <c r="L517" s="1134"/>
      <c r="M517" s="1141"/>
      <c r="N517" s="1142"/>
      <c r="O517" s="1142"/>
      <c r="P517" s="1142"/>
      <c r="Q517" s="1142"/>
      <c r="R517" s="1142"/>
      <c r="S517" s="1142"/>
      <c r="T517" s="1142"/>
      <c r="U517" s="1142"/>
      <c r="V517" s="1142"/>
      <c r="W517" s="1142"/>
      <c r="X517" s="1142"/>
      <c r="Y517" s="1142"/>
      <c r="Z517" s="1142"/>
      <c r="AA517" s="1142"/>
      <c r="AB517" s="1142"/>
      <c r="AC517" s="1142"/>
      <c r="AD517" s="1142"/>
      <c r="AE517" s="1142"/>
      <c r="AF517" s="1142"/>
      <c r="AG517" s="1142"/>
      <c r="AH517" s="1142"/>
      <c r="AI517" s="1142"/>
      <c r="AJ517" s="1142"/>
      <c r="AK517" s="1142"/>
      <c r="AL517" s="1142"/>
      <c r="AM517" s="1142"/>
      <c r="AN517" s="1143"/>
    </row>
    <row r="518" spans="1:40" ht="30.75" customHeight="1" x14ac:dyDescent="0.7">
      <c r="A518" s="1132"/>
      <c r="B518" s="1133"/>
      <c r="C518" s="1133"/>
      <c r="D518" s="1133"/>
      <c r="E518" s="1133"/>
      <c r="F518" s="1133"/>
      <c r="G518" s="1133"/>
      <c r="H518" s="1133"/>
      <c r="I518" s="1133"/>
      <c r="J518" s="1133"/>
      <c r="K518" s="1133"/>
      <c r="L518" s="1134"/>
      <c r="M518" s="1141"/>
      <c r="N518" s="1142"/>
      <c r="O518" s="1142"/>
      <c r="P518" s="1142"/>
      <c r="Q518" s="1142"/>
      <c r="R518" s="1142"/>
      <c r="S518" s="1142"/>
      <c r="T518" s="1142"/>
      <c r="U518" s="1142"/>
      <c r="V518" s="1142"/>
      <c r="W518" s="1142"/>
      <c r="X518" s="1142"/>
      <c r="Y518" s="1142"/>
      <c r="Z518" s="1142"/>
      <c r="AA518" s="1142"/>
      <c r="AB518" s="1142"/>
      <c r="AC518" s="1142"/>
      <c r="AD518" s="1142"/>
      <c r="AE518" s="1142"/>
      <c r="AF518" s="1142"/>
      <c r="AG518" s="1142"/>
      <c r="AH518" s="1142"/>
      <c r="AI518" s="1142"/>
      <c r="AJ518" s="1142"/>
      <c r="AK518" s="1142"/>
      <c r="AL518" s="1142"/>
      <c r="AM518" s="1142"/>
      <c r="AN518" s="1143"/>
    </row>
    <row r="519" spans="1:40" ht="30.75" customHeight="1" x14ac:dyDescent="0.7">
      <c r="A519" s="1132"/>
      <c r="B519" s="1133"/>
      <c r="C519" s="1133"/>
      <c r="D519" s="1133"/>
      <c r="E519" s="1133"/>
      <c r="F519" s="1133"/>
      <c r="G519" s="1133"/>
      <c r="H519" s="1133"/>
      <c r="I519" s="1133"/>
      <c r="J519" s="1133"/>
      <c r="K519" s="1133"/>
      <c r="L519" s="1134"/>
      <c r="M519" s="1141"/>
      <c r="N519" s="1142"/>
      <c r="O519" s="1142"/>
      <c r="P519" s="1142"/>
      <c r="Q519" s="1142"/>
      <c r="R519" s="1142"/>
      <c r="S519" s="1142"/>
      <c r="T519" s="1142"/>
      <c r="U519" s="1142"/>
      <c r="V519" s="1142"/>
      <c r="W519" s="1142"/>
      <c r="X519" s="1142"/>
      <c r="Y519" s="1142"/>
      <c r="Z519" s="1142"/>
      <c r="AA519" s="1142"/>
      <c r="AB519" s="1142"/>
      <c r="AC519" s="1142"/>
      <c r="AD519" s="1142"/>
      <c r="AE519" s="1142"/>
      <c r="AF519" s="1142"/>
      <c r="AG519" s="1142"/>
      <c r="AH519" s="1142"/>
      <c r="AI519" s="1142"/>
      <c r="AJ519" s="1142"/>
      <c r="AK519" s="1142"/>
      <c r="AL519" s="1142"/>
      <c r="AM519" s="1142"/>
      <c r="AN519" s="1143"/>
    </row>
    <row r="520" spans="1:40" ht="30.75" customHeight="1" x14ac:dyDescent="0.7">
      <c r="A520" s="1132"/>
      <c r="B520" s="1133"/>
      <c r="C520" s="1133"/>
      <c r="D520" s="1133"/>
      <c r="E520" s="1133"/>
      <c r="F520" s="1133"/>
      <c r="G520" s="1133"/>
      <c r="H520" s="1133"/>
      <c r="I520" s="1133"/>
      <c r="J520" s="1133"/>
      <c r="K520" s="1133"/>
      <c r="L520" s="1134"/>
      <c r="M520" s="1141"/>
      <c r="N520" s="1142"/>
      <c r="O520" s="1142"/>
      <c r="P520" s="1142"/>
      <c r="Q520" s="1142"/>
      <c r="R520" s="1142"/>
      <c r="S520" s="1142"/>
      <c r="T520" s="1142"/>
      <c r="U520" s="1142"/>
      <c r="V520" s="1142"/>
      <c r="W520" s="1142"/>
      <c r="X520" s="1142"/>
      <c r="Y520" s="1142"/>
      <c r="Z520" s="1142"/>
      <c r="AA520" s="1142"/>
      <c r="AB520" s="1142"/>
      <c r="AC520" s="1142"/>
      <c r="AD520" s="1142"/>
      <c r="AE520" s="1142"/>
      <c r="AF520" s="1142"/>
      <c r="AG520" s="1142"/>
      <c r="AH520" s="1142"/>
      <c r="AI520" s="1142"/>
      <c r="AJ520" s="1142"/>
      <c r="AK520" s="1142"/>
      <c r="AL520" s="1142"/>
      <c r="AM520" s="1142"/>
      <c r="AN520" s="1143"/>
    </row>
    <row r="521" spans="1:40" ht="30.75" customHeight="1" x14ac:dyDescent="0.7">
      <c r="A521" s="1132"/>
      <c r="B521" s="1133"/>
      <c r="C521" s="1133"/>
      <c r="D521" s="1133"/>
      <c r="E521" s="1133"/>
      <c r="F521" s="1133"/>
      <c r="G521" s="1133"/>
      <c r="H521" s="1133"/>
      <c r="I521" s="1133"/>
      <c r="J521" s="1133"/>
      <c r="K521" s="1133"/>
      <c r="L521" s="1134"/>
      <c r="M521" s="1141"/>
      <c r="N521" s="1142"/>
      <c r="O521" s="1142"/>
      <c r="P521" s="1142"/>
      <c r="Q521" s="1142"/>
      <c r="R521" s="1142"/>
      <c r="S521" s="1142"/>
      <c r="T521" s="1142"/>
      <c r="U521" s="1142"/>
      <c r="V521" s="1142"/>
      <c r="W521" s="1142"/>
      <c r="X521" s="1142"/>
      <c r="Y521" s="1142"/>
      <c r="Z521" s="1142"/>
      <c r="AA521" s="1142"/>
      <c r="AB521" s="1142"/>
      <c r="AC521" s="1142"/>
      <c r="AD521" s="1142"/>
      <c r="AE521" s="1142"/>
      <c r="AF521" s="1142"/>
      <c r="AG521" s="1142"/>
      <c r="AH521" s="1142"/>
      <c r="AI521" s="1142"/>
      <c r="AJ521" s="1142"/>
      <c r="AK521" s="1142"/>
      <c r="AL521" s="1142"/>
      <c r="AM521" s="1142"/>
      <c r="AN521" s="1143"/>
    </row>
    <row r="522" spans="1:40" ht="30.75" customHeight="1" x14ac:dyDescent="0.7">
      <c r="A522" s="1132"/>
      <c r="B522" s="1133"/>
      <c r="C522" s="1133"/>
      <c r="D522" s="1133"/>
      <c r="E522" s="1133"/>
      <c r="F522" s="1133"/>
      <c r="G522" s="1133"/>
      <c r="H522" s="1133"/>
      <c r="I522" s="1133"/>
      <c r="J522" s="1133"/>
      <c r="K522" s="1133"/>
      <c r="L522" s="1134"/>
      <c r="M522" s="1141"/>
      <c r="N522" s="1142"/>
      <c r="O522" s="1142"/>
      <c r="P522" s="1142"/>
      <c r="Q522" s="1142"/>
      <c r="R522" s="1142"/>
      <c r="S522" s="1142"/>
      <c r="T522" s="1142"/>
      <c r="U522" s="1142"/>
      <c r="V522" s="1142"/>
      <c r="W522" s="1142"/>
      <c r="X522" s="1142"/>
      <c r="Y522" s="1142"/>
      <c r="Z522" s="1142"/>
      <c r="AA522" s="1142"/>
      <c r="AB522" s="1142"/>
      <c r="AC522" s="1142"/>
      <c r="AD522" s="1142"/>
      <c r="AE522" s="1142"/>
      <c r="AF522" s="1142"/>
      <c r="AG522" s="1142"/>
      <c r="AH522" s="1142"/>
      <c r="AI522" s="1142"/>
      <c r="AJ522" s="1142"/>
      <c r="AK522" s="1142"/>
      <c r="AL522" s="1142"/>
      <c r="AM522" s="1142"/>
      <c r="AN522" s="1143"/>
    </row>
    <row r="523" spans="1:40" ht="30.75" customHeight="1" x14ac:dyDescent="0.7">
      <c r="A523" s="1132"/>
      <c r="B523" s="1133"/>
      <c r="C523" s="1133"/>
      <c r="D523" s="1133"/>
      <c r="E523" s="1133"/>
      <c r="F523" s="1133"/>
      <c r="G523" s="1133"/>
      <c r="H523" s="1133"/>
      <c r="I523" s="1133"/>
      <c r="J523" s="1133"/>
      <c r="K523" s="1133"/>
      <c r="L523" s="1134"/>
      <c r="M523" s="1141"/>
      <c r="N523" s="1142"/>
      <c r="O523" s="1142"/>
      <c r="P523" s="1142"/>
      <c r="Q523" s="1142"/>
      <c r="R523" s="1142"/>
      <c r="S523" s="1142"/>
      <c r="T523" s="1142"/>
      <c r="U523" s="1142"/>
      <c r="V523" s="1142"/>
      <c r="W523" s="1142"/>
      <c r="X523" s="1142"/>
      <c r="Y523" s="1142"/>
      <c r="Z523" s="1142"/>
      <c r="AA523" s="1142"/>
      <c r="AB523" s="1142"/>
      <c r="AC523" s="1142"/>
      <c r="AD523" s="1142"/>
      <c r="AE523" s="1142"/>
      <c r="AF523" s="1142"/>
      <c r="AG523" s="1142"/>
      <c r="AH523" s="1142"/>
      <c r="AI523" s="1142"/>
      <c r="AJ523" s="1142"/>
      <c r="AK523" s="1142"/>
      <c r="AL523" s="1142"/>
      <c r="AM523" s="1142"/>
      <c r="AN523" s="1143"/>
    </row>
    <row r="524" spans="1:40" ht="30.75" customHeight="1" x14ac:dyDescent="0.7">
      <c r="A524" s="1132"/>
      <c r="B524" s="1133"/>
      <c r="C524" s="1133"/>
      <c r="D524" s="1133"/>
      <c r="E524" s="1133"/>
      <c r="F524" s="1133"/>
      <c r="G524" s="1133"/>
      <c r="H524" s="1133"/>
      <c r="I524" s="1133"/>
      <c r="J524" s="1133"/>
      <c r="K524" s="1133"/>
      <c r="L524" s="1134"/>
      <c r="M524" s="1141"/>
      <c r="N524" s="1142"/>
      <c r="O524" s="1142"/>
      <c r="P524" s="1142"/>
      <c r="Q524" s="1142"/>
      <c r="R524" s="1142"/>
      <c r="S524" s="1142"/>
      <c r="T524" s="1142"/>
      <c r="U524" s="1142"/>
      <c r="V524" s="1142"/>
      <c r="W524" s="1142"/>
      <c r="X524" s="1142"/>
      <c r="Y524" s="1142"/>
      <c r="Z524" s="1142"/>
      <c r="AA524" s="1142"/>
      <c r="AB524" s="1142"/>
      <c r="AC524" s="1142"/>
      <c r="AD524" s="1142"/>
      <c r="AE524" s="1142"/>
      <c r="AF524" s="1142"/>
      <c r="AG524" s="1142"/>
      <c r="AH524" s="1142"/>
      <c r="AI524" s="1142"/>
      <c r="AJ524" s="1142"/>
      <c r="AK524" s="1142"/>
      <c r="AL524" s="1142"/>
      <c r="AM524" s="1142"/>
      <c r="AN524" s="1143"/>
    </row>
    <row r="525" spans="1:40" ht="30.75" customHeight="1" x14ac:dyDescent="0.7">
      <c r="A525" s="1132"/>
      <c r="B525" s="1133"/>
      <c r="C525" s="1133"/>
      <c r="D525" s="1133"/>
      <c r="E525" s="1133"/>
      <c r="F525" s="1133"/>
      <c r="G525" s="1133"/>
      <c r="H525" s="1133"/>
      <c r="I525" s="1133"/>
      <c r="J525" s="1133"/>
      <c r="K525" s="1133"/>
      <c r="L525" s="1134"/>
      <c r="M525" s="1141"/>
      <c r="N525" s="1142"/>
      <c r="O525" s="1142"/>
      <c r="P525" s="1142"/>
      <c r="Q525" s="1142"/>
      <c r="R525" s="1142"/>
      <c r="S525" s="1142"/>
      <c r="T525" s="1142"/>
      <c r="U525" s="1142"/>
      <c r="V525" s="1142"/>
      <c r="W525" s="1142"/>
      <c r="X525" s="1142"/>
      <c r="Y525" s="1142"/>
      <c r="Z525" s="1142"/>
      <c r="AA525" s="1142"/>
      <c r="AB525" s="1142"/>
      <c r="AC525" s="1142"/>
      <c r="AD525" s="1142"/>
      <c r="AE525" s="1142"/>
      <c r="AF525" s="1142"/>
      <c r="AG525" s="1142"/>
      <c r="AH525" s="1142"/>
      <c r="AI525" s="1142"/>
      <c r="AJ525" s="1142"/>
      <c r="AK525" s="1142"/>
      <c r="AL525" s="1142"/>
      <c r="AM525" s="1142"/>
      <c r="AN525" s="1143"/>
    </row>
    <row r="526" spans="1:40" ht="30.75" customHeight="1" x14ac:dyDescent="0.7">
      <c r="A526" s="1132"/>
      <c r="B526" s="1133"/>
      <c r="C526" s="1133"/>
      <c r="D526" s="1133"/>
      <c r="E526" s="1133"/>
      <c r="F526" s="1133"/>
      <c r="G526" s="1133"/>
      <c r="H526" s="1133"/>
      <c r="I526" s="1133"/>
      <c r="J526" s="1133"/>
      <c r="K526" s="1133"/>
      <c r="L526" s="1134"/>
      <c r="M526" s="1141"/>
      <c r="N526" s="1142"/>
      <c r="O526" s="1142"/>
      <c r="P526" s="1142"/>
      <c r="Q526" s="1142"/>
      <c r="R526" s="1142"/>
      <c r="S526" s="1142"/>
      <c r="T526" s="1142"/>
      <c r="U526" s="1142"/>
      <c r="V526" s="1142"/>
      <c r="W526" s="1142"/>
      <c r="X526" s="1142"/>
      <c r="Y526" s="1142"/>
      <c r="Z526" s="1142"/>
      <c r="AA526" s="1142"/>
      <c r="AB526" s="1142"/>
      <c r="AC526" s="1142"/>
      <c r="AD526" s="1142"/>
      <c r="AE526" s="1142"/>
      <c r="AF526" s="1142"/>
      <c r="AG526" s="1142"/>
      <c r="AH526" s="1142"/>
      <c r="AI526" s="1142"/>
      <c r="AJ526" s="1142"/>
      <c r="AK526" s="1142"/>
      <c r="AL526" s="1142"/>
      <c r="AM526" s="1142"/>
      <c r="AN526" s="1143"/>
    </row>
    <row r="527" spans="1:40" ht="30.75" customHeight="1" x14ac:dyDescent="0.7">
      <c r="A527" s="1132"/>
      <c r="B527" s="1133"/>
      <c r="C527" s="1133"/>
      <c r="D527" s="1133"/>
      <c r="E527" s="1133"/>
      <c r="F527" s="1133"/>
      <c r="G527" s="1133"/>
      <c r="H527" s="1133"/>
      <c r="I527" s="1133"/>
      <c r="J527" s="1133"/>
      <c r="K527" s="1133"/>
      <c r="L527" s="1134"/>
      <c r="M527" s="1141"/>
      <c r="N527" s="1142"/>
      <c r="O527" s="1142"/>
      <c r="P527" s="1142"/>
      <c r="Q527" s="1142"/>
      <c r="R527" s="1142"/>
      <c r="S527" s="1142"/>
      <c r="T527" s="1142"/>
      <c r="U527" s="1142"/>
      <c r="V527" s="1142"/>
      <c r="W527" s="1142"/>
      <c r="X527" s="1142"/>
      <c r="Y527" s="1142"/>
      <c r="Z527" s="1142"/>
      <c r="AA527" s="1142"/>
      <c r="AB527" s="1142"/>
      <c r="AC527" s="1142"/>
      <c r="AD527" s="1142"/>
      <c r="AE527" s="1142"/>
      <c r="AF527" s="1142"/>
      <c r="AG527" s="1142"/>
      <c r="AH527" s="1142"/>
      <c r="AI527" s="1142"/>
      <c r="AJ527" s="1142"/>
      <c r="AK527" s="1142"/>
      <c r="AL527" s="1142"/>
      <c r="AM527" s="1142"/>
      <c r="AN527" s="1143"/>
    </row>
    <row r="528" spans="1:40" ht="30.75" customHeight="1" x14ac:dyDescent="0.7">
      <c r="A528" s="1132"/>
      <c r="B528" s="1133"/>
      <c r="C528" s="1133"/>
      <c r="D528" s="1133"/>
      <c r="E528" s="1133"/>
      <c r="F528" s="1133"/>
      <c r="G528" s="1133"/>
      <c r="H528" s="1133"/>
      <c r="I528" s="1133"/>
      <c r="J528" s="1133"/>
      <c r="K528" s="1133"/>
      <c r="L528" s="1134"/>
      <c r="M528" s="1141"/>
      <c r="N528" s="1142"/>
      <c r="O528" s="1142"/>
      <c r="P528" s="1142"/>
      <c r="Q528" s="1142"/>
      <c r="R528" s="1142"/>
      <c r="S528" s="1142"/>
      <c r="T528" s="1142"/>
      <c r="U528" s="1142"/>
      <c r="V528" s="1142"/>
      <c r="W528" s="1142"/>
      <c r="X528" s="1142"/>
      <c r="Y528" s="1142"/>
      <c r="Z528" s="1142"/>
      <c r="AA528" s="1142"/>
      <c r="AB528" s="1142"/>
      <c r="AC528" s="1142"/>
      <c r="AD528" s="1142"/>
      <c r="AE528" s="1142"/>
      <c r="AF528" s="1142"/>
      <c r="AG528" s="1142"/>
      <c r="AH528" s="1142"/>
      <c r="AI528" s="1142"/>
      <c r="AJ528" s="1142"/>
      <c r="AK528" s="1142"/>
      <c r="AL528" s="1142"/>
      <c r="AM528" s="1142"/>
      <c r="AN528" s="1143"/>
    </row>
    <row r="529" spans="1:40" ht="30.75" customHeight="1" x14ac:dyDescent="0.7">
      <c r="A529" s="1132"/>
      <c r="B529" s="1133"/>
      <c r="C529" s="1133"/>
      <c r="D529" s="1133"/>
      <c r="E529" s="1133"/>
      <c r="F529" s="1133"/>
      <c r="G529" s="1133"/>
      <c r="H529" s="1133"/>
      <c r="I529" s="1133"/>
      <c r="J529" s="1133"/>
      <c r="K529" s="1133"/>
      <c r="L529" s="1134"/>
      <c r="M529" s="1141"/>
      <c r="N529" s="1142"/>
      <c r="O529" s="1142"/>
      <c r="P529" s="1142"/>
      <c r="Q529" s="1142"/>
      <c r="R529" s="1142"/>
      <c r="S529" s="1142"/>
      <c r="T529" s="1142"/>
      <c r="U529" s="1142"/>
      <c r="V529" s="1142"/>
      <c r="W529" s="1142"/>
      <c r="X529" s="1142"/>
      <c r="Y529" s="1142"/>
      <c r="Z529" s="1142"/>
      <c r="AA529" s="1142"/>
      <c r="AB529" s="1142"/>
      <c r="AC529" s="1142"/>
      <c r="AD529" s="1142"/>
      <c r="AE529" s="1142"/>
      <c r="AF529" s="1142"/>
      <c r="AG529" s="1142"/>
      <c r="AH529" s="1142"/>
      <c r="AI529" s="1142"/>
      <c r="AJ529" s="1142"/>
      <c r="AK529" s="1142"/>
      <c r="AL529" s="1142"/>
      <c r="AM529" s="1142"/>
      <c r="AN529" s="1143"/>
    </row>
    <row r="530" spans="1:40" ht="30.75" customHeight="1" x14ac:dyDescent="0.7">
      <c r="A530" s="1132"/>
      <c r="B530" s="1133"/>
      <c r="C530" s="1133"/>
      <c r="D530" s="1133"/>
      <c r="E530" s="1133"/>
      <c r="F530" s="1133"/>
      <c r="G530" s="1133"/>
      <c r="H530" s="1133"/>
      <c r="I530" s="1133"/>
      <c r="J530" s="1133"/>
      <c r="K530" s="1133"/>
      <c r="L530" s="1134"/>
      <c r="M530" s="1141"/>
      <c r="N530" s="1142"/>
      <c r="O530" s="1142"/>
      <c r="P530" s="1142"/>
      <c r="Q530" s="1142"/>
      <c r="R530" s="1142"/>
      <c r="S530" s="1142"/>
      <c r="T530" s="1142"/>
      <c r="U530" s="1142"/>
      <c r="V530" s="1142"/>
      <c r="W530" s="1142"/>
      <c r="X530" s="1142"/>
      <c r="Y530" s="1142"/>
      <c r="Z530" s="1142"/>
      <c r="AA530" s="1142"/>
      <c r="AB530" s="1142"/>
      <c r="AC530" s="1142"/>
      <c r="AD530" s="1142"/>
      <c r="AE530" s="1142"/>
      <c r="AF530" s="1142"/>
      <c r="AG530" s="1142"/>
      <c r="AH530" s="1142"/>
      <c r="AI530" s="1142"/>
      <c r="AJ530" s="1142"/>
      <c r="AK530" s="1142"/>
      <c r="AL530" s="1142"/>
      <c r="AM530" s="1142"/>
      <c r="AN530" s="1143"/>
    </row>
    <row r="531" spans="1:40" ht="30.75" customHeight="1" x14ac:dyDescent="0.7">
      <c r="A531" s="1132"/>
      <c r="B531" s="1133"/>
      <c r="C531" s="1133"/>
      <c r="D531" s="1133"/>
      <c r="E531" s="1133"/>
      <c r="F531" s="1133"/>
      <c r="G531" s="1133"/>
      <c r="H531" s="1133"/>
      <c r="I531" s="1133"/>
      <c r="J531" s="1133"/>
      <c r="K531" s="1133"/>
      <c r="L531" s="1134"/>
      <c r="M531" s="1141"/>
      <c r="N531" s="1142"/>
      <c r="O531" s="1142"/>
      <c r="P531" s="1142"/>
      <c r="Q531" s="1142"/>
      <c r="R531" s="1142"/>
      <c r="S531" s="1142"/>
      <c r="T531" s="1142"/>
      <c r="U531" s="1142"/>
      <c r="V531" s="1142"/>
      <c r="W531" s="1142"/>
      <c r="X531" s="1142"/>
      <c r="Y531" s="1142"/>
      <c r="Z531" s="1142"/>
      <c r="AA531" s="1142"/>
      <c r="AB531" s="1142"/>
      <c r="AC531" s="1142"/>
      <c r="AD531" s="1142"/>
      <c r="AE531" s="1142"/>
      <c r="AF531" s="1142"/>
      <c r="AG531" s="1142"/>
      <c r="AH531" s="1142"/>
      <c r="AI531" s="1142"/>
      <c r="AJ531" s="1142"/>
      <c r="AK531" s="1142"/>
      <c r="AL531" s="1142"/>
      <c r="AM531" s="1142"/>
      <c r="AN531" s="1143"/>
    </row>
    <row r="532" spans="1:40" ht="30.75" customHeight="1" x14ac:dyDescent="0.7">
      <c r="A532" s="1132"/>
      <c r="B532" s="1133"/>
      <c r="C532" s="1133"/>
      <c r="D532" s="1133"/>
      <c r="E532" s="1133"/>
      <c r="F532" s="1133"/>
      <c r="G532" s="1133"/>
      <c r="H532" s="1133"/>
      <c r="I532" s="1133"/>
      <c r="J532" s="1133"/>
      <c r="K532" s="1133"/>
      <c r="L532" s="1134"/>
      <c r="M532" s="1141"/>
      <c r="N532" s="1142"/>
      <c r="O532" s="1142"/>
      <c r="P532" s="1142"/>
      <c r="Q532" s="1142"/>
      <c r="R532" s="1142"/>
      <c r="S532" s="1142"/>
      <c r="T532" s="1142"/>
      <c r="U532" s="1142"/>
      <c r="V532" s="1142"/>
      <c r="W532" s="1142"/>
      <c r="X532" s="1142"/>
      <c r="Y532" s="1142"/>
      <c r="Z532" s="1142"/>
      <c r="AA532" s="1142"/>
      <c r="AB532" s="1142"/>
      <c r="AC532" s="1142"/>
      <c r="AD532" s="1142"/>
      <c r="AE532" s="1142"/>
      <c r="AF532" s="1142"/>
      <c r="AG532" s="1142"/>
      <c r="AH532" s="1142"/>
      <c r="AI532" s="1142"/>
      <c r="AJ532" s="1142"/>
      <c r="AK532" s="1142"/>
      <c r="AL532" s="1142"/>
      <c r="AM532" s="1142"/>
      <c r="AN532" s="1143"/>
    </row>
    <row r="533" spans="1:40" ht="30.75" customHeight="1" x14ac:dyDescent="0.7">
      <c r="A533" s="1132"/>
      <c r="B533" s="1133"/>
      <c r="C533" s="1133"/>
      <c r="D533" s="1133"/>
      <c r="E533" s="1133"/>
      <c r="F533" s="1133"/>
      <c r="G533" s="1133"/>
      <c r="H533" s="1133"/>
      <c r="I533" s="1133"/>
      <c r="J533" s="1133"/>
      <c r="K533" s="1133"/>
      <c r="L533" s="1134"/>
      <c r="M533" s="1141"/>
      <c r="N533" s="1142"/>
      <c r="O533" s="1142"/>
      <c r="P533" s="1142"/>
      <c r="Q533" s="1142"/>
      <c r="R533" s="1142"/>
      <c r="S533" s="1142"/>
      <c r="T533" s="1142"/>
      <c r="U533" s="1142"/>
      <c r="V533" s="1142"/>
      <c r="W533" s="1142"/>
      <c r="X533" s="1142"/>
      <c r="Y533" s="1142"/>
      <c r="Z533" s="1142"/>
      <c r="AA533" s="1142"/>
      <c r="AB533" s="1142"/>
      <c r="AC533" s="1142"/>
      <c r="AD533" s="1142"/>
      <c r="AE533" s="1142"/>
      <c r="AF533" s="1142"/>
      <c r="AG533" s="1142"/>
      <c r="AH533" s="1142"/>
      <c r="AI533" s="1142"/>
      <c r="AJ533" s="1142"/>
      <c r="AK533" s="1142"/>
      <c r="AL533" s="1142"/>
      <c r="AM533" s="1142"/>
      <c r="AN533" s="1143"/>
    </row>
    <row r="534" spans="1:40" ht="30.75" customHeight="1" x14ac:dyDescent="0.7">
      <c r="A534" s="1132"/>
      <c r="B534" s="1133"/>
      <c r="C534" s="1133"/>
      <c r="D534" s="1133"/>
      <c r="E534" s="1133"/>
      <c r="F534" s="1133"/>
      <c r="G534" s="1133"/>
      <c r="H534" s="1133"/>
      <c r="I534" s="1133"/>
      <c r="J534" s="1133"/>
      <c r="K534" s="1133"/>
      <c r="L534" s="1134"/>
      <c r="M534" s="1141"/>
      <c r="N534" s="1142"/>
      <c r="O534" s="1142"/>
      <c r="P534" s="1142"/>
      <c r="Q534" s="1142"/>
      <c r="R534" s="1142"/>
      <c r="S534" s="1142"/>
      <c r="T534" s="1142"/>
      <c r="U534" s="1142"/>
      <c r="V534" s="1142"/>
      <c r="W534" s="1142"/>
      <c r="X534" s="1142"/>
      <c r="Y534" s="1142"/>
      <c r="Z534" s="1142"/>
      <c r="AA534" s="1142"/>
      <c r="AB534" s="1142"/>
      <c r="AC534" s="1142"/>
      <c r="AD534" s="1142"/>
      <c r="AE534" s="1142"/>
      <c r="AF534" s="1142"/>
      <c r="AG534" s="1142"/>
      <c r="AH534" s="1142"/>
      <c r="AI534" s="1142"/>
      <c r="AJ534" s="1142"/>
      <c r="AK534" s="1142"/>
      <c r="AL534" s="1142"/>
      <c r="AM534" s="1142"/>
      <c r="AN534" s="1143"/>
    </row>
    <row r="535" spans="1:40" ht="30.75" customHeight="1" x14ac:dyDescent="0.7">
      <c r="A535" s="1132"/>
      <c r="B535" s="1133"/>
      <c r="C535" s="1133"/>
      <c r="D535" s="1133"/>
      <c r="E535" s="1133"/>
      <c r="F535" s="1133"/>
      <c r="G535" s="1133"/>
      <c r="H535" s="1133"/>
      <c r="I535" s="1133"/>
      <c r="J535" s="1133"/>
      <c r="K535" s="1133"/>
      <c r="L535" s="1134"/>
      <c r="M535" s="1141"/>
      <c r="N535" s="1142"/>
      <c r="O535" s="1142"/>
      <c r="P535" s="1142"/>
      <c r="Q535" s="1142"/>
      <c r="R535" s="1142"/>
      <c r="S535" s="1142"/>
      <c r="T535" s="1142"/>
      <c r="U535" s="1142"/>
      <c r="V535" s="1142"/>
      <c r="W535" s="1142"/>
      <c r="X535" s="1142"/>
      <c r="Y535" s="1142"/>
      <c r="Z535" s="1142"/>
      <c r="AA535" s="1142"/>
      <c r="AB535" s="1142"/>
      <c r="AC535" s="1142"/>
      <c r="AD535" s="1142"/>
      <c r="AE535" s="1142"/>
      <c r="AF535" s="1142"/>
      <c r="AG535" s="1142"/>
      <c r="AH535" s="1142"/>
      <c r="AI535" s="1142"/>
      <c r="AJ535" s="1142"/>
      <c r="AK535" s="1142"/>
      <c r="AL535" s="1142"/>
      <c r="AM535" s="1142"/>
      <c r="AN535" s="1143"/>
    </row>
    <row r="536" spans="1:40" ht="30.75" customHeight="1" x14ac:dyDescent="0.7">
      <c r="A536" s="1132"/>
      <c r="B536" s="1133"/>
      <c r="C536" s="1133"/>
      <c r="D536" s="1133"/>
      <c r="E536" s="1133"/>
      <c r="F536" s="1133"/>
      <c r="G536" s="1133"/>
      <c r="H536" s="1133"/>
      <c r="I536" s="1133"/>
      <c r="J536" s="1133"/>
      <c r="K536" s="1133"/>
      <c r="L536" s="1134"/>
      <c r="M536" s="1141"/>
      <c r="N536" s="1142"/>
      <c r="O536" s="1142"/>
      <c r="P536" s="1142"/>
      <c r="Q536" s="1142"/>
      <c r="R536" s="1142"/>
      <c r="S536" s="1142"/>
      <c r="T536" s="1142"/>
      <c r="U536" s="1142"/>
      <c r="V536" s="1142"/>
      <c r="W536" s="1142"/>
      <c r="X536" s="1142"/>
      <c r="Y536" s="1142"/>
      <c r="Z536" s="1142"/>
      <c r="AA536" s="1142"/>
      <c r="AB536" s="1142"/>
      <c r="AC536" s="1142"/>
      <c r="AD536" s="1142"/>
      <c r="AE536" s="1142"/>
      <c r="AF536" s="1142"/>
      <c r="AG536" s="1142"/>
      <c r="AH536" s="1142"/>
      <c r="AI536" s="1142"/>
      <c r="AJ536" s="1142"/>
      <c r="AK536" s="1142"/>
      <c r="AL536" s="1142"/>
      <c r="AM536" s="1142"/>
      <c r="AN536" s="1143"/>
    </row>
    <row r="537" spans="1:40" ht="30.75" customHeight="1" thickBot="1" x14ac:dyDescent="0.75">
      <c r="A537" s="1135"/>
      <c r="B537" s="1136"/>
      <c r="C537" s="1136"/>
      <c r="D537" s="1136"/>
      <c r="E537" s="1136"/>
      <c r="F537" s="1136"/>
      <c r="G537" s="1136"/>
      <c r="H537" s="1136"/>
      <c r="I537" s="1136"/>
      <c r="J537" s="1136"/>
      <c r="K537" s="1136"/>
      <c r="L537" s="1137"/>
      <c r="M537" s="1144"/>
      <c r="N537" s="1145"/>
      <c r="O537" s="1145"/>
      <c r="P537" s="1145"/>
      <c r="Q537" s="1145"/>
      <c r="R537" s="1145"/>
      <c r="S537" s="1145"/>
      <c r="T537" s="1145"/>
      <c r="U537" s="1145"/>
      <c r="V537" s="1145"/>
      <c r="W537" s="1145"/>
      <c r="X537" s="1145"/>
      <c r="Y537" s="1145"/>
      <c r="Z537" s="1145"/>
      <c r="AA537" s="1145"/>
      <c r="AB537" s="1145"/>
      <c r="AC537" s="1145"/>
      <c r="AD537" s="1145"/>
      <c r="AE537" s="1145"/>
      <c r="AF537" s="1145"/>
      <c r="AG537" s="1145"/>
      <c r="AH537" s="1145"/>
      <c r="AI537" s="1145"/>
      <c r="AJ537" s="1145"/>
      <c r="AK537" s="1145"/>
      <c r="AL537" s="1145"/>
      <c r="AM537" s="1145"/>
      <c r="AN537" s="1146"/>
    </row>
  </sheetData>
  <sheetProtection selectLockedCells="1"/>
  <mergeCells count="512">
    <mergeCell ref="A183:A184"/>
    <mergeCell ref="A185:A186"/>
    <mergeCell ref="A187:A188"/>
    <mergeCell ref="A189:A190"/>
    <mergeCell ref="A191:A192"/>
    <mergeCell ref="A179:AN179"/>
    <mergeCell ref="A165:AN165"/>
    <mergeCell ref="AL180:AL192"/>
    <mergeCell ref="A320:A323"/>
    <mergeCell ref="AN275:AN276"/>
    <mergeCell ref="AN223:AN273"/>
    <mergeCell ref="AM275:AM276"/>
    <mergeCell ref="AN196:AN219"/>
    <mergeCell ref="A177:A178"/>
    <mergeCell ref="A171:A172"/>
    <mergeCell ref="A167:A168"/>
    <mergeCell ref="A169:A170"/>
    <mergeCell ref="AL194:AL195"/>
    <mergeCell ref="Z221:AA221"/>
    <mergeCell ref="L221:M221"/>
    <mergeCell ref="AL223:AL231"/>
    <mergeCell ref="AB221:AC221"/>
    <mergeCell ref="AL250:AL258"/>
    <mergeCell ref="AL259:AL273"/>
    <mergeCell ref="AL417:AL481"/>
    <mergeCell ref="Z64:AA64"/>
    <mergeCell ref="AB64:AC64"/>
    <mergeCell ref="AD64:AE64"/>
    <mergeCell ref="AF64:AG64"/>
    <mergeCell ref="AJ64:AJ65"/>
    <mergeCell ref="AK64:AK65"/>
    <mergeCell ref="A98:A101"/>
    <mergeCell ref="H64:I64"/>
    <mergeCell ref="AL121:AL122"/>
    <mergeCell ref="A120:AN120"/>
    <mergeCell ref="AN109:AN110"/>
    <mergeCell ref="B64:B65"/>
    <mergeCell ref="C64:C65"/>
    <mergeCell ref="D64:E64"/>
    <mergeCell ref="A109:A110"/>
    <mergeCell ref="P329:Q329"/>
    <mergeCell ref="AB163:AC163"/>
    <mergeCell ref="AD163:AE163"/>
    <mergeCell ref="A181:A182"/>
    <mergeCell ref="AN194:AN195"/>
    <mergeCell ref="V194:W194"/>
    <mergeCell ref="AN167:AN178"/>
    <mergeCell ref="AN221:AN222"/>
    <mergeCell ref="AN111:AN115"/>
    <mergeCell ref="AN64:AN65"/>
    <mergeCell ref="D121:I122"/>
    <mergeCell ref="P20:Q20"/>
    <mergeCell ref="AM121:AM122"/>
    <mergeCell ref="AM64:AM65"/>
    <mergeCell ref="D109:I110"/>
    <mergeCell ref="AF121:AG121"/>
    <mergeCell ref="N20:O20"/>
    <mergeCell ref="AD121:AE121"/>
    <mergeCell ref="AL22:AL57"/>
    <mergeCell ref="AL111:AL119"/>
    <mergeCell ref="X64:Y64"/>
    <mergeCell ref="AL66:AL107"/>
    <mergeCell ref="AM109:AM110"/>
    <mergeCell ref="AL64:AL65"/>
    <mergeCell ref="J64:K64"/>
    <mergeCell ref="AL166:AL178"/>
    <mergeCell ref="AM194:AM195"/>
    <mergeCell ref="AM379:AM380"/>
    <mergeCell ref="AL370:AL377"/>
    <mergeCell ref="AB275:AC275"/>
    <mergeCell ref="AD275:AE275"/>
    <mergeCell ref="AF275:AG275"/>
    <mergeCell ref="AB311:AC311"/>
    <mergeCell ref="AD311:AE311"/>
    <mergeCell ref="AF311:AG311"/>
    <mergeCell ref="AK329:AK330"/>
    <mergeCell ref="AK311:AK312"/>
    <mergeCell ref="AL311:AL312"/>
    <mergeCell ref="AL329:AL330"/>
    <mergeCell ref="A274:AN274"/>
    <mergeCell ref="AK270:AK271"/>
    <mergeCell ref="AK268:AK269"/>
    <mergeCell ref="J275:K275"/>
    <mergeCell ref="V275:W275"/>
    <mergeCell ref="A194:A195"/>
    <mergeCell ref="B194:B195"/>
    <mergeCell ref="A263:A269"/>
    <mergeCell ref="D194:K195"/>
    <mergeCell ref="T221:U221"/>
    <mergeCell ref="A173:A174"/>
    <mergeCell ref="F1:G1"/>
    <mergeCell ref="B1:C1"/>
    <mergeCell ref="A19:AN19"/>
    <mergeCell ref="D221:E221"/>
    <mergeCell ref="AM221:AM222"/>
    <mergeCell ref="V163:W163"/>
    <mergeCell ref="AN123:AN159"/>
    <mergeCell ref="AN163:AN164"/>
    <mergeCell ref="A2:AN2"/>
    <mergeCell ref="A3:AN3"/>
    <mergeCell ref="P64:Q64"/>
    <mergeCell ref="R64:S64"/>
    <mergeCell ref="H163:I163"/>
    <mergeCell ref="P163:Q163"/>
    <mergeCell ref="L163:M163"/>
    <mergeCell ref="D163:E163"/>
    <mergeCell ref="AN8:AN18"/>
    <mergeCell ref="AK20:AK21"/>
    <mergeCell ref="A175:A176"/>
    <mergeCell ref="F163:G163"/>
    <mergeCell ref="AK163:AK164"/>
    <mergeCell ref="AL221:AL222"/>
    <mergeCell ref="AF163:AG163"/>
    <mergeCell ref="AP2:AQ2"/>
    <mergeCell ref="R109:S109"/>
    <mergeCell ref="T109:U109"/>
    <mergeCell ref="AO1:AO21"/>
    <mergeCell ref="Z121:AA121"/>
    <mergeCell ref="X121:Y121"/>
    <mergeCell ref="AK41:AK42"/>
    <mergeCell ref="AK49:AK50"/>
    <mergeCell ref="AJ109:AJ110"/>
    <mergeCell ref="AK47:AK48"/>
    <mergeCell ref="X109:Y109"/>
    <mergeCell ref="AK109:AK110"/>
    <mergeCell ref="AK121:AK122"/>
    <mergeCell ref="A108:AN108"/>
    <mergeCell ref="AB20:AC20"/>
    <mergeCell ref="AD20:AE20"/>
    <mergeCell ref="AF20:AG20"/>
    <mergeCell ref="AK1:AN1"/>
    <mergeCell ref="V109:W109"/>
    <mergeCell ref="X20:Y20"/>
    <mergeCell ref="Z20:AA20"/>
    <mergeCell ref="AL8:AL18"/>
    <mergeCell ref="AL109:AL110"/>
    <mergeCell ref="AF109:AG109"/>
    <mergeCell ref="R163:S163"/>
    <mergeCell ref="T163:U163"/>
    <mergeCell ref="AJ163:AJ164"/>
    <mergeCell ref="X163:Y163"/>
    <mergeCell ref="A162:AN162"/>
    <mergeCell ref="B121:B122"/>
    <mergeCell ref="A146:A148"/>
    <mergeCell ref="A158:A159"/>
    <mergeCell ref="AM163:AM164"/>
    <mergeCell ref="N163:O163"/>
    <mergeCell ref="Z163:AA163"/>
    <mergeCell ref="AB121:AC121"/>
    <mergeCell ref="J121:K121"/>
    <mergeCell ref="J163:K163"/>
    <mergeCell ref="A163:A164"/>
    <mergeCell ref="B163:B164"/>
    <mergeCell ref="AN121:AN122"/>
    <mergeCell ref="J109:K109"/>
    <mergeCell ref="L109:M109"/>
    <mergeCell ref="N109:O109"/>
    <mergeCell ref="P109:Q109"/>
    <mergeCell ref="AB109:AC109"/>
    <mergeCell ref="AD109:AE109"/>
    <mergeCell ref="C109:C110"/>
    <mergeCell ref="A160:A161"/>
    <mergeCell ref="AL123:AL161"/>
    <mergeCell ref="C121:C122"/>
    <mergeCell ref="A128:A136"/>
    <mergeCell ref="A111:A115"/>
    <mergeCell ref="A116:A117"/>
    <mergeCell ref="A118:A119"/>
    <mergeCell ref="R121:S121"/>
    <mergeCell ref="T121:U121"/>
    <mergeCell ref="AJ121:AJ122"/>
    <mergeCell ref="A151:A157"/>
    <mergeCell ref="P121:Q121"/>
    <mergeCell ref="AK146:AK147"/>
    <mergeCell ref="Z109:AA109"/>
    <mergeCell ref="C20:C21"/>
    <mergeCell ref="B20:B21"/>
    <mergeCell ref="A20:A21"/>
    <mergeCell ref="A45:A46"/>
    <mergeCell ref="A35:A36"/>
    <mergeCell ref="A102:A105"/>
    <mergeCell ref="A56:A57"/>
    <mergeCell ref="A59:A60"/>
    <mergeCell ref="AK59:AK60"/>
    <mergeCell ref="A61:A62"/>
    <mergeCell ref="AK61:AK62"/>
    <mergeCell ref="A58:AN58"/>
    <mergeCell ref="L64:M64"/>
    <mergeCell ref="N64:O64"/>
    <mergeCell ref="AK39:AK40"/>
    <mergeCell ref="AN22:AN55"/>
    <mergeCell ref="AN20:AN21"/>
    <mergeCell ref="AL20:AL21"/>
    <mergeCell ref="AK33:AK34"/>
    <mergeCell ref="AK35:AK36"/>
    <mergeCell ref="F20:G20"/>
    <mergeCell ref="H20:I20"/>
    <mergeCell ref="A106:A107"/>
    <mergeCell ref="A64:A65"/>
    <mergeCell ref="A123:A126"/>
    <mergeCell ref="A140:A145"/>
    <mergeCell ref="A149:A150"/>
    <mergeCell ref="R20:S20"/>
    <mergeCell ref="AK37:AK38"/>
    <mergeCell ref="AM5:AM6"/>
    <mergeCell ref="A47:A48"/>
    <mergeCell ref="A8:A10"/>
    <mergeCell ref="A49:A50"/>
    <mergeCell ref="F5:G5"/>
    <mergeCell ref="H5:I5"/>
    <mergeCell ref="A43:A44"/>
    <mergeCell ref="T64:U64"/>
    <mergeCell ref="V64:W64"/>
    <mergeCell ref="D20:E20"/>
    <mergeCell ref="B109:B110"/>
    <mergeCell ref="AM20:AM21"/>
    <mergeCell ref="A63:AN63"/>
    <mergeCell ref="F64:G64"/>
    <mergeCell ref="A94:A97"/>
    <mergeCell ref="AK22:AK23"/>
    <mergeCell ref="AK27:AK28"/>
    <mergeCell ref="R5:S5"/>
    <mergeCell ref="T5:U5"/>
    <mergeCell ref="V5:W5"/>
    <mergeCell ref="T20:U20"/>
    <mergeCell ref="J20:K20"/>
    <mergeCell ref="L20:M20"/>
    <mergeCell ref="AJ20:AJ21"/>
    <mergeCell ref="V20:W20"/>
    <mergeCell ref="J5:K5"/>
    <mergeCell ref="L5:M5"/>
    <mergeCell ref="N5:O5"/>
    <mergeCell ref="P5:Q5"/>
    <mergeCell ref="C194:C195"/>
    <mergeCell ref="AK221:AK222"/>
    <mergeCell ref="AL241:AL249"/>
    <mergeCell ref="AF194:AG194"/>
    <mergeCell ref="AB194:AC194"/>
    <mergeCell ref="AD194:AE194"/>
    <mergeCell ref="AJ194:AJ195"/>
    <mergeCell ref="X221:Y221"/>
    <mergeCell ref="AK194:AK195"/>
    <mergeCell ref="X194:Y194"/>
    <mergeCell ref="AL232:AL240"/>
    <mergeCell ref="AL196:AL219"/>
    <mergeCell ref="AJ221:AJ222"/>
    <mergeCell ref="AD221:AE221"/>
    <mergeCell ref="AF221:AG221"/>
    <mergeCell ref="R194:S194"/>
    <mergeCell ref="T194:U194"/>
    <mergeCell ref="L194:M194"/>
    <mergeCell ref="V221:W221"/>
    <mergeCell ref="P194:Q194"/>
    <mergeCell ref="Z194:AA194"/>
    <mergeCell ref="R221:S221"/>
    <mergeCell ref="P221:Q221"/>
    <mergeCell ref="N221:O221"/>
    <mergeCell ref="N194:O194"/>
    <mergeCell ref="A221:A222"/>
    <mergeCell ref="W4:AN4"/>
    <mergeCell ref="AK43:AK44"/>
    <mergeCell ref="A220:AN220"/>
    <mergeCell ref="A193:AN193"/>
    <mergeCell ref="A66:A69"/>
    <mergeCell ref="A70:A73"/>
    <mergeCell ref="A74:A77"/>
    <mergeCell ref="A78:A81"/>
    <mergeCell ref="A82:A85"/>
    <mergeCell ref="A86:A89"/>
    <mergeCell ref="A90:A93"/>
    <mergeCell ref="A121:A122"/>
    <mergeCell ref="A11:A13"/>
    <mergeCell ref="A15:A17"/>
    <mergeCell ref="C163:C164"/>
    <mergeCell ref="A54:A55"/>
    <mergeCell ref="A37:A38"/>
    <mergeCell ref="A39:A40"/>
    <mergeCell ref="A41:A42"/>
    <mergeCell ref="A22:A32"/>
    <mergeCell ref="A51:A53"/>
    <mergeCell ref="A212:A219"/>
    <mergeCell ref="A196:A203"/>
    <mergeCell ref="Z275:AA275"/>
    <mergeCell ref="A301:A303"/>
    <mergeCell ref="A307:A309"/>
    <mergeCell ref="B311:B312"/>
    <mergeCell ref="H275:I275"/>
    <mergeCell ref="AL275:AL276"/>
    <mergeCell ref="AK275:AK276"/>
    <mergeCell ref="AJ311:AJ312"/>
    <mergeCell ref="T275:U275"/>
    <mergeCell ref="T311:U311"/>
    <mergeCell ref="Z311:AA311"/>
    <mergeCell ref="L311:M311"/>
    <mergeCell ref="N311:O311"/>
    <mergeCell ref="P311:Q311"/>
    <mergeCell ref="AK291:AK292"/>
    <mergeCell ref="AK299:AK300"/>
    <mergeCell ref="AK287:AK288"/>
    <mergeCell ref="AK283:AK284"/>
    <mergeCell ref="AJ275:AJ276"/>
    <mergeCell ref="D275:E275"/>
    <mergeCell ref="B275:B276"/>
    <mergeCell ref="L275:M275"/>
    <mergeCell ref="X275:Y275"/>
    <mergeCell ref="V311:W311"/>
    <mergeCell ref="H1:J1"/>
    <mergeCell ref="A7:AN7"/>
    <mergeCell ref="A5:A6"/>
    <mergeCell ref="B5:B6"/>
    <mergeCell ref="C5:C6"/>
    <mergeCell ref="D5:E5"/>
    <mergeCell ref="AL163:AL164"/>
    <mergeCell ref="D4:V4"/>
    <mergeCell ref="V121:W121"/>
    <mergeCell ref="K1:Q1"/>
    <mergeCell ref="R1:S1"/>
    <mergeCell ref="T1:V1"/>
    <mergeCell ref="W1:X1"/>
    <mergeCell ref="AA1:AJ1"/>
    <mergeCell ref="L121:M121"/>
    <mergeCell ref="N121:O121"/>
    <mergeCell ref="X5:Y5"/>
    <mergeCell ref="Z5:AA5"/>
    <mergeCell ref="AK45:AK46"/>
    <mergeCell ref="AJ5:AJ6"/>
    <mergeCell ref="AK5:AK6"/>
    <mergeCell ref="A33:A34"/>
    <mergeCell ref="A204:A211"/>
    <mergeCell ref="D1:E1"/>
    <mergeCell ref="A4:C4"/>
    <mergeCell ref="AL415:AL416"/>
    <mergeCell ref="AM415:AM416"/>
    <mergeCell ref="AL379:AL380"/>
    <mergeCell ref="A508:L537"/>
    <mergeCell ref="M508:AN537"/>
    <mergeCell ref="A507:L507"/>
    <mergeCell ref="M507:AN507"/>
    <mergeCell ref="A486:L506"/>
    <mergeCell ref="A485:L485"/>
    <mergeCell ref="M485:AN485"/>
    <mergeCell ref="M486:AN506"/>
    <mergeCell ref="A414:AN414"/>
    <mergeCell ref="A415:A416"/>
    <mergeCell ref="B415:B416"/>
    <mergeCell ref="C415:C416"/>
    <mergeCell ref="D415:E415"/>
    <mergeCell ref="F415:G415"/>
    <mergeCell ref="H415:I415"/>
    <mergeCell ref="J415:K415"/>
    <mergeCell ref="L415:M415"/>
    <mergeCell ref="N415:O415"/>
    <mergeCell ref="P415:Q415"/>
    <mergeCell ref="N275:O275"/>
    <mergeCell ref="F221:G221"/>
    <mergeCell ref="J221:K221"/>
    <mergeCell ref="R311:S311"/>
    <mergeCell ref="A277:A282"/>
    <mergeCell ref="A313:A315"/>
    <mergeCell ref="C221:C222"/>
    <mergeCell ref="B221:B222"/>
    <mergeCell ref="A259:A260"/>
    <mergeCell ref="A275:A276"/>
    <mergeCell ref="A311:A312"/>
    <mergeCell ref="J311:K311"/>
    <mergeCell ref="A232:A240"/>
    <mergeCell ref="A241:A249"/>
    <mergeCell ref="A250:A258"/>
    <mergeCell ref="A223:A231"/>
    <mergeCell ref="H221:I221"/>
    <mergeCell ref="A261:A262"/>
    <mergeCell ref="P275:Q275"/>
    <mergeCell ref="AL301:AL309"/>
    <mergeCell ref="AN277:AN300"/>
    <mergeCell ref="AN301:AN309"/>
    <mergeCell ref="A270:A273"/>
    <mergeCell ref="F275:G275"/>
    <mergeCell ref="A283:A286"/>
    <mergeCell ref="A304:A306"/>
    <mergeCell ref="A412:AN412"/>
    <mergeCell ref="AL331:AL355"/>
    <mergeCell ref="AL356:AL369"/>
    <mergeCell ref="AN331:AN355"/>
    <mergeCell ref="AN356:AN369"/>
    <mergeCell ref="AL277:AL300"/>
    <mergeCell ref="H311:I311"/>
    <mergeCell ref="AL401:AL411"/>
    <mergeCell ref="AN401:AN411"/>
    <mergeCell ref="C275:C276"/>
    <mergeCell ref="H329:I329"/>
    <mergeCell ref="J329:K329"/>
    <mergeCell ref="A316:A317"/>
    <mergeCell ref="A291:A298"/>
    <mergeCell ref="A287:A290"/>
    <mergeCell ref="A299:A300"/>
    <mergeCell ref="R275:S275"/>
    <mergeCell ref="AN379:AN380"/>
    <mergeCell ref="A378:AN378"/>
    <mergeCell ref="A342:A347"/>
    <mergeCell ref="AN370:AN377"/>
    <mergeCell ref="AL381:AL399"/>
    <mergeCell ref="A332:A337"/>
    <mergeCell ref="A340:A341"/>
    <mergeCell ref="A348:A355"/>
    <mergeCell ref="AN415:AN416"/>
    <mergeCell ref="R415:S415"/>
    <mergeCell ref="T415:U415"/>
    <mergeCell ref="AL313:AL327"/>
    <mergeCell ref="A325:A327"/>
    <mergeCell ref="A318:A319"/>
    <mergeCell ref="A387:A392"/>
    <mergeCell ref="L329:M329"/>
    <mergeCell ref="R329:S329"/>
    <mergeCell ref="A367:A369"/>
    <mergeCell ref="A356:A366"/>
    <mergeCell ref="F379:G379"/>
    <mergeCell ref="D379:E379"/>
    <mergeCell ref="A328:AN328"/>
    <mergeCell ref="AN329:AN330"/>
    <mergeCell ref="AM329:AM330"/>
    <mergeCell ref="AB329:AC329"/>
    <mergeCell ref="AD329:AE329"/>
    <mergeCell ref="X329:Y329"/>
    <mergeCell ref="A310:AN310"/>
    <mergeCell ref="AN311:AN312"/>
    <mergeCell ref="C311:C312"/>
    <mergeCell ref="AN313:AN327"/>
    <mergeCell ref="A370:A377"/>
    <mergeCell ref="V329:W329"/>
    <mergeCell ref="N329:O329"/>
    <mergeCell ref="X379:Y379"/>
    <mergeCell ref="D329:E329"/>
    <mergeCell ref="F329:G329"/>
    <mergeCell ref="Z329:AA329"/>
    <mergeCell ref="B329:B330"/>
    <mergeCell ref="D311:E311"/>
    <mergeCell ref="F311:G311"/>
    <mergeCell ref="AM311:AM312"/>
    <mergeCell ref="C379:C380"/>
    <mergeCell ref="Z379:AA379"/>
    <mergeCell ref="L379:M379"/>
    <mergeCell ref="H379:I379"/>
    <mergeCell ref="J379:K379"/>
    <mergeCell ref="N379:O379"/>
    <mergeCell ref="P379:Q379"/>
    <mergeCell ref="C329:C330"/>
    <mergeCell ref="X311:Y311"/>
    <mergeCell ref="T329:U329"/>
    <mergeCell ref="A393:A399"/>
    <mergeCell ref="V379:W379"/>
    <mergeCell ref="V415:W415"/>
    <mergeCell ref="X415:Y415"/>
    <mergeCell ref="A400:AN400"/>
    <mergeCell ref="A401:A411"/>
    <mergeCell ref="A381:A386"/>
    <mergeCell ref="AJ379:AJ380"/>
    <mergeCell ref="R379:S379"/>
    <mergeCell ref="T379:U379"/>
    <mergeCell ref="Z415:AA415"/>
    <mergeCell ref="AB415:AC415"/>
    <mergeCell ref="AD415:AE415"/>
    <mergeCell ref="AF415:AG415"/>
    <mergeCell ref="AJ415:AJ416"/>
    <mergeCell ref="AK415:AK416"/>
    <mergeCell ref="AK379:AK380"/>
    <mergeCell ref="A379:A380"/>
    <mergeCell ref="B379:B380"/>
    <mergeCell ref="AN381:AN399"/>
    <mergeCell ref="A329:A330"/>
    <mergeCell ref="AJ329:AJ330"/>
    <mergeCell ref="AF329:AG329"/>
    <mergeCell ref="A457:A461"/>
    <mergeCell ref="AK458:AK459"/>
    <mergeCell ref="A462:A466"/>
    <mergeCell ref="AK463:AK464"/>
    <mergeCell ref="A467:A471"/>
    <mergeCell ref="AK468:AK469"/>
    <mergeCell ref="A432:A436"/>
    <mergeCell ref="AK433:AK434"/>
    <mergeCell ref="AK418:AK419"/>
    <mergeCell ref="A417:A421"/>
    <mergeCell ref="A422:A426"/>
    <mergeCell ref="AK423:AK424"/>
    <mergeCell ref="AK438:AK439"/>
    <mergeCell ref="A442:A446"/>
    <mergeCell ref="AK443:AK444"/>
    <mergeCell ref="AK428:AK429"/>
    <mergeCell ref="A427:A431"/>
    <mergeCell ref="A472:A476"/>
    <mergeCell ref="AK473:AK474"/>
    <mergeCell ref="A477:A481"/>
    <mergeCell ref="AK478:AK479"/>
    <mergeCell ref="AH20:AI20"/>
    <mergeCell ref="AH64:AI64"/>
    <mergeCell ref="AH109:AI109"/>
    <mergeCell ref="AH121:AI121"/>
    <mergeCell ref="AH163:AI163"/>
    <mergeCell ref="AH194:AI194"/>
    <mergeCell ref="AH221:AI221"/>
    <mergeCell ref="AH275:AI275"/>
    <mergeCell ref="AH311:AI311"/>
    <mergeCell ref="AH329:AI329"/>
    <mergeCell ref="AH415:AI415"/>
    <mergeCell ref="AB106:AC106"/>
    <mergeCell ref="AD106:AE106"/>
    <mergeCell ref="AF106:AG106"/>
    <mergeCell ref="AH106:AI106"/>
    <mergeCell ref="A437:A441"/>
    <mergeCell ref="A447:A451"/>
    <mergeCell ref="AK448:AK449"/>
    <mergeCell ref="A452:A456"/>
    <mergeCell ref="AK453:AK454"/>
  </mergeCells>
  <phoneticPr fontId="3" type="noConversion"/>
  <conditionalFormatting sqref="AK22">
    <cfRule type="notContainsBlanks" dxfId="1789" priority="3061">
      <formula>LEN(TRIM(AK22))&gt;0</formula>
    </cfRule>
  </conditionalFormatting>
  <conditionalFormatting sqref="AK27:AK28">
    <cfRule type="notContainsBlanks" dxfId="1788" priority="3062">
      <formula>LEN(TRIM(AK27))&gt;0</formula>
    </cfRule>
  </conditionalFormatting>
  <conditionalFormatting sqref="AK33:AK34">
    <cfRule type="notContainsBlanks" dxfId="1787" priority="3065">
      <formula>LEN(TRIM(AK33))&gt;0</formula>
    </cfRule>
  </conditionalFormatting>
  <conditionalFormatting sqref="AK35:AK36">
    <cfRule type="notContainsBlanks" dxfId="1786" priority="3063">
      <formula>LEN(TRIM(AK35))&gt;0</formula>
    </cfRule>
  </conditionalFormatting>
  <conditionalFormatting sqref="AK37:AK38">
    <cfRule type="notContainsBlanks" dxfId="1785" priority="3056">
      <formula>LEN(TRIM(AK37))&gt;0</formula>
    </cfRule>
  </conditionalFormatting>
  <conditionalFormatting sqref="AK39:AK40">
    <cfRule type="notContainsBlanks" dxfId="1784" priority="3055">
      <formula>LEN(TRIM(AK39))&gt;0</formula>
    </cfRule>
  </conditionalFormatting>
  <conditionalFormatting sqref="AK41:AK42">
    <cfRule type="notContainsBlanks" dxfId="1783" priority="3054">
      <formula>LEN(TRIM(AK41))&gt;0</formula>
    </cfRule>
  </conditionalFormatting>
  <conditionalFormatting sqref="AK43:AK44">
    <cfRule type="notContainsBlanks" dxfId="1782" priority="3053">
      <formula>LEN(TRIM(AK43))&gt;0</formula>
    </cfRule>
  </conditionalFormatting>
  <conditionalFormatting sqref="AK45:AK46">
    <cfRule type="notContainsBlanks" dxfId="1781" priority="3052">
      <formula>LEN(TRIM(AK45))&gt;0</formula>
    </cfRule>
  </conditionalFormatting>
  <conditionalFormatting sqref="AK47:AK48">
    <cfRule type="notContainsBlanks" dxfId="1780" priority="3051">
      <formula>LEN(TRIM(AK47))&gt;0</formula>
    </cfRule>
  </conditionalFormatting>
  <conditionalFormatting sqref="AK49:AK53">
    <cfRule type="notContainsBlanks" dxfId="1779" priority="3050">
      <formula>LEN(TRIM(AK49))&gt;0</formula>
    </cfRule>
  </conditionalFormatting>
  <conditionalFormatting sqref="AK54:AK55">
    <cfRule type="notContainsBlanks" dxfId="1778" priority="3049">
      <formula>LEN(TRIM(AK54))&gt;0</formula>
    </cfRule>
  </conditionalFormatting>
  <conditionalFormatting sqref="AK123 AK125:AK126">
    <cfRule type="notContainsBlanks" dxfId="1777" priority="3066">
      <formula>LEN(TRIM(AK123))&gt;0</formula>
    </cfRule>
  </conditionalFormatting>
  <conditionalFormatting sqref="AK127:AK133">
    <cfRule type="notContainsBlanks" dxfId="1776" priority="3067">
      <formula>LEN(TRIM(AK127))&gt;0</formula>
    </cfRule>
  </conditionalFormatting>
  <conditionalFormatting sqref="AK146:AK147">
    <cfRule type="notContainsBlanks" dxfId="1775" priority="3046">
      <formula>LEN(TRIM(AK146))&gt;0</formula>
    </cfRule>
  </conditionalFormatting>
  <conditionalFormatting sqref="AK167">
    <cfRule type="notContainsBlanks" dxfId="1774" priority="3045">
      <formula>LEN(TRIM(AK167))&gt;0</formula>
    </cfRule>
  </conditionalFormatting>
  <conditionalFormatting sqref="AK24">
    <cfRule type="notContainsBlanks" dxfId="1773" priority="3044">
      <formula>LEN(TRIM(AK24))&gt;0</formula>
    </cfRule>
  </conditionalFormatting>
  <conditionalFormatting sqref="AK168">
    <cfRule type="notContainsBlanks" dxfId="1772" priority="3043">
      <formula>LEN(TRIM(AK168))&gt;0</formula>
    </cfRule>
  </conditionalFormatting>
  <conditionalFormatting sqref="AK169">
    <cfRule type="notContainsBlanks" dxfId="1771" priority="3042">
      <formula>LEN(TRIM(AK169))&gt;0</formula>
    </cfRule>
  </conditionalFormatting>
  <conditionalFormatting sqref="AK170">
    <cfRule type="notContainsBlanks" dxfId="1770" priority="3041">
      <formula>LEN(TRIM(AK170))&gt;0</formula>
    </cfRule>
  </conditionalFormatting>
  <conditionalFormatting sqref="AK197">
    <cfRule type="notContainsBlanks" dxfId="1769" priority="3040">
      <formula>LEN(TRIM(AK197))&gt;0</formula>
    </cfRule>
  </conditionalFormatting>
  <conditionalFormatting sqref="AK260">
    <cfRule type="notContainsBlanks" dxfId="1768" priority="3037">
      <formula>LEN(TRIM(AK260))&gt;0</formula>
    </cfRule>
  </conditionalFormatting>
  <conditionalFormatting sqref="AK263">
    <cfRule type="notContainsBlanks" dxfId="1767" priority="3036">
      <formula>LEN(TRIM(AK263))&gt;0</formula>
    </cfRule>
  </conditionalFormatting>
  <conditionalFormatting sqref="AK264:AK265">
    <cfRule type="notContainsBlanks" dxfId="1766" priority="3035">
      <formula>LEN(TRIM(AK264))&gt;0</formula>
    </cfRule>
  </conditionalFormatting>
  <conditionalFormatting sqref="AK266:AK267 AK279 AK281 AK373:AK375 AK342:AK355 AK361">
    <cfRule type="notContainsBlanks" dxfId="1765" priority="3034">
      <formula>LEN(TRIM(AK266))&gt;0</formula>
    </cfRule>
  </conditionalFormatting>
  <conditionalFormatting sqref="AK268:AK269">
    <cfRule type="notContainsBlanks" dxfId="1764" priority="3033">
      <formula>LEN(TRIM(AK268))&gt;0</formula>
    </cfRule>
  </conditionalFormatting>
  <conditionalFormatting sqref="AK270:AK271">
    <cfRule type="notContainsBlanks" dxfId="1763" priority="3032">
      <formula>LEN(TRIM(AK270))&gt;0</formula>
    </cfRule>
  </conditionalFormatting>
  <conditionalFormatting sqref="AK272">
    <cfRule type="notContainsBlanks" dxfId="1762" priority="3031">
      <formula>LEN(TRIM(AK272))&gt;0</formula>
    </cfRule>
  </conditionalFormatting>
  <conditionalFormatting sqref="AK273">
    <cfRule type="notContainsBlanks" dxfId="1761" priority="3030">
      <formula>LEN(TRIM(AK273))&gt;0</formula>
    </cfRule>
  </conditionalFormatting>
  <conditionalFormatting sqref="AK277">
    <cfRule type="notContainsBlanks" dxfId="1760" priority="3029">
      <formula>LEN(TRIM(AK277))&gt;0</formula>
    </cfRule>
  </conditionalFormatting>
  <conditionalFormatting sqref="AK278">
    <cfRule type="notContainsBlanks" dxfId="1759" priority="3028">
      <formula>LEN(TRIM(AK278))&gt;0</formula>
    </cfRule>
  </conditionalFormatting>
  <conditionalFormatting sqref="AK280:AK282">
    <cfRule type="notContainsBlanks" dxfId="1758" priority="3026">
      <formula>LEN(TRIM(AK280))&gt;0</formula>
    </cfRule>
  </conditionalFormatting>
  <conditionalFormatting sqref="AK283:AK284 AK286">
    <cfRule type="notContainsBlanks" dxfId="1757" priority="3025">
      <formula>LEN(TRIM(AK283))&gt;0</formula>
    </cfRule>
  </conditionalFormatting>
  <conditionalFormatting sqref="AK287:AK288 AK290">
    <cfRule type="notContainsBlanks" dxfId="1756" priority="3024">
      <formula>LEN(TRIM(AK287))&gt;0</formula>
    </cfRule>
  </conditionalFormatting>
  <conditionalFormatting sqref="AK291:AK292 AK294 AK296">
    <cfRule type="notContainsBlanks" dxfId="1755" priority="3023">
      <formula>LEN(TRIM(AK291))&gt;0</formula>
    </cfRule>
  </conditionalFormatting>
  <conditionalFormatting sqref="AK299:AK308">
    <cfRule type="notContainsBlanks" dxfId="1754" priority="3022">
      <formula>LEN(TRIM(AK299))&gt;0</formula>
    </cfRule>
  </conditionalFormatting>
  <conditionalFormatting sqref="AK314:AK317">
    <cfRule type="notContainsBlanks" dxfId="1753" priority="3021">
      <formula>LEN(TRIM(AK314))&gt;0</formula>
    </cfRule>
  </conditionalFormatting>
  <conditionalFormatting sqref="AK318:AK319">
    <cfRule type="notContainsBlanks" dxfId="1752" priority="3020">
      <formula>LEN(TRIM(AK318))&gt;0</formula>
    </cfRule>
  </conditionalFormatting>
  <conditionalFormatting sqref="AK320:AK322">
    <cfRule type="notContainsBlanks" dxfId="1751" priority="3019">
      <formula>LEN(TRIM(AK320))&gt;0</formula>
    </cfRule>
  </conditionalFormatting>
  <conditionalFormatting sqref="AK325">
    <cfRule type="notContainsBlanks" dxfId="1750" priority="3018">
      <formula>LEN(TRIM(AK325))&gt;0</formula>
    </cfRule>
  </conditionalFormatting>
  <conditionalFormatting sqref="AK326">
    <cfRule type="notContainsBlanks" dxfId="1749" priority="3017">
      <formula>LEN(TRIM(AK326))&gt;0</formula>
    </cfRule>
  </conditionalFormatting>
  <conditionalFormatting sqref="AK327">
    <cfRule type="notContainsBlanks" dxfId="1748" priority="3016">
      <formula>LEN(TRIM(AK327))&gt;0</formula>
    </cfRule>
  </conditionalFormatting>
  <conditionalFormatting sqref="AK331:AK337">
    <cfRule type="notContainsBlanks" dxfId="1747" priority="3015">
      <formula>LEN(TRIM(AK331))&gt;0</formula>
    </cfRule>
  </conditionalFormatting>
  <conditionalFormatting sqref="AK338:AK340">
    <cfRule type="notContainsBlanks" priority="3014">
      <formula>LEN(TRIM(AK338))&gt;0</formula>
    </cfRule>
  </conditionalFormatting>
  <conditionalFormatting sqref="AK387:AK389">
    <cfRule type="notContainsBlanks" dxfId="1746" priority="3012">
      <formula>LEN(TRIM(AK387))&gt;0</formula>
    </cfRule>
  </conditionalFormatting>
  <conditionalFormatting sqref="AM35">
    <cfRule type="notContainsBlanks" dxfId="1745" priority="3005">
      <formula>LEN(TRIM(AM35))&gt;0</formula>
    </cfRule>
  </conditionalFormatting>
  <conditionalFormatting sqref="AM277:AN277">
    <cfRule type="notContainsBlanks" dxfId="1744" priority="3004">
      <formula>LEN(TRIM(AM277))&gt;0</formula>
    </cfRule>
  </conditionalFormatting>
  <conditionalFormatting sqref="AM278">
    <cfRule type="notContainsBlanks" dxfId="1743" priority="3003">
      <formula>LEN(TRIM(AM278))&gt;0</formula>
    </cfRule>
  </conditionalFormatting>
  <conditionalFormatting sqref="AM111:AN111 AM167:AN167 AM196:AN196 AM223:AN223 AM313:AN313 AM331:AN331 AM123:AN125 AM22:AN22 AM112:AM117 AM126:AM161 AM197:AM219 AM260:AM273 AM23:AM31 AN381 AM387:AM399 AM279:AM296 AM307:AM308 AM373:AM375 AM314:AM322 AM332:AM355 AM361 AM417:AM419 AM33:AM55 AM299:AM303 AM324:AM327 AM168:AM178">
    <cfRule type="notContainsBlanks" dxfId="1742" priority="3002">
      <formula>LEN(TRIM(AM22))&gt;0</formula>
    </cfRule>
  </conditionalFormatting>
  <conditionalFormatting sqref="AM37">
    <cfRule type="notContainsBlanks" dxfId="1741" priority="3001">
      <formula>LEN(TRIM(AM37))&gt;0</formula>
    </cfRule>
  </conditionalFormatting>
  <conditionalFormatting sqref="AM49">
    <cfRule type="notContainsBlanks" dxfId="1740" priority="2995">
      <formula>LEN(TRIM(AM49))&gt;0</formula>
    </cfRule>
  </conditionalFormatting>
  <conditionalFormatting sqref="AM39">
    <cfRule type="notContainsBlanks" dxfId="1739" priority="3000">
      <formula>LEN(TRIM(AM39))&gt;0</formula>
    </cfRule>
  </conditionalFormatting>
  <conditionalFormatting sqref="AM41">
    <cfRule type="notContainsBlanks" dxfId="1738" priority="2999">
      <formula>LEN(TRIM(AM41))&gt;0</formula>
    </cfRule>
  </conditionalFormatting>
  <conditionalFormatting sqref="AM43">
    <cfRule type="notContainsBlanks" dxfId="1737" priority="2998">
      <formula>LEN(TRIM(AM43))&gt;0</formula>
    </cfRule>
  </conditionalFormatting>
  <conditionalFormatting sqref="AM45">
    <cfRule type="notContainsBlanks" dxfId="1736" priority="2997">
      <formula>LEN(TRIM(AM45))&gt;0</formula>
    </cfRule>
  </conditionalFormatting>
  <conditionalFormatting sqref="AM47">
    <cfRule type="notContainsBlanks" dxfId="1735" priority="2996">
      <formula>LEN(TRIM(AM47))&gt;0</formula>
    </cfRule>
  </conditionalFormatting>
  <conditionalFormatting sqref="AL22 AL111 AL123 AL196:AL219 AL223 AL313:AL322 AL331 AL381 AL277 AL417 AL324:AL327 AL166">
    <cfRule type="notContainsBlanks" dxfId="1734" priority="3231">
      <formula>LEN(TRIM(AL22))&gt;0</formula>
    </cfRule>
  </conditionalFormatting>
  <conditionalFormatting sqref="D341:Y341 AB341:AG341 AJ341">
    <cfRule type="cellIs" dxfId="1733" priority="2992" operator="equal">
      <formula>0</formula>
    </cfRule>
  </conditionalFormatting>
  <conditionalFormatting sqref="D354:Y354 AB354:AG354">
    <cfRule type="cellIs" dxfId="1732" priority="2991" operator="equal">
      <formula>0</formula>
    </cfRule>
  </conditionalFormatting>
  <conditionalFormatting sqref="D354:Y354 AB354:AG354">
    <cfRule type="cellIs" dxfId="1731" priority="2990" operator="equal">
      <formula>0</formula>
    </cfRule>
  </conditionalFormatting>
  <conditionalFormatting sqref="D54:AA55">
    <cfRule type="cellIs" dxfId="1730" priority="2989" operator="equal">
      <formula>0</formula>
    </cfRule>
  </conditionalFormatting>
  <conditionalFormatting sqref="AJ111:AJ117 AJ393:AJ399 AJ381:AJ391 AJ45 AJ47 AJ35 AJ29:AJ31 AJ49:AJ50 AJ37:AJ43 AJ260 AJ342:AJ366 AJ196:AJ219 AJ262:AJ273 AJ277:AJ296 AJ313:AJ322 AJ331:AJ340 AJ123:AJ126 AJ22:AJ27 AJ54 AJ33 AJ299:AJ308 AJ128:AJ130 AJ324:AJ327 AJ132:AJ161 AJ167:AJ178">
    <cfRule type="cellIs" dxfId="1729" priority="2986" operator="equal">
      <formula>0</formula>
    </cfRule>
  </conditionalFormatting>
  <conditionalFormatting sqref="D354:Y354 D341:Y341 AB341:AG341 AB354:AG354 AJ341 D54:AA55">
    <cfRule type="cellIs" dxfId="1728" priority="2985" operator="equal">
      <formula>0</formula>
    </cfRule>
  </conditionalFormatting>
  <conditionalFormatting sqref="A1">
    <cfRule type="cellIs" dxfId="1727" priority="2984" operator="equal">
      <formula>0</formula>
    </cfRule>
  </conditionalFormatting>
  <conditionalFormatting sqref="D392:AG392 AJ392">
    <cfRule type="cellIs" dxfId="1726" priority="2981" operator="equal">
      <formula>0</formula>
    </cfRule>
  </conditionalFormatting>
  <conditionalFormatting sqref="AJ44">
    <cfRule type="cellIs" dxfId="1725" priority="2980" operator="equal">
      <formula>0</formula>
    </cfRule>
  </conditionalFormatting>
  <conditionalFormatting sqref="AJ46">
    <cfRule type="cellIs" dxfId="1724" priority="2979" operator="equal">
      <formula>0</formula>
    </cfRule>
  </conditionalFormatting>
  <conditionalFormatting sqref="AJ36">
    <cfRule type="cellIs" dxfId="1723" priority="2978" operator="equal">
      <formula>0</formula>
    </cfRule>
  </conditionalFormatting>
  <conditionalFormatting sqref="AJ34">
    <cfRule type="cellIs" dxfId="1722" priority="2977" operator="equal">
      <formula>0</formula>
    </cfRule>
  </conditionalFormatting>
  <conditionalFormatting sqref="AJ28">
    <cfRule type="cellIs" dxfId="1721" priority="2976" operator="equal">
      <formula>0</formula>
    </cfRule>
  </conditionalFormatting>
  <conditionalFormatting sqref="AJ48">
    <cfRule type="cellIs" dxfId="1720" priority="2975" operator="equal">
      <formula>0</formula>
    </cfRule>
  </conditionalFormatting>
  <conditionalFormatting sqref="AJ55">
    <cfRule type="cellIs" dxfId="1719" priority="2957" operator="equal">
      <formula>0</formula>
    </cfRule>
  </conditionalFormatting>
  <conditionalFormatting sqref="AJ55">
    <cfRule type="cellIs" dxfId="1718" priority="2956" operator="equal">
      <formula>0</formula>
    </cfRule>
  </conditionalFormatting>
  <conditionalFormatting sqref="D167:AA167">
    <cfRule type="expression" dxfId="1717" priority="2945">
      <formula>D169&gt;D167</formula>
    </cfRule>
  </conditionalFormatting>
  <conditionalFormatting sqref="D168:AA168">
    <cfRule type="expression" dxfId="1716" priority="2944">
      <formula>D170&gt;D168</formula>
    </cfRule>
  </conditionalFormatting>
  <conditionalFormatting sqref="D263:AA263">
    <cfRule type="expression" dxfId="1715" priority="2941">
      <formula>D264&gt;D263</formula>
    </cfRule>
  </conditionalFormatting>
  <conditionalFormatting sqref="D264:AA264">
    <cfRule type="expression" dxfId="1714" priority="2940">
      <formula>D265&gt;D264</formula>
    </cfRule>
  </conditionalFormatting>
  <conditionalFormatting sqref="K266 M266 O266 Q266 S266 U266 W266 Y266 AA266">
    <cfRule type="expression" dxfId="1713" priority="2939">
      <formula>K267&gt;K266</formula>
    </cfRule>
  </conditionalFormatting>
  <conditionalFormatting sqref="D268:AA268">
    <cfRule type="expression" dxfId="1712" priority="2938">
      <formula>D269&gt;D268</formula>
    </cfRule>
  </conditionalFormatting>
  <conditionalFormatting sqref="D270:AA270">
    <cfRule type="expression" dxfId="1711" priority="2935">
      <formula>D273&gt;D270</formula>
    </cfRule>
    <cfRule type="expression" dxfId="1710" priority="2937">
      <formula>D271&gt;D270</formula>
    </cfRule>
  </conditionalFormatting>
  <conditionalFormatting sqref="D271:AA271">
    <cfRule type="expression" dxfId="1709" priority="2936">
      <formula>D272&gt;D271</formula>
    </cfRule>
  </conditionalFormatting>
  <conditionalFormatting sqref="K277">
    <cfRule type="expression" dxfId="1708" priority="2934">
      <formula>(K278+K279)&gt;K277</formula>
    </cfRule>
  </conditionalFormatting>
  <conditionalFormatting sqref="K279">
    <cfRule type="expression" dxfId="1707" priority="2448">
      <formula>K279&gt;K277</formula>
    </cfRule>
    <cfRule type="expression" dxfId="1706" priority="2933">
      <formula>K280&gt;K279</formula>
    </cfRule>
  </conditionalFormatting>
  <conditionalFormatting sqref="K283">
    <cfRule type="expression" dxfId="1705" priority="2932">
      <formula>K284&gt;K283</formula>
    </cfRule>
  </conditionalFormatting>
  <conditionalFormatting sqref="K287">
    <cfRule type="expression" dxfId="1704" priority="2931">
      <formula>K288&gt;K287</formula>
    </cfRule>
  </conditionalFormatting>
  <conditionalFormatting sqref="K291">
    <cfRule type="expression" dxfId="1703" priority="2930">
      <formula>K292&gt;K291</formula>
    </cfRule>
  </conditionalFormatting>
  <conditionalFormatting sqref="M277">
    <cfRule type="expression" dxfId="1702" priority="2929">
      <formula>(M278+M279)&gt;M277</formula>
    </cfRule>
  </conditionalFormatting>
  <conditionalFormatting sqref="M279">
    <cfRule type="expression" dxfId="1701" priority="2928">
      <formula>M280&gt;M279</formula>
    </cfRule>
  </conditionalFormatting>
  <conditionalFormatting sqref="M283">
    <cfRule type="expression" dxfId="1700" priority="2927">
      <formula>M284&gt;M283</formula>
    </cfRule>
  </conditionalFormatting>
  <conditionalFormatting sqref="M287">
    <cfRule type="expression" dxfId="1699" priority="2926">
      <formula>M288&gt;M287</formula>
    </cfRule>
  </conditionalFormatting>
  <conditionalFormatting sqref="M291">
    <cfRule type="expression" dxfId="1698" priority="2925">
      <formula>M292&gt;M291</formula>
    </cfRule>
  </conditionalFormatting>
  <conditionalFormatting sqref="O277">
    <cfRule type="expression" dxfId="1697" priority="2924">
      <formula>(O278+O279)&gt;O277</formula>
    </cfRule>
  </conditionalFormatting>
  <conditionalFormatting sqref="O279">
    <cfRule type="expression" dxfId="1696" priority="2923">
      <formula>O280&gt;O279</formula>
    </cfRule>
  </conditionalFormatting>
  <conditionalFormatting sqref="O283">
    <cfRule type="expression" dxfId="1695" priority="2922">
      <formula>O284&gt;O283</formula>
    </cfRule>
  </conditionalFormatting>
  <conditionalFormatting sqref="O287">
    <cfRule type="expression" dxfId="1694" priority="2921">
      <formula>O288&gt;O287</formula>
    </cfRule>
  </conditionalFormatting>
  <conditionalFormatting sqref="O291">
    <cfRule type="expression" dxfId="1693" priority="2920">
      <formula>O292&gt;O291</formula>
    </cfRule>
  </conditionalFormatting>
  <conditionalFormatting sqref="Q277">
    <cfRule type="expression" dxfId="1692" priority="2919">
      <formula>(Q278+Q279)&gt;Q277</formula>
    </cfRule>
  </conditionalFormatting>
  <conditionalFormatting sqref="Q279">
    <cfRule type="expression" dxfId="1691" priority="2918">
      <formula>Q280&gt;Q279</formula>
    </cfRule>
  </conditionalFormatting>
  <conditionalFormatting sqref="Q283">
    <cfRule type="expression" dxfId="1690" priority="2917">
      <formula>Q284&gt;Q283</formula>
    </cfRule>
  </conditionalFormatting>
  <conditionalFormatting sqref="Q287">
    <cfRule type="expression" dxfId="1689" priority="2916">
      <formula>Q288&gt;Q287</formula>
    </cfRule>
  </conditionalFormatting>
  <conditionalFormatting sqref="Q291">
    <cfRule type="expression" dxfId="1688" priority="2915">
      <formula>Q292&gt;Q291</formula>
    </cfRule>
  </conditionalFormatting>
  <conditionalFormatting sqref="S277">
    <cfRule type="expression" dxfId="1687" priority="2914">
      <formula>(S278+S279)&gt;S277</formula>
    </cfRule>
  </conditionalFormatting>
  <conditionalFormatting sqref="S279">
    <cfRule type="expression" dxfId="1686" priority="2913">
      <formula>S280&gt;S279</formula>
    </cfRule>
  </conditionalFormatting>
  <conditionalFormatting sqref="S283">
    <cfRule type="expression" dxfId="1685" priority="2912">
      <formula>S284&gt;S283</formula>
    </cfRule>
  </conditionalFormatting>
  <conditionalFormatting sqref="S287">
    <cfRule type="expression" dxfId="1684" priority="2911">
      <formula>S288&gt;S287</formula>
    </cfRule>
  </conditionalFormatting>
  <conditionalFormatting sqref="S291">
    <cfRule type="expression" dxfId="1683" priority="2910">
      <formula>S292&gt;S291</formula>
    </cfRule>
  </conditionalFormatting>
  <conditionalFormatting sqref="U277">
    <cfRule type="expression" dxfId="1682" priority="2909">
      <formula>(U278+U279)&gt;U277</formula>
    </cfRule>
  </conditionalFormatting>
  <conditionalFormatting sqref="U279">
    <cfRule type="expression" dxfId="1681" priority="2908">
      <formula>U280&gt;U279</formula>
    </cfRule>
  </conditionalFormatting>
  <conditionalFormatting sqref="U283">
    <cfRule type="expression" dxfId="1680" priority="2907">
      <formula>U284&gt;U283</formula>
    </cfRule>
  </conditionalFormatting>
  <conditionalFormatting sqref="U287">
    <cfRule type="expression" dxfId="1679" priority="2906">
      <formula>U288&gt;U287</formula>
    </cfRule>
  </conditionalFormatting>
  <conditionalFormatting sqref="U291">
    <cfRule type="expression" dxfId="1678" priority="2905">
      <formula>U292&gt;U291</formula>
    </cfRule>
  </conditionalFormatting>
  <conditionalFormatting sqref="W277">
    <cfRule type="expression" dxfId="1677" priority="2904">
      <formula>(W278+W279)&gt;W277</formula>
    </cfRule>
  </conditionalFormatting>
  <conditionalFormatting sqref="W279">
    <cfRule type="expression" dxfId="1676" priority="2903">
      <formula>W280&gt;W279</formula>
    </cfRule>
  </conditionalFormatting>
  <conditionalFormatting sqref="W283">
    <cfRule type="expression" dxfId="1675" priority="2902">
      <formula>W284&gt;W283</formula>
    </cfRule>
  </conditionalFormatting>
  <conditionalFormatting sqref="W287">
    <cfRule type="expression" dxfId="1674" priority="2901">
      <formula>W288&gt;W287</formula>
    </cfRule>
  </conditionalFormatting>
  <conditionalFormatting sqref="W291">
    <cfRule type="expression" dxfId="1673" priority="2900">
      <formula>W292&gt;W291</formula>
    </cfRule>
  </conditionalFormatting>
  <conditionalFormatting sqref="Y277">
    <cfRule type="expression" dxfId="1672" priority="2899">
      <formula>(Y278+Y279)&gt;Y277</formula>
    </cfRule>
  </conditionalFormatting>
  <conditionalFormatting sqref="Y279">
    <cfRule type="expression" dxfId="1671" priority="2898">
      <formula>Y280&gt;Y279</formula>
    </cfRule>
  </conditionalFormatting>
  <conditionalFormatting sqref="Y283">
    <cfRule type="expression" dxfId="1670" priority="2897">
      <formula>Y284&gt;Y283</formula>
    </cfRule>
  </conditionalFormatting>
  <conditionalFormatting sqref="Y287">
    <cfRule type="expression" dxfId="1669" priority="2896">
      <formula>Y288&gt;Y287</formula>
    </cfRule>
  </conditionalFormatting>
  <conditionalFormatting sqref="Y291">
    <cfRule type="expression" dxfId="1668" priority="2895">
      <formula>Y292&gt;Y291</formula>
    </cfRule>
  </conditionalFormatting>
  <conditionalFormatting sqref="J299">
    <cfRule type="expression" dxfId="1667" priority="2894">
      <formula>J300&gt;J299</formula>
    </cfRule>
  </conditionalFormatting>
  <conditionalFormatting sqref="L299">
    <cfRule type="expression" dxfId="1666" priority="2893">
      <formula>L300&gt;L299</formula>
    </cfRule>
  </conditionalFormatting>
  <conditionalFormatting sqref="N299">
    <cfRule type="expression" dxfId="1665" priority="2892">
      <formula>N300&gt;N299</formula>
    </cfRule>
  </conditionalFormatting>
  <conditionalFormatting sqref="P299">
    <cfRule type="expression" dxfId="1664" priority="2891">
      <formula>P300&gt;P299</formula>
    </cfRule>
  </conditionalFormatting>
  <conditionalFormatting sqref="R299">
    <cfRule type="expression" dxfId="1663" priority="2890">
      <formula>R300&gt;R299</formula>
    </cfRule>
  </conditionalFormatting>
  <conditionalFormatting sqref="T299">
    <cfRule type="expression" dxfId="1662" priority="2889">
      <formula>T300&gt;T299</formula>
    </cfRule>
  </conditionalFormatting>
  <conditionalFormatting sqref="V299">
    <cfRule type="expression" dxfId="1661" priority="2888">
      <formula>V300&gt;V299</formula>
    </cfRule>
  </conditionalFormatting>
  <conditionalFormatting sqref="X299">
    <cfRule type="expression" dxfId="1660" priority="2887">
      <formula>X300&gt;X299</formula>
    </cfRule>
  </conditionalFormatting>
  <conditionalFormatting sqref="Z299">
    <cfRule type="expression" dxfId="1659" priority="2886">
      <formula>Z300&gt;Z299</formula>
    </cfRule>
  </conditionalFormatting>
  <conditionalFormatting sqref="K278">
    <cfRule type="expression" dxfId="1658" priority="2441">
      <formula>K278&gt;K277</formula>
    </cfRule>
    <cfRule type="expression" dxfId="1657" priority="2885">
      <formula>K313&gt;K278</formula>
    </cfRule>
  </conditionalFormatting>
  <conditionalFormatting sqref="M278">
    <cfRule type="expression" dxfId="1656" priority="2884">
      <formula>M313&gt;M278</formula>
    </cfRule>
  </conditionalFormatting>
  <conditionalFormatting sqref="O278">
    <cfRule type="expression" dxfId="1655" priority="2883">
      <formula>O313&gt;O278</formula>
    </cfRule>
  </conditionalFormatting>
  <conditionalFormatting sqref="Q278">
    <cfRule type="expression" dxfId="1654" priority="2882">
      <formula>Q313&gt;Q278</formula>
    </cfRule>
  </conditionalFormatting>
  <conditionalFormatting sqref="S278">
    <cfRule type="expression" dxfId="1653" priority="2881">
      <formula>S313&gt;S278</formula>
    </cfRule>
  </conditionalFormatting>
  <conditionalFormatting sqref="U278">
    <cfRule type="expression" dxfId="1652" priority="2880">
      <formula>U313&gt;U278</formula>
    </cfRule>
  </conditionalFormatting>
  <conditionalFormatting sqref="W278">
    <cfRule type="expression" dxfId="1651" priority="2879">
      <formula>W313&gt;W278</formula>
    </cfRule>
  </conditionalFormatting>
  <conditionalFormatting sqref="Y278">
    <cfRule type="expression" dxfId="1650" priority="2878">
      <formula>Y313&gt;Y278</formula>
    </cfRule>
  </conditionalFormatting>
  <conditionalFormatting sqref="K280 M280 O280 Q280 S280 U280 W280 Y280">
    <cfRule type="expression" dxfId="1649" priority="2877">
      <formula>K314&gt;K280</formula>
    </cfRule>
  </conditionalFormatting>
  <conditionalFormatting sqref="M277">
    <cfRule type="expression" dxfId="1648" priority="2873">
      <formula>(M278+M279)&gt;M277</formula>
    </cfRule>
  </conditionalFormatting>
  <conditionalFormatting sqref="M279">
    <cfRule type="expression" dxfId="1647" priority="2872">
      <formula>M280&gt;M279</formula>
    </cfRule>
  </conditionalFormatting>
  <conditionalFormatting sqref="M283">
    <cfRule type="expression" dxfId="1646" priority="2871">
      <formula>M284&gt;M283</formula>
    </cfRule>
  </conditionalFormatting>
  <conditionalFormatting sqref="M287">
    <cfRule type="expression" dxfId="1645" priority="2870">
      <formula>M288&gt;M287</formula>
    </cfRule>
  </conditionalFormatting>
  <conditionalFormatting sqref="M291">
    <cfRule type="expression" dxfId="1644" priority="2869">
      <formula>M292&gt;M291</formula>
    </cfRule>
  </conditionalFormatting>
  <conditionalFormatting sqref="M278">
    <cfRule type="expression" dxfId="1643" priority="2868">
      <formula>M313&gt;M278</formula>
    </cfRule>
  </conditionalFormatting>
  <conditionalFormatting sqref="K290 M290 O290 Q290 S290 U290 W290 Y290">
    <cfRule type="expression" dxfId="1642" priority="2866">
      <formula>K319&gt;K290</formula>
    </cfRule>
  </conditionalFormatting>
  <conditionalFormatting sqref="O277">
    <cfRule type="expression" dxfId="1641" priority="2864">
      <formula>(O278+O279)&gt;O277</formula>
    </cfRule>
  </conditionalFormatting>
  <conditionalFormatting sqref="O279">
    <cfRule type="expression" dxfId="1640" priority="2863">
      <formula>O280&gt;O279</formula>
    </cfRule>
  </conditionalFormatting>
  <conditionalFormatting sqref="O283">
    <cfRule type="expression" dxfId="1639" priority="2862">
      <formula>O284&gt;O283</formula>
    </cfRule>
  </conditionalFormatting>
  <conditionalFormatting sqref="O287">
    <cfRule type="expression" dxfId="1638" priority="2861">
      <formula>O288&gt;O287</formula>
    </cfRule>
  </conditionalFormatting>
  <conditionalFormatting sqref="O291">
    <cfRule type="expression" dxfId="1637" priority="2860">
      <formula>O292&gt;O291</formula>
    </cfRule>
  </conditionalFormatting>
  <conditionalFormatting sqref="O278">
    <cfRule type="expression" dxfId="1636" priority="2859">
      <formula>O313&gt;O278</formula>
    </cfRule>
  </conditionalFormatting>
  <conditionalFormatting sqref="Q277">
    <cfRule type="expression" dxfId="1635" priority="2855">
      <formula>(Q278+Q279)&gt;Q277</formula>
    </cfRule>
  </conditionalFormatting>
  <conditionalFormatting sqref="Q279">
    <cfRule type="expression" dxfId="1634" priority="2854">
      <formula>Q280&gt;Q279</formula>
    </cfRule>
  </conditionalFormatting>
  <conditionalFormatting sqref="Q283">
    <cfRule type="expression" dxfId="1633" priority="2853">
      <formula>Q284&gt;Q283</formula>
    </cfRule>
  </conditionalFormatting>
  <conditionalFormatting sqref="Q287">
    <cfRule type="expression" dxfId="1632" priority="2852">
      <formula>Q288&gt;Q287</formula>
    </cfRule>
  </conditionalFormatting>
  <conditionalFormatting sqref="Q291">
    <cfRule type="expression" dxfId="1631" priority="2851">
      <formula>Q292&gt;Q291</formula>
    </cfRule>
  </conditionalFormatting>
  <conditionalFormatting sqref="Q278">
    <cfRule type="expression" dxfId="1630" priority="2850">
      <formula>Q313&gt;Q278</formula>
    </cfRule>
  </conditionalFormatting>
  <conditionalFormatting sqref="S277">
    <cfRule type="expression" dxfId="1629" priority="2846">
      <formula>(S278+S279)&gt;S277</formula>
    </cfRule>
  </conditionalFormatting>
  <conditionalFormatting sqref="S279">
    <cfRule type="expression" dxfId="1628" priority="2845">
      <formula>S280&gt;S279</formula>
    </cfRule>
  </conditionalFormatting>
  <conditionalFormatting sqref="S283">
    <cfRule type="expression" dxfId="1627" priority="2844">
      <formula>S284&gt;S283</formula>
    </cfRule>
  </conditionalFormatting>
  <conditionalFormatting sqref="S287">
    <cfRule type="expression" dxfId="1626" priority="2843">
      <formula>S288&gt;S287</formula>
    </cfRule>
  </conditionalFormatting>
  <conditionalFormatting sqref="S291">
    <cfRule type="expression" dxfId="1625" priority="2842">
      <formula>S292&gt;S291</formula>
    </cfRule>
  </conditionalFormatting>
  <conditionalFormatting sqref="S278">
    <cfRule type="expression" dxfId="1624" priority="2841">
      <formula>S313&gt;S278</formula>
    </cfRule>
  </conditionalFormatting>
  <conditionalFormatting sqref="U277">
    <cfRule type="expression" dxfId="1623" priority="2837">
      <formula>(U278+U279)&gt;U277</formula>
    </cfRule>
  </conditionalFormatting>
  <conditionalFormatting sqref="U279">
    <cfRule type="expression" dxfId="1622" priority="2836">
      <formula>U280&gt;U279</formula>
    </cfRule>
  </conditionalFormatting>
  <conditionalFormatting sqref="U283">
    <cfRule type="expression" dxfId="1621" priority="2835">
      <formula>U284&gt;U283</formula>
    </cfRule>
  </conditionalFormatting>
  <conditionalFormatting sqref="U287">
    <cfRule type="expression" dxfId="1620" priority="2834">
      <formula>U288&gt;U287</formula>
    </cfRule>
  </conditionalFormatting>
  <conditionalFormatting sqref="U291">
    <cfRule type="expression" dxfId="1619" priority="2833">
      <formula>U292&gt;U291</formula>
    </cfRule>
  </conditionalFormatting>
  <conditionalFormatting sqref="U278">
    <cfRule type="expression" dxfId="1618" priority="2832">
      <formula>U313&gt;U278</formula>
    </cfRule>
  </conditionalFormatting>
  <conditionalFormatting sqref="W277">
    <cfRule type="expression" dxfId="1617" priority="2828">
      <formula>(W278+W279)&gt;W277</formula>
    </cfRule>
  </conditionalFormatting>
  <conditionalFormatting sqref="W279">
    <cfRule type="expression" dxfId="1616" priority="2827">
      <formula>W280&gt;W279</formula>
    </cfRule>
  </conditionalFormatting>
  <conditionalFormatting sqref="W283">
    <cfRule type="expression" dxfId="1615" priority="2826">
      <formula>W284&gt;W283</formula>
    </cfRule>
  </conditionalFormatting>
  <conditionalFormatting sqref="W287">
    <cfRule type="expression" dxfId="1614" priority="2825">
      <formula>W288&gt;W287</formula>
    </cfRule>
  </conditionalFormatting>
  <conditionalFormatting sqref="W291">
    <cfRule type="expression" dxfId="1613" priority="2824">
      <formula>W292&gt;W291</formula>
    </cfRule>
  </conditionalFormatting>
  <conditionalFormatting sqref="W278">
    <cfRule type="expression" dxfId="1612" priority="2823">
      <formula>W313&gt;W278</formula>
    </cfRule>
  </conditionalFormatting>
  <conditionalFormatting sqref="Y277">
    <cfRule type="expression" dxfId="1611" priority="2819">
      <formula>(Y278+Y279)&gt;Y277</formula>
    </cfRule>
  </conditionalFormatting>
  <conditionalFormatting sqref="Y279">
    <cfRule type="expression" dxfId="1610" priority="2818">
      <formula>Y280&gt;Y279</formula>
    </cfRule>
  </conditionalFormatting>
  <conditionalFormatting sqref="Y283">
    <cfRule type="expression" dxfId="1609" priority="2817">
      <formula>Y284&gt;Y283</formula>
    </cfRule>
  </conditionalFormatting>
  <conditionalFormatting sqref="Y287">
    <cfRule type="expression" dxfId="1608" priority="2816">
      <formula>Y288&gt;Y287</formula>
    </cfRule>
  </conditionalFormatting>
  <conditionalFormatting sqref="Y291">
    <cfRule type="expression" dxfId="1607" priority="2815">
      <formula>Y292&gt;Y291</formula>
    </cfRule>
  </conditionalFormatting>
  <conditionalFormatting sqref="Y278">
    <cfRule type="expression" dxfId="1606" priority="2814">
      <formula>Y313&gt;Y278</formula>
    </cfRule>
  </conditionalFormatting>
  <conditionalFormatting sqref="K324 M324 O324 Q324 S324 U324 W324 Y324">
    <cfRule type="expression" dxfId="1605" priority="2810">
      <formula>K324&gt;K341</formula>
    </cfRule>
  </conditionalFormatting>
  <conditionalFormatting sqref="D354:Y354 AB354:AG354">
    <cfRule type="expression" dxfId="1604" priority="2800">
      <formula>D354&lt;&gt;D341</formula>
    </cfRule>
  </conditionalFormatting>
  <conditionalFormatting sqref="F27:AA27">
    <cfRule type="expression" dxfId="1603" priority="2783">
      <formula>F28&gt;F27</formula>
    </cfRule>
  </conditionalFormatting>
  <conditionalFormatting sqref="F33:AA33">
    <cfRule type="expression" dxfId="1602" priority="2782">
      <formula>F34&gt;F33</formula>
    </cfRule>
  </conditionalFormatting>
  <conditionalFormatting sqref="F35:AA35">
    <cfRule type="expression" dxfId="1601" priority="2781">
      <formula>F36&gt;F35</formula>
    </cfRule>
  </conditionalFormatting>
  <conditionalFormatting sqref="F37">
    <cfRule type="expression" dxfId="1600" priority="2780">
      <formula>F38&gt;F37</formula>
    </cfRule>
  </conditionalFormatting>
  <conditionalFormatting sqref="G37">
    <cfRule type="expression" dxfId="1599" priority="2779">
      <formula>G38&gt;G37</formula>
    </cfRule>
  </conditionalFormatting>
  <conditionalFormatting sqref="F39:G39">
    <cfRule type="expression" dxfId="1598" priority="2778">
      <formula>F40&gt;F39</formula>
    </cfRule>
  </conditionalFormatting>
  <conditionalFormatting sqref="F41:AA41">
    <cfRule type="expression" dxfId="1597" priority="2777">
      <formula>F42&gt;F41</formula>
    </cfRule>
  </conditionalFormatting>
  <conditionalFormatting sqref="F43:AA43">
    <cfRule type="cellIs" dxfId="1596" priority="1290" operator="equal">
      <formula>0</formula>
    </cfRule>
    <cfRule type="expression" dxfId="1595" priority="2776">
      <formula>F44&gt;F43</formula>
    </cfRule>
  </conditionalFormatting>
  <conditionalFormatting sqref="F45:AA45">
    <cfRule type="expression" dxfId="1594" priority="2775">
      <formula>F46&gt;F45</formula>
    </cfRule>
  </conditionalFormatting>
  <conditionalFormatting sqref="L47:AA47">
    <cfRule type="expression" dxfId="1593" priority="2774">
      <formula>L48&gt;L47</formula>
    </cfRule>
  </conditionalFormatting>
  <conditionalFormatting sqref="L49">
    <cfRule type="expression" dxfId="1592" priority="2773">
      <formula>L50&gt;L49</formula>
    </cfRule>
  </conditionalFormatting>
  <conditionalFormatting sqref="N49">
    <cfRule type="expression" dxfId="1591" priority="2772">
      <formula>N50&gt;N49</formula>
    </cfRule>
  </conditionalFormatting>
  <conditionalFormatting sqref="P49">
    <cfRule type="expression" dxfId="1590" priority="2771">
      <formula>P50&gt;P49</formula>
    </cfRule>
  </conditionalFormatting>
  <conditionalFormatting sqref="R49">
    <cfRule type="expression" dxfId="1589" priority="2770">
      <formula>R50&gt;R49</formula>
    </cfRule>
  </conditionalFormatting>
  <conditionalFormatting sqref="T49">
    <cfRule type="expression" dxfId="1588" priority="2769">
      <formula>T50&gt;T49</formula>
    </cfRule>
  </conditionalFormatting>
  <conditionalFormatting sqref="V49">
    <cfRule type="expression" dxfId="1587" priority="2768">
      <formula>V50&gt;V49</formula>
    </cfRule>
  </conditionalFormatting>
  <conditionalFormatting sqref="X49">
    <cfRule type="expression" dxfId="1586" priority="2767">
      <formula>X50&gt;X49</formula>
    </cfRule>
  </conditionalFormatting>
  <conditionalFormatting sqref="Z49">
    <cfRule type="expression" dxfId="1585" priority="2766">
      <formula>Z50&gt;Z49</formula>
    </cfRule>
  </conditionalFormatting>
  <conditionalFormatting sqref="AK10 AK13 AK17:AK18">
    <cfRule type="notContainsBlanks" dxfId="1584" priority="2764">
      <formula>LEN(TRIM(AK10))&gt;0</formula>
    </cfRule>
  </conditionalFormatting>
  <conditionalFormatting sqref="AM8:AN8 AM9:AM18">
    <cfRule type="notContainsBlanks" dxfId="1583" priority="2763">
      <formula>LEN(TRIM(AM8))&gt;0</formula>
    </cfRule>
  </conditionalFormatting>
  <conditionalFormatting sqref="AL8">
    <cfRule type="notContainsBlanks" dxfId="1582" priority="3232">
      <formula>LEN(TRIM(AL8))&gt;0</formula>
    </cfRule>
  </conditionalFormatting>
  <conditionalFormatting sqref="Y281">
    <cfRule type="cellIs" dxfId="1581" priority="2751" operator="equal">
      <formula>0</formula>
    </cfRule>
  </conditionalFormatting>
  <conditionalFormatting sqref="W281">
    <cfRule type="cellIs" dxfId="1580" priority="2750" operator="equal">
      <formula>0</formula>
    </cfRule>
  </conditionalFormatting>
  <conditionalFormatting sqref="U281">
    <cfRule type="cellIs" dxfId="1579" priority="2749" operator="equal">
      <formula>0</formula>
    </cfRule>
  </conditionalFormatting>
  <conditionalFormatting sqref="S281">
    <cfRule type="cellIs" dxfId="1578" priority="2748" operator="equal">
      <formula>0</formula>
    </cfRule>
  </conditionalFormatting>
  <conditionalFormatting sqref="Q281">
    <cfRule type="cellIs" dxfId="1577" priority="2747" operator="equal">
      <formula>0</formula>
    </cfRule>
  </conditionalFormatting>
  <conditionalFormatting sqref="O281">
    <cfRule type="cellIs" dxfId="1576" priority="2746" operator="equal">
      <formula>0</formula>
    </cfRule>
  </conditionalFormatting>
  <conditionalFormatting sqref="M281">
    <cfRule type="cellIs" dxfId="1575" priority="2745" operator="equal">
      <formula>0</formula>
    </cfRule>
  </conditionalFormatting>
  <conditionalFormatting sqref="K281">
    <cfRule type="cellIs" dxfId="1574" priority="2744" operator="equal">
      <formula>0</formula>
    </cfRule>
  </conditionalFormatting>
  <conditionalFormatting sqref="B281">
    <cfRule type="cellIs" dxfId="1573" priority="2743" operator="equal">
      <formula>0</formula>
    </cfRule>
  </conditionalFormatting>
  <conditionalFormatting sqref="B282">
    <cfRule type="cellIs" dxfId="1572" priority="2742" operator="equal">
      <formula>0</formula>
    </cfRule>
  </conditionalFormatting>
  <conditionalFormatting sqref="K282">
    <cfRule type="cellIs" dxfId="1571" priority="2734" operator="equal">
      <formula>0</formula>
    </cfRule>
  </conditionalFormatting>
  <conditionalFormatting sqref="M282">
    <cfRule type="cellIs" dxfId="1570" priority="2733" operator="equal">
      <formula>0</formula>
    </cfRule>
  </conditionalFormatting>
  <conditionalFormatting sqref="O282">
    <cfRule type="cellIs" dxfId="1569" priority="2732" operator="equal">
      <formula>0</formula>
    </cfRule>
  </conditionalFormatting>
  <conditionalFormatting sqref="Q282">
    <cfRule type="cellIs" dxfId="1568" priority="2731" operator="equal">
      <formula>0</formula>
    </cfRule>
  </conditionalFormatting>
  <conditionalFormatting sqref="S282">
    <cfRule type="cellIs" dxfId="1567" priority="2730" operator="equal">
      <formula>0</formula>
    </cfRule>
  </conditionalFormatting>
  <conditionalFormatting sqref="U282">
    <cfRule type="cellIs" dxfId="1566" priority="2729" operator="equal">
      <formula>0</formula>
    </cfRule>
  </conditionalFormatting>
  <conditionalFormatting sqref="W282">
    <cfRule type="cellIs" dxfId="1565" priority="2728" operator="equal">
      <formula>0</formula>
    </cfRule>
  </conditionalFormatting>
  <conditionalFormatting sqref="Y282">
    <cfRule type="cellIs" dxfId="1564" priority="2727" operator="equal">
      <formula>0</formula>
    </cfRule>
  </conditionalFormatting>
  <conditionalFormatting sqref="K295">
    <cfRule type="expression" dxfId="1563" priority="3068">
      <formula>K324&gt;K295</formula>
    </cfRule>
  </conditionalFormatting>
  <conditionalFormatting sqref="K292">
    <cfRule type="expression" dxfId="1562" priority="1626">
      <formula>K327&gt;K294+K292</formula>
    </cfRule>
    <cfRule type="expression" dxfId="1561" priority="3069">
      <formula>K320&gt;K292</formula>
    </cfRule>
  </conditionalFormatting>
  <conditionalFormatting sqref="M281 O281 Q281 S281 U281 W281 Y281 K281">
    <cfRule type="expression" dxfId="1560" priority="3070">
      <formula>K318&gt;K281</formula>
    </cfRule>
  </conditionalFormatting>
  <conditionalFormatting sqref="K315">
    <cfRule type="cellIs" dxfId="1559" priority="2726" operator="equal">
      <formula>0</formula>
    </cfRule>
  </conditionalFormatting>
  <conditionalFormatting sqref="O315">
    <cfRule type="cellIs" dxfId="1558" priority="2717" operator="equal">
      <formula>0</formula>
    </cfRule>
  </conditionalFormatting>
  <conditionalFormatting sqref="M315">
    <cfRule type="cellIs" dxfId="1557" priority="2718" operator="equal">
      <formula>0</formula>
    </cfRule>
  </conditionalFormatting>
  <conditionalFormatting sqref="Q315">
    <cfRule type="cellIs" dxfId="1556" priority="2716" operator="equal">
      <formula>0</formula>
    </cfRule>
  </conditionalFormatting>
  <conditionalFormatting sqref="S315">
    <cfRule type="cellIs" dxfId="1555" priority="2715" operator="equal">
      <formula>0</formula>
    </cfRule>
  </conditionalFormatting>
  <conditionalFormatting sqref="U315">
    <cfRule type="cellIs" dxfId="1554" priority="2714" operator="equal">
      <formula>0</formula>
    </cfRule>
  </conditionalFormatting>
  <conditionalFormatting sqref="W315">
    <cfRule type="cellIs" dxfId="1553" priority="2713" operator="equal">
      <formula>0</formula>
    </cfRule>
  </conditionalFormatting>
  <conditionalFormatting sqref="Y315">
    <cfRule type="cellIs" dxfId="1552" priority="2712" operator="equal">
      <formula>0</formula>
    </cfRule>
  </conditionalFormatting>
  <conditionalFormatting sqref="B315">
    <cfRule type="cellIs" dxfId="1551" priority="2711" operator="equal">
      <formula>0</formula>
    </cfRule>
  </conditionalFormatting>
  <conditionalFormatting sqref="B303">
    <cfRule type="cellIs" dxfId="1550" priority="2710" operator="equal">
      <formula>0</formula>
    </cfRule>
  </conditionalFormatting>
  <conditionalFormatting sqref="B306">
    <cfRule type="cellIs" dxfId="1549" priority="2697" operator="equal">
      <formula>0</formula>
    </cfRule>
  </conditionalFormatting>
  <conditionalFormatting sqref="AK309">
    <cfRule type="notContainsBlanks" dxfId="1548" priority="2687">
      <formula>LEN(TRIM(AK309))&gt;0</formula>
    </cfRule>
  </conditionalFormatting>
  <conditionalFormatting sqref="AM309">
    <cfRule type="notContainsBlanks" dxfId="1547" priority="2686">
      <formula>LEN(TRIM(AM309))&gt;0</formula>
    </cfRule>
  </conditionalFormatting>
  <conditionalFormatting sqref="AJ309">
    <cfRule type="cellIs" dxfId="1546" priority="2685" operator="equal">
      <formula>0</formula>
    </cfRule>
  </conditionalFormatting>
  <conditionalFormatting sqref="B309">
    <cfRule type="cellIs" dxfId="1545" priority="2674" operator="equal">
      <formula>0</formula>
    </cfRule>
  </conditionalFormatting>
  <conditionalFormatting sqref="AK259">
    <cfRule type="notContainsBlanks" dxfId="1544" priority="2673">
      <formula>LEN(TRIM(AK259))&gt;0</formula>
    </cfRule>
  </conditionalFormatting>
  <conditionalFormatting sqref="AM259:AN259">
    <cfRule type="notContainsBlanks" dxfId="1543" priority="2672">
      <formula>LEN(TRIM(AM259))&gt;0</formula>
    </cfRule>
  </conditionalFormatting>
  <conditionalFormatting sqref="AL259">
    <cfRule type="notContainsBlanks" dxfId="1542" priority="3233">
      <formula>LEN(TRIM(AL259))&gt;0</formula>
    </cfRule>
  </conditionalFormatting>
  <conditionalFormatting sqref="AJ259">
    <cfRule type="cellIs" dxfId="1541" priority="2669" operator="equal">
      <formula>0</formula>
    </cfRule>
  </conditionalFormatting>
  <conditionalFormatting sqref="AK224:AK225 AK227 AK229:AK231">
    <cfRule type="notContainsBlanks" dxfId="1540" priority="2667">
      <formula>LEN(TRIM(AK224))&gt;0</formula>
    </cfRule>
  </conditionalFormatting>
  <conditionalFormatting sqref="AM224:AN231">
    <cfRule type="notContainsBlanks" dxfId="1539" priority="2666">
      <formula>LEN(TRIM(AM224))&gt;0</formula>
    </cfRule>
  </conditionalFormatting>
  <conditionalFormatting sqref="AJ224:AJ231">
    <cfRule type="cellIs" dxfId="1538" priority="2663" operator="equal">
      <formula>0</formula>
    </cfRule>
  </conditionalFormatting>
  <conditionalFormatting sqref="D223:AG223 AJ223">
    <cfRule type="cellIs" dxfId="1537" priority="2661" operator="equal">
      <formula>0</formula>
    </cfRule>
  </conditionalFormatting>
  <conditionalFormatting sqref="AM401 AM407:AM408">
    <cfRule type="notContainsBlanks" dxfId="1536" priority="2657">
      <formula>LEN(TRIM(AM401))&gt;0</formula>
    </cfRule>
  </conditionalFormatting>
  <conditionalFormatting sqref="AJ401">
    <cfRule type="cellIs" dxfId="1535" priority="2656" operator="equal">
      <formula>0</formula>
    </cfRule>
  </conditionalFormatting>
  <conditionalFormatting sqref="AK408">
    <cfRule type="notContainsBlanks" dxfId="1534" priority="2658">
      <formula>LEN(TRIM(AK408))&gt;0</formula>
    </cfRule>
  </conditionalFormatting>
  <conditionalFormatting sqref="AK402:AK404">
    <cfRule type="notContainsBlanks" dxfId="1533" priority="2655">
      <formula>LEN(TRIM(AK402))&gt;0</formula>
    </cfRule>
  </conditionalFormatting>
  <conditionalFormatting sqref="AM402:AM406">
    <cfRule type="notContainsBlanks" dxfId="1532" priority="2652">
      <formula>LEN(TRIM(AM402))&gt;0</formula>
    </cfRule>
  </conditionalFormatting>
  <conditionalFormatting sqref="F405:AA405 D402:AA402">
    <cfRule type="cellIs" dxfId="1531" priority="2650" operator="equal">
      <formula>0</formula>
    </cfRule>
  </conditionalFormatting>
  <conditionalFormatting sqref="AJ402:AJ411">
    <cfRule type="cellIs" dxfId="1530" priority="2649" operator="equal">
      <formula>0</formula>
    </cfRule>
  </conditionalFormatting>
  <conditionalFormatting sqref="B404">
    <cfRule type="cellIs" dxfId="1529" priority="2645" operator="equal">
      <formula>0</formula>
    </cfRule>
  </conditionalFormatting>
  <conditionalFormatting sqref="B406">
    <cfRule type="cellIs" dxfId="1528" priority="2644" operator="equal">
      <formula>0</formula>
    </cfRule>
  </conditionalFormatting>
  <conditionalFormatting sqref="F404:AA404">
    <cfRule type="cellIs" dxfId="1527" priority="2643" operator="equal">
      <formula>0</formula>
    </cfRule>
  </conditionalFormatting>
  <conditionalFormatting sqref="F406:AA406">
    <cfRule type="cellIs" dxfId="1526" priority="2641" operator="equal">
      <formula>0</formula>
    </cfRule>
  </conditionalFormatting>
  <conditionalFormatting sqref="AM410">
    <cfRule type="notContainsBlanks" dxfId="1525" priority="2639">
      <formula>LEN(TRIM(AM410))&gt;0</formula>
    </cfRule>
  </conditionalFormatting>
  <conditionalFormatting sqref="AM411">
    <cfRule type="notContainsBlanks" dxfId="1524" priority="2635">
      <formula>LEN(TRIM(AM411))&gt;0</formula>
    </cfRule>
  </conditionalFormatting>
  <conditionalFormatting sqref="F408:AA408">
    <cfRule type="cellIs" dxfId="1523" priority="2632" operator="equal">
      <formula>0</formula>
    </cfRule>
  </conditionalFormatting>
  <conditionalFormatting sqref="B408">
    <cfRule type="cellIs" dxfId="1522" priority="2631" operator="equal">
      <formula>0</formula>
    </cfRule>
  </conditionalFormatting>
  <conditionalFormatting sqref="B411">
    <cfRule type="cellIs" dxfId="1521" priority="2630" operator="equal">
      <formula>0</formula>
    </cfRule>
  </conditionalFormatting>
  <conditionalFormatting sqref="F411:AA411">
    <cfRule type="cellIs" dxfId="1520" priority="2629" operator="equal">
      <formula>0</formula>
    </cfRule>
  </conditionalFormatting>
  <conditionalFormatting sqref="J126:AA126">
    <cfRule type="expression" dxfId="1519" priority="3088">
      <formula>J126&gt;J123</formula>
    </cfRule>
  </conditionalFormatting>
  <conditionalFormatting sqref="D361:AA361">
    <cfRule type="expression" dxfId="1518" priority="3091">
      <formula>D361&gt;D341</formula>
    </cfRule>
  </conditionalFormatting>
  <conditionalFormatting sqref="D361:AA361">
    <cfRule type="expression" dxfId="1517" priority="3093">
      <formula>(D341*0.7)&gt;D361</formula>
    </cfRule>
  </conditionalFormatting>
  <conditionalFormatting sqref="D340:Y340 AB340:AG340">
    <cfRule type="cellIs" dxfId="1516" priority="2626" operator="equal">
      <formula>0</formula>
    </cfRule>
  </conditionalFormatting>
  <conditionalFormatting sqref="AJ340">
    <cfRule type="cellIs" dxfId="1515" priority="2625" operator="equal">
      <formula>0</formula>
    </cfRule>
  </conditionalFormatting>
  <conditionalFormatting sqref="D331:AI331">
    <cfRule type="cellIs" dxfId="1514" priority="2622" operator="equal">
      <formula>0</formula>
    </cfRule>
  </conditionalFormatting>
  <conditionalFormatting sqref="D331:AI331">
    <cfRule type="cellIs" dxfId="1513" priority="2621" operator="equal">
      <formula>0</formula>
    </cfRule>
  </conditionalFormatting>
  <conditionalFormatting sqref="J139:AA139">
    <cfRule type="cellIs" dxfId="1512" priority="2617" operator="equal">
      <formula>0</formula>
    </cfRule>
  </conditionalFormatting>
  <conditionalFormatting sqref="B139">
    <cfRule type="cellIs" dxfId="1511" priority="2620" operator="equal">
      <formula>0</formula>
    </cfRule>
  </conditionalFormatting>
  <conditionalFormatting sqref="J139:AA139">
    <cfRule type="cellIs" dxfId="1510" priority="2618" operator="equal">
      <formula>0</formula>
    </cfRule>
  </conditionalFormatting>
  <conditionalFormatting sqref="J139:AA139">
    <cfRule type="expression" dxfId="1509" priority="2619">
      <formula>J178&gt;J139</formula>
    </cfRule>
  </conditionalFormatting>
  <conditionalFormatting sqref="B127">
    <cfRule type="cellIs" dxfId="1508" priority="2616" operator="equal">
      <formula>0</formula>
    </cfRule>
  </conditionalFormatting>
  <conditionalFormatting sqref="AK358">
    <cfRule type="notContainsBlanks" dxfId="1507" priority="2581">
      <formula>LEN(TRIM(AK358))&gt;0</formula>
    </cfRule>
  </conditionalFormatting>
  <conditionalFormatting sqref="AM358">
    <cfRule type="notContainsBlanks" dxfId="1506" priority="2580">
      <formula>LEN(TRIM(AM358))&gt;0</formula>
    </cfRule>
  </conditionalFormatting>
  <conditionalFormatting sqref="AK357:AK358">
    <cfRule type="notContainsBlanks" dxfId="1505" priority="2577">
      <formula>LEN(TRIM(AK357))&gt;0</formula>
    </cfRule>
  </conditionalFormatting>
  <conditionalFormatting sqref="AM356:AM358">
    <cfRule type="notContainsBlanks" dxfId="1504" priority="2576">
      <formula>LEN(TRIM(AM356))&gt;0</formula>
    </cfRule>
  </conditionalFormatting>
  <conditionalFormatting sqref="AM369">
    <cfRule type="notContainsBlanks" dxfId="1503" priority="2564">
      <formula>LEN(TRIM(AM369))&gt;0</formula>
    </cfRule>
  </conditionalFormatting>
  <conditionalFormatting sqref="AJ369">
    <cfRule type="cellIs" dxfId="1502" priority="2563" operator="equal">
      <formula>0</formula>
    </cfRule>
  </conditionalFormatting>
  <conditionalFormatting sqref="AM366">
    <cfRule type="notContainsBlanks" dxfId="1501" priority="2568">
      <formula>LEN(TRIM(AM366))&gt;0</formula>
    </cfRule>
  </conditionalFormatting>
  <conditionalFormatting sqref="AK368 AK370">
    <cfRule type="notContainsBlanks" dxfId="1500" priority="2561">
      <formula>LEN(TRIM(AK368))&gt;0</formula>
    </cfRule>
  </conditionalFormatting>
  <conditionalFormatting sqref="AM368:AM370">
    <cfRule type="notContainsBlanks" dxfId="1499" priority="2560">
      <formula>LEN(TRIM(AM368))&gt;0</formula>
    </cfRule>
  </conditionalFormatting>
  <conditionalFormatting sqref="AJ368:AJ369">
    <cfRule type="cellIs" dxfId="1498" priority="2559" operator="equal">
      <formula>0</formula>
    </cfRule>
  </conditionalFormatting>
  <conditionalFormatting sqref="D358:AA358">
    <cfRule type="cellIs" dxfId="1497" priority="2555" operator="equal">
      <formula>0</formula>
    </cfRule>
  </conditionalFormatting>
  <conditionalFormatting sqref="D358:AA358">
    <cfRule type="cellIs" dxfId="1496" priority="2554" operator="equal">
      <formula>0</formula>
    </cfRule>
  </conditionalFormatting>
  <conditionalFormatting sqref="D358:AA358">
    <cfRule type="cellIs" dxfId="1495" priority="2553" operator="equal">
      <formula>0</formula>
    </cfRule>
  </conditionalFormatting>
  <conditionalFormatting sqref="AK359:AK364">
    <cfRule type="notContainsBlanks" dxfId="1494" priority="2549">
      <formula>LEN(TRIM(AK359))&gt;0</formula>
    </cfRule>
  </conditionalFormatting>
  <conditionalFormatting sqref="AM359:AM365">
    <cfRule type="notContainsBlanks" dxfId="1493" priority="2548">
      <formula>LEN(TRIM(AM359))&gt;0</formula>
    </cfRule>
  </conditionalFormatting>
  <conditionalFormatting sqref="AK367">
    <cfRule type="notContainsBlanks" dxfId="1492" priority="2540">
      <formula>LEN(TRIM(AK367))&gt;0</formula>
    </cfRule>
  </conditionalFormatting>
  <conditionalFormatting sqref="AM367">
    <cfRule type="notContainsBlanks" dxfId="1491" priority="2539">
      <formula>LEN(TRIM(AM367))&gt;0</formula>
    </cfRule>
  </conditionalFormatting>
  <conditionalFormatting sqref="AJ367">
    <cfRule type="cellIs" dxfId="1490" priority="2538" operator="equal">
      <formula>0</formula>
    </cfRule>
  </conditionalFormatting>
  <conditionalFormatting sqref="D369:AI369">
    <cfRule type="cellIs" dxfId="1489" priority="2536" operator="equal">
      <formula>0</formula>
    </cfRule>
  </conditionalFormatting>
  <conditionalFormatting sqref="D369:AI369">
    <cfRule type="cellIs" dxfId="1488" priority="2535" operator="equal">
      <formula>0</formula>
    </cfRule>
  </conditionalFormatting>
  <conditionalFormatting sqref="D369:AI369">
    <cfRule type="cellIs" dxfId="1487" priority="2534" operator="equal">
      <formula>0</formula>
    </cfRule>
  </conditionalFormatting>
  <conditionalFormatting sqref="AK371">
    <cfRule type="notContainsBlanks" dxfId="1486" priority="2529">
      <formula>LEN(TRIM(AK371))&gt;0</formula>
    </cfRule>
  </conditionalFormatting>
  <conditionalFormatting sqref="AM371">
    <cfRule type="notContainsBlanks" dxfId="1485" priority="2528">
      <formula>LEN(TRIM(AM371))&gt;0</formula>
    </cfRule>
  </conditionalFormatting>
  <conditionalFormatting sqref="D371:AA371">
    <cfRule type="cellIs" dxfId="1484" priority="2527" operator="equal">
      <formula>0</formula>
    </cfRule>
  </conditionalFormatting>
  <conditionalFormatting sqref="AJ371">
    <cfRule type="cellIs" dxfId="1483" priority="2526" operator="equal">
      <formula>0</formula>
    </cfRule>
  </conditionalFormatting>
  <conditionalFormatting sqref="D371:AA371">
    <cfRule type="cellIs" dxfId="1482" priority="2525" operator="equal">
      <formula>0</formula>
    </cfRule>
  </conditionalFormatting>
  <conditionalFormatting sqref="AK372">
    <cfRule type="notContainsBlanks" dxfId="1481" priority="2523">
      <formula>LEN(TRIM(AK372))&gt;0</formula>
    </cfRule>
  </conditionalFormatting>
  <conditionalFormatting sqref="AM372">
    <cfRule type="notContainsBlanks" dxfId="1480" priority="2522">
      <formula>LEN(TRIM(AM372))&gt;0</formula>
    </cfRule>
  </conditionalFormatting>
  <conditionalFormatting sqref="AJ372:AJ377">
    <cfRule type="cellIs" dxfId="1479" priority="2521" operator="equal">
      <formula>0</formula>
    </cfRule>
  </conditionalFormatting>
  <conditionalFormatting sqref="AK377">
    <cfRule type="notContainsBlanks" dxfId="1478" priority="2513">
      <formula>LEN(TRIM(AK377))&gt;0</formula>
    </cfRule>
  </conditionalFormatting>
  <conditionalFormatting sqref="AM377">
    <cfRule type="notContainsBlanks" dxfId="1477" priority="2512">
      <formula>LEN(TRIM(AM377))&gt;0</formula>
    </cfRule>
  </conditionalFormatting>
  <conditionalFormatting sqref="AK376">
    <cfRule type="notContainsBlanks" dxfId="1476" priority="2516">
      <formula>LEN(TRIM(AK376))&gt;0</formula>
    </cfRule>
  </conditionalFormatting>
  <conditionalFormatting sqref="AM376">
    <cfRule type="notContainsBlanks" dxfId="1475" priority="2515">
      <formula>LEN(TRIM(AM376))&gt;0</formula>
    </cfRule>
  </conditionalFormatting>
  <conditionalFormatting sqref="D370:AG370 AJ370">
    <cfRule type="cellIs" dxfId="1474" priority="2485" operator="equal">
      <formula>0</formula>
    </cfRule>
  </conditionalFormatting>
  <conditionalFormatting sqref="D370:AG370 AJ370">
    <cfRule type="cellIs" dxfId="1473" priority="2484" operator="equal">
      <formula>0</formula>
    </cfRule>
  </conditionalFormatting>
  <conditionalFormatting sqref="D370:AG370 AJ370">
    <cfRule type="cellIs" dxfId="1472" priority="2483" operator="equal">
      <formula>0</formula>
    </cfRule>
  </conditionalFormatting>
  <conditionalFormatting sqref="AK8">
    <cfRule type="notContainsBlanks" dxfId="1471" priority="2476">
      <formula>LEN(TRIM(AK8))&gt;0</formula>
    </cfRule>
  </conditionalFormatting>
  <conditionalFormatting sqref="AK9">
    <cfRule type="notContainsBlanks" dxfId="1470" priority="2475">
      <formula>LEN(TRIM(AK9))&gt;0</formula>
    </cfRule>
  </conditionalFormatting>
  <conditionalFormatting sqref="J123:AA123">
    <cfRule type="expression" dxfId="1469" priority="2474">
      <formula>J126&gt;J123</formula>
    </cfRule>
  </conditionalFormatting>
  <conditionalFormatting sqref="J125:AA125">
    <cfRule type="expression" dxfId="1468" priority="2473">
      <formula>J125&gt;J124</formula>
    </cfRule>
  </conditionalFormatting>
  <conditionalFormatting sqref="J124:AA124">
    <cfRule type="expression" dxfId="1467" priority="2472">
      <formula>J125&gt;J124</formula>
    </cfRule>
  </conditionalFormatting>
  <conditionalFormatting sqref="AK124">
    <cfRule type="notContainsBlanks" dxfId="1466" priority="2471">
      <formula>LEN(TRIM(AK124))&gt;0</formula>
    </cfRule>
  </conditionalFormatting>
  <conditionalFormatting sqref="AK139">
    <cfRule type="notContainsBlanks" dxfId="1465" priority="2468">
      <formula>LEN(TRIM(AK139))&gt;0</formula>
    </cfRule>
  </conditionalFormatting>
  <conditionalFormatting sqref="J126:AA126">
    <cfRule type="expression" dxfId="1464" priority="2467">
      <formula>J127&gt;J126</formula>
    </cfRule>
  </conditionalFormatting>
  <conditionalFormatting sqref="D341:Y341 AB341:AG341 AJ341">
    <cfRule type="expression" dxfId="1463" priority="2466">
      <formula>D340&gt;D341</formula>
    </cfRule>
  </conditionalFormatting>
  <conditionalFormatting sqref="AK137:AK138">
    <cfRule type="notContainsBlanks" dxfId="1462" priority="2464">
      <formula>LEN(TRIM(AK137))&gt;0</formula>
    </cfRule>
  </conditionalFormatting>
  <conditionalFormatting sqref="J139:AA139">
    <cfRule type="expression" dxfId="1461" priority="2460">
      <formula>J134&gt;J139</formula>
    </cfRule>
  </conditionalFormatting>
  <conditionalFormatting sqref="AK134">
    <cfRule type="notContainsBlanks" dxfId="1460" priority="2459">
      <formula>LEN(TRIM(AK134))&gt;0</formula>
    </cfRule>
  </conditionalFormatting>
  <conditionalFormatting sqref="J147:AA147">
    <cfRule type="expression" dxfId="1459" priority="2458">
      <formula>J147&gt;J146</formula>
    </cfRule>
  </conditionalFormatting>
  <conditionalFormatting sqref="J146:AA146">
    <cfRule type="expression" dxfId="1458" priority="2457">
      <formula>J147&gt;J146</formula>
    </cfRule>
  </conditionalFormatting>
  <conditionalFormatting sqref="J139:AA139">
    <cfRule type="expression" dxfId="1457" priority="2455">
      <formula>(J146+J147+J148)&gt;J139</formula>
    </cfRule>
  </conditionalFormatting>
  <conditionalFormatting sqref="J148:AA148 K149 M149 O149 Q149 S149 U149 W149 Y149 AA149">
    <cfRule type="expression" dxfId="1456" priority="2454">
      <formula>(J146+J147+J148)&gt;J139</formula>
    </cfRule>
  </conditionalFormatting>
  <conditionalFormatting sqref="D169:AA169 J413:AG413">
    <cfRule type="expression" dxfId="1455" priority="2453">
      <formula>D169&gt;D167</formula>
    </cfRule>
  </conditionalFormatting>
  <conditionalFormatting sqref="D170:AA170">
    <cfRule type="expression" dxfId="1454" priority="2452">
      <formula>D170&gt;D168</formula>
    </cfRule>
  </conditionalFormatting>
  <conditionalFormatting sqref="M277">
    <cfRule type="expression" dxfId="1453" priority="2447">
      <formula>(M278+M279)&gt;M277</formula>
    </cfRule>
  </conditionalFormatting>
  <conditionalFormatting sqref="O277">
    <cfRule type="expression" dxfId="1452" priority="2446">
      <formula>(O278+O279)&gt;O277</formula>
    </cfRule>
  </conditionalFormatting>
  <conditionalFormatting sqref="Q277">
    <cfRule type="expression" dxfId="1451" priority="2445">
      <formula>(Q278+Q279)&gt;Q277</formula>
    </cfRule>
  </conditionalFormatting>
  <conditionalFormatting sqref="U277">
    <cfRule type="expression" dxfId="1450" priority="2444">
      <formula>(U278+U279)&gt;U277</formula>
    </cfRule>
  </conditionalFormatting>
  <conditionalFormatting sqref="W277">
    <cfRule type="expression" dxfId="1449" priority="2443">
      <formula>(W278+W279)&gt;W277</formula>
    </cfRule>
  </conditionalFormatting>
  <conditionalFormatting sqref="Y277">
    <cfRule type="expression" dxfId="1448" priority="2442">
      <formula>(Y278+Y279)&gt;Y277</formula>
    </cfRule>
  </conditionalFormatting>
  <conditionalFormatting sqref="M278">
    <cfRule type="expression" dxfId="1447" priority="2439">
      <formula>M278&gt;M277</formula>
    </cfRule>
    <cfRule type="expression" dxfId="1446" priority="2440">
      <formula>M313&gt;M278</formula>
    </cfRule>
  </conditionalFormatting>
  <conditionalFormatting sqref="O278">
    <cfRule type="expression" dxfId="1445" priority="2437">
      <formula>O278&gt;O277</formula>
    </cfRule>
    <cfRule type="expression" dxfId="1444" priority="2438">
      <formula>O313&gt;O278</formula>
    </cfRule>
  </conditionalFormatting>
  <conditionalFormatting sqref="Q278">
    <cfRule type="expression" dxfId="1443" priority="2435">
      <formula>Q278&gt;Q277</formula>
    </cfRule>
    <cfRule type="expression" dxfId="1442" priority="2436">
      <formula>Q313&gt;Q278</formula>
    </cfRule>
  </conditionalFormatting>
  <conditionalFormatting sqref="S278">
    <cfRule type="expression" dxfId="1441" priority="2433">
      <formula>S278&gt;S277</formula>
    </cfRule>
    <cfRule type="expression" dxfId="1440" priority="2434">
      <formula>S313&gt;S278</formula>
    </cfRule>
  </conditionalFormatting>
  <conditionalFormatting sqref="U278">
    <cfRule type="expression" dxfId="1439" priority="2431">
      <formula>U278&gt;U277</formula>
    </cfRule>
    <cfRule type="expression" dxfId="1438" priority="2432">
      <formula>U313&gt;U278</formula>
    </cfRule>
  </conditionalFormatting>
  <conditionalFormatting sqref="W278">
    <cfRule type="expression" dxfId="1437" priority="2429">
      <formula>W278&gt;W277</formula>
    </cfRule>
    <cfRule type="expression" dxfId="1436" priority="2430">
      <formula>W313&gt;W278</formula>
    </cfRule>
  </conditionalFormatting>
  <conditionalFormatting sqref="Y278">
    <cfRule type="expression" dxfId="1435" priority="2427">
      <formula>Y278&gt;Y277</formula>
    </cfRule>
    <cfRule type="expression" dxfId="1434" priority="2428">
      <formula>Y313&gt;Y278</formula>
    </cfRule>
  </conditionalFormatting>
  <conditionalFormatting sqref="K280">
    <cfRule type="expression" dxfId="1433" priority="2426">
      <formula>K280&gt;K279</formula>
    </cfRule>
  </conditionalFormatting>
  <conditionalFormatting sqref="M280">
    <cfRule type="expression" dxfId="1432" priority="2425">
      <formula>M280&gt;M279</formula>
    </cfRule>
  </conditionalFormatting>
  <conditionalFormatting sqref="O280">
    <cfRule type="expression" dxfId="1431" priority="2424">
      <formula>O280&gt;O279</formula>
    </cfRule>
  </conditionalFormatting>
  <conditionalFormatting sqref="Q280">
    <cfRule type="expression" dxfId="1430" priority="2423">
      <formula>Q280&gt;Q279</formula>
    </cfRule>
  </conditionalFormatting>
  <conditionalFormatting sqref="S280">
    <cfRule type="expression" dxfId="1429" priority="2422">
      <formula>S280&gt;S279</formula>
    </cfRule>
  </conditionalFormatting>
  <conditionalFormatting sqref="U280">
    <cfRule type="expression" dxfId="1428" priority="2421">
      <formula>U280&gt;U279</formula>
    </cfRule>
  </conditionalFormatting>
  <conditionalFormatting sqref="W280">
    <cfRule type="expression" dxfId="1427" priority="2420">
      <formula>W280&gt;W279</formula>
    </cfRule>
  </conditionalFormatting>
  <conditionalFormatting sqref="Y280">
    <cfRule type="expression" dxfId="1426" priority="2419">
      <formula>Y280&gt;Y279</formula>
    </cfRule>
  </conditionalFormatting>
  <conditionalFormatting sqref="K284">
    <cfRule type="expression" dxfId="1425" priority="2247">
      <formula>K316&lt;&gt;K284</formula>
    </cfRule>
    <cfRule type="expression" dxfId="1424" priority="2418">
      <formula>K284&gt;K283</formula>
    </cfRule>
  </conditionalFormatting>
  <conditionalFormatting sqref="M284">
    <cfRule type="expression" dxfId="1423" priority="2417">
      <formula>M284&gt;M283</formula>
    </cfRule>
  </conditionalFormatting>
  <conditionalFormatting sqref="O284">
    <cfRule type="expression" dxfId="1422" priority="2416">
      <formula>O284&gt;O283</formula>
    </cfRule>
  </conditionalFormatting>
  <conditionalFormatting sqref="Q284">
    <cfRule type="expression" dxfId="1421" priority="2415">
      <formula>Q284&gt;Q283</formula>
    </cfRule>
  </conditionalFormatting>
  <conditionalFormatting sqref="S284">
    <cfRule type="expression" dxfId="1420" priority="2414">
      <formula>S284&gt;S283</formula>
    </cfRule>
  </conditionalFormatting>
  <conditionalFormatting sqref="U284">
    <cfRule type="expression" dxfId="1419" priority="2413">
      <formula>U284&gt;U283</formula>
    </cfRule>
  </conditionalFormatting>
  <conditionalFormatting sqref="W284">
    <cfRule type="expression" dxfId="1418" priority="2412">
      <formula>W284&gt;W283</formula>
    </cfRule>
  </conditionalFormatting>
  <conditionalFormatting sqref="Y284">
    <cfRule type="expression" dxfId="1417" priority="2411">
      <formula>Y284&gt;Y283</formula>
    </cfRule>
  </conditionalFormatting>
  <conditionalFormatting sqref="AK285">
    <cfRule type="notContainsBlanks" dxfId="1416" priority="2410">
      <formula>LEN(TRIM(AK285))&gt;0</formula>
    </cfRule>
  </conditionalFormatting>
  <conditionalFormatting sqref="K285">
    <cfRule type="expression" dxfId="1415" priority="2409">
      <formula>K286&gt;K285</formula>
    </cfRule>
  </conditionalFormatting>
  <conditionalFormatting sqref="K286">
    <cfRule type="expression" dxfId="1414" priority="2188">
      <formula>K317&lt;&gt;K286</formula>
    </cfRule>
    <cfRule type="expression" dxfId="1413" priority="2408">
      <formula>K286&gt;K285</formula>
    </cfRule>
  </conditionalFormatting>
  <conditionalFormatting sqref="M285">
    <cfRule type="expression" dxfId="1412" priority="2407">
      <formula>M286&gt;M285</formula>
    </cfRule>
  </conditionalFormatting>
  <conditionalFormatting sqref="M286">
    <cfRule type="expression" dxfId="1411" priority="2406">
      <formula>M286&gt;M285</formula>
    </cfRule>
  </conditionalFormatting>
  <conditionalFormatting sqref="O285">
    <cfRule type="expression" dxfId="1410" priority="2405">
      <formula>O286&gt;O285</formula>
    </cfRule>
  </conditionalFormatting>
  <conditionalFormatting sqref="O286">
    <cfRule type="expression" dxfId="1409" priority="2404">
      <formula>O286&gt;O285</formula>
    </cfRule>
  </conditionalFormatting>
  <conditionalFormatting sqref="Q285">
    <cfRule type="expression" dxfId="1408" priority="2403">
      <formula>Q286&gt;Q285</formula>
    </cfRule>
  </conditionalFormatting>
  <conditionalFormatting sqref="Q286">
    <cfRule type="expression" dxfId="1407" priority="2402">
      <formula>Q286&gt;Q285</formula>
    </cfRule>
  </conditionalFormatting>
  <conditionalFormatting sqref="S285">
    <cfRule type="expression" dxfId="1406" priority="2401">
      <formula>S286&gt;S285</formula>
    </cfRule>
  </conditionalFormatting>
  <conditionalFormatting sqref="S286">
    <cfRule type="expression" dxfId="1405" priority="2400">
      <formula>S286&gt;S285</formula>
    </cfRule>
  </conditionalFormatting>
  <conditionalFormatting sqref="U285">
    <cfRule type="expression" dxfId="1404" priority="2399">
      <formula>U286&gt;U285</formula>
    </cfRule>
  </conditionalFormatting>
  <conditionalFormatting sqref="U286">
    <cfRule type="expression" dxfId="1403" priority="2398">
      <formula>U286&gt;U285</formula>
    </cfRule>
  </conditionalFormatting>
  <conditionalFormatting sqref="W285">
    <cfRule type="expression" dxfId="1402" priority="2397">
      <formula>W286&gt;W285</formula>
    </cfRule>
  </conditionalFormatting>
  <conditionalFormatting sqref="W286">
    <cfRule type="expression" dxfId="1401" priority="2396">
      <formula>W286&gt;W285</formula>
    </cfRule>
  </conditionalFormatting>
  <conditionalFormatting sqref="Y285">
    <cfRule type="expression" dxfId="1400" priority="2395">
      <formula>Y286&gt;Y285</formula>
    </cfRule>
  </conditionalFormatting>
  <conditionalFormatting sqref="Y286">
    <cfRule type="expression" dxfId="1399" priority="2394">
      <formula>Y286&gt;Y285</formula>
    </cfRule>
  </conditionalFormatting>
  <conditionalFormatting sqref="AK289">
    <cfRule type="notContainsBlanks" dxfId="1398" priority="2393">
      <formula>LEN(TRIM(AK289))&gt;0</formula>
    </cfRule>
  </conditionalFormatting>
  <conditionalFormatting sqref="K290">
    <cfRule type="expression" dxfId="1397" priority="2392">
      <formula>K290&gt;K289</formula>
    </cfRule>
  </conditionalFormatting>
  <conditionalFormatting sqref="M290">
    <cfRule type="expression" dxfId="1396" priority="2390">
      <formula>M290&gt;M289</formula>
    </cfRule>
  </conditionalFormatting>
  <conditionalFormatting sqref="M289">
    <cfRule type="expression" dxfId="1395" priority="2389">
      <formula>M290&gt;M289</formula>
    </cfRule>
  </conditionalFormatting>
  <conditionalFormatting sqref="O290">
    <cfRule type="expression" dxfId="1394" priority="2388">
      <formula>O290&gt;O289</formula>
    </cfRule>
  </conditionalFormatting>
  <conditionalFormatting sqref="O289">
    <cfRule type="expression" dxfId="1393" priority="2387">
      <formula>O290&gt;O289</formula>
    </cfRule>
  </conditionalFormatting>
  <conditionalFormatting sqref="Q290">
    <cfRule type="expression" dxfId="1392" priority="2386">
      <formula>Q290&gt;Q289</formula>
    </cfRule>
  </conditionalFormatting>
  <conditionalFormatting sqref="Q289">
    <cfRule type="expression" dxfId="1391" priority="2385">
      <formula>Q290&gt;Q289</formula>
    </cfRule>
  </conditionalFormatting>
  <conditionalFormatting sqref="S290">
    <cfRule type="expression" dxfId="1390" priority="2384">
      <formula>S290&gt;S289</formula>
    </cfRule>
  </conditionalFormatting>
  <conditionalFormatting sqref="S289">
    <cfRule type="expression" dxfId="1389" priority="2383">
      <formula>S290&gt;S289</formula>
    </cfRule>
  </conditionalFormatting>
  <conditionalFormatting sqref="U290">
    <cfRule type="expression" dxfId="1388" priority="2382">
      <formula>U290&gt;U289</formula>
    </cfRule>
  </conditionalFormatting>
  <conditionalFormatting sqref="U289">
    <cfRule type="expression" dxfId="1387" priority="2381">
      <formula>U290&gt;U289</formula>
    </cfRule>
  </conditionalFormatting>
  <conditionalFormatting sqref="W290">
    <cfRule type="expression" dxfId="1386" priority="2380">
      <formula>W290&gt;W289</formula>
    </cfRule>
  </conditionalFormatting>
  <conditionalFormatting sqref="W289">
    <cfRule type="expression" dxfId="1385" priority="2379">
      <formula>W290&gt;W289</formula>
    </cfRule>
  </conditionalFormatting>
  <conditionalFormatting sqref="Y290">
    <cfRule type="expression" dxfId="1384" priority="2378">
      <formula>Y290&gt;Y289</formula>
    </cfRule>
  </conditionalFormatting>
  <conditionalFormatting sqref="Y289">
    <cfRule type="expression" dxfId="1383" priority="2377">
      <formula>Y290&gt;Y289</formula>
    </cfRule>
  </conditionalFormatting>
  <conditionalFormatting sqref="Q291">
    <cfRule type="expression" dxfId="1382" priority="2375">
      <formula>Q292&gt;Q291</formula>
    </cfRule>
  </conditionalFormatting>
  <conditionalFormatting sqref="Q291">
    <cfRule type="expression" dxfId="1381" priority="2374">
      <formula>Q292&gt;Q291</formula>
    </cfRule>
  </conditionalFormatting>
  <conditionalFormatting sqref="S291">
    <cfRule type="expression" dxfId="1380" priority="2373">
      <formula>S292&gt;S291</formula>
    </cfRule>
  </conditionalFormatting>
  <conditionalFormatting sqref="S291">
    <cfRule type="expression" dxfId="1379" priority="2372">
      <formula>S292&gt;S291</formula>
    </cfRule>
  </conditionalFormatting>
  <conditionalFormatting sqref="U291">
    <cfRule type="expression" dxfId="1378" priority="2371">
      <formula>U292&gt;U291</formula>
    </cfRule>
  </conditionalFormatting>
  <conditionalFormatting sqref="U291">
    <cfRule type="expression" dxfId="1377" priority="2370">
      <formula>U292&gt;U291</formula>
    </cfRule>
  </conditionalFormatting>
  <conditionalFormatting sqref="W291">
    <cfRule type="expression" dxfId="1376" priority="2369">
      <formula>W292&gt;W291</formula>
    </cfRule>
  </conditionalFormatting>
  <conditionalFormatting sqref="W291">
    <cfRule type="expression" dxfId="1375" priority="2368">
      <formula>W292&gt;W291</formula>
    </cfRule>
  </conditionalFormatting>
  <conditionalFormatting sqref="Y291">
    <cfRule type="expression" dxfId="1374" priority="2367">
      <formula>Y292&gt;Y291</formula>
    </cfRule>
  </conditionalFormatting>
  <conditionalFormatting sqref="Y291">
    <cfRule type="expression" dxfId="1373" priority="2366">
      <formula>Y292&gt;Y291</formula>
    </cfRule>
  </conditionalFormatting>
  <conditionalFormatting sqref="K292">
    <cfRule type="expression" dxfId="1372" priority="2365">
      <formula>K320&gt;K292</formula>
    </cfRule>
  </conditionalFormatting>
  <conditionalFormatting sqref="K292">
    <cfRule type="expression" dxfId="1371" priority="2364">
      <formula>K292&gt;K291</formula>
    </cfRule>
  </conditionalFormatting>
  <conditionalFormatting sqref="K293">
    <cfRule type="expression" dxfId="1370" priority="2356">
      <formula>K294&gt;K293</formula>
    </cfRule>
  </conditionalFormatting>
  <conditionalFormatting sqref="M293">
    <cfRule type="expression" dxfId="1369" priority="2352">
      <formula>M294&gt;M293</formula>
    </cfRule>
  </conditionalFormatting>
  <conditionalFormatting sqref="O293">
    <cfRule type="expression" dxfId="1368" priority="2348">
      <formula>O294&gt;O293</formula>
    </cfRule>
  </conditionalFormatting>
  <conditionalFormatting sqref="Q293">
    <cfRule type="expression" dxfId="1367" priority="2344">
      <formula>Q294&gt;Q293</formula>
    </cfRule>
  </conditionalFormatting>
  <conditionalFormatting sqref="S293">
    <cfRule type="expression" dxfId="1366" priority="2340">
      <formula>S294&gt;S293</formula>
    </cfRule>
  </conditionalFormatting>
  <conditionalFormatting sqref="U293">
    <cfRule type="expression" dxfId="1365" priority="2336">
      <formula>U294&gt;U293</formula>
    </cfRule>
  </conditionalFormatting>
  <conditionalFormatting sqref="W293">
    <cfRule type="expression" dxfId="1364" priority="2332">
      <formula>W294&gt;W293</formula>
    </cfRule>
  </conditionalFormatting>
  <conditionalFormatting sqref="Y293">
    <cfRule type="expression" dxfId="1363" priority="2328">
      <formula>Y294&gt;Y293</formula>
    </cfRule>
  </conditionalFormatting>
  <conditionalFormatting sqref="K295">
    <cfRule type="expression" dxfId="1362" priority="2324">
      <formula>K296&gt;K295</formula>
    </cfRule>
  </conditionalFormatting>
  <conditionalFormatting sqref="M295">
    <cfRule type="expression" dxfId="1361" priority="2320">
      <formula>M296&gt;M295</formula>
    </cfRule>
  </conditionalFormatting>
  <conditionalFormatting sqref="O295">
    <cfRule type="expression" dxfId="1360" priority="2316">
      <formula>O296&gt;O295</formula>
    </cfRule>
  </conditionalFormatting>
  <conditionalFormatting sqref="Q295">
    <cfRule type="expression" dxfId="1359" priority="2312">
      <formula>Q296&gt;Q295</formula>
    </cfRule>
  </conditionalFormatting>
  <conditionalFormatting sqref="Q296">
    <cfRule type="expression" dxfId="1358" priority="2310">
      <formula>Q296&gt;Q295</formula>
    </cfRule>
  </conditionalFormatting>
  <conditionalFormatting sqref="AK293">
    <cfRule type="notContainsBlanks" dxfId="1357" priority="2293">
      <formula>LEN(TRIM(AK293))&gt;0</formula>
    </cfRule>
  </conditionalFormatting>
  <conditionalFormatting sqref="AK295">
    <cfRule type="notContainsBlanks" dxfId="1356" priority="2292">
      <formula>LEN(TRIM(AK295))&gt;0</formula>
    </cfRule>
  </conditionalFormatting>
  <conditionalFormatting sqref="D301:E302">
    <cfRule type="cellIs" dxfId="1355" priority="2291" operator="equal">
      <formula>0</formula>
    </cfRule>
  </conditionalFormatting>
  <conditionalFormatting sqref="D303:E303">
    <cfRule type="expression" dxfId="1354" priority="2273">
      <formula>D306&gt;D303</formula>
    </cfRule>
    <cfRule type="cellIs" dxfId="1353" priority="2288" operator="equal">
      <formula>0</formula>
    </cfRule>
  </conditionalFormatting>
  <conditionalFormatting sqref="D304:E305">
    <cfRule type="cellIs" dxfId="1352" priority="2287" operator="equal">
      <formula>0</formula>
    </cfRule>
  </conditionalFormatting>
  <conditionalFormatting sqref="D306:E306">
    <cfRule type="expression" dxfId="1351" priority="2274">
      <formula>D306&gt;D303</formula>
    </cfRule>
    <cfRule type="cellIs" dxfId="1350" priority="2284" operator="equal">
      <formula>0</formula>
    </cfRule>
  </conditionalFormatting>
  <conditionalFormatting sqref="D309:E309">
    <cfRule type="expression" dxfId="1349" priority="1690">
      <formula>D307&lt;&gt;D331</formula>
    </cfRule>
    <cfRule type="cellIs" dxfId="1348" priority="2281" operator="equal">
      <formula>0</formula>
    </cfRule>
  </conditionalFormatting>
  <conditionalFormatting sqref="D301:E302">
    <cfRule type="expression" dxfId="1347" priority="2279">
      <formula>D304&gt;D301</formula>
    </cfRule>
  </conditionalFormatting>
  <conditionalFormatting sqref="D304:E305">
    <cfRule type="expression" dxfId="1346" priority="2278">
      <formula>D304&gt;D301</formula>
    </cfRule>
  </conditionalFormatting>
  <conditionalFormatting sqref="D307:E308">
    <cfRule type="cellIs" dxfId="1345" priority="2277" operator="equal">
      <formula>0</formula>
    </cfRule>
  </conditionalFormatting>
  <conditionalFormatting sqref="D307:E308">
    <cfRule type="expression" dxfId="1344" priority="2276">
      <formula>D307&gt;D304</formula>
    </cfRule>
  </conditionalFormatting>
  <conditionalFormatting sqref="AM304:AM306">
    <cfRule type="notContainsBlanks" dxfId="1343" priority="3126">
      <formula>LEN(TRIM(AM304))&gt;0</formula>
    </cfRule>
  </conditionalFormatting>
  <conditionalFormatting sqref="D307:E308">
    <cfRule type="expression" dxfId="1342" priority="2272">
      <formula>D304&gt;D307</formula>
    </cfRule>
  </conditionalFormatting>
  <conditionalFormatting sqref="D304:E305">
    <cfRule type="expression" dxfId="1341" priority="2271">
      <formula>D304&gt;D307</formula>
    </cfRule>
  </conditionalFormatting>
  <conditionalFormatting sqref="K313">
    <cfRule type="expression" dxfId="1340" priority="2270">
      <formula>K313&gt;K278</formula>
    </cfRule>
  </conditionalFormatting>
  <conditionalFormatting sqref="M313">
    <cfRule type="expression" dxfId="1339" priority="2269">
      <formula>M313&gt;M278</formula>
    </cfRule>
  </conditionalFormatting>
  <conditionalFormatting sqref="O313">
    <cfRule type="expression" dxfId="1338" priority="2268">
      <formula>O313&gt;O278</formula>
    </cfRule>
  </conditionalFormatting>
  <conditionalFormatting sqref="Q313">
    <cfRule type="expression" dxfId="1337" priority="2267">
      <formula>Q313&gt;Q278</formula>
    </cfRule>
  </conditionalFormatting>
  <conditionalFormatting sqref="S313">
    <cfRule type="expression" dxfId="1336" priority="2266">
      <formula>S313&gt;S278</formula>
    </cfRule>
  </conditionalFormatting>
  <conditionalFormatting sqref="U313">
    <cfRule type="expression" dxfId="1335" priority="2265">
      <formula>U313&gt;U278</formula>
    </cfRule>
  </conditionalFormatting>
  <conditionalFormatting sqref="W313">
    <cfRule type="expression" dxfId="1334" priority="2264">
      <formula>W313&gt;W278</formula>
    </cfRule>
  </conditionalFormatting>
  <conditionalFormatting sqref="Y313">
    <cfRule type="expression" dxfId="1333" priority="2263">
      <formula>Y313&gt;Y278</formula>
    </cfRule>
  </conditionalFormatting>
  <conditionalFormatting sqref="K316">
    <cfRule type="expression" dxfId="1332" priority="2248">
      <formula>K316&lt;&gt;K284</formula>
    </cfRule>
  </conditionalFormatting>
  <conditionalFormatting sqref="M284">
    <cfRule type="expression" dxfId="1331" priority="2245">
      <formula>M316&lt;&gt;M284</formula>
    </cfRule>
    <cfRule type="expression" dxfId="1330" priority="2246">
      <formula>M284&gt;M283</formula>
    </cfRule>
  </conditionalFormatting>
  <conditionalFormatting sqref="O284">
    <cfRule type="expression" dxfId="1329" priority="2243">
      <formula>O316&lt;&gt;O284</formula>
    </cfRule>
    <cfRule type="expression" dxfId="1328" priority="2244">
      <formula>O284&gt;O283</formula>
    </cfRule>
  </conditionalFormatting>
  <conditionalFormatting sqref="Q284">
    <cfRule type="expression" dxfId="1327" priority="2241">
      <formula>Q316&lt;&gt;Q284</formula>
    </cfRule>
    <cfRule type="expression" dxfId="1326" priority="2242">
      <formula>Q284&gt;Q283</formula>
    </cfRule>
  </conditionalFormatting>
  <conditionalFormatting sqref="S284">
    <cfRule type="expression" dxfId="1325" priority="2239">
      <formula>S316&lt;&gt;S284</formula>
    </cfRule>
    <cfRule type="expression" dxfId="1324" priority="2240">
      <formula>S284&gt;S283</formula>
    </cfRule>
  </conditionalFormatting>
  <conditionalFormatting sqref="U284">
    <cfRule type="expression" dxfId="1323" priority="2237">
      <formula>U316&lt;&gt;U284</formula>
    </cfRule>
    <cfRule type="expression" dxfId="1322" priority="2238">
      <formula>U284&gt;U283</formula>
    </cfRule>
  </conditionalFormatting>
  <conditionalFormatting sqref="W284">
    <cfRule type="expression" dxfId="1321" priority="2235">
      <formula>W316&lt;&gt;W284</formula>
    </cfRule>
    <cfRule type="expression" dxfId="1320" priority="2236">
      <formula>W284&gt;W283</formula>
    </cfRule>
  </conditionalFormatting>
  <conditionalFormatting sqref="Y284">
    <cfRule type="expression" dxfId="1319" priority="2233">
      <formula>Y316&lt;&gt;Y284</formula>
    </cfRule>
    <cfRule type="expression" dxfId="1318" priority="2234">
      <formula>Y284&gt;Y283</formula>
    </cfRule>
  </conditionalFormatting>
  <conditionalFormatting sqref="M316">
    <cfRule type="cellIs" dxfId="1317" priority="2232" operator="equal">
      <formula>0</formula>
    </cfRule>
  </conditionalFormatting>
  <conditionalFormatting sqref="M316">
    <cfRule type="expression" dxfId="1316" priority="2231">
      <formula>M316&lt;&gt;M284</formula>
    </cfRule>
  </conditionalFormatting>
  <conditionalFormatting sqref="O316">
    <cfRule type="cellIs" dxfId="1315" priority="2230" operator="equal">
      <formula>0</formula>
    </cfRule>
  </conditionalFormatting>
  <conditionalFormatting sqref="O316">
    <cfRule type="expression" dxfId="1314" priority="2229">
      <formula>O316&lt;&gt;O284</formula>
    </cfRule>
  </conditionalFormatting>
  <conditionalFormatting sqref="Q316">
    <cfRule type="cellIs" dxfId="1313" priority="2228" operator="equal">
      <formula>0</formula>
    </cfRule>
  </conditionalFormatting>
  <conditionalFormatting sqref="Q316">
    <cfRule type="expression" dxfId="1312" priority="2227">
      <formula>Q316&lt;&gt;Q284</formula>
    </cfRule>
  </conditionalFormatting>
  <conditionalFormatting sqref="S316">
    <cfRule type="cellIs" dxfId="1311" priority="2226" operator="equal">
      <formula>0</formula>
    </cfRule>
  </conditionalFormatting>
  <conditionalFormatting sqref="S316">
    <cfRule type="expression" dxfId="1310" priority="2225">
      <formula>S316&lt;&gt;S284</formula>
    </cfRule>
  </conditionalFormatting>
  <conditionalFormatting sqref="U316">
    <cfRule type="cellIs" dxfId="1309" priority="2224" operator="equal">
      <formula>0</formula>
    </cfRule>
  </conditionalFormatting>
  <conditionalFormatting sqref="U316">
    <cfRule type="expression" dxfId="1308" priority="2223">
      <formula>U316&lt;&gt;U284</formula>
    </cfRule>
  </conditionalFormatting>
  <conditionalFormatting sqref="W316">
    <cfRule type="cellIs" dxfId="1307" priority="2222" operator="equal">
      <formula>0</formula>
    </cfRule>
  </conditionalFormatting>
  <conditionalFormatting sqref="W316">
    <cfRule type="expression" dxfId="1306" priority="2221">
      <formula>W316&lt;&gt;W284</formula>
    </cfRule>
  </conditionalFormatting>
  <conditionalFormatting sqref="Y316">
    <cfRule type="cellIs" dxfId="1305" priority="2220" operator="equal">
      <formula>0</formula>
    </cfRule>
  </conditionalFormatting>
  <conditionalFormatting sqref="Y316">
    <cfRule type="expression" dxfId="1304" priority="2219">
      <formula>Y316&lt;&gt;Y284</formula>
    </cfRule>
  </conditionalFormatting>
  <conditionalFormatting sqref="K317">
    <cfRule type="expression" dxfId="1303" priority="2218">
      <formula>K317&lt;&gt;K286</formula>
    </cfRule>
  </conditionalFormatting>
  <conditionalFormatting sqref="M285">
    <cfRule type="expression" dxfId="1302" priority="2216">
      <formula>M286&gt;M285</formula>
    </cfRule>
  </conditionalFormatting>
  <conditionalFormatting sqref="O285">
    <cfRule type="expression" dxfId="1301" priority="2214">
      <formula>O286&gt;O285</formula>
    </cfRule>
  </conditionalFormatting>
  <conditionalFormatting sqref="Q285">
    <cfRule type="expression" dxfId="1300" priority="2212">
      <formula>Q286&gt;Q285</formula>
    </cfRule>
  </conditionalFormatting>
  <conditionalFormatting sqref="S285">
    <cfRule type="expression" dxfId="1299" priority="2210">
      <formula>S286&gt;S285</formula>
    </cfRule>
  </conditionalFormatting>
  <conditionalFormatting sqref="U285">
    <cfRule type="expression" dxfId="1298" priority="2208">
      <formula>U286&gt;U285</formula>
    </cfRule>
  </conditionalFormatting>
  <conditionalFormatting sqref="W285">
    <cfRule type="expression" dxfId="1297" priority="2206">
      <formula>W286&gt;W285</formula>
    </cfRule>
  </conditionalFormatting>
  <conditionalFormatting sqref="Y285">
    <cfRule type="expression" dxfId="1296" priority="2204">
      <formula>Y286&gt;Y285</formula>
    </cfRule>
  </conditionalFormatting>
  <conditionalFormatting sqref="M317">
    <cfRule type="cellIs" dxfId="1295" priority="2202" operator="equal">
      <formula>0</formula>
    </cfRule>
  </conditionalFormatting>
  <conditionalFormatting sqref="M317">
    <cfRule type="expression" dxfId="1294" priority="2201">
      <formula>M317&lt;&gt;M286</formula>
    </cfRule>
  </conditionalFormatting>
  <conditionalFormatting sqref="O317">
    <cfRule type="cellIs" dxfId="1293" priority="2200" operator="equal">
      <formula>0</formula>
    </cfRule>
  </conditionalFormatting>
  <conditionalFormatting sqref="O317">
    <cfRule type="expression" dxfId="1292" priority="2199">
      <formula>O317&lt;&gt;O286</formula>
    </cfRule>
  </conditionalFormatting>
  <conditionalFormatting sqref="Q317">
    <cfRule type="cellIs" dxfId="1291" priority="2198" operator="equal">
      <formula>0</formula>
    </cfRule>
  </conditionalFormatting>
  <conditionalFormatting sqref="Q317">
    <cfRule type="expression" dxfId="1290" priority="2197">
      <formula>Q317&lt;&gt;Q286</formula>
    </cfRule>
  </conditionalFormatting>
  <conditionalFormatting sqref="S317">
    <cfRule type="cellIs" dxfId="1289" priority="2196" operator="equal">
      <formula>0</formula>
    </cfRule>
  </conditionalFormatting>
  <conditionalFormatting sqref="S317">
    <cfRule type="expression" dxfId="1288" priority="2195">
      <formula>S317&lt;&gt;S286</formula>
    </cfRule>
  </conditionalFormatting>
  <conditionalFormatting sqref="U317">
    <cfRule type="cellIs" dxfId="1287" priority="2194" operator="equal">
      <formula>0</formula>
    </cfRule>
  </conditionalFormatting>
  <conditionalFormatting sqref="U317">
    <cfRule type="expression" dxfId="1286" priority="2193">
      <formula>U317&lt;&gt;U286</formula>
    </cfRule>
  </conditionalFormatting>
  <conditionalFormatting sqref="W317">
    <cfRule type="cellIs" dxfId="1285" priority="2192" operator="equal">
      <formula>0</formula>
    </cfRule>
  </conditionalFormatting>
  <conditionalFormatting sqref="W317">
    <cfRule type="expression" dxfId="1284" priority="2191">
      <formula>W317&lt;&gt;W286</formula>
    </cfRule>
  </conditionalFormatting>
  <conditionalFormatting sqref="Y317">
    <cfRule type="cellIs" dxfId="1283" priority="2190" operator="equal">
      <formula>0</formula>
    </cfRule>
  </conditionalFormatting>
  <conditionalFormatting sqref="Y317">
    <cfRule type="expression" dxfId="1282" priority="2189">
      <formula>Y317&lt;&gt;Y286</formula>
    </cfRule>
  </conditionalFormatting>
  <conditionalFormatting sqref="M286">
    <cfRule type="expression" dxfId="1281" priority="2186">
      <formula>M317&lt;&gt;M286</formula>
    </cfRule>
    <cfRule type="expression" dxfId="1280" priority="2187">
      <formula>M286&gt;M285</formula>
    </cfRule>
  </conditionalFormatting>
  <conditionalFormatting sqref="O286">
    <cfRule type="expression" dxfId="1279" priority="2184">
      <formula>O317&lt;&gt;O286</formula>
    </cfRule>
    <cfRule type="expression" dxfId="1278" priority="2185">
      <formula>O286&gt;O285</formula>
    </cfRule>
  </conditionalFormatting>
  <conditionalFormatting sqref="Q286">
    <cfRule type="expression" dxfId="1277" priority="2182">
      <formula>Q317&lt;&gt;Q286</formula>
    </cfRule>
    <cfRule type="expression" dxfId="1276" priority="2183">
      <formula>Q286&gt;Q285</formula>
    </cfRule>
  </conditionalFormatting>
  <conditionalFormatting sqref="S286">
    <cfRule type="expression" dxfId="1275" priority="2180">
      <formula>S317&lt;&gt;S286</formula>
    </cfRule>
    <cfRule type="expression" dxfId="1274" priority="2181">
      <formula>S286&gt;S285</formula>
    </cfRule>
  </conditionalFormatting>
  <conditionalFormatting sqref="U286">
    <cfRule type="expression" dxfId="1273" priority="2178">
      <formula>U317&lt;&gt;U286</formula>
    </cfRule>
    <cfRule type="expression" dxfId="1272" priority="2179">
      <formula>U286&gt;U285</formula>
    </cfRule>
  </conditionalFormatting>
  <conditionalFormatting sqref="W286">
    <cfRule type="expression" dxfId="1271" priority="2176">
      <formula>W317&lt;&gt;W286</formula>
    </cfRule>
    <cfRule type="expression" dxfId="1270" priority="2177">
      <formula>W286&gt;W285</formula>
    </cfRule>
  </conditionalFormatting>
  <conditionalFormatting sqref="Y286">
    <cfRule type="expression" dxfId="1269" priority="2174">
      <formula>Y317&lt;&gt;Y286</formula>
    </cfRule>
    <cfRule type="expression" dxfId="1268" priority="2175">
      <formula>Y286&gt;Y285</formula>
    </cfRule>
  </conditionalFormatting>
  <conditionalFormatting sqref="O321">
    <cfRule type="expression" dxfId="1267" priority="2173">
      <formula>O321&gt;O294</formula>
    </cfRule>
  </conditionalFormatting>
  <conditionalFormatting sqref="Q321">
    <cfRule type="expression" dxfId="1266" priority="2172">
      <formula>Q321&gt;Q294</formula>
    </cfRule>
  </conditionalFormatting>
  <conditionalFormatting sqref="S321">
    <cfRule type="expression" dxfId="1265" priority="2171">
      <formula>S321&gt;S294</formula>
    </cfRule>
  </conditionalFormatting>
  <conditionalFormatting sqref="U321">
    <cfRule type="expression" dxfId="1264" priority="2170">
      <formula>U321&gt;U294</formula>
    </cfRule>
  </conditionalFormatting>
  <conditionalFormatting sqref="W321">
    <cfRule type="expression" dxfId="1263" priority="2169">
      <formula>W321&gt;W294</formula>
    </cfRule>
  </conditionalFormatting>
  <conditionalFormatting sqref="Y321">
    <cfRule type="expression" dxfId="1262" priority="2168">
      <formula>Y321&gt;Y294</formula>
    </cfRule>
  </conditionalFormatting>
  <conditionalFormatting sqref="M321">
    <cfRule type="expression" dxfId="1261" priority="2167">
      <formula>M321&gt;M294</formula>
    </cfRule>
  </conditionalFormatting>
  <conditionalFormatting sqref="K321">
    <cfRule type="expression" dxfId="1260" priority="2166">
      <formula>K321&gt;K294</formula>
    </cfRule>
  </conditionalFormatting>
  <conditionalFormatting sqref="K294 M294 O294 Q294 S294 U294 W294 Y294">
    <cfRule type="expression" dxfId="1259" priority="2161">
      <formula>K321&gt;K294</formula>
    </cfRule>
  </conditionalFormatting>
  <conditionalFormatting sqref="K294 M294 O294 Q294 S294 U294 W294 Y294">
    <cfRule type="expression" dxfId="1258" priority="2162">
      <formula>K294&gt;K293</formula>
    </cfRule>
  </conditionalFormatting>
  <conditionalFormatting sqref="K322">
    <cfRule type="expression" dxfId="1257" priority="2128">
      <formula>K322&gt;K296</formula>
    </cfRule>
  </conditionalFormatting>
  <conditionalFormatting sqref="Q296">
    <cfRule type="expression" dxfId="1256" priority="2115">
      <formula>Q322&gt;Q296</formula>
    </cfRule>
  </conditionalFormatting>
  <conditionalFormatting sqref="Q296">
    <cfRule type="expression" dxfId="1255" priority="2116">
      <formula>Q296&gt;Q295</formula>
    </cfRule>
  </conditionalFormatting>
  <conditionalFormatting sqref="M322">
    <cfRule type="expression" dxfId="1254" priority="2098">
      <formula>M322&gt;M296</formula>
    </cfRule>
  </conditionalFormatting>
  <conditionalFormatting sqref="O322">
    <cfRule type="expression" dxfId="1253" priority="2097">
      <formula>O322&gt;O296</formula>
    </cfRule>
  </conditionalFormatting>
  <conditionalFormatting sqref="Q322">
    <cfRule type="expression" dxfId="1252" priority="2096">
      <formula>Q322&gt;Q296</formula>
    </cfRule>
  </conditionalFormatting>
  <conditionalFormatting sqref="S322">
    <cfRule type="expression" dxfId="1251" priority="2095">
      <formula>S322&gt;S296</formula>
    </cfRule>
  </conditionalFormatting>
  <conditionalFormatting sqref="U322">
    <cfRule type="expression" dxfId="1250" priority="2094">
      <formula>U322&gt;U296</formula>
    </cfRule>
  </conditionalFormatting>
  <conditionalFormatting sqref="W322">
    <cfRule type="expression" dxfId="1249" priority="2093">
      <formula>W322&gt;W296</formula>
    </cfRule>
  </conditionalFormatting>
  <conditionalFormatting sqref="Y322">
    <cfRule type="expression" dxfId="1248" priority="2092">
      <formula>Y322&gt;Y296</formula>
    </cfRule>
  </conditionalFormatting>
  <conditionalFormatting sqref="D331:AI331">
    <cfRule type="expression" dxfId="1247" priority="2091">
      <formula>D331&gt;D341</formula>
    </cfRule>
  </conditionalFormatting>
  <conditionalFormatting sqref="D341:Y341 AB341:AG341 AJ341">
    <cfRule type="expression" dxfId="1246" priority="2090">
      <formula>D331&gt;D341</formula>
    </cfRule>
  </conditionalFormatting>
  <conditionalFormatting sqref="D332:Y337 AB332:AI337">
    <cfRule type="expression" dxfId="1245" priority="2089">
      <formula>D332&gt;D342</formula>
    </cfRule>
  </conditionalFormatting>
  <conditionalFormatting sqref="D342:Y347 AB342:AG347">
    <cfRule type="expression" dxfId="1244" priority="2088">
      <formula>D332&gt;D342</formula>
    </cfRule>
  </conditionalFormatting>
  <conditionalFormatting sqref="D340:Y340 AB340:AG340">
    <cfRule type="expression" dxfId="1243" priority="2087">
      <formula>D340&gt;D341</formula>
    </cfRule>
  </conditionalFormatting>
  <conditionalFormatting sqref="AK340">
    <cfRule type="notContainsBlanks" dxfId="1242" priority="2085">
      <formula>LEN(TRIM(AK340))&gt;0</formula>
    </cfRule>
  </conditionalFormatting>
  <conditionalFormatting sqref="J354:Y354 AB354:AG354">
    <cfRule type="expression" dxfId="1241" priority="2084">
      <formula>J354&lt;&gt;J341</formula>
    </cfRule>
  </conditionalFormatting>
  <conditionalFormatting sqref="D341:Y341 AB341:AG341 AJ341">
    <cfRule type="expression" dxfId="1240" priority="2083">
      <formula>D354&lt;&gt;D341</formula>
    </cfRule>
  </conditionalFormatting>
  <conditionalFormatting sqref="K341:Y341 AB341:AG341">
    <cfRule type="expression" dxfId="1239" priority="2082">
      <formula>K324&gt;K341</formula>
    </cfRule>
  </conditionalFormatting>
  <conditionalFormatting sqref="D361:AA361">
    <cfRule type="expression" dxfId="1238" priority="2080">
      <formula>D356&gt;D361</formula>
    </cfRule>
  </conditionalFormatting>
  <conditionalFormatting sqref="D361:AA361">
    <cfRule type="expression" dxfId="1237" priority="2078">
      <formula>D357&gt;D361</formula>
    </cfRule>
  </conditionalFormatting>
  <conditionalFormatting sqref="D361:AA361">
    <cfRule type="cellIs" dxfId="1236" priority="2077" operator="equal">
      <formula>0</formula>
    </cfRule>
  </conditionalFormatting>
  <conditionalFormatting sqref="D366:AA366">
    <cfRule type="expression" dxfId="1235" priority="2076">
      <formula>D366&gt;SUM(D362:D364)</formula>
    </cfRule>
  </conditionalFormatting>
  <conditionalFormatting sqref="D365:AA365">
    <cfRule type="cellIs" dxfId="1234" priority="2075" operator="equal">
      <formula>0</formula>
    </cfRule>
  </conditionalFormatting>
  <conditionalFormatting sqref="D365:Z365">
    <cfRule type="expression" dxfId="1233" priority="2074">
      <formula>E366&gt;(E362+E363+E364)</formula>
    </cfRule>
  </conditionalFormatting>
  <conditionalFormatting sqref="AK365">
    <cfRule type="notContainsBlanks" dxfId="1232" priority="2073">
      <formula>LEN(TRIM(AK365))&gt;0</formula>
    </cfRule>
  </conditionalFormatting>
  <conditionalFormatting sqref="D361:AA361">
    <cfRule type="expression" dxfId="1231" priority="2071">
      <formula>D365&gt;D361</formula>
    </cfRule>
  </conditionalFormatting>
  <conditionalFormatting sqref="AK366">
    <cfRule type="notContainsBlanks" dxfId="1230" priority="2070">
      <formula>LEN(TRIM(AK366))&gt;0</formula>
    </cfRule>
  </conditionalFormatting>
  <conditionalFormatting sqref="D369:AI369">
    <cfRule type="expression" dxfId="1229" priority="2069">
      <formula>D369&gt;D361</formula>
    </cfRule>
  </conditionalFormatting>
  <conditionalFormatting sqref="D361:AA361">
    <cfRule type="expression" dxfId="1228" priority="2068">
      <formula>D369&gt;D361</formula>
    </cfRule>
  </conditionalFormatting>
  <conditionalFormatting sqref="AK369">
    <cfRule type="notContainsBlanks" dxfId="1227" priority="2067">
      <formula>LEN(TRIM(AK369))&gt;0</formula>
    </cfRule>
  </conditionalFormatting>
  <conditionalFormatting sqref="AK369">
    <cfRule type="notContainsBlanks" dxfId="1226" priority="2066">
      <formula>LEN(TRIM(AK369))&gt;0</formula>
    </cfRule>
  </conditionalFormatting>
  <conditionalFormatting sqref="D341:Y341 AB341:AG341">
    <cfRule type="expression" dxfId="1225" priority="2063">
      <formula>D361&gt;D341</formula>
    </cfRule>
  </conditionalFormatting>
  <conditionalFormatting sqref="AK356">
    <cfRule type="notContainsBlanks" dxfId="1224" priority="2062">
      <formula>LEN(TRIM(AK356))&gt;0</formula>
    </cfRule>
  </conditionalFormatting>
  <conditionalFormatting sqref="D341:Y341 AB341:AG341">
    <cfRule type="expression" dxfId="1223" priority="2061">
      <formula>SUM(D167:D168)&gt;D341</formula>
    </cfRule>
  </conditionalFormatting>
  <conditionalFormatting sqref="K314">
    <cfRule type="expression" dxfId="1222" priority="1152">
      <formula>K314&gt;K331</formula>
    </cfRule>
    <cfRule type="expression" dxfId="1221" priority="2058">
      <formula>K314&gt;K331 &amp; EXACT($I$3,"1") &amp; EXACT($E$3,"1")</formula>
    </cfRule>
  </conditionalFormatting>
  <conditionalFormatting sqref="D371:AA371">
    <cfRule type="expression" dxfId="1220" priority="2056">
      <formula>D372&gt;D371</formula>
    </cfRule>
  </conditionalFormatting>
  <conditionalFormatting sqref="D393:AG399">
    <cfRule type="expression" dxfId="1219" priority="2055">
      <formula>D393&gt;D$387</formula>
    </cfRule>
  </conditionalFormatting>
  <conditionalFormatting sqref="D387:AG387">
    <cfRule type="expression" dxfId="1218" priority="2054">
      <formula>D393&gt;D$387</formula>
    </cfRule>
  </conditionalFormatting>
  <conditionalFormatting sqref="F405:AA405">
    <cfRule type="expression" dxfId="1217" priority="2053">
      <formula>F405&gt;F401</formula>
    </cfRule>
  </conditionalFormatting>
  <conditionalFormatting sqref="D401:AA401">
    <cfRule type="expression" dxfId="1216" priority="2052">
      <formula>D405&gt;D401</formula>
    </cfRule>
  </conditionalFormatting>
  <conditionalFormatting sqref="AL401">
    <cfRule type="notContainsBlanks" dxfId="1215" priority="2051">
      <formula>LEN(TRIM(AL401))&gt;0</formula>
    </cfRule>
  </conditionalFormatting>
  <conditionalFormatting sqref="F407:AA407">
    <cfRule type="expression" dxfId="1214" priority="2050">
      <formula>F407&gt;F405</formula>
    </cfRule>
  </conditionalFormatting>
  <conditionalFormatting sqref="F405:AA405">
    <cfRule type="expression" dxfId="1213" priority="2049">
      <formula>F407&gt;F405</formula>
    </cfRule>
  </conditionalFormatting>
  <conditionalFormatting sqref="F410:AA410">
    <cfRule type="expression" dxfId="1212" priority="2048">
      <formula>F410&lt;&gt;F402</formula>
    </cfRule>
  </conditionalFormatting>
  <conditionalFormatting sqref="D402:AA402">
    <cfRule type="expression" dxfId="1211" priority="2047">
      <formula>D410&lt;&gt;D402</formula>
    </cfRule>
  </conditionalFormatting>
  <conditionalFormatting sqref="F409:AA409">
    <cfRule type="expression" dxfId="1210" priority="2046">
      <formula>F409&gt;F407</formula>
    </cfRule>
  </conditionalFormatting>
  <conditionalFormatting sqref="F407:AA407">
    <cfRule type="expression" dxfId="1209" priority="2045">
      <formula>F409&gt;F407</formula>
    </cfRule>
  </conditionalFormatting>
  <conditionalFormatting sqref="AK401">
    <cfRule type="notContainsBlanks" dxfId="1208" priority="2043">
      <formula>LEN(TRIM(AK401))&gt;0</formula>
    </cfRule>
  </conditionalFormatting>
  <conditionalFormatting sqref="AK405">
    <cfRule type="notContainsBlanks" dxfId="1207" priority="2042">
      <formula>LEN(TRIM(AK405))&gt;0</formula>
    </cfRule>
  </conditionalFormatting>
  <conditionalFormatting sqref="AK406">
    <cfRule type="notContainsBlanks" dxfId="1206" priority="2041">
      <formula>LEN(TRIM(AK406))&gt;0</formula>
    </cfRule>
  </conditionalFormatting>
  <conditionalFormatting sqref="F406:AA406">
    <cfRule type="expression" dxfId="1205" priority="2040">
      <formula>F406&gt;F401</formula>
    </cfRule>
  </conditionalFormatting>
  <conditionalFormatting sqref="F404:AA404 AJ404">
    <cfRule type="cellIs" dxfId="1204" priority="2039" operator="lessThan">
      <formula>0</formula>
    </cfRule>
  </conditionalFormatting>
  <conditionalFormatting sqref="D401:AA401">
    <cfRule type="expression" dxfId="1203" priority="2038">
      <formula>D406&gt;D401</formula>
    </cfRule>
  </conditionalFormatting>
  <conditionalFormatting sqref="AK407">
    <cfRule type="notContainsBlanks" dxfId="1202" priority="2037">
      <formula>LEN(TRIM(AK407))&gt;0</formula>
    </cfRule>
  </conditionalFormatting>
  <conditionalFormatting sqref="AM409">
    <cfRule type="notContainsBlanks" dxfId="1201" priority="3147">
      <formula>LEN(TRIM(AM409))&gt;0</formula>
    </cfRule>
  </conditionalFormatting>
  <conditionalFormatting sqref="AN401">
    <cfRule type="notContainsBlanks" dxfId="1200" priority="2035">
      <formula>LEN(TRIM(AN401))&gt;0</formula>
    </cfRule>
  </conditionalFormatting>
  <conditionalFormatting sqref="AK409">
    <cfRule type="notContainsBlanks" dxfId="1199" priority="2034">
      <formula>LEN(TRIM(AK409))&gt;0</formula>
    </cfRule>
  </conditionalFormatting>
  <conditionalFormatting sqref="AK411">
    <cfRule type="notContainsBlanks" dxfId="1198" priority="2033">
      <formula>LEN(TRIM(AK411))&gt;0</formula>
    </cfRule>
  </conditionalFormatting>
  <conditionalFormatting sqref="AK410">
    <cfRule type="notContainsBlanks" dxfId="1197" priority="2032">
      <formula>LEN(TRIM(AK410))&gt;0</formula>
    </cfRule>
  </conditionalFormatting>
  <conditionalFormatting sqref="F405:AA405">
    <cfRule type="expression" dxfId="1196" priority="2009">
      <formula>F405&lt;F404</formula>
    </cfRule>
  </conditionalFormatting>
  <conditionalFormatting sqref="F404:AA404">
    <cfRule type="expression" dxfId="1195" priority="2008">
      <formula>F405&lt;F404</formula>
    </cfRule>
  </conditionalFormatting>
  <conditionalFormatting sqref="F409:AA409 J413:AG413">
    <cfRule type="expression" dxfId="1194" priority="2007">
      <formula>F407&gt;F409</formula>
    </cfRule>
  </conditionalFormatting>
  <conditionalFormatting sqref="F407:AA407">
    <cfRule type="expression" dxfId="1193" priority="2006">
      <formula>F407&gt;F409</formula>
    </cfRule>
  </conditionalFormatting>
  <conditionalFormatting sqref="D377:AA377">
    <cfRule type="expression" dxfId="1192" priority="2005">
      <formula>D377&gt;D372</formula>
    </cfRule>
  </conditionalFormatting>
  <conditionalFormatting sqref="D372:AA372">
    <cfRule type="expression" dxfId="1191" priority="2004">
      <formula>D377&gt;D372</formula>
    </cfRule>
  </conditionalFormatting>
  <conditionalFormatting sqref="D376:AA376">
    <cfRule type="expression" dxfId="1190" priority="2002">
      <formula>D376&gt;SUM(D375,D374,D373)</formula>
    </cfRule>
  </conditionalFormatting>
  <conditionalFormatting sqref="D375:AA375">
    <cfRule type="expression" dxfId="1189" priority="2001">
      <formula>D376&gt;SUM(D375,D374,D373)</formula>
    </cfRule>
  </conditionalFormatting>
  <conditionalFormatting sqref="D374:AA374">
    <cfRule type="expression" dxfId="1188" priority="2000">
      <formula>D376&gt;SUM(D375,D374,D373)</formula>
    </cfRule>
  </conditionalFormatting>
  <conditionalFormatting sqref="D373:AA373">
    <cfRule type="expression" dxfId="1187" priority="1999">
      <formula>D376&gt;SUM(D375,D374,D373)</formula>
    </cfRule>
  </conditionalFormatting>
  <conditionalFormatting sqref="D357:AA357">
    <cfRule type="expression" dxfId="1186" priority="1998">
      <formula>D368&gt;D357</formula>
    </cfRule>
  </conditionalFormatting>
  <conditionalFormatting sqref="D368:Y368 AB368:AI368">
    <cfRule type="expression" dxfId="1185" priority="1997">
      <formula>D368&gt;D357</formula>
    </cfRule>
  </conditionalFormatting>
  <conditionalFormatting sqref="K289">
    <cfRule type="expression" dxfId="1184" priority="1996">
      <formula>K290&gt;K289</formula>
    </cfRule>
  </conditionalFormatting>
  <conditionalFormatting sqref="K319">
    <cfRule type="expression" dxfId="1183" priority="1995">
      <formula>K319&gt;K290</formula>
    </cfRule>
  </conditionalFormatting>
  <conditionalFormatting sqref="M319">
    <cfRule type="expression" dxfId="1182" priority="1994">
      <formula>M319&gt;M290</formula>
    </cfRule>
  </conditionalFormatting>
  <conditionalFormatting sqref="O319">
    <cfRule type="expression" dxfId="1181" priority="1993">
      <formula>O319&gt;O290</formula>
    </cfRule>
  </conditionalFormatting>
  <conditionalFormatting sqref="Q319">
    <cfRule type="expression" dxfId="1180" priority="1992">
      <formula>Q319&gt;Q290</formula>
    </cfRule>
  </conditionalFormatting>
  <conditionalFormatting sqref="S319">
    <cfRule type="expression" dxfId="1179" priority="1991">
      <formula>S319&gt;S290</formula>
    </cfRule>
  </conditionalFormatting>
  <conditionalFormatting sqref="U319">
    <cfRule type="expression" dxfId="1178" priority="1990">
      <formula>U319&gt;U290</formula>
    </cfRule>
  </conditionalFormatting>
  <conditionalFormatting sqref="W319">
    <cfRule type="expression" dxfId="1177" priority="1989">
      <formula>W319&gt;W290</formula>
    </cfRule>
  </conditionalFormatting>
  <conditionalFormatting sqref="Y319">
    <cfRule type="expression" dxfId="1176" priority="1988">
      <formula>Y319&gt;Y290</formula>
    </cfRule>
  </conditionalFormatting>
  <conditionalFormatting sqref="D18:AG18 AJ18">
    <cfRule type="cellIs" dxfId="1175" priority="1987" operator="equal">
      <formula>0</formula>
    </cfRule>
  </conditionalFormatting>
  <conditionalFormatting sqref="AK11">
    <cfRule type="notContainsBlanks" dxfId="1174" priority="1986">
      <formula>LEN(TRIM(AK11))&gt;0</formula>
    </cfRule>
  </conditionalFormatting>
  <conditionalFormatting sqref="AK12">
    <cfRule type="notContainsBlanks" dxfId="1173" priority="1985">
      <formula>LEN(TRIM(AK12))&gt;0</formula>
    </cfRule>
  </conditionalFormatting>
  <conditionalFormatting sqref="AK16">
    <cfRule type="notContainsBlanks" dxfId="1172" priority="1983">
      <formula>LEN(TRIM(AK16))&gt;0</formula>
    </cfRule>
  </conditionalFormatting>
  <conditionalFormatting sqref="AK15">
    <cfRule type="notContainsBlanks" dxfId="1171" priority="1982">
      <formula>LEN(TRIM(AK15))&gt;0</formula>
    </cfRule>
  </conditionalFormatting>
  <conditionalFormatting sqref="D14:AG14">
    <cfRule type="cellIs" dxfId="1170" priority="1966" operator="equal">
      <formula>0</formula>
    </cfRule>
  </conditionalFormatting>
  <conditionalFormatting sqref="AK14">
    <cfRule type="notContainsBlanks" dxfId="1169" priority="1965">
      <formula>LEN(TRIM(AK14))&gt;0</formula>
    </cfRule>
  </conditionalFormatting>
  <conditionalFormatting sqref="D14:AG14">
    <cfRule type="expression" dxfId="1168" priority="1964">
      <formula>D54&gt;D14</formula>
    </cfRule>
  </conditionalFormatting>
  <conditionalFormatting sqref="D54:AA54">
    <cfRule type="expression" dxfId="1167" priority="1963">
      <formula>D54&gt;D14</formula>
    </cfRule>
  </conditionalFormatting>
  <conditionalFormatting sqref="M207">
    <cfRule type="cellIs" dxfId="1166" priority="1945" operator="equal">
      <formula>0</formula>
    </cfRule>
  </conditionalFormatting>
  <conditionalFormatting sqref="M201">
    <cfRule type="expression" dxfId="1165" priority="1500">
      <formula>M200&lt;(M201+M202+M203)</formula>
    </cfRule>
    <cfRule type="expression" dxfId="1164" priority="1886">
      <formula>(M203+M202+M201)&gt;M199</formula>
    </cfRule>
  </conditionalFormatting>
  <conditionalFormatting sqref="M202">
    <cfRule type="expression" dxfId="1163" priority="1499">
      <formula>M200&lt;(M201+M202+M203)</formula>
    </cfRule>
    <cfRule type="expression" dxfId="1162" priority="1885">
      <formula>(M203+M202+M201)&gt;M199</formula>
    </cfRule>
  </conditionalFormatting>
  <conditionalFormatting sqref="M203">
    <cfRule type="expression" dxfId="1161" priority="1498">
      <formula>M200&lt;(M201+M202+M203)</formula>
    </cfRule>
    <cfRule type="expression" dxfId="1160" priority="1884">
      <formula>(M203+M202+M201)&gt;M199</formula>
    </cfRule>
  </conditionalFormatting>
  <conditionalFormatting sqref="AM232:AN232">
    <cfRule type="notContainsBlanks" dxfId="1159" priority="1805">
      <formula>LEN(TRIM(AM232))&gt;0</formula>
    </cfRule>
  </conditionalFormatting>
  <conditionalFormatting sqref="AJ233:AJ258">
    <cfRule type="cellIs" dxfId="1158" priority="1803" operator="equal">
      <formula>0</formula>
    </cfRule>
  </conditionalFormatting>
  <conditionalFormatting sqref="AM233:AN240">
    <cfRule type="notContainsBlanks" dxfId="1157" priority="1801">
      <formula>LEN(TRIM(AM233))&gt;0</formula>
    </cfRule>
  </conditionalFormatting>
  <conditionalFormatting sqref="AM241:AN241">
    <cfRule type="notContainsBlanks" dxfId="1156" priority="1792">
      <formula>LEN(TRIM(AM241))&gt;0</formula>
    </cfRule>
  </conditionalFormatting>
  <conditionalFormatting sqref="AM242:AN249">
    <cfRule type="notContainsBlanks" dxfId="1155" priority="1788">
      <formula>LEN(TRIM(AM242))&gt;0</formula>
    </cfRule>
  </conditionalFormatting>
  <conditionalFormatting sqref="AM250:AN250">
    <cfRule type="notContainsBlanks" dxfId="1154" priority="1779">
      <formula>LEN(TRIM(AM250))&gt;0</formula>
    </cfRule>
  </conditionalFormatting>
  <conditionalFormatting sqref="AM251:AN258">
    <cfRule type="notContainsBlanks" dxfId="1153" priority="1775">
      <formula>LEN(TRIM(AM251))&gt;0</formula>
    </cfRule>
  </conditionalFormatting>
  <conditionalFormatting sqref="D225:AG225">
    <cfRule type="cellIs" dxfId="1152" priority="1768" operator="equal">
      <formula>0</formula>
    </cfRule>
  </conditionalFormatting>
  <conditionalFormatting sqref="D259:AA260 AJ261 AJ259">
    <cfRule type="cellIs" dxfId="1151" priority="1767" operator="equal">
      <formula>0</formula>
    </cfRule>
  </conditionalFormatting>
  <conditionalFormatting sqref="D263:AA263">
    <cfRule type="expression" dxfId="1150" priority="1766">
      <formula>D263&gt;D259</formula>
    </cfRule>
  </conditionalFormatting>
  <conditionalFormatting sqref="D259:AA259">
    <cfRule type="expression" dxfId="1149" priority="1765">
      <formula>D263&gt;D259</formula>
    </cfRule>
  </conditionalFormatting>
  <conditionalFormatting sqref="AJ232">
    <cfRule type="cellIs" dxfId="1148" priority="1764" operator="equal">
      <formula>0</formula>
    </cfRule>
  </conditionalFormatting>
  <conditionalFormatting sqref="AJ12:AJ13">
    <cfRule type="cellIs" dxfId="1147" priority="1762" operator="equal">
      <formula>0</formula>
    </cfRule>
  </conditionalFormatting>
  <conditionalFormatting sqref="AJ14">
    <cfRule type="cellIs" dxfId="1146" priority="1761" operator="equal">
      <formula>0</formula>
    </cfRule>
  </conditionalFormatting>
  <conditionalFormatting sqref="AJ15:AJ17">
    <cfRule type="cellIs" dxfId="1145" priority="1760" operator="equal">
      <formula>0</formula>
    </cfRule>
  </conditionalFormatting>
  <conditionalFormatting sqref="D224:AG224">
    <cfRule type="expression" dxfId="1144" priority="1758">
      <formula>D224&gt;D223</formula>
    </cfRule>
  </conditionalFormatting>
  <conditionalFormatting sqref="D223:AG223">
    <cfRule type="expression" dxfId="1143" priority="1757">
      <formula>D224&gt;D223</formula>
    </cfRule>
  </conditionalFormatting>
  <conditionalFormatting sqref="D225:AG225">
    <cfRule type="expression" dxfId="1142" priority="1756">
      <formula>D225&gt;D224</formula>
    </cfRule>
  </conditionalFormatting>
  <conditionalFormatting sqref="D224:AG224">
    <cfRule type="expression" dxfId="1141" priority="1755">
      <formula>D225&gt;D224</formula>
    </cfRule>
  </conditionalFormatting>
  <conditionalFormatting sqref="D260:AA260">
    <cfRule type="expression" dxfId="1140" priority="1754">
      <formula>D260&gt;D259</formula>
    </cfRule>
  </conditionalFormatting>
  <conditionalFormatting sqref="D259:AA259">
    <cfRule type="expression" dxfId="1139" priority="1753">
      <formula>D260&gt;D259</formula>
    </cfRule>
  </conditionalFormatting>
  <conditionalFormatting sqref="AK226">
    <cfRule type="notContainsBlanks" dxfId="1138" priority="1752">
      <formula>LEN(TRIM(AK226))&gt;0</formula>
    </cfRule>
  </conditionalFormatting>
  <conditionalFormatting sqref="AL232">
    <cfRule type="notContainsBlanks" dxfId="1137" priority="1751">
      <formula>LEN(TRIM(AL232))&gt;0</formula>
    </cfRule>
  </conditionalFormatting>
  <conditionalFormatting sqref="AL241">
    <cfRule type="notContainsBlanks" dxfId="1136" priority="1750">
      <formula>LEN(TRIM(AL241))&gt;0</formula>
    </cfRule>
  </conditionalFormatting>
  <conditionalFormatting sqref="AL250">
    <cfRule type="notContainsBlanks" dxfId="1135" priority="1749">
      <formula>LEN(TRIM(AL250))&gt;0</formula>
    </cfRule>
  </conditionalFormatting>
  <conditionalFormatting sqref="D227:AG227">
    <cfRule type="expression" dxfId="1134" priority="1748">
      <formula>D227&gt;D226</formula>
    </cfRule>
  </conditionalFormatting>
  <conditionalFormatting sqref="D226:AG226">
    <cfRule type="expression" dxfId="1133" priority="1747">
      <formula>D227&gt;D226</formula>
    </cfRule>
  </conditionalFormatting>
  <conditionalFormatting sqref="AK223">
    <cfRule type="notContainsBlanks" dxfId="1132" priority="1746">
      <formula>LEN(TRIM(AK223))&gt;0</formula>
    </cfRule>
  </conditionalFormatting>
  <conditionalFormatting sqref="AK228">
    <cfRule type="notContainsBlanks" dxfId="1131" priority="1745">
      <formula>LEN(TRIM(AK228))&gt;0</formula>
    </cfRule>
  </conditionalFormatting>
  <conditionalFormatting sqref="D229:AG229">
    <cfRule type="expression" dxfId="1130" priority="1744">
      <formula>D229&gt;D228</formula>
    </cfRule>
  </conditionalFormatting>
  <conditionalFormatting sqref="D228:AG228">
    <cfRule type="expression" dxfId="1129" priority="1743">
      <formula>D229&gt;D228</formula>
    </cfRule>
  </conditionalFormatting>
  <conditionalFormatting sqref="AK233:AK234 AK236 AK238:AK240">
    <cfRule type="notContainsBlanks" dxfId="1128" priority="1742">
      <formula>LEN(TRIM(AK233))&gt;0</formula>
    </cfRule>
  </conditionalFormatting>
  <conditionalFormatting sqref="AK235">
    <cfRule type="notContainsBlanks" dxfId="1127" priority="1741">
      <formula>LEN(TRIM(AK235))&gt;0</formula>
    </cfRule>
  </conditionalFormatting>
  <conditionalFormatting sqref="AK232">
    <cfRule type="notContainsBlanks" dxfId="1126" priority="1740">
      <formula>LEN(TRIM(AK232))&gt;0</formula>
    </cfRule>
  </conditionalFormatting>
  <conditionalFormatting sqref="AK237">
    <cfRule type="notContainsBlanks" dxfId="1125" priority="1739">
      <formula>LEN(TRIM(AK237))&gt;0</formula>
    </cfRule>
  </conditionalFormatting>
  <conditionalFormatting sqref="AK242:AK243 AK245 AK247:AK249">
    <cfRule type="notContainsBlanks" dxfId="1124" priority="1738">
      <formula>LEN(TRIM(AK242))&gt;0</formula>
    </cfRule>
  </conditionalFormatting>
  <conditionalFormatting sqref="AK244">
    <cfRule type="notContainsBlanks" dxfId="1123" priority="1737">
      <formula>LEN(TRIM(AK244))&gt;0</formula>
    </cfRule>
  </conditionalFormatting>
  <conditionalFormatting sqref="AK241">
    <cfRule type="notContainsBlanks" dxfId="1122" priority="1736">
      <formula>LEN(TRIM(AK241))&gt;0</formula>
    </cfRule>
  </conditionalFormatting>
  <conditionalFormatting sqref="AK246">
    <cfRule type="notContainsBlanks" dxfId="1121" priority="1735">
      <formula>LEN(TRIM(AK246))&gt;0</formula>
    </cfRule>
  </conditionalFormatting>
  <conditionalFormatting sqref="AK251:AK252 AK254 AK256:AK258">
    <cfRule type="notContainsBlanks" dxfId="1120" priority="1734">
      <formula>LEN(TRIM(AK251))&gt;0</formula>
    </cfRule>
  </conditionalFormatting>
  <conditionalFormatting sqref="AK253">
    <cfRule type="notContainsBlanks" dxfId="1119" priority="1733">
      <formula>LEN(TRIM(AK253))&gt;0</formula>
    </cfRule>
  </conditionalFormatting>
  <conditionalFormatting sqref="AK250">
    <cfRule type="notContainsBlanks" dxfId="1118" priority="1732">
      <formula>LEN(TRIM(AK250))&gt;0</formula>
    </cfRule>
  </conditionalFormatting>
  <conditionalFormatting sqref="AK255">
    <cfRule type="notContainsBlanks" dxfId="1117" priority="1731">
      <formula>LEN(TRIM(AK255))&gt;0</formula>
    </cfRule>
  </conditionalFormatting>
  <conditionalFormatting sqref="D232:AG232">
    <cfRule type="cellIs" dxfId="1116" priority="1730" operator="equal">
      <formula>0</formula>
    </cfRule>
  </conditionalFormatting>
  <conditionalFormatting sqref="D234:AG234">
    <cfRule type="cellIs" dxfId="1115" priority="1729" operator="equal">
      <formula>0</formula>
    </cfRule>
  </conditionalFormatting>
  <conditionalFormatting sqref="D233:AG233">
    <cfRule type="expression" dxfId="1114" priority="1728">
      <formula>D233&gt;D232</formula>
    </cfRule>
  </conditionalFormatting>
  <conditionalFormatting sqref="D232:AG232">
    <cfRule type="expression" dxfId="1113" priority="1727">
      <formula>D233&gt;D232</formula>
    </cfRule>
  </conditionalFormatting>
  <conditionalFormatting sqref="D234:AG234">
    <cfRule type="expression" dxfId="1112" priority="1726">
      <formula>D234&gt;D233</formula>
    </cfRule>
  </conditionalFormatting>
  <conditionalFormatting sqref="D233:AG233">
    <cfRule type="expression" dxfId="1111" priority="1725">
      <formula>D234&gt;D233</formula>
    </cfRule>
  </conditionalFormatting>
  <conditionalFormatting sqref="D236:AG236">
    <cfRule type="expression" dxfId="1110" priority="1724">
      <formula>D236&gt;D235</formula>
    </cfRule>
  </conditionalFormatting>
  <conditionalFormatting sqref="D235:AG235">
    <cfRule type="expression" dxfId="1109" priority="1723">
      <formula>D236&gt;D235</formula>
    </cfRule>
  </conditionalFormatting>
  <conditionalFormatting sqref="D238:AG238">
    <cfRule type="expression" dxfId="1108" priority="1722">
      <formula>D238&gt;D237</formula>
    </cfRule>
  </conditionalFormatting>
  <conditionalFormatting sqref="D237:AG237">
    <cfRule type="expression" dxfId="1107" priority="1721">
      <formula>D238&gt;D237</formula>
    </cfRule>
  </conditionalFormatting>
  <conditionalFormatting sqref="D243:AG243">
    <cfRule type="cellIs" dxfId="1106" priority="1719" operator="equal">
      <formula>0</formula>
    </cfRule>
  </conditionalFormatting>
  <conditionalFormatting sqref="D242:AG242">
    <cfRule type="expression" dxfId="1105" priority="1718">
      <formula>D242&gt;D241</formula>
    </cfRule>
  </conditionalFormatting>
  <conditionalFormatting sqref="D241:AG241">
    <cfRule type="expression" dxfId="1104" priority="1717">
      <formula>D242&gt;D241</formula>
    </cfRule>
  </conditionalFormatting>
  <conditionalFormatting sqref="D243:AG243">
    <cfRule type="expression" dxfId="1103" priority="1716">
      <formula>D243&gt;D242</formula>
    </cfRule>
  </conditionalFormatting>
  <conditionalFormatting sqref="D242:AG242">
    <cfRule type="expression" dxfId="1102" priority="1715">
      <formula>D243&gt;D242</formula>
    </cfRule>
  </conditionalFormatting>
  <conditionalFormatting sqref="D245:AG245">
    <cfRule type="expression" dxfId="1101" priority="1714">
      <formula>D245&gt;D244</formula>
    </cfRule>
  </conditionalFormatting>
  <conditionalFormatting sqref="D244:AG244">
    <cfRule type="expression" dxfId="1100" priority="1713">
      <formula>D245&gt;D244</formula>
    </cfRule>
  </conditionalFormatting>
  <conditionalFormatting sqref="D247:AG247">
    <cfRule type="expression" dxfId="1099" priority="1712">
      <formula>D247&gt;D246</formula>
    </cfRule>
  </conditionalFormatting>
  <conditionalFormatting sqref="D246:AG246">
    <cfRule type="expression" dxfId="1098" priority="1711">
      <formula>D247&gt;D246</formula>
    </cfRule>
  </conditionalFormatting>
  <conditionalFormatting sqref="D250:AG250">
    <cfRule type="cellIs" dxfId="1097" priority="1710" operator="equal">
      <formula>0</formula>
    </cfRule>
  </conditionalFormatting>
  <conditionalFormatting sqref="D252:AG252">
    <cfRule type="cellIs" dxfId="1096" priority="1709" operator="equal">
      <formula>0</formula>
    </cfRule>
  </conditionalFormatting>
  <conditionalFormatting sqref="D251:AG251">
    <cfRule type="expression" dxfId="1095" priority="1708">
      <formula>D251&gt;D250</formula>
    </cfRule>
  </conditionalFormatting>
  <conditionalFormatting sqref="D250:AG250">
    <cfRule type="expression" dxfId="1094" priority="1707">
      <formula>D251&gt;D250</formula>
    </cfRule>
  </conditionalFormatting>
  <conditionalFormatting sqref="D252:AG252">
    <cfRule type="expression" dxfId="1093" priority="1706">
      <formula>D252&gt;D251</formula>
    </cfRule>
  </conditionalFormatting>
  <conditionalFormatting sqref="D251:AG251">
    <cfRule type="expression" dxfId="1092" priority="1705">
      <formula>D252&gt;D251</formula>
    </cfRule>
  </conditionalFormatting>
  <conditionalFormatting sqref="D254:AG254">
    <cfRule type="expression" dxfId="1091" priority="1704">
      <formula>D254&gt;D253</formula>
    </cfRule>
  </conditionalFormatting>
  <conditionalFormatting sqref="D253:AG253">
    <cfRule type="expression" dxfId="1090" priority="1703">
      <formula>D254&gt;D253</formula>
    </cfRule>
  </conditionalFormatting>
  <conditionalFormatting sqref="D256:AG256">
    <cfRule type="expression" dxfId="1089" priority="1702">
      <formula>D256&gt;D255</formula>
    </cfRule>
  </conditionalFormatting>
  <conditionalFormatting sqref="D255:AG255">
    <cfRule type="expression" dxfId="1088" priority="1701">
      <formula>D256&gt;D255</formula>
    </cfRule>
  </conditionalFormatting>
  <conditionalFormatting sqref="K267 M267 O267 Q267 S267 U267 W267 Y267 AA267">
    <cfRule type="expression" dxfId="1087" priority="1700">
      <formula>K267&gt;K266</formula>
    </cfRule>
  </conditionalFormatting>
  <conditionalFormatting sqref="D269:AA269">
    <cfRule type="expression" dxfId="1086" priority="1699">
      <formula>D269&gt;D268</formula>
    </cfRule>
  </conditionalFormatting>
  <conditionalFormatting sqref="K266 M266 O266 Q266 S266 U266 W266 Y266 AA266">
    <cfRule type="expression" dxfId="1085" priority="1698">
      <formula>K266&gt;K259</formula>
    </cfRule>
  </conditionalFormatting>
  <conditionalFormatting sqref="D259:AA259">
    <cfRule type="expression" dxfId="1084" priority="1697">
      <formula>D266&gt;D259</formula>
    </cfRule>
  </conditionalFormatting>
  <conditionalFormatting sqref="D365:AA365">
    <cfRule type="expression" dxfId="1083" priority="1696">
      <formula>D365&gt;D361</formula>
    </cfRule>
  </conditionalFormatting>
  <conditionalFormatting sqref="AL356:AL369">
    <cfRule type="notContainsBlanks" dxfId="1082" priority="1695">
      <formula>LEN(TRIM(AL356))&gt;0</formula>
    </cfRule>
  </conditionalFormatting>
  <conditionalFormatting sqref="D369:AI369">
    <cfRule type="expression" dxfId="1081" priority="1694">
      <formula>D369&gt;D366</formula>
    </cfRule>
  </conditionalFormatting>
  <conditionalFormatting sqref="D366:AA366">
    <cfRule type="expression" dxfId="1080" priority="1693">
      <formula>D369&gt;D366</formula>
    </cfRule>
  </conditionalFormatting>
  <conditionalFormatting sqref="AL301:AL309">
    <cfRule type="notContainsBlanks" dxfId="1079" priority="1692">
      <formula>LEN(TRIM(AL301))&gt;0</formula>
    </cfRule>
  </conditionalFormatting>
  <conditionalFormatting sqref="AN301:AN309">
    <cfRule type="notContainsBlanks" dxfId="1078" priority="1688">
      <formula>LEN(TRIM(AN301))&gt;0</formula>
    </cfRule>
  </conditionalFormatting>
  <conditionalFormatting sqref="AJ11">
    <cfRule type="cellIs" dxfId="1077" priority="1683" operator="equal">
      <formula>0</formula>
    </cfRule>
  </conditionalFormatting>
  <conditionalFormatting sqref="AJ11">
    <cfRule type="cellIs" dxfId="1076" priority="1681" operator="equal">
      <formula>0</formula>
    </cfRule>
  </conditionalFormatting>
  <conditionalFormatting sqref="D261:AA262">
    <cfRule type="cellIs" dxfId="1075" priority="1679" operator="equal">
      <formula>0</formula>
    </cfRule>
  </conditionalFormatting>
  <conditionalFormatting sqref="D261:AA261">
    <cfRule type="expression" dxfId="1074" priority="1678">
      <formula>D265&gt;D261</formula>
    </cfRule>
  </conditionalFormatting>
  <conditionalFormatting sqref="D262:AA262">
    <cfRule type="expression" dxfId="1073" priority="1677">
      <formula>D262&gt;D261</formula>
    </cfRule>
  </conditionalFormatting>
  <conditionalFormatting sqref="D261:AA261">
    <cfRule type="expression" dxfId="1072" priority="1676">
      <formula>D262&gt;D261</formula>
    </cfRule>
  </conditionalFormatting>
  <conditionalFormatting sqref="D261:AA261">
    <cfRule type="expression" dxfId="1071" priority="1675">
      <formula>D268&gt;D261</formula>
    </cfRule>
  </conditionalFormatting>
  <conditionalFormatting sqref="S295">
    <cfRule type="expression" dxfId="1070" priority="1674">
      <formula>S296&gt;S295</formula>
    </cfRule>
  </conditionalFormatting>
  <conditionalFormatting sqref="U295">
    <cfRule type="expression" dxfId="1069" priority="1673">
      <formula>U296&gt;U295</formula>
    </cfRule>
  </conditionalFormatting>
  <conditionalFormatting sqref="W295">
    <cfRule type="expression" dxfId="1068" priority="1672">
      <formula>W296&gt;W295</formula>
    </cfRule>
  </conditionalFormatting>
  <conditionalFormatting sqref="Y295">
    <cfRule type="expression" dxfId="1067" priority="1671">
      <formula>Y296&gt;Y295</formula>
    </cfRule>
  </conditionalFormatting>
  <conditionalFormatting sqref="O296">
    <cfRule type="expression" dxfId="1066" priority="1670">
      <formula>O296&gt;O295</formula>
    </cfRule>
  </conditionalFormatting>
  <conditionalFormatting sqref="O296">
    <cfRule type="expression" dxfId="1065" priority="1668">
      <formula>O322&gt;O296</formula>
    </cfRule>
  </conditionalFormatting>
  <conditionalFormatting sqref="O296">
    <cfRule type="expression" dxfId="1064" priority="1669">
      <formula>O296&gt;O295</formula>
    </cfRule>
  </conditionalFormatting>
  <conditionalFormatting sqref="M296">
    <cfRule type="expression" dxfId="1063" priority="1667">
      <formula>M296&gt;M295</formula>
    </cfRule>
  </conditionalFormatting>
  <conditionalFormatting sqref="M296">
    <cfRule type="expression" dxfId="1062" priority="1665">
      <formula>M322&gt;M296</formula>
    </cfRule>
  </conditionalFormatting>
  <conditionalFormatting sqref="M296">
    <cfRule type="expression" dxfId="1061" priority="1666">
      <formula>M296&gt;M295</formula>
    </cfRule>
  </conditionalFormatting>
  <conditionalFormatting sqref="K296">
    <cfRule type="expression" dxfId="1060" priority="1664">
      <formula>K296&gt;K295</formula>
    </cfRule>
  </conditionalFormatting>
  <conditionalFormatting sqref="K296">
    <cfRule type="expression" dxfId="1059" priority="1662">
      <formula>K322&gt;K296</formula>
    </cfRule>
  </conditionalFormatting>
  <conditionalFormatting sqref="K296">
    <cfRule type="expression" dxfId="1058" priority="1663">
      <formula>K296&gt;K295</formula>
    </cfRule>
  </conditionalFormatting>
  <conditionalFormatting sqref="S296">
    <cfRule type="expression" dxfId="1057" priority="1661">
      <formula>S296&gt;S295</formula>
    </cfRule>
  </conditionalFormatting>
  <conditionalFormatting sqref="S296">
    <cfRule type="expression" dxfId="1056" priority="1659">
      <formula>S322&gt;S296</formula>
    </cfRule>
  </conditionalFormatting>
  <conditionalFormatting sqref="S296">
    <cfRule type="expression" dxfId="1055" priority="1660">
      <formula>S296&gt;S295</formula>
    </cfRule>
  </conditionalFormatting>
  <conditionalFormatting sqref="U296">
    <cfRule type="expression" dxfId="1054" priority="1658">
      <formula>U296&gt;U295</formula>
    </cfRule>
  </conditionalFormatting>
  <conditionalFormatting sqref="U296">
    <cfRule type="expression" dxfId="1053" priority="1656">
      <formula>U322&gt;U296</formula>
    </cfRule>
  </conditionalFormatting>
  <conditionalFormatting sqref="U296">
    <cfRule type="expression" dxfId="1052" priority="1657">
      <formula>U296&gt;U295</formula>
    </cfRule>
  </conditionalFormatting>
  <conditionalFormatting sqref="W296">
    <cfRule type="expression" dxfId="1051" priority="1655">
      <formula>W296&gt;W295</formula>
    </cfRule>
  </conditionalFormatting>
  <conditionalFormatting sqref="W296">
    <cfRule type="expression" dxfId="1050" priority="1653">
      <formula>W322&gt;W296</formula>
    </cfRule>
  </conditionalFormatting>
  <conditionalFormatting sqref="W296">
    <cfRule type="expression" dxfId="1049" priority="1654">
      <formula>W296&gt;W295</formula>
    </cfRule>
  </conditionalFormatting>
  <conditionalFormatting sqref="Y296">
    <cfRule type="expression" dxfId="1048" priority="1652">
      <formula>Y296&gt;Y295</formula>
    </cfRule>
  </conditionalFormatting>
  <conditionalFormatting sqref="Y296">
    <cfRule type="expression" dxfId="1047" priority="1650">
      <formula>Y322&gt;Y296</formula>
    </cfRule>
  </conditionalFormatting>
  <conditionalFormatting sqref="Y296">
    <cfRule type="expression" dxfId="1046" priority="1651">
      <formula>Y296&gt;Y295</formula>
    </cfRule>
  </conditionalFormatting>
  <conditionalFormatting sqref="D365:AA365">
    <cfRule type="expression" dxfId="1045" priority="1649">
      <formula>D365&gt;D358</formula>
    </cfRule>
  </conditionalFormatting>
  <conditionalFormatting sqref="D358:AA358">
    <cfRule type="expression" dxfId="1044" priority="1648">
      <formula>D365&gt;D358</formula>
    </cfRule>
  </conditionalFormatting>
  <conditionalFormatting sqref="AN356:AN369">
    <cfRule type="notContainsBlanks" dxfId="1043" priority="1647">
      <formula>LEN(TRIM(AN356))&gt;0</formula>
    </cfRule>
  </conditionalFormatting>
  <conditionalFormatting sqref="D356:AA356">
    <cfRule type="expression" dxfId="1042" priority="1646">
      <formula>D356&gt;D367</formula>
    </cfRule>
  </conditionalFormatting>
  <conditionalFormatting sqref="D367:Y367 AB367:AI367">
    <cfRule type="expression" dxfId="1041" priority="1645">
      <formula>D356&gt;D367</formula>
    </cfRule>
  </conditionalFormatting>
  <conditionalFormatting sqref="D357:AA357">
    <cfRule type="expression" dxfId="1040" priority="1644">
      <formula>D357&gt;D368</formula>
    </cfRule>
  </conditionalFormatting>
  <conditionalFormatting sqref="D368:Y368 AB368:AI368">
    <cfRule type="expression" dxfId="1039" priority="1643">
      <formula>D357&gt;D368</formula>
    </cfRule>
  </conditionalFormatting>
  <conditionalFormatting sqref="K327">
    <cfRule type="expression" dxfId="1038" priority="1642">
      <formula>K327&gt;K294+K292</formula>
    </cfRule>
  </conditionalFormatting>
  <conditionalFormatting sqref="M327">
    <cfRule type="expression" dxfId="1037" priority="1641">
      <formula>M327&gt;M294+M292</formula>
    </cfRule>
  </conditionalFormatting>
  <conditionalFormatting sqref="O327">
    <cfRule type="expression" dxfId="1036" priority="1640">
      <formula>O327&gt;O294+O292</formula>
    </cfRule>
  </conditionalFormatting>
  <conditionalFormatting sqref="Q327">
    <cfRule type="expression" dxfId="1035" priority="1639">
      <formula>Q327&gt;Q294+Q292</formula>
    </cfRule>
  </conditionalFormatting>
  <conditionalFormatting sqref="S327">
    <cfRule type="expression" dxfId="1034" priority="1638">
      <formula>S327&gt;S294+S292</formula>
    </cfRule>
  </conditionalFormatting>
  <conditionalFormatting sqref="U327">
    <cfRule type="expression" dxfId="1033" priority="1637">
      <formula>U327&gt;U294+U292</formula>
    </cfRule>
  </conditionalFormatting>
  <conditionalFormatting sqref="W327">
    <cfRule type="expression" dxfId="1032" priority="1636">
      <formula>W327&gt;W294+W292</formula>
    </cfRule>
  </conditionalFormatting>
  <conditionalFormatting sqref="Y327">
    <cfRule type="expression" dxfId="1031" priority="1635">
      <formula>Y327&gt;Y294+Y292</formula>
    </cfRule>
  </conditionalFormatting>
  <conditionalFormatting sqref="K294">
    <cfRule type="expression" dxfId="1030" priority="1634">
      <formula>K327&gt;K294+K292</formula>
    </cfRule>
  </conditionalFormatting>
  <conditionalFormatting sqref="M294">
    <cfRule type="expression" dxfId="1029" priority="1633">
      <formula>M327&gt;M294+M292</formula>
    </cfRule>
  </conditionalFormatting>
  <conditionalFormatting sqref="O294">
    <cfRule type="expression" dxfId="1028" priority="1632">
      <formula>O327&gt;O294+O292</formula>
    </cfRule>
  </conditionalFormatting>
  <conditionalFormatting sqref="Q294">
    <cfRule type="expression" dxfId="1027" priority="1631">
      <formula>Q327&gt;Q294+Q292</formula>
    </cfRule>
  </conditionalFormatting>
  <conditionalFormatting sqref="S294">
    <cfRule type="expression" dxfId="1026" priority="1630">
      <formula>S327&gt;S294+S292</formula>
    </cfRule>
  </conditionalFormatting>
  <conditionalFormatting sqref="U294">
    <cfRule type="expression" dxfId="1025" priority="1629">
      <formula>U327&gt;U294+U292</formula>
    </cfRule>
  </conditionalFormatting>
  <conditionalFormatting sqref="W294">
    <cfRule type="expression" dxfId="1024" priority="1628">
      <formula>W327&gt;W294+W292</formula>
    </cfRule>
  </conditionalFormatting>
  <conditionalFormatting sqref="Y294">
    <cfRule type="expression" dxfId="1023" priority="1627">
      <formula>Y327&gt;Y294+Y292</formula>
    </cfRule>
  </conditionalFormatting>
  <conditionalFormatting sqref="M292">
    <cfRule type="expression" dxfId="1022" priority="1622">
      <formula>M327&gt;M294+M292</formula>
    </cfRule>
    <cfRule type="expression" dxfId="1021" priority="1625">
      <formula>M320&gt;M292</formula>
    </cfRule>
  </conditionalFormatting>
  <conditionalFormatting sqref="M292">
    <cfRule type="expression" dxfId="1020" priority="1624">
      <formula>M320&gt;M292</formula>
    </cfRule>
  </conditionalFormatting>
  <conditionalFormatting sqref="M292">
    <cfRule type="expression" dxfId="1019" priority="1623">
      <formula>M292&gt;M291</formula>
    </cfRule>
  </conditionalFormatting>
  <conditionalFormatting sqref="O292">
    <cfRule type="expression" dxfId="1018" priority="1618">
      <formula>O327&gt;O294+O292</formula>
    </cfRule>
    <cfRule type="expression" dxfId="1017" priority="1621">
      <formula>O320&gt;O292</formula>
    </cfRule>
  </conditionalFormatting>
  <conditionalFormatting sqref="O292">
    <cfRule type="expression" dxfId="1016" priority="1620">
      <formula>O320&gt;O292</formula>
    </cfRule>
  </conditionalFormatting>
  <conditionalFormatting sqref="O292">
    <cfRule type="expression" dxfId="1015" priority="1619">
      <formula>O292&gt;O291</formula>
    </cfRule>
  </conditionalFormatting>
  <conditionalFormatting sqref="Q292">
    <cfRule type="expression" dxfId="1014" priority="1614">
      <formula>Q327&gt;Q294+Q292</formula>
    </cfRule>
    <cfRule type="expression" dxfId="1013" priority="1617">
      <formula>Q320&gt;Q292</formula>
    </cfRule>
  </conditionalFormatting>
  <conditionalFormatting sqref="Q292">
    <cfRule type="expression" dxfId="1012" priority="1616">
      <formula>Q320&gt;Q292</formula>
    </cfRule>
  </conditionalFormatting>
  <conditionalFormatting sqref="Q292">
    <cfRule type="expression" dxfId="1011" priority="1615">
      <formula>Q292&gt;Q291</formula>
    </cfRule>
  </conditionalFormatting>
  <conditionalFormatting sqref="S292">
    <cfRule type="expression" dxfId="1010" priority="1610">
      <formula>S327&gt;S294+S292</formula>
    </cfRule>
    <cfRule type="expression" dxfId="1009" priority="1613">
      <formula>S320&gt;S292</formula>
    </cfRule>
  </conditionalFormatting>
  <conditionalFormatting sqref="S292">
    <cfRule type="expression" dxfId="1008" priority="1612">
      <formula>S320&gt;S292</formula>
    </cfRule>
  </conditionalFormatting>
  <conditionalFormatting sqref="S292">
    <cfRule type="expression" dxfId="1007" priority="1611">
      <formula>S292&gt;S291</formula>
    </cfRule>
  </conditionalFormatting>
  <conditionalFormatting sqref="U292">
    <cfRule type="expression" dxfId="1006" priority="1606">
      <formula>U327&gt;U294+U292</formula>
    </cfRule>
    <cfRule type="expression" dxfId="1005" priority="1609">
      <formula>U320&gt;U292</formula>
    </cfRule>
  </conditionalFormatting>
  <conditionalFormatting sqref="U292">
    <cfRule type="expression" dxfId="1004" priority="1608">
      <formula>U320&gt;U292</formula>
    </cfRule>
  </conditionalFormatting>
  <conditionalFormatting sqref="U292">
    <cfRule type="expression" dxfId="1003" priority="1607">
      <formula>U292&gt;U291</formula>
    </cfRule>
  </conditionalFormatting>
  <conditionalFormatting sqref="W292">
    <cfRule type="expression" dxfId="1002" priority="1602">
      <formula>W327&gt;W294+W292</formula>
    </cfRule>
    <cfRule type="expression" dxfId="1001" priority="1605">
      <formula>W320&gt;W292</formula>
    </cfRule>
  </conditionalFormatting>
  <conditionalFormatting sqref="W292">
    <cfRule type="expression" dxfId="1000" priority="1604">
      <formula>W320&gt;W292</formula>
    </cfRule>
  </conditionalFormatting>
  <conditionalFormatting sqref="W292">
    <cfRule type="expression" dxfId="999" priority="1603">
      <formula>W292&gt;W291</formula>
    </cfRule>
  </conditionalFormatting>
  <conditionalFormatting sqref="Y292">
    <cfRule type="expression" dxfId="998" priority="1598">
      <formula>Y327&gt;Y294+Y292</formula>
    </cfRule>
    <cfRule type="expression" dxfId="997" priority="1601">
      <formula>Y320&gt;Y292</formula>
    </cfRule>
  </conditionalFormatting>
  <conditionalFormatting sqref="Y292">
    <cfRule type="expression" dxfId="996" priority="1600">
      <formula>Y320&gt;Y292</formula>
    </cfRule>
  </conditionalFormatting>
  <conditionalFormatting sqref="Y292">
    <cfRule type="expression" dxfId="995" priority="1599">
      <formula>Y292&gt;Y291</formula>
    </cfRule>
  </conditionalFormatting>
  <conditionalFormatting sqref="J112:AA112">
    <cfRule type="cellIs" dxfId="994" priority="1597" operator="equal">
      <formula>0</formula>
    </cfRule>
  </conditionalFormatting>
  <conditionalFormatting sqref="AJ10">
    <cfRule type="cellIs" dxfId="993" priority="1596" operator="equal">
      <formula>0</formula>
    </cfRule>
  </conditionalFormatting>
  <conditionalFormatting sqref="AJ8:AJ9">
    <cfRule type="cellIs" dxfId="992" priority="1595" operator="equal">
      <formula>0</formula>
    </cfRule>
  </conditionalFormatting>
  <conditionalFormatting sqref="AJ413">
    <cfRule type="cellIs" dxfId="991" priority="1593" operator="equal">
      <formula>0</formula>
    </cfRule>
  </conditionalFormatting>
  <conditionalFormatting sqref="AM413">
    <cfRule type="notContainsBlanks" dxfId="990" priority="1594">
      <formula>LEN(TRIM(AM413))&gt;0</formula>
    </cfRule>
  </conditionalFormatting>
  <conditionalFormatting sqref="AK413">
    <cfRule type="notContainsBlanks" dxfId="989" priority="1591">
      <formula>LEN(TRIM(AK413))&gt;0</formula>
    </cfRule>
  </conditionalFormatting>
  <conditionalFormatting sqref="J116:AA116">
    <cfRule type="expression" dxfId="988" priority="1588">
      <formula>J117&gt;J116</formula>
    </cfRule>
  </conditionalFormatting>
  <conditionalFormatting sqref="D339:Y339">
    <cfRule type="expression" dxfId="987" priority="1587">
      <formula>D339&gt;D331</formula>
    </cfRule>
  </conditionalFormatting>
  <conditionalFormatting sqref="D331:AI331">
    <cfRule type="expression" dxfId="986" priority="1586">
      <formula>D339&gt;D331</formula>
    </cfRule>
  </conditionalFormatting>
  <conditionalFormatting sqref="D309:E309">
    <cfRule type="expression" dxfId="985" priority="1585">
      <formula>D309&lt;&gt;D331</formula>
    </cfRule>
  </conditionalFormatting>
  <conditionalFormatting sqref="D331:E331">
    <cfRule type="expression" dxfId="984" priority="1584">
      <formula>D309&lt;&gt;D331</formula>
    </cfRule>
  </conditionalFormatting>
  <conditionalFormatting sqref="J124:AA124">
    <cfRule type="expression" dxfId="983" priority="1576">
      <formula>J124&gt;J123</formula>
    </cfRule>
  </conditionalFormatting>
  <conditionalFormatting sqref="J123:AA123">
    <cfRule type="expression" dxfId="982" priority="1575">
      <formula>J124&gt;J123</formula>
    </cfRule>
  </conditionalFormatting>
  <conditionalFormatting sqref="J126:AA126">
    <cfRule type="expression" dxfId="981" priority="1574">
      <formula>J126&gt;(J124-J125)</formula>
    </cfRule>
  </conditionalFormatting>
  <conditionalFormatting sqref="J124:AA124">
    <cfRule type="expression" dxfId="980" priority="1573">
      <formula>J126&gt;(J124-J125)</formula>
    </cfRule>
  </conditionalFormatting>
  <conditionalFormatting sqref="M207">
    <cfRule type="expression" dxfId="979" priority="1571">
      <formula>M208&gt;M207</formula>
    </cfRule>
  </conditionalFormatting>
  <conditionalFormatting sqref="O207">
    <cfRule type="cellIs" dxfId="978" priority="1570" operator="equal">
      <formula>0</formula>
    </cfRule>
  </conditionalFormatting>
  <conditionalFormatting sqref="O207">
    <cfRule type="expression" dxfId="977" priority="1568">
      <formula>O208&gt;O207</formula>
    </cfRule>
  </conditionalFormatting>
  <conditionalFormatting sqref="Q207">
    <cfRule type="cellIs" dxfId="976" priority="1567" operator="equal">
      <formula>0</formula>
    </cfRule>
  </conditionalFormatting>
  <conditionalFormatting sqref="Q207">
    <cfRule type="expression" dxfId="975" priority="1565">
      <formula>Q208&gt;Q207</formula>
    </cfRule>
  </conditionalFormatting>
  <conditionalFormatting sqref="S207">
    <cfRule type="cellIs" dxfId="974" priority="1564" operator="equal">
      <formula>0</formula>
    </cfRule>
  </conditionalFormatting>
  <conditionalFormatting sqref="S207">
    <cfRule type="expression" dxfId="973" priority="1562">
      <formula>S208&gt;S207</formula>
    </cfRule>
  </conditionalFormatting>
  <conditionalFormatting sqref="U207">
    <cfRule type="cellIs" dxfId="972" priority="1561" operator="equal">
      <formula>0</formula>
    </cfRule>
  </conditionalFormatting>
  <conditionalFormatting sqref="U207">
    <cfRule type="expression" dxfId="971" priority="1559">
      <formula>U208&gt;U207</formula>
    </cfRule>
  </conditionalFormatting>
  <conditionalFormatting sqref="W207">
    <cfRule type="cellIs" dxfId="970" priority="1558" operator="equal">
      <formula>0</formula>
    </cfRule>
  </conditionalFormatting>
  <conditionalFormatting sqref="W207">
    <cfRule type="expression" dxfId="969" priority="1556">
      <formula>W208&gt;W207</formula>
    </cfRule>
  </conditionalFormatting>
  <conditionalFormatting sqref="Y207">
    <cfRule type="cellIs" dxfId="968" priority="1555" operator="equal">
      <formula>0</formula>
    </cfRule>
  </conditionalFormatting>
  <conditionalFormatting sqref="Y207">
    <cfRule type="expression" dxfId="967" priority="1553">
      <formula>Y208&gt;Y207</formula>
    </cfRule>
  </conditionalFormatting>
  <conditionalFormatting sqref="AC207 AE207 AG207 AI207">
    <cfRule type="cellIs" dxfId="966" priority="1552" operator="equal">
      <formula>0</formula>
    </cfRule>
  </conditionalFormatting>
  <conditionalFormatting sqref="AC207 AE207 AG207 AI207">
    <cfRule type="expression" dxfId="965" priority="1550">
      <formula>AC208&gt;AC207</formula>
    </cfRule>
  </conditionalFormatting>
  <conditionalFormatting sqref="M215">
    <cfRule type="cellIs" dxfId="964" priority="1549" operator="equal">
      <formula>0</formula>
    </cfRule>
  </conditionalFormatting>
  <conditionalFormatting sqref="M215">
    <cfRule type="expression" dxfId="963" priority="1547">
      <formula>M216&gt;M215</formula>
    </cfRule>
  </conditionalFormatting>
  <conditionalFormatting sqref="O215">
    <cfRule type="cellIs" dxfId="962" priority="1546" operator="equal">
      <formula>0</formula>
    </cfRule>
  </conditionalFormatting>
  <conditionalFormatting sqref="O215">
    <cfRule type="expression" dxfId="961" priority="1544">
      <formula>O216&gt;O215</formula>
    </cfRule>
  </conditionalFormatting>
  <conditionalFormatting sqref="Q215">
    <cfRule type="cellIs" dxfId="960" priority="1543" operator="equal">
      <formula>0</formula>
    </cfRule>
  </conditionalFormatting>
  <conditionalFormatting sqref="Q215">
    <cfRule type="expression" dxfId="959" priority="1541">
      <formula>Q216&gt;Q215</formula>
    </cfRule>
  </conditionalFormatting>
  <conditionalFormatting sqref="S215">
    <cfRule type="cellIs" dxfId="958" priority="1540" operator="equal">
      <formula>0</formula>
    </cfRule>
  </conditionalFormatting>
  <conditionalFormatting sqref="S215">
    <cfRule type="expression" dxfId="957" priority="1538">
      <formula>S216&gt;S215</formula>
    </cfRule>
  </conditionalFormatting>
  <conditionalFormatting sqref="U215">
    <cfRule type="cellIs" dxfId="956" priority="1537" operator="equal">
      <formula>0</formula>
    </cfRule>
  </conditionalFormatting>
  <conditionalFormatting sqref="U215">
    <cfRule type="expression" dxfId="955" priority="1535">
      <formula>U216&gt;U215</formula>
    </cfRule>
  </conditionalFormatting>
  <conditionalFormatting sqref="W215">
    <cfRule type="cellIs" dxfId="954" priority="1534" operator="equal">
      <formula>0</formula>
    </cfRule>
  </conditionalFormatting>
  <conditionalFormatting sqref="W215">
    <cfRule type="expression" dxfId="953" priority="1532">
      <formula>W216&gt;W215</formula>
    </cfRule>
  </conditionalFormatting>
  <conditionalFormatting sqref="Y215">
    <cfRule type="cellIs" dxfId="952" priority="1531" operator="equal">
      <formula>0</formula>
    </cfRule>
  </conditionalFormatting>
  <conditionalFormatting sqref="Y215">
    <cfRule type="expression" dxfId="951" priority="1529">
      <formula>Y216&gt;Y215</formula>
    </cfRule>
  </conditionalFormatting>
  <conditionalFormatting sqref="AC215 AE215 AG215 AI215">
    <cfRule type="cellIs" dxfId="950" priority="1528" operator="equal">
      <formula>0</formula>
    </cfRule>
  </conditionalFormatting>
  <conditionalFormatting sqref="AC215 AE215 AG215 AI215">
    <cfRule type="expression" dxfId="949" priority="1526">
      <formula>AC216&gt;AC215</formula>
    </cfRule>
  </conditionalFormatting>
  <conditionalFormatting sqref="M199:M200">
    <cfRule type="cellIs" dxfId="948" priority="1525" operator="equal">
      <formula>0</formula>
    </cfRule>
  </conditionalFormatting>
  <conditionalFormatting sqref="M200">
    <cfRule type="expression" dxfId="947" priority="1501">
      <formula>M200&lt;(M201+M202+M203)</formula>
    </cfRule>
    <cfRule type="expression" dxfId="946" priority="1524">
      <formula>M200&gt;M199</formula>
    </cfRule>
  </conditionalFormatting>
  <conditionalFormatting sqref="M199">
    <cfRule type="expression" dxfId="945" priority="1523">
      <formula>M200&gt;M199</formula>
    </cfRule>
  </conditionalFormatting>
  <conditionalFormatting sqref="O199">
    <cfRule type="cellIs" dxfId="944" priority="1522" operator="equal">
      <formula>0</formula>
    </cfRule>
  </conditionalFormatting>
  <conditionalFormatting sqref="O199">
    <cfRule type="expression" dxfId="943" priority="1520">
      <formula>O200&gt;O199</formula>
    </cfRule>
  </conditionalFormatting>
  <conditionalFormatting sqref="Q199">
    <cfRule type="cellIs" dxfId="942" priority="1519" operator="equal">
      <formula>0</formula>
    </cfRule>
  </conditionalFormatting>
  <conditionalFormatting sqref="Q199">
    <cfRule type="expression" dxfId="941" priority="1517">
      <formula>Q200&gt;Q199</formula>
    </cfRule>
  </conditionalFormatting>
  <conditionalFormatting sqref="S199">
    <cfRule type="cellIs" dxfId="940" priority="1516" operator="equal">
      <formula>0</formula>
    </cfRule>
  </conditionalFormatting>
  <conditionalFormatting sqref="S199">
    <cfRule type="expression" dxfId="939" priority="1514">
      <formula>S200&gt;S199</formula>
    </cfRule>
  </conditionalFormatting>
  <conditionalFormatting sqref="U199">
    <cfRule type="cellIs" dxfId="938" priority="1513" operator="equal">
      <formula>0</formula>
    </cfRule>
  </conditionalFormatting>
  <conditionalFormatting sqref="U199">
    <cfRule type="expression" dxfId="937" priority="1511">
      <formula>U200&gt;U199</formula>
    </cfRule>
  </conditionalFormatting>
  <conditionalFormatting sqref="W199">
    <cfRule type="cellIs" dxfId="936" priority="1510" operator="equal">
      <formula>0</formula>
    </cfRule>
  </conditionalFormatting>
  <conditionalFormatting sqref="W199">
    <cfRule type="expression" dxfId="935" priority="1508">
      <formula>W200&gt;W199</formula>
    </cfRule>
  </conditionalFormatting>
  <conditionalFormatting sqref="Y199">
    <cfRule type="cellIs" dxfId="934" priority="1507" operator="equal">
      <formula>0</formula>
    </cfRule>
  </conditionalFormatting>
  <conditionalFormatting sqref="Y199">
    <cfRule type="expression" dxfId="933" priority="1505">
      <formula>Y200&gt;Y199</formula>
    </cfRule>
  </conditionalFormatting>
  <conditionalFormatting sqref="AC199 AE199 AG199 AI199">
    <cfRule type="cellIs" dxfId="932" priority="1504" operator="equal">
      <formula>0</formula>
    </cfRule>
  </conditionalFormatting>
  <conditionalFormatting sqref="AC199 AE199 AG199 AI199">
    <cfRule type="expression" dxfId="931" priority="1502">
      <formula>AC200&gt;AC199</formula>
    </cfRule>
  </conditionalFormatting>
  <conditionalFormatting sqref="O201">
    <cfRule type="expression" dxfId="930" priority="1491">
      <formula>O200&lt;(O201+O202+O203)</formula>
    </cfRule>
    <cfRule type="expression" dxfId="929" priority="1497">
      <formula>(O203+O202+O201)&gt;O199</formula>
    </cfRule>
  </conditionalFormatting>
  <conditionalFormatting sqref="O202">
    <cfRule type="expression" dxfId="928" priority="1490">
      <formula>O200&lt;(O201+O202+O203)</formula>
    </cfRule>
    <cfRule type="expression" dxfId="927" priority="1496">
      <formula>(O203+O202+O201)&gt;O199</formula>
    </cfRule>
  </conditionalFormatting>
  <conditionalFormatting sqref="O203">
    <cfRule type="expression" dxfId="926" priority="1489">
      <formula>O200&lt;(O201+O202+O203)</formula>
    </cfRule>
    <cfRule type="expression" dxfId="925" priority="1495">
      <formula>(O203+O202+O201)&gt;O199</formula>
    </cfRule>
  </conditionalFormatting>
  <conditionalFormatting sqref="O200">
    <cfRule type="cellIs" dxfId="924" priority="1494" operator="equal">
      <formula>0</formula>
    </cfRule>
  </conditionalFormatting>
  <conditionalFormatting sqref="O200">
    <cfRule type="expression" dxfId="923" priority="1492">
      <formula>O200&lt;(O201+O202+O203)</formula>
    </cfRule>
    <cfRule type="expression" dxfId="922" priority="1493">
      <formula>O200&gt;O199</formula>
    </cfRule>
  </conditionalFormatting>
  <conditionalFormatting sqref="Q201">
    <cfRule type="expression" dxfId="921" priority="1482">
      <formula>Q200&lt;(Q201+Q202+Q203)</formula>
    </cfRule>
    <cfRule type="expression" dxfId="920" priority="1488">
      <formula>(Q203+Q202+Q201)&gt;Q199</formula>
    </cfRule>
  </conditionalFormatting>
  <conditionalFormatting sqref="Q202">
    <cfRule type="expression" dxfId="919" priority="1481">
      <formula>Q200&lt;(Q201+Q202+Q203)</formula>
    </cfRule>
    <cfRule type="expression" dxfId="918" priority="1487">
      <formula>(Q203+Q202+Q201)&gt;Q199</formula>
    </cfRule>
  </conditionalFormatting>
  <conditionalFormatting sqref="Q203">
    <cfRule type="expression" dxfId="917" priority="1480">
      <formula>Q200&lt;(Q201+Q202+Q203)</formula>
    </cfRule>
    <cfRule type="expression" dxfId="916" priority="1486">
      <formula>(Q203+Q202+Q201)&gt;Q199</formula>
    </cfRule>
  </conditionalFormatting>
  <conditionalFormatting sqref="Q200">
    <cfRule type="cellIs" dxfId="915" priority="1485" operator="equal">
      <formula>0</formula>
    </cfRule>
  </conditionalFormatting>
  <conditionalFormatting sqref="Q200">
    <cfRule type="expression" dxfId="914" priority="1483">
      <formula>Q200&lt;(Q201+Q202+Q203)</formula>
    </cfRule>
    <cfRule type="expression" dxfId="913" priority="1484">
      <formula>Q200&gt;Q199</formula>
    </cfRule>
  </conditionalFormatting>
  <conditionalFormatting sqref="S201">
    <cfRule type="expression" dxfId="912" priority="1473">
      <formula>S200&lt;(S201+S202+S203)</formula>
    </cfRule>
    <cfRule type="expression" dxfId="911" priority="1479">
      <formula>(S203+S202+S201)&gt;S199</formula>
    </cfRule>
  </conditionalFormatting>
  <conditionalFormatting sqref="S202">
    <cfRule type="expression" dxfId="910" priority="1472">
      <formula>S200&lt;(S201+S202+S203)</formula>
    </cfRule>
    <cfRule type="expression" dxfId="909" priority="1478">
      <formula>(S203+S202+S201)&gt;S199</formula>
    </cfRule>
  </conditionalFormatting>
  <conditionalFormatting sqref="S203">
    <cfRule type="expression" dxfId="908" priority="1471">
      <formula>S200&lt;(S201+S202+S203)</formula>
    </cfRule>
    <cfRule type="expression" dxfId="907" priority="1477">
      <formula>(S203+S202+S201)&gt;S199</formula>
    </cfRule>
  </conditionalFormatting>
  <conditionalFormatting sqref="S200">
    <cfRule type="cellIs" dxfId="906" priority="1476" operator="equal">
      <formula>0</formula>
    </cfRule>
  </conditionalFormatting>
  <conditionalFormatting sqref="S200">
    <cfRule type="expression" dxfId="905" priority="1474">
      <formula>S200&lt;(S201+S202+S203)</formula>
    </cfRule>
    <cfRule type="expression" dxfId="904" priority="1475">
      <formula>S200&gt;S199</formula>
    </cfRule>
  </conditionalFormatting>
  <conditionalFormatting sqref="U201">
    <cfRule type="expression" dxfId="903" priority="1464">
      <formula>U200&lt;(U201+U202+U203)</formula>
    </cfRule>
    <cfRule type="expression" dxfId="902" priority="1470">
      <formula>(U203+U202+U201)&gt;U199</formula>
    </cfRule>
  </conditionalFormatting>
  <conditionalFormatting sqref="U202">
    <cfRule type="expression" dxfId="901" priority="1463">
      <formula>U200&lt;(U201+U202+U203)</formula>
    </cfRule>
    <cfRule type="expression" dxfId="900" priority="1469">
      <formula>(U203+U202+U201)&gt;U199</formula>
    </cfRule>
  </conditionalFormatting>
  <conditionalFormatting sqref="U203">
    <cfRule type="expression" dxfId="899" priority="1462">
      <formula>U200&lt;(U201+U202+U203)</formula>
    </cfRule>
    <cfRule type="expression" dxfId="898" priority="1468">
      <formula>(U203+U202+U201)&gt;U199</formula>
    </cfRule>
  </conditionalFormatting>
  <conditionalFormatting sqref="U200">
    <cfRule type="cellIs" dxfId="897" priority="1467" operator="equal">
      <formula>0</formula>
    </cfRule>
  </conditionalFormatting>
  <conditionalFormatting sqref="U200">
    <cfRule type="expression" dxfId="896" priority="1465">
      <formula>U200&lt;(U201+U202+U203)</formula>
    </cfRule>
    <cfRule type="expression" dxfId="895" priority="1466">
      <formula>U200&gt;U199</formula>
    </cfRule>
  </conditionalFormatting>
  <conditionalFormatting sqref="W201">
    <cfRule type="expression" dxfId="894" priority="1455">
      <formula>W200&lt;(W201+W202+W203)</formula>
    </cfRule>
    <cfRule type="expression" dxfId="893" priority="1461">
      <formula>(W203+W202+W201)&gt;W199</formula>
    </cfRule>
  </conditionalFormatting>
  <conditionalFormatting sqref="W202">
    <cfRule type="expression" dxfId="892" priority="1454">
      <formula>W200&lt;(W201+W202+W203)</formula>
    </cfRule>
    <cfRule type="expression" dxfId="891" priority="1460">
      <formula>(W203+W202+W201)&gt;W199</formula>
    </cfRule>
  </conditionalFormatting>
  <conditionalFormatting sqref="W203">
    <cfRule type="expression" dxfId="890" priority="1453">
      <formula>W200&lt;(W201+W202+W203)</formula>
    </cfRule>
    <cfRule type="expression" dxfId="889" priority="1459">
      <formula>(W203+W202+W201)&gt;W199</formula>
    </cfRule>
  </conditionalFormatting>
  <conditionalFormatting sqref="W200">
    <cfRule type="cellIs" dxfId="888" priority="1458" operator="equal">
      <formula>0</formula>
    </cfRule>
  </conditionalFormatting>
  <conditionalFormatting sqref="W200">
    <cfRule type="expression" dxfId="887" priority="1456">
      <formula>W200&lt;(W201+W202+W203)</formula>
    </cfRule>
    <cfRule type="expression" dxfId="886" priority="1457">
      <formula>W200&gt;W199</formula>
    </cfRule>
  </conditionalFormatting>
  <conditionalFormatting sqref="Y201">
    <cfRule type="expression" dxfId="885" priority="1446">
      <formula>Y200&lt;(Y201+Y202+Y203)</formula>
    </cfRule>
    <cfRule type="expression" dxfId="884" priority="1452">
      <formula>(Y203+Y202+Y201)&gt;Y199</formula>
    </cfRule>
  </conditionalFormatting>
  <conditionalFormatting sqref="Y202">
    <cfRule type="expression" dxfId="883" priority="1445">
      <formula>Y200&lt;(Y201+Y202+Y203)</formula>
    </cfRule>
    <cfRule type="expression" dxfId="882" priority="1451">
      <formula>(Y203+Y202+Y201)&gt;Y199</formula>
    </cfRule>
  </conditionalFormatting>
  <conditionalFormatting sqref="Y203">
    <cfRule type="expression" dxfId="881" priority="1444">
      <formula>Y200&lt;(Y201+Y202+Y203)</formula>
    </cfRule>
    <cfRule type="expression" dxfId="880" priority="1450">
      <formula>(Y203+Y202+Y201)&gt;Y199</formula>
    </cfRule>
  </conditionalFormatting>
  <conditionalFormatting sqref="Y200">
    <cfRule type="cellIs" dxfId="879" priority="1449" operator="equal">
      <formula>0</formula>
    </cfRule>
  </conditionalFormatting>
  <conditionalFormatting sqref="Y200">
    <cfRule type="expression" dxfId="878" priority="1447">
      <formula>Y200&lt;(Y201+Y202+Y203)</formula>
    </cfRule>
    <cfRule type="expression" dxfId="877" priority="1448">
      <formula>Y200&gt;Y199</formula>
    </cfRule>
  </conditionalFormatting>
  <conditionalFormatting sqref="AC201 AE201 AG201 AI201">
    <cfRule type="expression" dxfId="876" priority="1437">
      <formula>AC200&lt;(AC201+AC202+AC203)</formula>
    </cfRule>
    <cfRule type="expression" dxfId="875" priority="1443">
      <formula>(AC203+AC202+AC201)&gt;AC199</formula>
    </cfRule>
  </conditionalFormatting>
  <conditionalFormatting sqref="AC202 AE202 AG202 AI202">
    <cfRule type="expression" dxfId="874" priority="1436">
      <formula>AC200&lt;(AC201+AC202+AC203)</formula>
    </cfRule>
    <cfRule type="expression" dxfId="873" priority="1442">
      <formula>(AC203+AC202+AC201)&gt;AC199</formula>
    </cfRule>
  </conditionalFormatting>
  <conditionalFormatting sqref="AC203 AE203 AG203 AI203">
    <cfRule type="expression" dxfId="872" priority="1435">
      <formula>AC200&lt;(AC201+AC202+AC203)</formula>
    </cfRule>
    <cfRule type="expression" dxfId="871" priority="1441">
      <formula>(AC203+AC202+AC201)&gt;AC199</formula>
    </cfRule>
  </conditionalFormatting>
  <conditionalFormatting sqref="AC200 AE200 AG200 AI200">
    <cfRule type="cellIs" dxfId="870" priority="1440" operator="equal">
      <formula>0</formula>
    </cfRule>
  </conditionalFormatting>
  <conditionalFormatting sqref="AC200 AE200 AG200 AI200">
    <cfRule type="expression" dxfId="869" priority="1438">
      <formula>AC200&lt;(AC201+AC202+AC203)</formula>
    </cfRule>
    <cfRule type="expression" dxfId="868" priority="1439">
      <formula>AC200&gt;AC199</formula>
    </cfRule>
  </conditionalFormatting>
  <conditionalFormatting sqref="M209">
    <cfRule type="expression" dxfId="867" priority="1428">
      <formula>M208&lt;(M209+M210+M211)</formula>
    </cfRule>
    <cfRule type="expression" dxfId="866" priority="1434">
      <formula>(M211+M210+M209)&gt;M207</formula>
    </cfRule>
  </conditionalFormatting>
  <conditionalFormatting sqref="M210">
    <cfRule type="expression" dxfId="865" priority="1427">
      <formula>M208&lt;(M209+M210+M211)</formula>
    </cfRule>
    <cfRule type="expression" dxfId="864" priority="1433">
      <formula>(M211+M210+M209)&gt;M207</formula>
    </cfRule>
  </conditionalFormatting>
  <conditionalFormatting sqref="M211">
    <cfRule type="expression" dxfId="863" priority="1426">
      <formula>M208&lt;(M209+M210+M211)</formula>
    </cfRule>
    <cfRule type="expression" dxfId="862" priority="1432">
      <formula>(M211+M210+M209)&gt;M207</formula>
    </cfRule>
  </conditionalFormatting>
  <conditionalFormatting sqref="M208">
    <cfRule type="cellIs" dxfId="861" priority="1431" operator="equal">
      <formula>0</formula>
    </cfRule>
  </conditionalFormatting>
  <conditionalFormatting sqref="M208">
    <cfRule type="expression" dxfId="860" priority="1429">
      <formula>M208&lt;(M209+M210+M211)</formula>
    </cfRule>
    <cfRule type="expression" dxfId="859" priority="1430">
      <formula>M208&gt;M207</formula>
    </cfRule>
  </conditionalFormatting>
  <conditionalFormatting sqref="O209">
    <cfRule type="expression" dxfId="858" priority="1419">
      <formula>O208&lt;(O209+O210+O211)</formula>
    </cfRule>
    <cfRule type="expression" dxfId="857" priority="1425">
      <formula>(O211+O210+O209)&gt;O207</formula>
    </cfRule>
  </conditionalFormatting>
  <conditionalFormatting sqref="O210">
    <cfRule type="expression" dxfId="856" priority="1418">
      <formula>O208&lt;(O209+O210+O211)</formula>
    </cfRule>
    <cfRule type="expression" dxfId="855" priority="1424">
      <formula>(O211+O210+O209)&gt;O207</formula>
    </cfRule>
  </conditionalFormatting>
  <conditionalFormatting sqref="O211">
    <cfRule type="expression" dxfId="854" priority="1417">
      <formula>O208&lt;(O209+O210+O211)</formula>
    </cfRule>
    <cfRule type="expression" dxfId="853" priority="1423">
      <formula>(O211+O210+O209)&gt;O207</formula>
    </cfRule>
  </conditionalFormatting>
  <conditionalFormatting sqref="O208">
    <cfRule type="cellIs" dxfId="852" priority="1422" operator="equal">
      <formula>0</formula>
    </cfRule>
  </conditionalFormatting>
  <conditionalFormatting sqref="O208">
    <cfRule type="expression" dxfId="851" priority="1420">
      <formula>O208&lt;(O209+O210+O211)</formula>
    </cfRule>
    <cfRule type="expression" dxfId="850" priority="1421">
      <formula>O208&gt;O207</formula>
    </cfRule>
  </conditionalFormatting>
  <conditionalFormatting sqref="Q209">
    <cfRule type="expression" dxfId="849" priority="1410">
      <formula>Q208&lt;(Q209+Q210+Q211)</formula>
    </cfRule>
    <cfRule type="expression" dxfId="848" priority="1416">
      <formula>(Q211+Q210+Q209)&gt;Q207</formula>
    </cfRule>
  </conditionalFormatting>
  <conditionalFormatting sqref="Q210">
    <cfRule type="expression" dxfId="847" priority="1409">
      <formula>Q208&lt;(Q209+Q210+Q211)</formula>
    </cfRule>
    <cfRule type="expression" dxfId="846" priority="1415">
      <formula>(Q211+Q210+Q209)&gt;Q207</formula>
    </cfRule>
  </conditionalFormatting>
  <conditionalFormatting sqref="Q211">
    <cfRule type="expression" dxfId="845" priority="1408">
      <formula>Q208&lt;(Q209+Q210+Q211)</formula>
    </cfRule>
    <cfRule type="expression" dxfId="844" priority="1414">
      <formula>(Q211+Q210+Q209)&gt;Q207</formula>
    </cfRule>
  </conditionalFormatting>
  <conditionalFormatting sqref="Q208">
    <cfRule type="cellIs" dxfId="843" priority="1413" operator="equal">
      <formula>0</formula>
    </cfRule>
  </conditionalFormatting>
  <conditionalFormatting sqref="Q208">
    <cfRule type="expression" dxfId="842" priority="1411">
      <formula>Q208&lt;(Q209+Q210+Q211)</formula>
    </cfRule>
    <cfRule type="expression" dxfId="841" priority="1412">
      <formula>Q208&gt;Q207</formula>
    </cfRule>
  </conditionalFormatting>
  <conditionalFormatting sqref="S209">
    <cfRule type="expression" dxfId="840" priority="1401">
      <formula>S208&lt;(S209+S210+S211)</formula>
    </cfRule>
    <cfRule type="expression" dxfId="839" priority="1407">
      <formula>(S211+S210+S209)&gt;S207</formula>
    </cfRule>
  </conditionalFormatting>
  <conditionalFormatting sqref="S210">
    <cfRule type="expression" dxfId="838" priority="1400">
      <formula>S208&lt;(S209+S210+S211)</formula>
    </cfRule>
    <cfRule type="expression" dxfId="837" priority="1406">
      <formula>(S211+S210+S209)&gt;S207</formula>
    </cfRule>
  </conditionalFormatting>
  <conditionalFormatting sqref="S211">
    <cfRule type="expression" dxfId="836" priority="1399">
      <formula>S208&lt;(S209+S210+S211)</formula>
    </cfRule>
    <cfRule type="expression" dxfId="835" priority="1405">
      <formula>(S211+S210+S209)&gt;S207</formula>
    </cfRule>
  </conditionalFormatting>
  <conditionalFormatting sqref="S208">
    <cfRule type="cellIs" dxfId="834" priority="1404" operator="equal">
      <formula>0</formula>
    </cfRule>
  </conditionalFormatting>
  <conditionalFormatting sqref="S208">
    <cfRule type="expression" dxfId="833" priority="1402">
      <formula>S208&lt;(S209+S210+S211)</formula>
    </cfRule>
    <cfRule type="expression" dxfId="832" priority="1403">
      <formula>S208&gt;S207</formula>
    </cfRule>
  </conditionalFormatting>
  <conditionalFormatting sqref="U209">
    <cfRule type="expression" dxfId="831" priority="1392">
      <formula>U208&lt;(U209+U210+U211)</formula>
    </cfRule>
    <cfRule type="expression" dxfId="830" priority="1398">
      <formula>(U211+U210+U209)&gt;U207</formula>
    </cfRule>
  </conditionalFormatting>
  <conditionalFormatting sqref="U210">
    <cfRule type="expression" dxfId="829" priority="1391">
      <formula>U208&lt;(U209+U210+U211)</formula>
    </cfRule>
    <cfRule type="expression" dxfId="828" priority="1397">
      <formula>(U211+U210+U209)&gt;U207</formula>
    </cfRule>
  </conditionalFormatting>
  <conditionalFormatting sqref="U211">
    <cfRule type="expression" dxfId="827" priority="1390">
      <formula>U208&lt;(U209+U210+U211)</formula>
    </cfRule>
    <cfRule type="expression" dxfId="826" priority="1396">
      <formula>(U211+U210+U209)&gt;U207</formula>
    </cfRule>
  </conditionalFormatting>
  <conditionalFormatting sqref="U208">
    <cfRule type="cellIs" dxfId="825" priority="1395" operator="equal">
      <formula>0</formula>
    </cfRule>
  </conditionalFormatting>
  <conditionalFormatting sqref="U208">
    <cfRule type="expression" dxfId="824" priority="1393">
      <formula>U208&lt;(U209+U210+U211)</formula>
    </cfRule>
    <cfRule type="expression" dxfId="823" priority="1394">
      <formula>U208&gt;U207</formula>
    </cfRule>
  </conditionalFormatting>
  <conditionalFormatting sqref="W209">
    <cfRule type="expression" dxfId="822" priority="1383">
      <formula>W208&lt;(W209+W210+W211)</formula>
    </cfRule>
    <cfRule type="expression" dxfId="821" priority="1389">
      <formula>(W211+W210+W209)&gt;W207</formula>
    </cfRule>
  </conditionalFormatting>
  <conditionalFormatting sqref="W210">
    <cfRule type="expression" dxfId="820" priority="1382">
      <formula>W208&lt;(W209+W210+W211)</formula>
    </cfRule>
    <cfRule type="expression" dxfId="819" priority="1388">
      <formula>(W211+W210+W209)&gt;W207</formula>
    </cfRule>
  </conditionalFormatting>
  <conditionalFormatting sqref="W211">
    <cfRule type="expression" dxfId="818" priority="1381">
      <formula>W208&lt;(W209+W210+W211)</formula>
    </cfRule>
    <cfRule type="expression" dxfId="817" priority="1387">
      <formula>(W211+W210+W209)&gt;W207</formula>
    </cfRule>
  </conditionalFormatting>
  <conditionalFormatting sqref="W208">
    <cfRule type="cellIs" dxfId="816" priority="1386" operator="equal">
      <formula>0</formula>
    </cfRule>
  </conditionalFormatting>
  <conditionalFormatting sqref="W208">
    <cfRule type="expression" dxfId="815" priority="1384">
      <formula>W208&lt;(W209+W210+W211)</formula>
    </cfRule>
    <cfRule type="expression" dxfId="814" priority="1385">
      <formula>W208&gt;W207</formula>
    </cfRule>
  </conditionalFormatting>
  <conditionalFormatting sqref="Y209">
    <cfRule type="expression" dxfId="813" priority="1374">
      <formula>Y208&lt;(Y209+Y210+Y211)</formula>
    </cfRule>
    <cfRule type="expression" dxfId="812" priority="1380">
      <formula>(Y211+Y210+Y209)&gt;Y207</formula>
    </cfRule>
  </conditionalFormatting>
  <conditionalFormatting sqref="Y210">
    <cfRule type="expression" dxfId="811" priority="1373">
      <formula>Y208&lt;(Y209+Y210+Y211)</formula>
    </cfRule>
    <cfRule type="expression" dxfId="810" priority="1379">
      <formula>(Y211+Y210+Y209)&gt;Y207</formula>
    </cfRule>
  </conditionalFormatting>
  <conditionalFormatting sqref="Y211">
    <cfRule type="expression" dxfId="809" priority="1372">
      <formula>Y208&lt;(Y209+Y210+Y211)</formula>
    </cfRule>
    <cfRule type="expression" dxfId="808" priority="1378">
      <formula>(Y211+Y210+Y209)&gt;Y207</formula>
    </cfRule>
  </conditionalFormatting>
  <conditionalFormatting sqref="Y208">
    <cfRule type="cellIs" dxfId="807" priority="1377" operator="equal">
      <formula>0</formula>
    </cfRule>
  </conditionalFormatting>
  <conditionalFormatting sqref="Y208">
    <cfRule type="expression" dxfId="806" priority="1375">
      <formula>Y208&lt;(Y209+Y210+Y211)</formula>
    </cfRule>
    <cfRule type="expression" dxfId="805" priority="1376">
      <formula>Y208&gt;Y207</formula>
    </cfRule>
  </conditionalFormatting>
  <conditionalFormatting sqref="AC209 AE209 AG209 AI209">
    <cfRule type="expression" dxfId="804" priority="1365">
      <formula>AC208&lt;(AC209+AC210+AC211)</formula>
    </cfRule>
    <cfRule type="expression" dxfId="803" priority="1371">
      <formula>(AC211+AC210+AC209)&gt;AC207</formula>
    </cfRule>
  </conditionalFormatting>
  <conditionalFormatting sqref="AC210 AE210 AG210 AI210">
    <cfRule type="expression" dxfId="802" priority="1364">
      <formula>AC208&lt;(AC209+AC210+AC211)</formula>
    </cfRule>
    <cfRule type="expression" dxfId="801" priority="1370">
      <formula>(AC211+AC210+AC209)&gt;AC207</formula>
    </cfRule>
  </conditionalFormatting>
  <conditionalFormatting sqref="AC211 AE211 AG211 AI211">
    <cfRule type="expression" dxfId="800" priority="1363">
      <formula>AC208&lt;(AC209+AC210+AC211)</formula>
    </cfRule>
    <cfRule type="expression" dxfId="799" priority="1369">
      <formula>(AC211+AC210+AC209)&gt;AC207</formula>
    </cfRule>
  </conditionalFormatting>
  <conditionalFormatting sqref="AC208 AE208 AG208 AI208">
    <cfRule type="cellIs" dxfId="798" priority="1368" operator="equal">
      <formula>0</formula>
    </cfRule>
  </conditionalFormatting>
  <conditionalFormatting sqref="AC208 AE208 AG208 AI208">
    <cfRule type="expression" dxfId="797" priority="1366">
      <formula>AC208&lt;(AC209+AC210+AC211)</formula>
    </cfRule>
    <cfRule type="expression" dxfId="796" priority="1367">
      <formula>AC208&gt;AC207</formula>
    </cfRule>
  </conditionalFormatting>
  <conditionalFormatting sqref="M217">
    <cfRule type="expression" dxfId="795" priority="1356">
      <formula>M216&lt;(M217+M218+M219)</formula>
    </cfRule>
    <cfRule type="expression" dxfId="794" priority="1362">
      <formula>(M219+M218+M217)&gt;M215</formula>
    </cfRule>
  </conditionalFormatting>
  <conditionalFormatting sqref="M218">
    <cfRule type="expression" dxfId="793" priority="1355">
      <formula>M216&lt;(M217+M218+M219)</formula>
    </cfRule>
    <cfRule type="expression" dxfId="792" priority="1361">
      <formula>(M219+M218+M217)&gt;M215</formula>
    </cfRule>
  </conditionalFormatting>
  <conditionalFormatting sqref="M219">
    <cfRule type="expression" dxfId="791" priority="1354">
      <formula>M216&lt;(M217+M218+M219)</formula>
    </cfRule>
    <cfRule type="expression" dxfId="790" priority="1360">
      <formula>(M219+M218+M217)&gt;M215</formula>
    </cfRule>
  </conditionalFormatting>
  <conditionalFormatting sqref="M216">
    <cfRule type="cellIs" dxfId="789" priority="1359" operator="equal">
      <formula>0</formula>
    </cfRule>
  </conditionalFormatting>
  <conditionalFormatting sqref="M216">
    <cfRule type="expression" dxfId="788" priority="1357">
      <formula>M216&lt;(M217+M218+M219)</formula>
    </cfRule>
    <cfRule type="expression" dxfId="787" priority="1358">
      <formula>M216&gt;M215</formula>
    </cfRule>
  </conditionalFormatting>
  <conditionalFormatting sqref="O217">
    <cfRule type="expression" dxfId="786" priority="1347">
      <formula>O216&lt;(O217+O218+O219)</formula>
    </cfRule>
    <cfRule type="expression" dxfId="785" priority="1353">
      <formula>(O219+O218+O217)&gt;O215</formula>
    </cfRule>
  </conditionalFormatting>
  <conditionalFormatting sqref="O218">
    <cfRule type="expression" dxfId="784" priority="1346">
      <formula>O216&lt;(O217+O218+O219)</formula>
    </cfRule>
    <cfRule type="expression" dxfId="783" priority="1352">
      <formula>(O219+O218+O217)&gt;O215</formula>
    </cfRule>
  </conditionalFormatting>
  <conditionalFormatting sqref="O219">
    <cfRule type="expression" dxfId="782" priority="1345">
      <formula>O216&lt;(O217+O218+O219)</formula>
    </cfRule>
    <cfRule type="expression" dxfId="781" priority="1351">
      <formula>(O219+O218+O217)&gt;O215</formula>
    </cfRule>
  </conditionalFormatting>
  <conditionalFormatting sqref="O216">
    <cfRule type="cellIs" dxfId="780" priority="1350" operator="equal">
      <formula>0</formula>
    </cfRule>
  </conditionalFormatting>
  <conditionalFormatting sqref="O216">
    <cfRule type="expression" dxfId="779" priority="1348">
      <formula>O216&lt;(O217+O218+O219)</formula>
    </cfRule>
    <cfRule type="expression" dxfId="778" priority="1349">
      <formula>O216&gt;O215</formula>
    </cfRule>
  </conditionalFormatting>
  <conditionalFormatting sqref="Q217">
    <cfRule type="expression" dxfId="777" priority="1338">
      <formula>Q216&lt;(Q217+Q218+Q219)</formula>
    </cfRule>
    <cfRule type="expression" dxfId="776" priority="1344">
      <formula>(Q219+Q218+Q217)&gt;Q215</formula>
    </cfRule>
  </conditionalFormatting>
  <conditionalFormatting sqref="Q218">
    <cfRule type="expression" dxfId="775" priority="1337">
      <formula>Q216&lt;(Q217+Q218+Q219)</formula>
    </cfRule>
    <cfRule type="expression" dxfId="774" priority="1343">
      <formula>(Q219+Q218+Q217)&gt;Q215</formula>
    </cfRule>
  </conditionalFormatting>
  <conditionalFormatting sqref="Q219">
    <cfRule type="expression" dxfId="773" priority="1336">
      <formula>Q216&lt;(Q217+Q218+Q219)</formula>
    </cfRule>
    <cfRule type="expression" dxfId="772" priority="1342">
      <formula>(Q219+Q218+Q217)&gt;Q215</formula>
    </cfRule>
  </conditionalFormatting>
  <conditionalFormatting sqref="Q216">
    <cfRule type="cellIs" dxfId="771" priority="1341" operator="equal">
      <formula>0</formula>
    </cfRule>
  </conditionalFormatting>
  <conditionalFormatting sqref="Q216">
    <cfRule type="expression" dxfId="770" priority="1339">
      <formula>Q216&lt;(Q217+Q218+Q219)</formula>
    </cfRule>
    <cfRule type="expression" dxfId="769" priority="1340">
      <formula>Q216&gt;Q215</formula>
    </cfRule>
  </conditionalFormatting>
  <conditionalFormatting sqref="S217">
    <cfRule type="expression" dxfId="768" priority="1329">
      <formula>S216&lt;(S217+S218+S219)</formula>
    </cfRule>
    <cfRule type="expression" dxfId="767" priority="1335">
      <formula>(S219+S218+S217)&gt;S215</formula>
    </cfRule>
  </conditionalFormatting>
  <conditionalFormatting sqref="S218">
    <cfRule type="expression" dxfId="766" priority="1328">
      <formula>S216&lt;(S217+S218+S219)</formula>
    </cfRule>
    <cfRule type="expression" dxfId="765" priority="1334">
      <formula>(S219+S218+S217)&gt;S215</formula>
    </cfRule>
  </conditionalFormatting>
  <conditionalFormatting sqref="S219">
    <cfRule type="expression" dxfId="764" priority="1327">
      <formula>S216&lt;(S217+S218+S219)</formula>
    </cfRule>
    <cfRule type="expression" dxfId="763" priority="1333">
      <formula>(S219+S218+S217)&gt;S215</formula>
    </cfRule>
  </conditionalFormatting>
  <conditionalFormatting sqref="S216">
    <cfRule type="cellIs" dxfId="762" priority="1332" operator="equal">
      <formula>0</formula>
    </cfRule>
  </conditionalFormatting>
  <conditionalFormatting sqref="S216">
    <cfRule type="expression" dxfId="761" priority="1330">
      <formula>S216&lt;(S217+S218+S219)</formula>
    </cfRule>
    <cfRule type="expression" dxfId="760" priority="1331">
      <formula>S216&gt;S215</formula>
    </cfRule>
  </conditionalFormatting>
  <conditionalFormatting sqref="U217">
    <cfRule type="expression" dxfId="759" priority="1320">
      <formula>U216&lt;(U217+U218+U219)</formula>
    </cfRule>
    <cfRule type="expression" dxfId="758" priority="1326">
      <formula>(U219+U218+U217)&gt;U215</formula>
    </cfRule>
  </conditionalFormatting>
  <conditionalFormatting sqref="U218">
    <cfRule type="expression" dxfId="757" priority="1319">
      <formula>U216&lt;(U217+U218+U219)</formula>
    </cfRule>
    <cfRule type="expression" dxfId="756" priority="1325">
      <formula>(U219+U218+U217)&gt;U215</formula>
    </cfRule>
  </conditionalFormatting>
  <conditionalFormatting sqref="U219">
    <cfRule type="expression" dxfId="755" priority="1318">
      <formula>U216&lt;(U217+U218+U219)</formula>
    </cfRule>
    <cfRule type="expression" dxfId="754" priority="1324">
      <formula>(U219+U218+U217)&gt;U215</formula>
    </cfRule>
  </conditionalFormatting>
  <conditionalFormatting sqref="U216">
    <cfRule type="cellIs" dxfId="753" priority="1323" operator="equal">
      <formula>0</formula>
    </cfRule>
  </conditionalFormatting>
  <conditionalFormatting sqref="U216">
    <cfRule type="expression" dxfId="752" priority="1321">
      <formula>U216&lt;(U217+U218+U219)</formula>
    </cfRule>
    <cfRule type="expression" dxfId="751" priority="1322">
      <formula>U216&gt;U215</formula>
    </cfRule>
  </conditionalFormatting>
  <conditionalFormatting sqref="W217">
    <cfRule type="expression" dxfId="750" priority="1311">
      <formula>W216&lt;(W217+W218+W219)</formula>
    </cfRule>
    <cfRule type="expression" dxfId="749" priority="1317">
      <formula>(W219+W218+W217)&gt;W215</formula>
    </cfRule>
  </conditionalFormatting>
  <conditionalFormatting sqref="W218">
    <cfRule type="expression" dxfId="748" priority="1310">
      <formula>W216&lt;(W217+W218+W219)</formula>
    </cfRule>
    <cfRule type="expression" dxfId="747" priority="1316">
      <formula>(W219+W218+W217)&gt;W215</formula>
    </cfRule>
  </conditionalFormatting>
  <conditionalFormatting sqref="W219">
    <cfRule type="expression" dxfId="746" priority="1309">
      <formula>W216&lt;(W217+W218+W219)</formula>
    </cfRule>
    <cfRule type="expression" dxfId="745" priority="1315">
      <formula>(W219+W218+W217)&gt;W215</formula>
    </cfRule>
  </conditionalFormatting>
  <conditionalFormatting sqref="W216">
    <cfRule type="cellIs" dxfId="744" priority="1314" operator="equal">
      <formula>0</formula>
    </cfRule>
  </conditionalFormatting>
  <conditionalFormatting sqref="W216">
    <cfRule type="expression" dxfId="743" priority="1312">
      <formula>W216&lt;(W217+W218+W219)</formula>
    </cfRule>
    <cfRule type="expression" dxfId="742" priority="1313">
      <formula>W216&gt;W215</formula>
    </cfRule>
  </conditionalFormatting>
  <conditionalFormatting sqref="Y217">
    <cfRule type="expression" dxfId="741" priority="1302">
      <formula>Y216&lt;(Y217+Y218+Y219)</formula>
    </cfRule>
    <cfRule type="expression" dxfId="740" priority="1308">
      <formula>(Y219+Y218+Y217)&gt;Y215</formula>
    </cfRule>
  </conditionalFormatting>
  <conditionalFormatting sqref="Y218">
    <cfRule type="expression" dxfId="739" priority="1301">
      <formula>Y216&lt;(Y217+Y218+Y219)</formula>
    </cfRule>
    <cfRule type="expression" dxfId="738" priority="1307">
      <formula>(Y219+Y218+Y217)&gt;Y215</formula>
    </cfRule>
  </conditionalFormatting>
  <conditionalFormatting sqref="Y219">
    <cfRule type="expression" dxfId="737" priority="1300">
      <formula>Y216&lt;(Y217+Y218+Y219)</formula>
    </cfRule>
    <cfRule type="expression" dxfId="736" priority="1306">
      <formula>(Y219+Y218+Y217)&gt;Y215</formula>
    </cfRule>
  </conditionalFormatting>
  <conditionalFormatting sqref="Y216">
    <cfRule type="cellIs" dxfId="735" priority="1305" operator="equal">
      <formula>0</formula>
    </cfRule>
  </conditionalFormatting>
  <conditionalFormatting sqref="Y216">
    <cfRule type="expression" dxfId="734" priority="1303">
      <formula>Y216&lt;(Y217+Y218+Y219)</formula>
    </cfRule>
    <cfRule type="expression" dxfId="733" priority="1304">
      <formula>Y216&gt;Y215</formula>
    </cfRule>
  </conditionalFormatting>
  <conditionalFormatting sqref="AC217 AE217 AG217 AI217">
    <cfRule type="expression" dxfId="732" priority="1293">
      <formula>AC216&lt;(AC217+AC218+AC219)</formula>
    </cfRule>
    <cfRule type="expression" dxfId="731" priority="1299">
      <formula>(AC219+AC218+AC217)&gt;AC215</formula>
    </cfRule>
  </conditionalFormatting>
  <conditionalFormatting sqref="AC218 AE218 AG218 AI218">
    <cfRule type="expression" dxfId="730" priority="1292">
      <formula>AC216&lt;(AC217+AC218+AC219)</formula>
    </cfRule>
    <cfRule type="expression" dxfId="729" priority="1298">
      <formula>(AC219+AC218+AC217)&gt;AC215</formula>
    </cfRule>
  </conditionalFormatting>
  <conditionalFormatting sqref="AC219 AE219 AG219 AI219">
    <cfRule type="expression" dxfId="728" priority="1291">
      <formula>AC216&lt;(AC217+AC218+AC219)</formula>
    </cfRule>
    <cfRule type="expression" dxfId="727" priority="1297">
      <formula>(AC219+AC218+AC217)&gt;AC215</formula>
    </cfRule>
  </conditionalFormatting>
  <conditionalFormatting sqref="AC216 AE216 AG216 AI216">
    <cfRule type="cellIs" dxfId="726" priority="1296" operator="equal">
      <formula>0</formula>
    </cfRule>
  </conditionalFormatting>
  <conditionalFormatting sqref="AC216 AE216 AG216 AI216">
    <cfRule type="expression" dxfId="725" priority="1294">
      <formula>AC216&lt;(AC217+AC218+AC219)</formula>
    </cfRule>
    <cfRule type="expression" dxfId="724" priority="1295">
      <formula>AC216&gt;AC215</formula>
    </cfRule>
  </conditionalFormatting>
  <conditionalFormatting sqref="F44:AA44">
    <cfRule type="cellIs" dxfId="723" priority="1289" operator="equal">
      <formula>0</formula>
    </cfRule>
  </conditionalFormatting>
  <conditionalFormatting sqref="J139:AA139">
    <cfRule type="expression" dxfId="722" priority="3234">
      <formula>J137&gt;J139</formula>
    </cfRule>
  </conditionalFormatting>
  <conditionalFormatting sqref="AA365">
    <cfRule type="expression" dxfId="721" priority="3240">
      <formula>AJ366&gt;(AJ362+AJ363+AJ364)</formula>
    </cfRule>
  </conditionalFormatting>
  <conditionalFormatting sqref="AK66:AK67">
    <cfRule type="notContainsBlanks" dxfId="720" priority="1287">
      <formula>LEN(TRIM(AK66))&gt;0</formula>
    </cfRule>
  </conditionalFormatting>
  <conditionalFormatting sqref="AM70">
    <cfRule type="notContainsBlanks" dxfId="719" priority="1285">
      <formula>LEN(TRIM(AM70))&gt;0</formula>
    </cfRule>
  </conditionalFormatting>
  <conditionalFormatting sqref="AM66:AM67 AM70:AM71">
    <cfRule type="notContainsBlanks" dxfId="718" priority="1284">
      <formula>LEN(TRIM(AM66))&gt;0</formula>
    </cfRule>
  </conditionalFormatting>
  <conditionalFormatting sqref="AL66">
    <cfRule type="notContainsBlanks" dxfId="717" priority="1288">
      <formula>LEN(TRIM(AL66))&gt;0</formula>
    </cfRule>
  </conditionalFormatting>
  <conditionalFormatting sqref="AJ66:AJ67">
    <cfRule type="cellIs" dxfId="716" priority="1278" operator="equal">
      <formula>0</formula>
    </cfRule>
  </conditionalFormatting>
  <conditionalFormatting sqref="AK76:AK77">
    <cfRule type="notContainsBlanks" dxfId="715" priority="1275">
      <formula>LEN(TRIM(AK76))&gt;0</formula>
    </cfRule>
  </conditionalFormatting>
  <conditionalFormatting sqref="AM74">
    <cfRule type="notContainsBlanks" dxfId="714" priority="1274">
      <formula>LEN(TRIM(AM74))&gt;0</formula>
    </cfRule>
  </conditionalFormatting>
  <conditionalFormatting sqref="AM74:AM77">
    <cfRule type="notContainsBlanks" dxfId="713" priority="1273">
      <formula>LEN(TRIM(AM74))&gt;0</formula>
    </cfRule>
  </conditionalFormatting>
  <conditionalFormatting sqref="AK80:AK81">
    <cfRule type="notContainsBlanks" dxfId="712" priority="1267">
      <formula>LEN(TRIM(AK80))&gt;0</formula>
    </cfRule>
  </conditionalFormatting>
  <conditionalFormatting sqref="AM78">
    <cfRule type="notContainsBlanks" dxfId="711" priority="1266">
      <formula>LEN(TRIM(AM78))&gt;0</formula>
    </cfRule>
  </conditionalFormatting>
  <conditionalFormatting sqref="AM78:AM81">
    <cfRule type="notContainsBlanks" dxfId="710" priority="1265">
      <formula>LEN(TRIM(AM78))&gt;0</formula>
    </cfRule>
  </conditionalFormatting>
  <conditionalFormatting sqref="AK88:AK89">
    <cfRule type="notContainsBlanks" dxfId="709" priority="1258">
      <formula>LEN(TRIM(AK88))&gt;0</formula>
    </cfRule>
  </conditionalFormatting>
  <conditionalFormatting sqref="AM86">
    <cfRule type="notContainsBlanks" dxfId="708" priority="1257">
      <formula>LEN(TRIM(AM86))&gt;0</formula>
    </cfRule>
  </conditionalFormatting>
  <conditionalFormatting sqref="AM86:AM89">
    <cfRule type="notContainsBlanks" dxfId="707" priority="1256">
      <formula>LEN(TRIM(AM86))&gt;0</formula>
    </cfRule>
  </conditionalFormatting>
  <conditionalFormatting sqref="AK92:AK93">
    <cfRule type="notContainsBlanks" dxfId="706" priority="1249">
      <formula>LEN(TRIM(AK92))&gt;0</formula>
    </cfRule>
  </conditionalFormatting>
  <conditionalFormatting sqref="AM90">
    <cfRule type="notContainsBlanks" dxfId="705" priority="1248">
      <formula>LEN(TRIM(AM90))&gt;0</formula>
    </cfRule>
  </conditionalFormatting>
  <conditionalFormatting sqref="AM90:AM93">
    <cfRule type="notContainsBlanks" dxfId="704" priority="1247">
      <formula>LEN(TRIM(AM90))&gt;0</formula>
    </cfRule>
  </conditionalFormatting>
  <conditionalFormatting sqref="AK96:AK97">
    <cfRule type="notContainsBlanks" dxfId="703" priority="1240">
      <formula>LEN(TRIM(AK96))&gt;0</formula>
    </cfRule>
  </conditionalFormatting>
  <conditionalFormatting sqref="AM94">
    <cfRule type="notContainsBlanks" dxfId="702" priority="1239">
      <formula>LEN(TRIM(AM94))&gt;0</formula>
    </cfRule>
  </conditionalFormatting>
  <conditionalFormatting sqref="AM94:AM97">
    <cfRule type="notContainsBlanks" dxfId="701" priority="1238">
      <formula>LEN(TRIM(AM94))&gt;0</formula>
    </cfRule>
  </conditionalFormatting>
  <conditionalFormatting sqref="AK100:AK101">
    <cfRule type="notContainsBlanks" dxfId="700" priority="1231">
      <formula>LEN(TRIM(AK100))&gt;0</formula>
    </cfRule>
  </conditionalFormatting>
  <conditionalFormatting sqref="AM98">
    <cfRule type="notContainsBlanks" dxfId="699" priority="1230">
      <formula>LEN(TRIM(AM98))&gt;0</formula>
    </cfRule>
  </conditionalFormatting>
  <conditionalFormatting sqref="AM98:AM101">
    <cfRule type="notContainsBlanks" dxfId="698" priority="1229">
      <formula>LEN(TRIM(AM98))&gt;0</formula>
    </cfRule>
  </conditionalFormatting>
  <conditionalFormatting sqref="AK104:AK105">
    <cfRule type="notContainsBlanks" dxfId="697" priority="1222">
      <formula>LEN(TRIM(AK104))&gt;0</formula>
    </cfRule>
  </conditionalFormatting>
  <conditionalFormatting sqref="AM102">
    <cfRule type="notContainsBlanks" dxfId="696" priority="1221">
      <formula>LEN(TRIM(AM102))&gt;0</formula>
    </cfRule>
  </conditionalFormatting>
  <conditionalFormatting sqref="AM102:AM105">
    <cfRule type="notContainsBlanks" dxfId="695" priority="1220">
      <formula>LEN(TRIM(AM102))&gt;0</formula>
    </cfRule>
  </conditionalFormatting>
  <conditionalFormatting sqref="AK84:AK85">
    <cfRule type="notContainsBlanks" dxfId="694" priority="1195">
      <formula>LEN(TRIM(AK84))&gt;0</formula>
    </cfRule>
  </conditionalFormatting>
  <conditionalFormatting sqref="AM82">
    <cfRule type="notContainsBlanks" dxfId="693" priority="1194">
      <formula>LEN(TRIM(AM82))&gt;0</formula>
    </cfRule>
  </conditionalFormatting>
  <conditionalFormatting sqref="AM82:AM85">
    <cfRule type="notContainsBlanks" dxfId="692" priority="1193">
      <formula>LEN(TRIM(AM82))&gt;0</formula>
    </cfRule>
  </conditionalFormatting>
  <conditionalFormatting sqref="AJ74:AJ77">
    <cfRule type="cellIs" dxfId="691" priority="1173" operator="equal">
      <formula>0</formula>
    </cfRule>
  </conditionalFormatting>
  <conditionalFormatting sqref="AJ78:AJ81">
    <cfRule type="cellIs" dxfId="690" priority="1172" operator="equal">
      <formula>0</formula>
    </cfRule>
  </conditionalFormatting>
  <conditionalFormatting sqref="F52:AA52">
    <cfRule type="expression" dxfId="689" priority="1186">
      <formula>F53&gt;F52</formula>
    </cfRule>
  </conditionalFormatting>
  <conditionalFormatting sqref="AK106:AK107">
    <cfRule type="notContainsBlanks" dxfId="688" priority="1184">
      <formula>LEN(TRIM(AK106))&gt;0</formula>
    </cfRule>
  </conditionalFormatting>
  <conditionalFormatting sqref="AM106">
    <cfRule type="notContainsBlanks" dxfId="687" priority="1183">
      <formula>LEN(TRIM(AM106))&gt;0</formula>
    </cfRule>
  </conditionalFormatting>
  <conditionalFormatting sqref="AM106:AM107">
    <cfRule type="notContainsBlanks" dxfId="686" priority="1182">
      <formula>LEN(TRIM(AM106))&gt;0</formula>
    </cfRule>
  </conditionalFormatting>
  <conditionalFormatting sqref="AJ94:AJ97">
    <cfRule type="cellIs" dxfId="685" priority="1168" operator="equal">
      <formula>0</formula>
    </cfRule>
  </conditionalFormatting>
  <conditionalFormatting sqref="AJ98:AJ107">
    <cfRule type="cellIs" dxfId="684" priority="1167" operator="equal">
      <formula>0</formula>
    </cfRule>
  </conditionalFormatting>
  <conditionalFormatting sqref="AJ70:AJ71">
    <cfRule type="cellIs" dxfId="683" priority="1174" operator="equal">
      <formula>0</formula>
    </cfRule>
  </conditionalFormatting>
  <conditionalFormatting sqref="AJ82:AJ85">
    <cfRule type="cellIs" dxfId="682" priority="1171" operator="equal">
      <formula>0</formula>
    </cfRule>
  </conditionalFormatting>
  <conditionalFormatting sqref="AJ86:AJ89">
    <cfRule type="cellIs" dxfId="681" priority="1170" operator="equal">
      <formula>0</formula>
    </cfRule>
  </conditionalFormatting>
  <conditionalFormatting sqref="AJ90:AJ93">
    <cfRule type="cellIs" dxfId="680" priority="1169" operator="equal">
      <formula>0</formula>
    </cfRule>
  </conditionalFormatting>
  <conditionalFormatting sqref="Z340:AA355">
    <cfRule type="cellIs" dxfId="679" priority="1153" operator="equal">
      <formula>0</formula>
    </cfRule>
  </conditionalFormatting>
  <conditionalFormatting sqref="AJ51:AJ52">
    <cfRule type="cellIs" dxfId="678" priority="1165" operator="equal">
      <formula>0</formula>
    </cfRule>
  </conditionalFormatting>
  <conditionalFormatting sqref="AJ53">
    <cfRule type="cellIs" dxfId="677" priority="1164" operator="equal">
      <formula>0</formula>
    </cfRule>
  </conditionalFormatting>
  <conditionalFormatting sqref="M314">
    <cfRule type="expression" dxfId="676" priority="1150">
      <formula>M314&gt;M331</formula>
    </cfRule>
    <cfRule type="expression" dxfId="675" priority="1151">
      <formula>M314&gt;M331 &amp; EXACT($I$3,"1") &amp; EXACT($E$3,"1")</formula>
    </cfRule>
  </conditionalFormatting>
  <conditionalFormatting sqref="O314">
    <cfRule type="expression" dxfId="674" priority="1148">
      <formula>O314&gt;O331</formula>
    </cfRule>
    <cfRule type="expression" dxfId="673" priority="1149">
      <formula>O314&gt;O331 &amp; EXACT($I$3,"1") &amp; EXACT($E$3,"1")</formula>
    </cfRule>
  </conditionalFormatting>
  <conditionalFormatting sqref="Q314">
    <cfRule type="expression" dxfId="672" priority="1146">
      <formula>Q314&gt;Q331</formula>
    </cfRule>
    <cfRule type="expression" dxfId="671" priority="1147">
      <formula>Q314&gt;Q331 &amp; EXACT($I$3,"1") &amp; EXACT($E$3,"1")</formula>
    </cfRule>
  </conditionalFormatting>
  <conditionalFormatting sqref="S314">
    <cfRule type="expression" dxfId="670" priority="1144">
      <formula>S314&gt;S331</formula>
    </cfRule>
    <cfRule type="expression" dxfId="669" priority="1145">
      <formula>S314&gt;S331 &amp; EXACT($I$3,"1") &amp; EXACT($E$3,"1")</formula>
    </cfRule>
  </conditionalFormatting>
  <conditionalFormatting sqref="U314">
    <cfRule type="expression" dxfId="668" priority="1142">
      <formula>U314&gt;U331</formula>
    </cfRule>
    <cfRule type="expression" dxfId="667" priority="1143">
      <formula>U314&gt;U331 &amp; EXACT($I$3,"1") &amp; EXACT($E$3,"1")</formula>
    </cfRule>
  </conditionalFormatting>
  <conditionalFormatting sqref="W314">
    <cfRule type="expression" dxfId="666" priority="1140">
      <formula>W314&gt;W331</formula>
    </cfRule>
    <cfRule type="expression" dxfId="665" priority="1141">
      <formula>W314&gt;W331 &amp; EXACT($I$3,"1") &amp; EXACT($E$3,"1")</formula>
    </cfRule>
  </conditionalFormatting>
  <conditionalFormatting sqref="Y314">
    <cfRule type="expression" dxfId="664" priority="1138">
      <formula>Y314&gt;Y331</formula>
    </cfRule>
    <cfRule type="expression" dxfId="663" priority="1139">
      <formula>Y314&gt;Y331 &amp; EXACT($I$3,"1") &amp; EXACT($E$3,"1")</formula>
    </cfRule>
  </conditionalFormatting>
  <conditionalFormatting sqref="K331">
    <cfRule type="expression" dxfId="662" priority="1137">
      <formula>K314&gt;K331</formula>
    </cfRule>
  </conditionalFormatting>
  <conditionalFormatting sqref="M331">
    <cfRule type="expression" dxfId="661" priority="1136">
      <formula>M314&gt;M331</formula>
    </cfRule>
  </conditionalFormatting>
  <conditionalFormatting sqref="O331">
    <cfRule type="expression" dxfId="660" priority="1135">
      <formula>O314&gt;O331</formula>
    </cfRule>
  </conditionalFormatting>
  <conditionalFormatting sqref="Q331">
    <cfRule type="expression" dxfId="659" priority="1134">
      <formula>Q314&gt;Q331</formula>
    </cfRule>
  </conditionalFormatting>
  <conditionalFormatting sqref="S331">
    <cfRule type="expression" dxfId="658" priority="1133">
      <formula>S314&gt;S331</formula>
    </cfRule>
  </conditionalFormatting>
  <conditionalFormatting sqref="U331">
    <cfRule type="expression" dxfId="657" priority="1132">
      <formula>U314&gt;U331</formula>
    </cfRule>
  </conditionalFormatting>
  <conditionalFormatting sqref="W331">
    <cfRule type="expression" dxfId="656" priority="1131">
      <formula>W314&gt;W331</formula>
    </cfRule>
  </conditionalFormatting>
  <conditionalFormatting sqref="Y331">
    <cfRule type="expression" dxfId="655" priority="1130">
      <formula>Y314&gt;Y331</formula>
    </cfRule>
  </conditionalFormatting>
  <conditionalFormatting sqref="AA331:AI331">
    <cfRule type="expression" dxfId="654" priority="1129">
      <formula>AA314&gt;AA331</formula>
    </cfRule>
  </conditionalFormatting>
  <conditionalFormatting sqref="AK418:AK419">
    <cfRule type="notContainsBlanks" dxfId="653" priority="1126">
      <formula>LEN(TRIM(AK418))&gt;0</formula>
    </cfRule>
  </conditionalFormatting>
  <conditionalFormatting sqref="AM418">
    <cfRule type="notContainsBlanks" dxfId="652" priority="1125">
      <formula>LEN(TRIM(AM418))&gt;0</formula>
    </cfRule>
  </conditionalFormatting>
  <conditionalFormatting sqref="AJ418">
    <cfRule type="cellIs" dxfId="651" priority="1123" operator="equal">
      <formula>0</formula>
    </cfRule>
  </conditionalFormatting>
  <conditionalFormatting sqref="AJ419">
    <cfRule type="cellIs" dxfId="650" priority="1122" operator="equal">
      <formula>0</formula>
    </cfRule>
  </conditionalFormatting>
  <conditionalFormatting sqref="AJ417">
    <cfRule type="cellIs" dxfId="649" priority="1121" operator="equal">
      <formula>0</formula>
    </cfRule>
  </conditionalFormatting>
  <conditionalFormatting sqref="AM420">
    <cfRule type="notContainsBlanks" dxfId="648" priority="1116">
      <formula>LEN(TRIM(AM420))&gt;0</formula>
    </cfRule>
  </conditionalFormatting>
  <conditionalFormatting sqref="AK420">
    <cfRule type="notContainsBlanks" dxfId="647" priority="1115">
      <formula>LEN(TRIM(AK420))&gt;0</formula>
    </cfRule>
  </conditionalFormatting>
  <conditionalFormatting sqref="AJ420">
    <cfRule type="cellIs" dxfId="646" priority="1114" operator="equal">
      <formula>0</formula>
    </cfRule>
  </conditionalFormatting>
  <conditionalFormatting sqref="AM421">
    <cfRule type="notContainsBlanks" dxfId="645" priority="1111">
      <formula>LEN(TRIM(AM421))&gt;0</formula>
    </cfRule>
  </conditionalFormatting>
  <conditionalFormatting sqref="AK421">
    <cfRule type="notContainsBlanks" dxfId="644" priority="1110">
      <formula>LEN(TRIM(AK421))&gt;0</formula>
    </cfRule>
  </conditionalFormatting>
  <conditionalFormatting sqref="AJ421">
    <cfRule type="cellIs" dxfId="643" priority="1109" operator="equal">
      <formula>0</formula>
    </cfRule>
  </conditionalFormatting>
  <conditionalFormatting sqref="AM422:AM424">
    <cfRule type="notContainsBlanks" dxfId="642" priority="1101">
      <formula>LEN(TRIM(AM422))&gt;0</formula>
    </cfRule>
  </conditionalFormatting>
  <conditionalFormatting sqref="AK423:AK424">
    <cfRule type="notContainsBlanks" dxfId="641" priority="1100">
      <formula>LEN(TRIM(AK423))&gt;0</formula>
    </cfRule>
  </conditionalFormatting>
  <conditionalFormatting sqref="AM423">
    <cfRule type="notContainsBlanks" dxfId="640" priority="1099">
      <formula>LEN(TRIM(AM423))&gt;0</formula>
    </cfRule>
  </conditionalFormatting>
  <conditionalFormatting sqref="AM425">
    <cfRule type="notContainsBlanks" dxfId="639" priority="1093">
      <formula>LEN(TRIM(AM425))&gt;0</formula>
    </cfRule>
  </conditionalFormatting>
  <conditionalFormatting sqref="AK425">
    <cfRule type="notContainsBlanks" dxfId="638" priority="1092">
      <formula>LEN(TRIM(AK425))&gt;0</formula>
    </cfRule>
  </conditionalFormatting>
  <conditionalFormatting sqref="AM426">
    <cfRule type="notContainsBlanks" dxfId="637" priority="1088">
      <formula>LEN(TRIM(AM426))&gt;0</formula>
    </cfRule>
  </conditionalFormatting>
  <conditionalFormatting sqref="AK426">
    <cfRule type="notContainsBlanks" dxfId="636" priority="1087">
      <formula>LEN(TRIM(AK426))&gt;0</formula>
    </cfRule>
  </conditionalFormatting>
  <conditionalFormatting sqref="AM427:AM429">
    <cfRule type="notContainsBlanks" dxfId="635" priority="1078">
      <formula>LEN(TRIM(AM427))&gt;0</formula>
    </cfRule>
  </conditionalFormatting>
  <conditionalFormatting sqref="AK428:AK429">
    <cfRule type="notContainsBlanks" dxfId="634" priority="1077">
      <formula>LEN(TRIM(AK428))&gt;0</formula>
    </cfRule>
  </conditionalFormatting>
  <conditionalFormatting sqref="AM428">
    <cfRule type="notContainsBlanks" dxfId="633" priority="1076">
      <formula>LEN(TRIM(AM428))&gt;0</formula>
    </cfRule>
  </conditionalFormatting>
  <conditionalFormatting sqref="AM430">
    <cfRule type="notContainsBlanks" dxfId="632" priority="1070">
      <formula>LEN(TRIM(AM430))&gt;0</formula>
    </cfRule>
  </conditionalFormatting>
  <conditionalFormatting sqref="AK430">
    <cfRule type="notContainsBlanks" dxfId="631" priority="1069">
      <formula>LEN(TRIM(AK430))&gt;0</formula>
    </cfRule>
  </conditionalFormatting>
  <conditionalFormatting sqref="AM431">
    <cfRule type="notContainsBlanks" dxfId="630" priority="1065">
      <formula>LEN(TRIM(AM431))&gt;0</formula>
    </cfRule>
  </conditionalFormatting>
  <conditionalFormatting sqref="AK431">
    <cfRule type="notContainsBlanks" dxfId="629" priority="1064">
      <formula>LEN(TRIM(AK431))&gt;0</formula>
    </cfRule>
  </conditionalFormatting>
  <conditionalFormatting sqref="AM432:AM434">
    <cfRule type="notContainsBlanks" dxfId="628" priority="1055">
      <formula>LEN(TRIM(AM432))&gt;0</formula>
    </cfRule>
  </conditionalFormatting>
  <conditionalFormatting sqref="AK433:AK434">
    <cfRule type="notContainsBlanks" dxfId="627" priority="1054">
      <formula>LEN(TRIM(AK433))&gt;0</formula>
    </cfRule>
  </conditionalFormatting>
  <conditionalFormatting sqref="AM433">
    <cfRule type="notContainsBlanks" dxfId="626" priority="1053">
      <formula>LEN(TRIM(AM433))&gt;0</formula>
    </cfRule>
  </conditionalFormatting>
  <conditionalFormatting sqref="AM435">
    <cfRule type="notContainsBlanks" dxfId="625" priority="1047">
      <formula>LEN(TRIM(AM435))&gt;0</formula>
    </cfRule>
  </conditionalFormatting>
  <conditionalFormatting sqref="AK435">
    <cfRule type="notContainsBlanks" dxfId="624" priority="1046">
      <formula>LEN(TRIM(AK435))&gt;0</formula>
    </cfRule>
  </conditionalFormatting>
  <conditionalFormatting sqref="AJ424">
    <cfRule type="cellIs" dxfId="623" priority="1033" operator="equal">
      <formula>0</formula>
    </cfRule>
  </conditionalFormatting>
  <conditionalFormatting sqref="AM436">
    <cfRule type="notContainsBlanks" dxfId="622" priority="1042">
      <formula>LEN(TRIM(AM436))&gt;0</formula>
    </cfRule>
  </conditionalFormatting>
  <conditionalFormatting sqref="AK436">
    <cfRule type="notContainsBlanks" dxfId="621" priority="1041">
      <formula>LEN(TRIM(AK436))&gt;0</formula>
    </cfRule>
  </conditionalFormatting>
  <conditionalFormatting sqref="AJ426">
    <cfRule type="cellIs" dxfId="620" priority="1028" operator="equal">
      <formula>0</formula>
    </cfRule>
  </conditionalFormatting>
  <conditionalFormatting sqref="AJ423">
    <cfRule type="cellIs" dxfId="619" priority="1034" operator="equal">
      <formula>0</formula>
    </cfRule>
  </conditionalFormatting>
  <conditionalFormatting sqref="AJ422">
    <cfRule type="cellIs" dxfId="618" priority="1032" operator="equal">
      <formula>0</formula>
    </cfRule>
  </conditionalFormatting>
  <conditionalFormatting sqref="AJ425">
    <cfRule type="cellIs" dxfId="617" priority="1030" operator="equal">
      <formula>0</formula>
    </cfRule>
  </conditionalFormatting>
  <conditionalFormatting sqref="AJ428">
    <cfRule type="cellIs" dxfId="616" priority="1022" operator="equal">
      <formula>0</formula>
    </cfRule>
  </conditionalFormatting>
  <conditionalFormatting sqref="AJ429">
    <cfRule type="cellIs" dxfId="615" priority="1021" operator="equal">
      <formula>0</formula>
    </cfRule>
  </conditionalFormatting>
  <conditionalFormatting sqref="AJ427">
    <cfRule type="cellIs" dxfId="614" priority="1020" operator="equal">
      <formula>0</formula>
    </cfRule>
  </conditionalFormatting>
  <conditionalFormatting sqref="AJ430">
    <cfRule type="cellIs" dxfId="613" priority="1018" operator="equal">
      <formula>0</formula>
    </cfRule>
  </conditionalFormatting>
  <conditionalFormatting sqref="AJ431">
    <cfRule type="cellIs" dxfId="612" priority="1016" operator="equal">
      <formula>0</formula>
    </cfRule>
  </conditionalFormatting>
  <conditionalFormatting sqref="AJ433">
    <cfRule type="cellIs" dxfId="611" priority="1010" operator="equal">
      <formula>0</formula>
    </cfRule>
  </conditionalFormatting>
  <conditionalFormatting sqref="AJ434">
    <cfRule type="cellIs" dxfId="610" priority="1009" operator="equal">
      <formula>0</formula>
    </cfRule>
  </conditionalFormatting>
  <conditionalFormatting sqref="AJ432">
    <cfRule type="cellIs" dxfId="609" priority="1008" operator="equal">
      <formula>0</formula>
    </cfRule>
  </conditionalFormatting>
  <conditionalFormatting sqref="AJ435">
    <cfRule type="cellIs" dxfId="608" priority="1006" operator="equal">
      <formula>0</formula>
    </cfRule>
  </conditionalFormatting>
  <conditionalFormatting sqref="AJ436">
    <cfRule type="cellIs" dxfId="607" priority="1004" operator="equal">
      <formula>0</formula>
    </cfRule>
  </conditionalFormatting>
  <conditionalFormatting sqref="AM437:AM439">
    <cfRule type="notContainsBlanks" dxfId="606" priority="996">
      <formula>LEN(TRIM(AM437))&gt;0</formula>
    </cfRule>
  </conditionalFormatting>
  <conditionalFormatting sqref="AK438:AK439">
    <cfRule type="notContainsBlanks" dxfId="605" priority="995">
      <formula>LEN(TRIM(AK438))&gt;0</formula>
    </cfRule>
  </conditionalFormatting>
  <conditionalFormatting sqref="AM438">
    <cfRule type="notContainsBlanks" dxfId="604" priority="994">
      <formula>LEN(TRIM(AM438))&gt;0</formula>
    </cfRule>
  </conditionalFormatting>
  <conditionalFormatting sqref="AJ438">
    <cfRule type="cellIs" dxfId="603" priority="993" operator="equal">
      <formula>0</formula>
    </cfRule>
  </conditionalFormatting>
  <conditionalFormatting sqref="AJ439">
    <cfRule type="cellIs" dxfId="602" priority="992" operator="equal">
      <formula>0</formula>
    </cfRule>
  </conditionalFormatting>
  <conditionalFormatting sqref="AJ437">
    <cfRule type="cellIs" dxfId="601" priority="991" operator="equal">
      <formula>0</formula>
    </cfRule>
  </conditionalFormatting>
  <conditionalFormatting sqref="AM440">
    <cfRule type="notContainsBlanks" dxfId="600" priority="988">
      <formula>LEN(TRIM(AM440))&gt;0</formula>
    </cfRule>
  </conditionalFormatting>
  <conditionalFormatting sqref="AK440">
    <cfRule type="notContainsBlanks" dxfId="599" priority="987">
      <formula>LEN(TRIM(AK440))&gt;0</formula>
    </cfRule>
  </conditionalFormatting>
  <conditionalFormatting sqref="AJ440">
    <cfRule type="cellIs" dxfId="598" priority="986" operator="equal">
      <formula>0</formula>
    </cfRule>
  </conditionalFormatting>
  <conditionalFormatting sqref="AM441">
    <cfRule type="notContainsBlanks" dxfId="597" priority="983">
      <formula>LEN(TRIM(AM441))&gt;0</formula>
    </cfRule>
  </conditionalFormatting>
  <conditionalFormatting sqref="AK441">
    <cfRule type="notContainsBlanks" dxfId="596" priority="982">
      <formula>LEN(TRIM(AK441))&gt;0</formula>
    </cfRule>
  </conditionalFormatting>
  <conditionalFormatting sqref="AJ441">
    <cfRule type="cellIs" dxfId="595" priority="981" operator="equal">
      <formula>0</formula>
    </cfRule>
  </conditionalFormatting>
  <conditionalFormatting sqref="AM442:AM444">
    <cfRule type="notContainsBlanks" dxfId="594" priority="973">
      <formula>LEN(TRIM(AM442))&gt;0</formula>
    </cfRule>
  </conditionalFormatting>
  <conditionalFormatting sqref="AK443:AK444">
    <cfRule type="notContainsBlanks" dxfId="593" priority="972">
      <formula>LEN(TRIM(AK443))&gt;0</formula>
    </cfRule>
  </conditionalFormatting>
  <conditionalFormatting sqref="AM443">
    <cfRule type="notContainsBlanks" dxfId="592" priority="971">
      <formula>LEN(TRIM(AM443))&gt;0</formula>
    </cfRule>
  </conditionalFormatting>
  <conditionalFormatting sqref="AM445">
    <cfRule type="notContainsBlanks" dxfId="591" priority="969">
      <formula>LEN(TRIM(AM445))&gt;0</formula>
    </cfRule>
  </conditionalFormatting>
  <conditionalFormatting sqref="AK445">
    <cfRule type="notContainsBlanks" dxfId="590" priority="968">
      <formula>LEN(TRIM(AK445))&gt;0</formula>
    </cfRule>
  </conditionalFormatting>
  <conditionalFormatting sqref="AM446">
    <cfRule type="notContainsBlanks" dxfId="589" priority="966">
      <formula>LEN(TRIM(AM446))&gt;0</formula>
    </cfRule>
  </conditionalFormatting>
  <conditionalFormatting sqref="AK446">
    <cfRule type="notContainsBlanks" dxfId="588" priority="965">
      <formula>LEN(TRIM(AK446))&gt;0</formula>
    </cfRule>
  </conditionalFormatting>
  <conditionalFormatting sqref="AM447:AM449">
    <cfRule type="notContainsBlanks" dxfId="587" priority="962">
      <formula>LEN(TRIM(AM447))&gt;0</formula>
    </cfRule>
  </conditionalFormatting>
  <conditionalFormatting sqref="AK448:AK449">
    <cfRule type="notContainsBlanks" dxfId="586" priority="961">
      <formula>LEN(TRIM(AK448))&gt;0</formula>
    </cfRule>
  </conditionalFormatting>
  <conditionalFormatting sqref="AM448">
    <cfRule type="notContainsBlanks" dxfId="585" priority="960">
      <formula>LEN(TRIM(AM448))&gt;0</formula>
    </cfRule>
  </conditionalFormatting>
  <conditionalFormatting sqref="AM450">
    <cfRule type="notContainsBlanks" dxfId="584" priority="958">
      <formula>LEN(TRIM(AM450))&gt;0</formula>
    </cfRule>
  </conditionalFormatting>
  <conditionalFormatting sqref="AK450">
    <cfRule type="notContainsBlanks" dxfId="583" priority="957">
      <formula>LEN(TRIM(AK450))&gt;0</formula>
    </cfRule>
  </conditionalFormatting>
  <conditionalFormatting sqref="AM451">
    <cfRule type="notContainsBlanks" dxfId="582" priority="955">
      <formula>LEN(TRIM(AM451))&gt;0</formula>
    </cfRule>
  </conditionalFormatting>
  <conditionalFormatting sqref="AK451">
    <cfRule type="notContainsBlanks" dxfId="581" priority="954">
      <formula>LEN(TRIM(AK451))&gt;0</formula>
    </cfRule>
  </conditionalFormatting>
  <conditionalFormatting sqref="AM452:AM454">
    <cfRule type="notContainsBlanks" dxfId="580" priority="951">
      <formula>LEN(TRIM(AM452))&gt;0</formula>
    </cfRule>
  </conditionalFormatting>
  <conditionalFormatting sqref="AK453:AK454">
    <cfRule type="notContainsBlanks" dxfId="579" priority="950">
      <formula>LEN(TRIM(AK453))&gt;0</formula>
    </cfRule>
  </conditionalFormatting>
  <conditionalFormatting sqref="AM453">
    <cfRule type="notContainsBlanks" dxfId="578" priority="949">
      <formula>LEN(TRIM(AM453))&gt;0</formula>
    </cfRule>
  </conditionalFormatting>
  <conditionalFormatting sqref="AM455">
    <cfRule type="notContainsBlanks" dxfId="577" priority="947">
      <formula>LEN(TRIM(AM455))&gt;0</formula>
    </cfRule>
  </conditionalFormatting>
  <conditionalFormatting sqref="AK455">
    <cfRule type="notContainsBlanks" dxfId="576" priority="946">
      <formula>LEN(TRIM(AK455))&gt;0</formula>
    </cfRule>
  </conditionalFormatting>
  <conditionalFormatting sqref="AJ444">
    <cfRule type="cellIs" dxfId="575" priority="941" operator="equal">
      <formula>0</formula>
    </cfRule>
  </conditionalFormatting>
  <conditionalFormatting sqref="AM456">
    <cfRule type="notContainsBlanks" dxfId="574" priority="944">
      <formula>LEN(TRIM(AM456))&gt;0</formula>
    </cfRule>
  </conditionalFormatting>
  <conditionalFormatting sqref="AK456">
    <cfRule type="notContainsBlanks" dxfId="573" priority="943">
      <formula>LEN(TRIM(AK456))&gt;0</formula>
    </cfRule>
  </conditionalFormatting>
  <conditionalFormatting sqref="AJ446">
    <cfRule type="cellIs" dxfId="572" priority="936" operator="equal">
      <formula>0</formula>
    </cfRule>
  </conditionalFormatting>
  <conditionalFormatting sqref="AJ443">
    <cfRule type="cellIs" dxfId="571" priority="942" operator="equal">
      <formula>0</formula>
    </cfRule>
  </conditionalFormatting>
  <conditionalFormatting sqref="AJ442">
    <cfRule type="cellIs" dxfId="570" priority="940" operator="equal">
      <formula>0</formula>
    </cfRule>
  </conditionalFormatting>
  <conditionalFormatting sqref="AJ445">
    <cfRule type="cellIs" dxfId="569" priority="938" operator="equal">
      <formula>0</formula>
    </cfRule>
  </conditionalFormatting>
  <conditionalFormatting sqref="AJ448">
    <cfRule type="cellIs" dxfId="568" priority="930" operator="equal">
      <formula>0</formula>
    </cfRule>
  </conditionalFormatting>
  <conditionalFormatting sqref="AJ449">
    <cfRule type="cellIs" dxfId="567" priority="929" operator="equal">
      <formula>0</formula>
    </cfRule>
  </conditionalFormatting>
  <conditionalFormatting sqref="AJ447">
    <cfRule type="cellIs" dxfId="566" priority="928" operator="equal">
      <formula>0</formula>
    </cfRule>
  </conditionalFormatting>
  <conditionalFormatting sqref="AJ450">
    <cfRule type="cellIs" dxfId="565" priority="926" operator="equal">
      <formula>0</formula>
    </cfRule>
  </conditionalFormatting>
  <conditionalFormatting sqref="AJ451">
    <cfRule type="cellIs" dxfId="564" priority="924" operator="equal">
      <formula>0</formula>
    </cfRule>
  </conditionalFormatting>
  <conditionalFormatting sqref="AJ453">
    <cfRule type="cellIs" dxfId="563" priority="918" operator="equal">
      <formula>0</formula>
    </cfRule>
  </conditionalFormatting>
  <conditionalFormatting sqref="AJ454">
    <cfRule type="cellIs" dxfId="562" priority="917" operator="equal">
      <formula>0</formula>
    </cfRule>
  </conditionalFormatting>
  <conditionalFormatting sqref="AJ452">
    <cfRule type="cellIs" dxfId="561" priority="916" operator="equal">
      <formula>0</formula>
    </cfRule>
  </conditionalFormatting>
  <conditionalFormatting sqref="AJ455">
    <cfRule type="cellIs" dxfId="560" priority="914" operator="equal">
      <formula>0</formula>
    </cfRule>
  </conditionalFormatting>
  <conditionalFormatting sqref="AJ456">
    <cfRule type="cellIs" dxfId="559" priority="912" operator="equal">
      <formula>0</formula>
    </cfRule>
  </conditionalFormatting>
  <conditionalFormatting sqref="AM457:AM459">
    <cfRule type="notContainsBlanks" dxfId="558" priority="904">
      <formula>LEN(TRIM(AM457))&gt;0</formula>
    </cfRule>
  </conditionalFormatting>
  <conditionalFormatting sqref="AK458:AK459">
    <cfRule type="notContainsBlanks" dxfId="557" priority="903">
      <formula>LEN(TRIM(AK458))&gt;0</formula>
    </cfRule>
  </conditionalFormatting>
  <conditionalFormatting sqref="AM458">
    <cfRule type="notContainsBlanks" dxfId="556" priority="902">
      <formula>LEN(TRIM(AM458))&gt;0</formula>
    </cfRule>
  </conditionalFormatting>
  <conditionalFormatting sqref="AJ458">
    <cfRule type="cellIs" dxfId="555" priority="901" operator="equal">
      <formula>0</formula>
    </cfRule>
  </conditionalFormatting>
  <conditionalFormatting sqref="AJ459">
    <cfRule type="cellIs" dxfId="554" priority="900" operator="equal">
      <formula>0</formula>
    </cfRule>
  </conditionalFormatting>
  <conditionalFormatting sqref="AJ457">
    <cfRule type="cellIs" dxfId="553" priority="899" operator="equal">
      <formula>0</formula>
    </cfRule>
  </conditionalFormatting>
  <conditionalFormatting sqref="AM460">
    <cfRule type="notContainsBlanks" dxfId="552" priority="896">
      <formula>LEN(TRIM(AM460))&gt;0</formula>
    </cfRule>
  </conditionalFormatting>
  <conditionalFormatting sqref="AK460">
    <cfRule type="notContainsBlanks" dxfId="551" priority="895">
      <formula>LEN(TRIM(AK460))&gt;0</formula>
    </cfRule>
  </conditionalFormatting>
  <conditionalFormatting sqref="AJ460">
    <cfRule type="cellIs" dxfId="550" priority="894" operator="equal">
      <formula>0</formula>
    </cfRule>
  </conditionalFormatting>
  <conditionalFormatting sqref="AM461">
    <cfRule type="notContainsBlanks" dxfId="549" priority="891">
      <formula>LEN(TRIM(AM461))&gt;0</formula>
    </cfRule>
  </conditionalFormatting>
  <conditionalFormatting sqref="AK461">
    <cfRule type="notContainsBlanks" dxfId="548" priority="890">
      <formula>LEN(TRIM(AK461))&gt;0</formula>
    </cfRule>
  </conditionalFormatting>
  <conditionalFormatting sqref="AJ461">
    <cfRule type="cellIs" dxfId="547" priority="889" operator="equal">
      <formula>0</formula>
    </cfRule>
  </conditionalFormatting>
  <conditionalFormatting sqref="AM462:AM464">
    <cfRule type="notContainsBlanks" dxfId="546" priority="881">
      <formula>LEN(TRIM(AM462))&gt;0</formula>
    </cfRule>
  </conditionalFormatting>
  <conditionalFormatting sqref="AK463:AK464">
    <cfRule type="notContainsBlanks" dxfId="545" priority="880">
      <formula>LEN(TRIM(AK463))&gt;0</formula>
    </cfRule>
  </conditionalFormatting>
  <conditionalFormatting sqref="AM463">
    <cfRule type="notContainsBlanks" dxfId="544" priority="879">
      <formula>LEN(TRIM(AM463))&gt;0</formula>
    </cfRule>
  </conditionalFormatting>
  <conditionalFormatting sqref="AM465">
    <cfRule type="notContainsBlanks" dxfId="543" priority="877">
      <formula>LEN(TRIM(AM465))&gt;0</formula>
    </cfRule>
  </conditionalFormatting>
  <conditionalFormatting sqref="AK465">
    <cfRule type="notContainsBlanks" dxfId="542" priority="876">
      <formula>LEN(TRIM(AK465))&gt;0</formula>
    </cfRule>
  </conditionalFormatting>
  <conditionalFormatting sqref="AM466">
    <cfRule type="notContainsBlanks" dxfId="541" priority="874">
      <formula>LEN(TRIM(AM466))&gt;0</formula>
    </cfRule>
  </conditionalFormatting>
  <conditionalFormatting sqref="AK466">
    <cfRule type="notContainsBlanks" dxfId="540" priority="873">
      <formula>LEN(TRIM(AK466))&gt;0</formula>
    </cfRule>
  </conditionalFormatting>
  <conditionalFormatting sqref="AM467:AM469">
    <cfRule type="notContainsBlanks" dxfId="539" priority="870">
      <formula>LEN(TRIM(AM467))&gt;0</formula>
    </cfRule>
  </conditionalFormatting>
  <conditionalFormatting sqref="AK468:AK469">
    <cfRule type="notContainsBlanks" dxfId="538" priority="869">
      <formula>LEN(TRIM(AK468))&gt;0</formula>
    </cfRule>
  </conditionalFormatting>
  <conditionalFormatting sqref="AM468">
    <cfRule type="notContainsBlanks" dxfId="537" priority="868">
      <formula>LEN(TRIM(AM468))&gt;0</formula>
    </cfRule>
  </conditionalFormatting>
  <conditionalFormatting sqref="AM470">
    <cfRule type="notContainsBlanks" dxfId="536" priority="866">
      <formula>LEN(TRIM(AM470))&gt;0</formula>
    </cfRule>
  </conditionalFormatting>
  <conditionalFormatting sqref="AK470">
    <cfRule type="notContainsBlanks" dxfId="535" priority="865">
      <formula>LEN(TRIM(AK470))&gt;0</formula>
    </cfRule>
  </conditionalFormatting>
  <conditionalFormatting sqref="AM471">
    <cfRule type="notContainsBlanks" dxfId="534" priority="863">
      <formula>LEN(TRIM(AM471))&gt;0</formula>
    </cfRule>
  </conditionalFormatting>
  <conditionalFormatting sqref="AK471">
    <cfRule type="notContainsBlanks" dxfId="533" priority="862">
      <formula>LEN(TRIM(AK471))&gt;0</formula>
    </cfRule>
  </conditionalFormatting>
  <conditionalFormatting sqref="AM472:AM474">
    <cfRule type="notContainsBlanks" dxfId="532" priority="859">
      <formula>LEN(TRIM(AM472))&gt;0</formula>
    </cfRule>
  </conditionalFormatting>
  <conditionalFormatting sqref="AK473:AK474">
    <cfRule type="notContainsBlanks" dxfId="531" priority="858">
      <formula>LEN(TRIM(AK473))&gt;0</formula>
    </cfRule>
  </conditionalFormatting>
  <conditionalFormatting sqref="AM473">
    <cfRule type="notContainsBlanks" dxfId="530" priority="857">
      <formula>LEN(TRIM(AM473))&gt;0</formula>
    </cfRule>
  </conditionalFormatting>
  <conditionalFormatting sqref="AM475">
    <cfRule type="notContainsBlanks" dxfId="529" priority="855">
      <formula>LEN(TRIM(AM475))&gt;0</formula>
    </cfRule>
  </conditionalFormatting>
  <conditionalFormatting sqref="AK475">
    <cfRule type="notContainsBlanks" dxfId="528" priority="854">
      <formula>LEN(TRIM(AK475))&gt;0</formula>
    </cfRule>
  </conditionalFormatting>
  <conditionalFormatting sqref="AJ464">
    <cfRule type="cellIs" dxfId="527" priority="849" operator="equal">
      <formula>0</formula>
    </cfRule>
  </conditionalFormatting>
  <conditionalFormatting sqref="AM476">
    <cfRule type="notContainsBlanks" dxfId="526" priority="852">
      <formula>LEN(TRIM(AM476))&gt;0</formula>
    </cfRule>
  </conditionalFormatting>
  <conditionalFormatting sqref="AK476">
    <cfRule type="notContainsBlanks" dxfId="525" priority="851">
      <formula>LEN(TRIM(AK476))&gt;0</formula>
    </cfRule>
  </conditionalFormatting>
  <conditionalFormatting sqref="AJ466">
    <cfRule type="cellIs" dxfId="524" priority="844" operator="equal">
      <formula>0</formula>
    </cfRule>
  </conditionalFormatting>
  <conditionalFormatting sqref="AJ463">
    <cfRule type="cellIs" dxfId="523" priority="850" operator="equal">
      <formula>0</formula>
    </cfRule>
  </conditionalFormatting>
  <conditionalFormatting sqref="AJ462">
    <cfRule type="cellIs" dxfId="522" priority="848" operator="equal">
      <formula>0</formula>
    </cfRule>
  </conditionalFormatting>
  <conditionalFormatting sqref="AJ465">
    <cfRule type="cellIs" dxfId="521" priority="846" operator="equal">
      <formula>0</formula>
    </cfRule>
  </conditionalFormatting>
  <conditionalFormatting sqref="AJ468">
    <cfRule type="cellIs" dxfId="520" priority="838" operator="equal">
      <formula>0</formula>
    </cfRule>
  </conditionalFormatting>
  <conditionalFormatting sqref="AJ469">
    <cfRule type="cellIs" dxfId="519" priority="837" operator="equal">
      <formula>0</formula>
    </cfRule>
  </conditionalFormatting>
  <conditionalFormatting sqref="AJ467">
    <cfRule type="cellIs" dxfId="518" priority="836" operator="equal">
      <formula>0</formula>
    </cfRule>
  </conditionalFormatting>
  <conditionalFormatting sqref="AJ470">
    <cfRule type="cellIs" dxfId="517" priority="834" operator="equal">
      <formula>0</formula>
    </cfRule>
  </conditionalFormatting>
  <conditionalFormatting sqref="AJ471">
    <cfRule type="cellIs" dxfId="516" priority="832" operator="equal">
      <formula>0</formula>
    </cfRule>
  </conditionalFormatting>
  <conditionalFormatting sqref="AJ473">
    <cfRule type="cellIs" dxfId="515" priority="826" operator="equal">
      <formula>0</formula>
    </cfRule>
  </conditionalFormatting>
  <conditionalFormatting sqref="AJ474">
    <cfRule type="cellIs" dxfId="514" priority="825" operator="equal">
      <formula>0</formula>
    </cfRule>
  </conditionalFormatting>
  <conditionalFormatting sqref="AJ472">
    <cfRule type="cellIs" dxfId="513" priority="824" operator="equal">
      <formula>0</formula>
    </cfRule>
  </conditionalFormatting>
  <conditionalFormatting sqref="AJ475">
    <cfRule type="cellIs" dxfId="512" priority="822" operator="equal">
      <formula>0</formula>
    </cfRule>
  </conditionalFormatting>
  <conditionalFormatting sqref="AJ476">
    <cfRule type="cellIs" dxfId="511" priority="820" operator="equal">
      <formula>0</formula>
    </cfRule>
  </conditionalFormatting>
  <conditionalFormatting sqref="AK477">
    <cfRule type="notContainsBlanks" dxfId="510" priority="812">
      <formula>LEN(TRIM(AK477))&gt;0</formula>
    </cfRule>
  </conditionalFormatting>
  <conditionalFormatting sqref="AM477:AM479">
    <cfRule type="notContainsBlanks" dxfId="509" priority="811">
      <formula>LEN(TRIM(AM477))&gt;0</formula>
    </cfRule>
  </conditionalFormatting>
  <conditionalFormatting sqref="AK478:AK479">
    <cfRule type="notContainsBlanks" dxfId="508" priority="810">
      <formula>LEN(TRIM(AK478))&gt;0</formula>
    </cfRule>
  </conditionalFormatting>
  <conditionalFormatting sqref="AM478">
    <cfRule type="notContainsBlanks" dxfId="507" priority="809">
      <formula>LEN(TRIM(AM478))&gt;0</formula>
    </cfRule>
  </conditionalFormatting>
  <conditionalFormatting sqref="AM480">
    <cfRule type="notContainsBlanks" dxfId="506" priority="807">
      <formula>LEN(TRIM(AM480))&gt;0</formula>
    </cfRule>
  </conditionalFormatting>
  <conditionalFormatting sqref="AK480">
    <cfRule type="notContainsBlanks" dxfId="505" priority="806">
      <formula>LEN(TRIM(AK480))&gt;0</formula>
    </cfRule>
  </conditionalFormatting>
  <conditionalFormatting sqref="AM481">
    <cfRule type="notContainsBlanks" dxfId="504" priority="804">
      <formula>LEN(TRIM(AM481))&gt;0</formula>
    </cfRule>
  </conditionalFormatting>
  <conditionalFormatting sqref="AK481">
    <cfRule type="notContainsBlanks" dxfId="503" priority="803">
      <formula>LEN(TRIM(AK481))&gt;0</formula>
    </cfRule>
  </conditionalFormatting>
  <conditionalFormatting sqref="AJ478">
    <cfRule type="cellIs" dxfId="502" priority="802" operator="equal">
      <formula>0</formula>
    </cfRule>
  </conditionalFormatting>
  <conditionalFormatting sqref="AJ479">
    <cfRule type="cellIs" dxfId="501" priority="801" operator="equal">
      <formula>0</formula>
    </cfRule>
  </conditionalFormatting>
  <conditionalFormatting sqref="AJ477">
    <cfRule type="cellIs" dxfId="500" priority="800" operator="equal">
      <formula>0</formula>
    </cfRule>
  </conditionalFormatting>
  <conditionalFormatting sqref="AJ480">
    <cfRule type="cellIs" dxfId="499" priority="798" operator="equal">
      <formula>0</formula>
    </cfRule>
  </conditionalFormatting>
  <conditionalFormatting sqref="AJ481">
    <cfRule type="cellIs" dxfId="498" priority="796" operator="equal">
      <formula>0</formula>
    </cfRule>
  </conditionalFormatting>
  <conditionalFormatting sqref="F477:AA480">
    <cfRule type="expression" dxfId="497" priority="792">
      <formula>F477=0</formula>
    </cfRule>
  </conditionalFormatting>
  <conditionalFormatting sqref="F481:AA481">
    <cfRule type="expression" dxfId="496" priority="734">
      <formula>F481=0</formula>
    </cfRule>
  </conditionalFormatting>
  <conditionalFormatting sqref="G457 I457 K457">
    <cfRule type="expression" dxfId="495" priority="680">
      <formula>G457=0</formula>
    </cfRule>
  </conditionalFormatting>
  <conditionalFormatting sqref="F457:K457">
    <cfRule type="cellIs" dxfId="494" priority="679" operator="equal">
      <formula>0</formula>
    </cfRule>
  </conditionalFormatting>
  <conditionalFormatting sqref="G461 I461 K461">
    <cfRule type="expression" dxfId="493" priority="678">
      <formula>G461=0</formula>
    </cfRule>
  </conditionalFormatting>
  <conditionalFormatting sqref="F461:K461">
    <cfRule type="cellIs" dxfId="492" priority="677" operator="equal">
      <formula>0</formula>
    </cfRule>
  </conditionalFormatting>
  <conditionalFormatting sqref="F417:AA417">
    <cfRule type="cellIs" dxfId="491" priority="647" operator="equal">
      <formula>0</formula>
    </cfRule>
  </conditionalFormatting>
  <conditionalFormatting sqref="AH341:AI341">
    <cfRule type="cellIs" dxfId="490" priority="611" operator="equal">
      <formula>0</formula>
    </cfRule>
  </conditionalFormatting>
  <conditionalFormatting sqref="AH354:AI354">
    <cfRule type="cellIs" dxfId="489" priority="610" operator="equal">
      <formula>0</formula>
    </cfRule>
  </conditionalFormatting>
  <conditionalFormatting sqref="AH354:AI354">
    <cfRule type="cellIs" dxfId="488" priority="609" operator="equal">
      <formula>0</formula>
    </cfRule>
  </conditionalFormatting>
  <conditionalFormatting sqref="AH341:AI341 AH354:AI354">
    <cfRule type="cellIs" dxfId="487" priority="608" operator="equal">
      <formula>0</formula>
    </cfRule>
  </conditionalFormatting>
  <conditionalFormatting sqref="AH392:AI392">
    <cfRule type="cellIs" dxfId="486" priority="607" operator="equal">
      <formula>0</formula>
    </cfRule>
  </conditionalFormatting>
  <conditionalFormatting sqref="AH354:AI354">
    <cfRule type="expression" dxfId="485" priority="606">
      <formula>AH354&lt;&gt;AH341</formula>
    </cfRule>
  </conditionalFormatting>
  <conditionalFormatting sqref="AH223:AI223">
    <cfRule type="cellIs" dxfId="484" priority="605" operator="equal">
      <formula>0</formula>
    </cfRule>
  </conditionalFormatting>
  <conditionalFormatting sqref="AH340:AI340">
    <cfRule type="cellIs" dxfId="483" priority="604" operator="equal">
      <formula>0</formula>
    </cfRule>
  </conditionalFormatting>
  <conditionalFormatting sqref="AH370:AI370">
    <cfRule type="cellIs" dxfId="482" priority="601" operator="equal">
      <formula>0</formula>
    </cfRule>
  </conditionalFormatting>
  <conditionalFormatting sqref="AH370:AI370">
    <cfRule type="cellIs" dxfId="481" priority="600" operator="equal">
      <formula>0</formula>
    </cfRule>
  </conditionalFormatting>
  <conditionalFormatting sqref="AH370:AI370">
    <cfRule type="cellIs" dxfId="480" priority="599" operator="equal">
      <formula>0</formula>
    </cfRule>
  </conditionalFormatting>
  <conditionalFormatting sqref="AH341:AI341">
    <cfRule type="expression" dxfId="479" priority="598">
      <formula>AH340&gt;AH341</formula>
    </cfRule>
  </conditionalFormatting>
  <conditionalFormatting sqref="AH413:AI413">
    <cfRule type="expression" dxfId="478" priority="597">
      <formula>AH413&gt;AH411</formula>
    </cfRule>
  </conditionalFormatting>
  <conditionalFormatting sqref="AH341:AI341">
    <cfRule type="expression" dxfId="477" priority="596">
      <formula>AH331&gt;AH341</formula>
    </cfRule>
  </conditionalFormatting>
  <conditionalFormatting sqref="AH342:AI347">
    <cfRule type="expression" dxfId="476" priority="595">
      <formula>AH332&gt;AH342</formula>
    </cfRule>
  </conditionalFormatting>
  <conditionalFormatting sqref="AH340:AI340">
    <cfRule type="expression" dxfId="475" priority="594">
      <formula>AH340&gt;AH341</formula>
    </cfRule>
  </conditionalFormatting>
  <conditionalFormatting sqref="AH354:AI354">
    <cfRule type="expression" dxfId="474" priority="593">
      <formula>AH354&lt;&gt;AH341</formula>
    </cfRule>
  </conditionalFormatting>
  <conditionalFormatting sqref="AH341:AI341">
    <cfRule type="expression" dxfId="473" priority="592">
      <formula>AH354&lt;&gt;AH341</formula>
    </cfRule>
  </conditionalFormatting>
  <conditionalFormatting sqref="AH341:AI341">
    <cfRule type="expression" dxfId="472" priority="591">
      <formula>AH324&gt;AH341</formula>
    </cfRule>
  </conditionalFormatting>
  <conditionalFormatting sqref="AH341:AI341">
    <cfRule type="expression" dxfId="471" priority="590">
      <formula>AH361&gt;AH341</formula>
    </cfRule>
  </conditionalFormatting>
  <conditionalFormatting sqref="AH341:AI341">
    <cfRule type="expression" dxfId="470" priority="589">
      <formula>SUM(AH167:AH168)&gt;AH341</formula>
    </cfRule>
  </conditionalFormatting>
  <conditionalFormatting sqref="AH393:AI399">
    <cfRule type="expression" dxfId="469" priority="587">
      <formula>AH393&gt;AH$387</formula>
    </cfRule>
  </conditionalFormatting>
  <conditionalFormatting sqref="AH387:AI387">
    <cfRule type="expression" dxfId="468" priority="586">
      <formula>AH393&gt;AH$387</formula>
    </cfRule>
  </conditionalFormatting>
  <conditionalFormatting sqref="AH413:AI413">
    <cfRule type="expression" dxfId="467" priority="585">
      <formula>AH411&gt;AH413</formula>
    </cfRule>
  </conditionalFormatting>
  <conditionalFormatting sqref="AH18:AI18">
    <cfRule type="cellIs" dxfId="466" priority="584" operator="equal">
      <formula>0</formula>
    </cfRule>
  </conditionalFormatting>
  <conditionalFormatting sqref="AH14:AI14">
    <cfRule type="cellIs" dxfId="465" priority="583" operator="equal">
      <formula>0</formula>
    </cfRule>
  </conditionalFormatting>
  <conditionalFormatting sqref="AH14:AI14">
    <cfRule type="expression" dxfId="464" priority="582">
      <formula>AH54&gt;AH14</formula>
    </cfRule>
  </conditionalFormatting>
  <conditionalFormatting sqref="AH225:AI225">
    <cfRule type="cellIs" dxfId="463" priority="581" operator="equal">
      <formula>0</formula>
    </cfRule>
  </conditionalFormatting>
  <conditionalFormatting sqref="AH224:AI224">
    <cfRule type="expression" dxfId="462" priority="580">
      <formula>AH224&gt;AH223</formula>
    </cfRule>
  </conditionalFormatting>
  <conditionalFormatting sqref="AH223:AI223">
    <cfRule type="expression" dxfId="461" priority="579">
      <formula>AH224&gt;AH223</formula>
    </cfRule>
  </conditionalFormatting>
  <conditionalFormatting sqref="AH225:AI225">
    <cfRule type="expression" dxfId="460" priority="578">
      <formula>AH225&gt;AH224</formula>
    </cfRule>
  </conditionalFormatting>
  <conditionalFormatting sqref="AH224:AI224">
    <cfRule type="expression" dxfId="459" priority="577">
      <formula>AH225&gt;AH224</formula>
    </cfRule>
  </conditionalFormatting>
  <conditionalFormatting sqref="AH227:AI227">
    <cfRule type="expression" dxfId="458" priority="576">
      <formula>AH227&gt;AH226</formula>
    </cfRule>
  </conditionalFormatting>
  <conditionalFormatting sqref="AH226:AI226">
    <cfRule type="expression" dxfId="457" priority="575">
      <formula>AH227&gt;AH226</formula>
    </cfRule>
  </conditionalFormatting>
  <conditionalFormatting sqref="AH229:AI229">
    <cfRule type="expression" dxfId="456" priority="574">
      <formula>AH229&gt;AH228</formula>
    </cfRule>
  </conditionalFormatting>
  <conditionalFormatting sqref="AH228:AI228">
    <cfRule type="expression" dxfId="455" priority="573">
      <formula>AH229&gt;AH228</formula>
    </cfRule>
  </conditionalFormatting>
  <conditionalFormatting sqref="AH232:AI232">
    <cfRule type="cellIs" dxfId="454" priority="572" operator="equal">
      <formula>0</formula>
    </cfRule>
  </conditionalFormatting>
  <conditionalFormatting sqref="AH234:AI234">
    <cfRule type="cellIs" dxfId="453" priority="571" operator="equal">
      <formula>0</formula>
    </cfRule>
  </conditionalFormatting>
  <conditionalFormatting sqref="AH233:AI233">
    <cfRule type="expression" dxfId="452" priority="570">
      <formula>AH233&gt;AH232</formula>
    </cfRule>
  </conditionalFormatting>
  <conditionalFormatting sqref="AH232:AI232">
    <cfRule type="expression" dxfId="451" priority="569">
      <formula>AH233&gt;AH232</formula>
    </cfRule>
  </conditionalFormatting>
  <conditionalFormatting sqref="AH234:AI234">
    <cfRule type="expression" dxfId="450" priority="568">
      <formula>AH234&gt;AH233</formula>
    </cfRule>
  </conditionalFormatting>
  <conditionalFormatting sqref="AH233:AI233">
    <cfRule type="expression" dxfId="449" priority="567">
      <formula>AH234&gt;AH233</formula>
    </cfRule>
  </conditionalFormatting>
  <conditionalFormatting sqref="AH236:AI236">
    <cfRule type="expression" dxfId="448" priority="566">
      <formula>AH236&gt;AH235</formula>
    </cfRule>
  </conditionalFormatting>
  <conditionalFormatting sqref="AH235:AI235">
    <cfRule type="expression" dxfId="447" priority="565">
      <formula>AH236&gt;AH235</formula>
    </cfRule>
  </conditionalFormatting>
  <conditionalFormatting sqref="AH238:AI238">
    <cfRule type="expression" dxfId="446" priority="564">
      <formula>AH238&gt;AH237</formula>
    </cfRule>
  </conditionalFormatting>
  <conditionalFormatting sqref="AH237:AI237">
    <cfRule type="expression" dxfId="445" priority="563">
      <formula>AH238&gt;AH237</formula>
    </cfRule>
  </conditionalFormatting>
  <conditionalFormatting sqref="AH243:AI243">
    <cfRule type="cellIs" dxfId="444" priority="562" operator="equal">
      <formula>0</formula>
    </cfRule>
  </conditionalFormatting>
  <conditionalFormatting sqref="AH242:AI242">
    <cfRule type="expression" dxfId="443" priority="561">
      <formula>AH242&gt;AH241</formula>
    </cfRule>
  </conditionalFormatting>
  <conditionalFormatting sqref="AH241:AI241">
    <cfRule type="expression" dxfId="442" priority="560">
      <formula>AH242&gt;AH241</formula>
    </cfRule>
  </conditionalFormatting>
  <conditionalFormatting sqref="AH243:AI243">
    <cfRule type="expression" dxfId="441" priority="559">
      <formula>AH243&gt;AH242</formula>
    </cfRule>
  </conditionalFormatting>
  <conditionalFormatting sqref="AH242:AI242">
    <cfRule type="expression" dxfId="440" priority="558">
      <formula>AH243&gt;AH242</formula>
    </cfRule>
  </conditionalFormatting>
  <conditionalFormatting sqref="AH245:AI245">
    <cfRule type="expression" dxfId="439" priority="557">
      <formula>AH245&gt;AH244</formula>
    </cfRule>
  </conditionalFormatting>
  <conditionalFormatting sqref="AH244:AI244">
    <cfRule type="expression" dxfId="438" priority="556">
      <formula>AH245&gt;AH244</formula>
    </cfRule>
  </conditionalFormatting>
  <conditionalFormatting sqref="AH247:AI247">
    <cfRule type="expression" dxfId="437" priority="555">
      <formula>AH247&gt;AH246</formula>
    </cfRule>
  </conditionalFormatting>
  <conditionalFormatting sqref="AH246:AI246">
    <cfRule type="expression" dxfId="436" priority="554">
      <formula>AH247&gt;AH246</formula>
    </cfRule>
  </conditionalFormatting>
  <conditionalFormatting sqref="AH250:AI250">
    <cfRule type="cellIs" dxfId="435" priority="553" operator="equal">
      <formula>0</formula>
    </cfRule>
  </conditionalFormatting>
  <conditionalFormatting sqref="AH252:AI252">
    <cfRule type="cellIs" dxfId="434" priority="552" operator="equal">
      <formula>0</formula>
    </cfRule>
  </conditionalFormatting>
  <conditionalFormatting sqref="AH251:AI251">
    <cfRule type="expression" dxfId="433" priority="551">
      <formula>AH251&gt;AH250</formula>
    </cfRule>
  </conditionalFormatting>
  <conditionalFormatting sqref="AH250:AI250">
    <cfRule type="expression" dxfId="432" priority="550">
      <formula>AH251&gt;AH250</formula>
    </cfRule>
  </conditionalFormatting>
  <conditionalFormatting sqref="AH252:AI252">
    <cfRule type="expression" dxfId="431" priority="549">
      <formula>AH252&gt;AH251</formula>
    </cfRule>
  </conditionalFormatting>
  <conditionalFormatting sqref="AH251:AI251">
    <cfRule type="expression" dxfId="430" priority="548">
      <formula>AH252&gt;AH251</formula>
    </cfRule>
  </conditionalFormatting>
  <conditionalFormatting sqref="AH254:AI254">
    <cfRule type="expression" dxfId="429" priority="547">
      <formula>AH254&gt;AH253</formula>
    </cfRule>
  </conditionalFormatting>
  <conditionalFormatting sqref="AH253:AI253">
    <cfRule type="expression" dxfId="428" priority="546">
      <formula>AH254&gt;AH253</formula>
    </cfRule>
  </conditionalFormatting>
  <conditionalFormatting sqref="AH256:AI256">
    <cfRule type="expression" dxfId="427" priority="545">
      <formula>AH256&gt;AH255</formula>
    </cfRule>
  </conditionalFormatting>
  <conditionalFormatting sqref="AH255:AI255">
    <cfRule type="expression" dxfId="426" priority="544">
      <formula>AH256&gt;AH255</formula>
    </cfRule>
  </conditionalFormatting>
  <conditionalFormatting sqref="AM68:AM69">
    <cfRule type="notContainsBlanks" dxfId="425" priority="541">
      <formula>LEN(TRIM(AM68))&gt;0</formula>
    </cfRule>
  </conditionalFormatting>
  <conditionalFormatting sqref="AL68">
    <cfRule type="notContainsBlanks" dxfId="424" priority="543">
      <formula>LEN(TRIM(AL68))&gt;0</formula>
    </cfRule>
  </conditionalFormatting>
  <conditionalFormatting sqref="AJ68:AJ69">
    <cfRule type="cellIs" dxfId="423" priority="540" operator="equal">
      <formula>0</formula>
    </cfRule>
  </conditionalFormatting>
  <conditionalFormatting sqref="AM72">
    <cfRule type="notContainsBlanks" dxfId="422" priority="538">
      <formula>LEN(TRIM(AM72))&gt;0</formula>
    </cfRule>
  </conditionalFormatting>
  <conditionalFormatting sqref="AM72:AM73">
    <cfRule type="notContainsBlanks" dxfId="421" priority="537">
      <formula>LEN(TRIM(AM72))&gt;0</formula>
    </cfRule>
  </conditionalFormatting>
  <conditionalFormatting sqref="AJ72:AJ73">
    <cfRule type="cellIs" dxfId="420" priority="536" operator="equal">
      <formula>0</formula>
    </cfRule>
  </conditionalFormatting>
  <conditionalFormatting sqref="L68:AA68">
    <cfRule type="expression" dxfId="419" priority="535">
      <formula>L68&gt;L66</formula>
    </cfRule>
  </conditionalFormatting>
  <conditionalFormatting sqref="L66:AA66">
    <cfRule type="expression" dxfId="418" priority="534">
      <formula>L68&gt;L66</formula>
    </cfRule>
  </conditionalFormatting>
  <conditionalFormatting sqref="L67:AA67">
    <cfRule type="expression" dxfId="417" priority="533">
      <formula>L69&gt;L67</formula>
    </cfRule>
  </conditionalFormatting>
  <conditionalFormatting sqref="L69:AA69">
    <cfRule type="expression" dxfId="416" priority="532">
      <formula>L69&gt;L67</formula>
    </cfRule>
  </conditionalFormatting>
  <conditionalFormatting sqref="L72:AA72">
    <cfRule type="expression" dxfId="415" priority="531">
      <formula>L72&gt;L70</formula>
    </cfRule>
  </conditionalFormatting>
  <conditionalFormatting sqref="L70:AA70">
    <cfRule type="expression" dxfId="414" priority="530">
      <formula>L72&gt;L70</formula>
    </cfRule>
  </conditionalFormatting>
  <conditionalFormatting sqref="L71:AA71">
    <cfRule type="expression" dxfId="413" priority="529">
      <formula>L73&gt;L71</formula>
    </cfRule>
  </conditionalFormatting>
  <conditionalFormatting sqref="L73:AA73">
    <cfRule type="expression" dxfId="412" priority="528">
      <formula>L73&gt;L71</formula>
    </cfRule>
  </conditionalFormatting>
  <conditionalFormatting sqref="L76:AA76">
    <cfRule type="expression" dxfId="411" priority="527">
      <formula>L76&gt;L74</formula>
    </cfRule>
  </conditionalFormatting>
  <conditionalFormatting sqref="L74:AA74">
    <cfRule type="expression" dxfId="410" priority="526">
      <formula>L76&gt;L74</formula>
    </cfRule>
  </conditionalFormatting>
  <conditionalFormatting sqref="L75:AA75">
    <cfRule type="expression" dxfId="409" priority="525">
      <formula>L77&gt;L75</formula>
    </cfRule>
  </conditionalFormatting>
  <conditionalFormatting sqref="L77:AA77">
    <cfRule type="expression" dxfId="408" priority="524">
      <formula>L77&gt;L75</formula>
    </cfRule>
  </conditionalFormatting>
  <conditionalFormatting sqref="M80">
    <cfRule type="expression" dxfId="407" priority="523">
      <formula>M80&gt;M78</formula>
    </cfRule>
  </conditionalFormatting>
  <conditionalFormatting sqref="M78">
    <cfRule type="expression" dxfId="406" priority="522">
      <formula>M80&gt;M78</formula>
    </cfRule>
  </conditionalFormatting>
  <conditionalFormatting sqref="M79">
    <cfRule type="expression" dxfId="405" priority="521">
      <formula>M81&gt;M79</formula>
    </cfRule>
  </conditionalFormatting>
  <conditionalFormatting sqref="M81">
    <cfRule type="expression" dxfId="404" priority="520">
      <formula>M81&gt;M79</formula>
    </cfRule>
  </conditionalFormatting>
  <conditionalFormatting sqref="O80">
    <cfRule type="expression" dxfId="403" priority="519">
      <formula>O80&gt;O78</formula>
    </cfRule>
  </conditionalFormatting>
  <conditionalFormatting sqref="O78">
    <cfRule type="expression" dxfId="402" priority="518">
      <formula>O80&gt;O78</formula>
    </cfRule>
  </conditionalFormatting>
  <conditionalFormatting sqref="O79">
    <cfRule type="expression" dxfId="401" priority="517">
      <formula>O81&gt;O79</formula>
    </cfRule>
  </conditionalFormatting>
  <conditionalFormatting sqref="O81">
    <cfRule type="expression" dxfId="400" priority="516">
      <formula>O81&gt;O79</formula>
    </cfRule>
  </conditionalFormatting>
  <conditionalFormatting sqref="Q80">
    <cfRule type="expression" dxfId="399" priority="515">
      <formula>Q80&gt;Q78</formula>
    </cfRule>
  </conditionalFormatting>
  <conditionalFormatting sqref="Q78">
    <cfRule type="expression" dxfId="398" priority="514">
      <formula>Q80&gt;Q78</formula>
    </cfRule>
  </conditionalFormatting>
  <conditionalFormatting sqref="Q79">
    <cfRule type="expression" dxfId="397" priority="513">
      <formula>Q81&gt;Q79</formula>
    </cfRule>
  </conditionalFormatting>
  <conditionalFormatting sqref="Q81">
    <cfRule type="expression" dxfId="396" priority="512">
      <formula>Q81&gt;Q79</formula>
    </cfRule>
  </conditionalFormatting>
  <conditionalFormatting sqref="S80">
    <cfRule type="expression" dxfId="395" priority="511">
      <formula>S80&gt;S78</formula>
    </cfRule>
  </conditionalFormatting>
  <conditionalFormatting sqref="S78">
    <cfRule type="expression" dxfId="394" priority="510">
      <formula>S80&gt;S78</formula>
    </cfRule>
  </conditionalFormatting>
  <conditionalFormatting sqref="S79">
    <cfRule type="expression" dxfId="393" priority="509">
      <formula>S81&gt;S79</formula>
    </cfRule>
  </conditionalFormatting>
  <conditionalFormatting sqref="S81">
    <cfRule type="expression" dxfId="392" priority="508">
      <formula>S81&gt;S79</formula>
    </cfRule>
  </conditionalFormatting>
  <conditionalFormatting sqref="U80">
    <cfRule type="expression" dxfId="391" priority="507">
      <formula>U80&gt;U78</formula>
    </cfRule>
  </conditionalFormatting>
  <conditionalFormatting sqref="U78">
    <cfRule type="expression" dxfId="390" priority="506">
      <formula>U80&gt;U78</formula>
    </cfRule>
  </conditionalFormatting>
  <conditionalFormatting sqref="U79">
    <cfRule type="expression" dxfId="389" priority="505">
      <formula>U81&gt;U79</formula>
    </cfRule>
  </conditionalFormatting>
  <conditionalFormatting sqref="U81">
    <cfRule type="expression" dxfId="388" priority="504">
      <formula>U81&gt;U79</formula>
    </cfRule>
  </conditionalFormatting>
  <conditionalFormatting sqref="W80">
    <cfRule type="expression" dxfId="387" priority="503">
      <formula>W80&gt;W78</formula>
    </cfRule>
  </conditionalFormatting>
  <conditionalFormatting sqref="W78">
    <cfRule type="expression" dxfId="386" priority="502">
      <formula>W80&gt;W78</formula>
    </cfRule>
  </conditionalFormatting>
  <conditionalFormatting sqref="W79">
    <cfRule type="expression" dxfId="385" priority="501">
      <formula>W81&gt;W79</formula>
    </cfRule>
  </conditionalFormatting>
  <conditionalFormatting sqref="W81">
    <cfRule type="expression" dxfId="384" priority="500">
      <formula>W81&gt;W79</formula>
    </cfRule>
  </conditionalFormatting>
  <conditionalFormatting sqref="Y80">
    <cfRule type="expression" dxfId="383" priority="499">
      <formula>Y80&gt;Y78</formula>
    </cfRule>
  </conditionalFormatting>
  <conditionalFormatting sqref="Y78">
    <cfRule type="expression" dxfId="382" priority="498">
      <formula>Y80&gt;Y78</formula>
    </cfRule>
  </conditionalFormatting>
  <conditionalFormatting sqref="Y79">
    <cfRule type="expression" dxfId="381" priority="497">
      <formula>Y81&gt;Y79</formula>
    </cfRule>
  </conditionalFormatting>
  <conditionalFormatting sqref="Y81">
    <cfRule type="expression" dxfId="380" priority="496">
      <formula>Y81&gt;Y79</formula>
    </cfRule>
  </conditionalFormatting>
  <conditionalFormatting sqref="AA80">
    <cfRule type="expression" dxfId="379" priority="495">
      <formula>AA80&gt;AA78</formula>
    </cfRule>
  </conditionalFormatting>
  <conditionalFormatting sqref="AA78">
    <cfRule type="expression" dxfId="378" priority="494">
      <formula>AA80&gt;AA78</formula>
    </cfRule>
  </conditionalFormatting>
  <conditionalFormatting sqref="AA79">
    <cfRule type="expression" dxfId="377" priority="493">
      <formula>AA81&gt;AA79</formula>
    </cfRule>
  </conditionalFormatting>
  <conditionalFormatting sqref="AA81">
    <cfRule type="expression" dxfId="376" priority="492">
      <formula>AA81&gt;AA79</formula>
    </cfRule>
  </conditionalFormatting>
  <conditionalFormatting sqref="M84">
    <cfRule type="expression" dxfId="375" priority="491">
      <formula>M84&gt;M82</formula>
    </cfRule>
  </conditionalFormatting>
  <conditionalFormatting sqref="M82">
    <cfRule type="expression" dxfId="374" priority="490">
      <formula>M84&gt;M82</formula>
    </cfRule>
  </conditionalFormatting>
  <conditionalFormatting sqref="M83">
    <cfRule type="expression" dxfId="373" priority="489">
      <formula>M85&gt;M83</formula>
    </cfRule>
  </conditionalFormatting>
  <conditionalFormatting sqref="M85">
    <cfRule type="expression" dxfId="372" priority="488">
      <formula>M85&gt;M83</formula>
    </cfRule>
  </conditionalFormatting>
  <conditionalFormatting sqref="O84">
    <cfRule type="expression" dxfId="371" priority="487">
      <formula>O84&gt;O82</formula>
    </cfRule>
  </conditionalFormatting>
  <conditionalFormatting sqref="O82">
    <cfRule type="expression" dxfId="370" priority="486">
      <formula>O84&gt;O82</formula>
    </cfRule>
  </conditionalFormatting>
  <conditionalFormatting sqref="O83">
    <cfRule type="expression" dxfId="369" priority="485">
      <formula>O85&gt;O83</formula>
    </cfRule>
  </conditionalFormatting>
  <conditionalFormatting sqref="O85">
    <cfRule type="expression" dxfId="368" priority="484">
      <formula>O85&gt;O83</formula>
    </cfRule>
  </conditionalFormatting>
  <conditionalFormatting sqref="Q84">
    <cfRule type="expression" dxfId="367" priority="483">
      <formula>Q84&gt;Q82</formula>
    </cfRule>
  </conditionalFormatting>
  <conditionalFormatting sqref="Q82">
    <cfRule type="expression" dxfId="366" priority="482">
      <formula>Q84&gt;Q82</formula>
    </cfRule>
  </conditionalFormatting>
  <conditionalFormatting sqref="Q83">
    <cfRule type="expression" dxfId="365" priority="481">
      <formula>Q85&gt;Q83</formula>
    </cfRule>
  </conditionalFormatting>
  <conditionalFormatting sqref="Q85">
    <cfRule type="expression" dxfId="364" priority="480">
      <formula>Q85&gt;Q83</formula>
    </cfRule>
  </conditionalFormatting>
  <conditionalFormatting sqref="S84">
    <cfRule type="expression" dxfId="363" priority="479">
      <formula>S84&gt;S82</formula>
    </cfRule>
  </conditionalFormatting>
  <conditionalFormatting sqref="S82">
    <cfRule type="expression" dxfId="362" priority="478">
      <formula>S84&gt;S82</formula>
    </cfRule>
  </conditionalFormatting>
  <conditionalFormatting sqref="S83">
    <cfRule type="expression" dxfId="361" priority="477">
      <formula>S85&gt;S83</formula>
    </cfRule>
  </conditionalFormatting>
  <conditionalFormatting sqref="S85">
    <cfRule type="expression" dxfId="360" priority="476">
      <formula>S85&gt;S83</formula>
    </cfRule>
  </conditionalFormatting>
  <conditionalFormatting sqref="U84">
    <cfRule type="expression" dxfId="359" priority="475">
      <formula>U84&gt;U82</formula>
    </cfRule>
  </conditionalFormatting>
  <conditionalFormatting sqref="U82">
    <cfRule type="expression" dxfId="358" priority="474">
      <formula>U84&gt;U82</formula>
    </cfRule>
  </conditionalFormatting>
  <conditionalFormatting sqref="U83">
    <cfRule type="expression" dxfId="357" priority="473">
      <formula>U85&gt;U83</formula>
    </cfRule>
  </conditionalFormatting>
  <conditionalFormatting sqref="U85">
    <cfRule type="expression" dxfId="356" priority="472">
      <formula>U85&gt;U83</formula>
    </cfRule>
  </conditionalFormatting>
  <conditionalFormatting sqref="W84">
    <cfRule type="expression" dxfId="355" priority="471">
      <formula>W84&gt;W82</formula>
    </cfRule>
  </conditionalFormatting>
  <conditionalFormatting sqref="W82">
    <cfRule type="expression" dxfId="354" priority="470">
      <formula>W84&gt;W82</formula>
    </cfRule>
  </conditionalFormatting>
  <conditionalFormatting sqref="W83">
    <cfRule type="expression" dxfId="353" priority="469">
      <formula>W85&gt;W83</formula>
    </cfRule>
  </conditionalFormatting>
  <conditionalFormatting sqref="W85">
    <cfRule type="expression" dxfId="352" priority="468">
      <formula>W85&gt;W83</formula>
    </cfRule>
  </conditionalFormatting>
  <conditionalFormatting sqref="Y84">
    <cfRule type="expression" dxfId="351" priority="467">
      <formula>Y84&gt;Y82</formula>
    </cfRule>
  </conditionalFormatting>
  <conditionalFormatting sqref="Y82">
    <cfRule type="expression" dxfId="350" priority="466">
      <formula>Y84&gt;Y82</formula>
    </cfRule>
  </conditionalFormatting>
  <conditionalFormatting sqref="Y83">
    <cfRule type="expression" dxfId="349" priority="465">
      <formula>Y85&gt;Y83</formula>
    </cfRule>
  </conditionalFormatting>
  <conditionalFormatting sqref="Y85">
    <cfRule type="expression" dxfId="348" priority="464">
      <formula>Y85&gt;Y83</formula>
    </cfRule>
  </conditionalFormatting>
  <conditionalFormatting sqref="AA84">
    <cfRule type="expression" dxfId="347" priority="463">
      <formula>AA84&gt;AA82</formula>
    </cfRule>
  </conditionalFormatting>
  <conditionalFormatting sqref="AA82">
    <cfRule type="expression" dxfId="346" priority="462">
      <formula>AA84&gt;AA82</formula>
    </cfRule>
  </conditionalFormatting>
  <conditionalFormatting sqref="AA83">
    <cfRule type="expression" dxfId="345" priority="461">
      <formula>AA85&gt;AA83</formula>
    </cfRule>
  </conditionalFormatting>
  <conditionalFormatting sqref="AA85">
    <cfRule type="expression" dxfId="344" priority="460">
      <formula>AA85&gt;AA83</formula>
    </cfRule>
  </conditionalFormatting>
  <conditionalFormatting sqref="L88:AA88">
    <cfRule type="expression" dxfId="343" priority="459">
      <formula>L88&gt;L86</formula>
    </cfRule>
  </conditionalFormatting>
  <conditionalFormatting sqref="L86:AA86">
    <cfRule type="expression" dxfId="342" priority="458">
      <formula>L88&gt;L86</formula>
    </cfRule>
  </conditionalFormatting>
  <conditionalFormatting sqref="L87:AA87">
    <cfRule type="expression" dxfId="341" priority="457">
      <formula>L89&gt;L87</formula>
    </cfRule>
  </conditionalFormatting>
  <conditionalFormatting sqref="L89:AA89">
    <cfRule type="expression" dxfId="340" priority="456">
      <formula>L89&gt;L87</formula>
    </cfRule>
  </conditionalFormatting>
  <conditionalFormatting sqref="L92:AA92">
    <cfRule type="expression" dxfId="339" priority="455">
      <formula>L92&gt;L90</formula>
    </cfRule>
  </conditionalFormatting>
  <conditionalFormatting sqref="L90:AA90">
    <cfRule type="expression" dxfId="338" priority="454">
      <formula>L92&gt;L90</formula>
    </cfRule>
  </conditionalFormatting>
  <conditionalFormatting sqref="L91:AA91">
    <cfRule type="expression" dxfId="337" priority="453">
      <formula>L93&gt;L91</formula>
    </cfRule>
  </conditionalFormatting>
  <conditionalFormatting sqref="L93:AA93">
    <cfRule type="expression" dxfId="336" priority="452">
      <formula>L93&gt;L91</formula>
    </cfRule>
  </conditionalFormatting>
  <conditionalFormatting sqref="L96:AA96">
    <cfRule type="expression" dxfId="335" priority="451">
      <formula>L96&gt;L94</formula>
    </cfRule>
  </conditionalFormatting>
  <conditionalFormatting sqref="L94:AA94">
    <cfRule type="expression" dxfId="334" priority="450">
      <formula>L96&gt;L94</formula>
    </cfRule>
  </conditionalFormatting>
  <conditionalFormatting sqref="L95:AA95">
    <cfRule type="expression" dxfId="333" priority="449">
      <formula>L97&gt;L95</formula>
    </cfRule>
  </conditionalFormatting>
  <conditionalFormatting sqref="L97:AA97">
    <cfRule type="expression" dxfId="332" priority="448">
      <formula>L97&gt;L95</formula>
    </cfRule>
  </conditionalFormatting>
  <conditionalFormatting sqref="L100:AA100">
    <cfRule type="expression" dxfId="331" priority="447">
      <formula>L100&gt;L98</formula>
    </cfRule>
  </conditionalFormatting>
  <conditionalFormatting sqref="L98:AA98">
    <cfRule type="expression" dxfId="330" priority="446">
      <formula>L100&gt;L98</formula>
    </cfRule>
  </conditionalFormatting>
  <conditionalFormatting sqref="L99:AA99">
    <cfRule type="expression" dxfId="329" priority="445">
      <formula>L101&gt;L99</formula>
    </cfRule>
  </conditionalFormatting>
  <conditionalFormatting sqref="L101:AA101">
    <cfRule type="expression" dxfId="328" priority="444">
      <formula>L101&gt;L99</formula>
    </cfRule>
  </conditionalFormatting>
  <conditionalFormatting sqref="L104:AA104">
    <cfRule type="expression" dxfId="327" priority="443">
      <formula>L104&gt;L102</formula>
    </cfRule>
  </conditionalFormatting>
  <conditionalFormatting sqref="L102:AA102">
    <cfRule type="expression" dxfId="326" priority="442">
      <formula>L104&gt;L102</formula>
    </cfRule>
  </conditionalFormatting>
  <conditionalFormatting sqref="L103:AA103">
    <cfRule type="expression" dxfId="325" priority="441">
      <formula>L105&gt;L103</formula>
    </cfRule>
  </conditionalFormatting>
  <conditionalFormatting sqref="L105:AA105">
    <cfRule type="expression" dxfId="324" priority="440">
      <formula>L105&gt;L103</formula>
    </cfRule>
  </conditionalFormatting>
  <conditionalFormatting sqref="AK68:AK69">
    <cfRule type="notContainsBlanks" dxfId="323" priority="439">
      <formula>LEN(TRIM(AK68))&gt;0</formula>
    </cfRule>
  </conditionalFormatting>
  <conditionalFormatting sqref="AK70:AK71">
    <cfRule type="notContainsBlanks" dxfId="322" priority="438">
      <formula>LEN(TRIM(AK70))&gt;0</formula>
    </cfRule>
  </conditionalFormatting>
  <conditionalFormatting sqref="AK72:AK73">
    <cfRule type="notContainsBlanks" dxfId="321" priority="437">
      <formula>LEN(TRIM(AK72))&gt;0</formula>
    </cfRule>
  </conditionalFormatting>
  <conditionalFormatting sqref="AK74:AK75">
    <cfRule type="notContainsBlanks" dxfId="320" priority="436">
      <formula>LEN(TRIM(AK74))&gt;0</formula>
    </cfRule>
  </conditionalFormatting>
  <conditionalFormatting sqref="AK78:AK79">
    <cfRule type="notContainsBlanks" dxfId="319" priority="435">
      <formula>LEN(TRIM(AK78))&gt;0</formula>
    </cfRule>
  </conditionalFormatting>
  <conditionalFormatting sqref="AK82:AK83">
    <cfRule type="notContainsBlanks" dxfId="318" priority="434">
      <formula>LEN(TRIM(AK82))&gt;0</formula>
    </cfRule>
  </conditionalFormatting>
  <conditionalFormatting sqref="AK86:AK87">
    <cfRule type="notContainsBlanks" dxfId="317" priority="433">
      <formula>LEN(TRIM(AK86))&gt;0</formula>
    </cfRule>
  </conditionalFormatting>
  <conditionalFormatting sqref="AK90:AK91">
    <cfRule type="notContainsBlanks" dxfId="316" priority="432">
      <formula>LEN(TRIM(AK90))&gt;0</formula>
    </cfRule>
  </conditionalFormatting>
  <conditionalFormatting sqref="AK94:AK95">
    <cfRule type="notContainsBlanks" dxfId="315" priority="431">
      <formula>LEN(TRIM(AK94))&gt;0</formula>
    </cfRule>
  </conditionalFormatting>
  <conditionalFormatting sqref="AK98:AK99">
    <cfRule type="notContainsBlanks" dxfId="314" priority="430">
      <formula>LEN(TRIM(AK98))&gt;0</formula>
    </cfRule>
  </conditionalFormatting>
  <conditionalFormatting sqref="AK102:AK103">
    <cfRule type="notContainsBlanks" dxfId="313" priority="429">
      <formula>LEN(TRIM(AK102))&gt;0</formula>
    </cfRule>
  </conditionalFormatting>
  <conditionalFormatting sqref="K150 M150 O150 Q150 S150 U150 W150 Y150 AA150">
    <cfRule type="expression" dxfId="312" priority="3242">
      <formula>(K147+K148+K150)&gt;K140</formula>
    </cfRule>
  </conditionalFormatting>
  <conditionalFormatting sqref="F472">
    <cfRule type="cellIs" dxfId="311" priority="428" operator="equal">
      <formula>0</formula>
    </cfRule>
  </conditionalFormatting>
  <conditionalFormatting sqref="F467 L467 N467 P467 R467 T467 V467 X467 Z467 J467 H467">
    <cfRule type="cellIs" dxfId="310" priority="427" operator="equal">
      <formula>0</formula>
    </cfRule>
  </conditionalFormatting>
  <conditionalFormatting sqref="AJ127">
    <cfRule type="cellIs" dxfId="309" priority="426" operator="equal">
      <formula>0</formula>
    </cfRule>
  </conditionalFormatting>
  <conditionalFormatting sqref="J127:AA127">
    <cfRule type="cellIs" dxfId="308" priority="425" operator="equal">
      <formula>0</formula>
    </cfRule>
  </conditionalFormatting>
  <conditionalFormatting sqref="F418:AA418">
    <cfRule type="expression" dxfId="307" priority="418">
      <formula>F417&lt;&gt;F418+F419+F420+F421</formula>
    </cfRule>
  </conditionalFormatting>
  <conditionalFormatting sqref="F417:AA417">
    <cfRule type="expression" dxfId="306" priority="417">
      <formula>F417&lt;&gt;F418+F419+F420+F421</formula>
    </cfRule>
  </conditionalFormatting>
  <conditionalFormatting sqref="F419:AA419">
    <cfRule type="expression" dxfId="305" priority="416">
      <formula>F417&lt;&gt;F418+F419+F420+F421</formula>
    </cfRule>
  </conditionalFormatting>
  <conditionalFormatting sqref="F420:AA420">
    <cfRule type="expression" dxfId="304" priority="415">
      <formula>F417&lt;&gt;F418+F419+F420+F421</formula>
    </cfRule>
  </conditionalFormatting>
  <conditionalFormatting sqref="F421:AA421">
    <cfRule type="expression" dxfId="303" priority="414">
      <formula>F417&lt;&gt;F418+F419+F420+F421</formula>
    </cfRule>
  </conditionalFormatting>
  <conditionalFormatting sqref="F422:AA422">
    <cfRule type="cellIs" dxfId="302" priority="413" operator="equal">
      <formula>0</formula>
    </cfRule>
  </conditionalFormatting>
  <conditionalFormatting sqref="F423:AA423">
    <cfRule type="expression" dxfId="301" priority="412">
      <formula>F422&lt;&gt;F423+F424+F425+F426</formula>
    </cfRule>
  </conditionalFormatting>
  <conditionalFormatting sqref="F422:AA422">
    <cfRule type="expression" dxfId="300" priority="411">
      <formula>F422&lt;&gt;F423+F424+F425+F426</formula>
    </cfRule>
  </conditionalFormatting>
  <conditionalFormatting sqref="F424:AA424">
    <cfRule type="expression" dxfId="299" priority="410">
      <formula>F422&lt;&gt;F423+F424+F425+F426</formula>
    </cfRule>
  </conditionalFormatting>
  <conditionalFormatting sqref="F425:AA425">
    <cfRule type="expression" dxfId="298" priority="409">
      <formula>F422&lt;&gt;F423+F424+F425+F426</formula>
    </cfRule>
  </conditionalFormatting>
  <conditionalFormatting sqref="F426:AA426">
    <cfRule type="expression" dxfId="297" priority="408">
      <formula>F422&lt;&gt;F423+F424+F425+F426</formula>
    </cfRule>
  </conditionalFormatting>
  <conditionalFormatting sqref="F427:AA427">
    <cfRule type="cellIs" dxfId="296" priority="407" operator="equal">
      <formula>0</formula>
    </cfRule>
  </conditionalFormatting>
  <conditionalFormatting sqref="F428:AA428">
    <cfRule type="expression" dxfId="295" priority="406">
      <formula>F427&lt;&gt;F428+F429+F430+F431</formula>
    </cfRule>
  </conditionalFormatting>
  <conditionalFormatting sqref="F427:AA427">
    <cfRule type="expression" dxfId="294" priority="405">
      <formula>F427&lt;&gt;F428+F429+F430+F431</formula>
    </cfRule>
  </conditionalFormatting>
  <conditionalFormatting sqref="F429:AA429">
    <cfRule type="expression" dxfId="293" priority="404">
      <formula>F427&lt;&gt;F428+F429+F430+F431</formula>
    </cfRule>
  </conditionalFormatting>
  <conditionalFormatting sqref="F430:AA430">
    <cfRule type="expression" dxfId="292" priority="403">
      <formula>F427&lt;&gt;F428+F429+F430+F431</formula>
    </cfRule>
  </conditionalFormatting>
  <conditionalFormatting sqref="F431:AA431">
    <cfRule type="expression" dxfId="291" priority="402">
      <formula>F427&lt;&gt;F428+F429+F430+F431</formula>
    </cfRule>
  </conditionalFormatting>
  <conditionalFormatting sqref="F432:AA432">
    <cfRule type="cellIs" dxfId="290" priority="395" operator="equal">
      <formula>0</formula>
    </cfRule>
  </conditionalFormatting>
  <conditionalFormatting sqref="F433:AA433">
    <cfRule type="expression" dxfId="289" priority="394">
      <formula>F432&lt;&gt;F433+F434+F435+F436</formula>
    </cfRule>
  </conditionalFormatting>
  <conditionalFormatting sqref="F432:AA432">
    <cfRule type="expression" dxfId="288" priority="393">
      <formula>F432&lt;&gt;F433+F434+F435+F436</formula>
    </cfRule>
  </conditionalFormatting>
  <conditionalFormatting sqref="F434:AA434">
    <cfRule type="expression" dxfId="287" priority="392">
      <formula>F432&lt;&gt;F433+F434+F435+F436</formula>
    </cfRule>
  </conditionalFormatting>
  <conditionalFormatting sqref="F435:AA435">
    <cfRule type="expression" dxfId="286" priority="391">
      <formula>F432&lt;&gt;F433+F434+F435+F436</formula>
    </cfRule>
  </conditionalFormatting>
  <conditionalFormatting sqref="F436:AA436">
    <cfRule type="expression" dxfId="285" priority="390">
      <formula>F432&lt;&gt;F433+F434+F435+F436</formula>
    </cfRule>
  </conditionalFormatting>
  <conditionalFormatting sqref="F437:AA437">
    <cfRule type="cellIs" dxfId="284" priority="389" operator="equal">
      <formula>0</formula>
    </cfRule>
  </conditionalFormatting>
  <conditionalFormatting sqref="F438:AA438">
    <cfRule type="expression" dxfId="283" priority="388">
      <formula>F437&lt;&gt;F438+F439+F440+F441</formula>
    </cfRule>
  </conditionalFormatting>
  <conditionalFormatting sqref="F437:AA437">
    <cfRule type="expression" dxfId="282" priority="387">
      <formula>F437&lt;&gt;F438+F439+F440+F441</formula>
    </cfRule>
  </conditionalFormatting>
  <conditionalFormatting sqref="F439:AA439">
    <cfRule type="expression" dxfId="281" priority="386">
      <formula>F437&lt;&gt;F438+F439+F440+F441</formula>
    </cfRule>
  </conditionalFormatting>
  <conditionalFormatting sqref="F440:AA440">
    <cfRule type="expression" dxfId="280" priority="385">
      <formula>F437&lt;&gt;F438+F439+F440+F441</formula>
    </cfRule>
  </conditionalFormatting>
  <conditionalFormatting sqref="F441:AA441">
    <cfRule type="expression" dxfId="279" priority="384">
      <formula>F437&lt;&gt;F438+F439+F440+F441</formula>
    </cfRule>
  </conditionalFormatting>
  <conditionalFormatting sqref="F442:AA442">
    <cfRule type="cellIs" dxfId="278" priority="383" operator="equal">
      <formula>0</formula>
    </cfRule>
  </conditionalFormatting>
  <conditionalFormatting sqref="F443:AA443">
    <cfRule type="expression" dxfId="277" priority="382">
      <formula>F442&lt;&gt;F443+F444+F445+F446</formula>
    </cfRule>
  </conditionalFormatting>
  <conditionalFormatting sqref="F442:AA442">
    <cfRule type="expression" dxfId="276" priority="381">
      <formula>F442&lt;&gt;F443+F444+F445+F446</formula>
    </cfRule>
  </conditionalFormatting>
  <conditionalFormatting sqref="F444:AA444">
    <cfRule type="expression" dxfId="275" priority="380">
      <formula>F442&lt;&gt;F443+F444+F445+F446</formula>
    </cfRule>
  </conditionalFormatting>
  <conditionalFormatting sqref="F445:AA445">
    <cfRule type="expression" dxfId="274" priority="379">
      <formula>F442&lt;&gt;F443+F444+F445+F446</formula>
    </cfRule>
  </conditionalFormatting>
  <conditionalFormatting sqref="F446:AA446">
    <cfRule type="expression" dxfId="273" priority="378">
      <formula>F442&lt;&gt;F443+F444+F445+F446</formula>
    </cfRule>
  </conditionalFormatting>
  <conditionalFormatting sqref="F447:AA447">
    <cfRule type="cellIs" dxfId="272" priority="377" operator="equal">
      <formula>0</formula>
    </cfRule>
  </conditionalFormatting>
  <conditionalFormatting sqref="F448:AA448">
    <cfRule type="expression" dxfId="271" priority="376">
      <formula>F447&lt;&gt;F448+F449+F450+F451</formula>
    </cfRule>
  </conditionalFormatting>
  <conditionalFormatting sqref="F447:AA447">
    <cfRule type="expression" dxfId="270" priority="375">
      <formula>F447&lt;&gt;F448+F449+F450+F451</formula>
    </cfRule>
  </conditionalFormatting>
  <conditionalFormatting sqref="F449:AA449">
    <cfRule type="expression" dxfId="269" priority="374">
      <formula>F447&lt;&gt;F448+F449+F450+F451</formula>
    </cfRule>
  </conditionalFormatting>
  <conditionalFormatting sqref="F450:AA450">
    <cfRule type="expression" dxfId="268" priority="373">
      <formula>F447&lt;&gt;F448+F449+F450+F451</formula>
    </cfRule>
  </conditionalFormatting>
  <conditionalFormatting sqref="F451:AA451">
    <cfRule type="expression" dxfId="267" priority="372">
      <formula>F447&lt;&gt;F448+F449+F450+F451</formula>
    </cfRule>
  </conditionalFormatting>
  <conditionalFormatting sqref="F452:AA452">
    <cfRule type="cellIs" dxfId="266" priority="371" operator="equal">
      <formula>0</formula>
    </cfRule>
  </conditionalFormatting>
  <conditionalFormatting sqref="F453:AA453">
    <cfRule type="expression" dxfId="265" priority="370">
      <formula>F452&lt;&gt;F453+F454+F455+F456</formula>
    </cfRule>
  </conditionalFormatting>
  <conditionalFormatting sqref="F452:AA452">
    <cfRule type="expression" dxfId="264" priority="369">
      <formula>F452&lt;&gt;F453+F454+F455+F456</formula>
    </cfRule>
  </conditionalFormatting>
  <conditionalFormatting sqref="F454:AA454">
    <cfRule type="expression" dxfId="263" priority="368">
      <formula>F452&lt;&gt;F453+F454+F455+F456</formula>
    </cfRule>
  </conditionalFormatting>
  <conditionalFormatting sqref="F455:AA455">
    <cfRule type="expression" dxfId="262" priority="367">
      <formula>F452&lt;&gt;F453+F454+F455+F456</formula>
    </cfRule>
  </conditionalFormatting>
  <conditionalFormatting sqref="F456:AA456">
    <cfRule type="expression" dxfId="261" priority="366">
      <formula>F452&lt;&gt;F453+F454+F455+F456</formula>
    </cfRule>
  </conditionalFormatting>
  <conditionalFormatting sqref="L457:AA457">
    <cfRule type="cellIs" dxfId="260" priority="365" operator="equal">
      <formula>0</formula>
    </cfRule>
  </conditionalFormatting>
  <conditionalFormatting sqref="L458:AA458">
    <cfRule type="expression" dxfId="259" priority="364">
      <formula>L457&lt;&gt;L458+L459+L460+L461</formula>
    </cfRule>
  </conditionalFormatting>
  <conditionalFormatting sqref="L457:AA457">
    <cfRule type="expression" dxfId="258" priority="363">
      <formula>L457&lt;&gt;L458+L459+L460+L461</formula>
    </cfRule>
  </conditionalFormatting>
  <conditionalFormatting sqref="L459:AA459">
    <cfRule type="expression" dxfId="257" priority="362">
      <formula>L457&lt;&gt;L458+L459+L460+L461</formula>
    </cfRule>
  </conditionalFormatting>
  <conditionalFormatting sqref="L460:AA460">
    <cfRule type="expression" dxfId="256" priority="361">
      <formula>L457&lt;&gt;L458+L459+L460+L461</formula>
    </cfRule>
  </conditionalFormatting>
  <conditionalFormatting sqref="L461:AA461">
    <cfRule type="expression" dxfId="255" priority="360">
      <formula>L457&lt;&gt;L458+L459+L460+L461</formula>
    </cfRule>
  </conditionalFormatting>
  <conditionalFormatting sqref="F462:AA462">
    <cfRule type="cellIs" dxfId="254" priority="359" operator="equal">
      <formula>0</formula>
    </cfRule>
  </conditionalFormatting>
  <conditionalFormatting sqref="F463:AA463">
    <cfRule type="expression" dxfId="253" priority="358">
      <formula>F462&lt;&gt;F463+F464+F465+F466</formula>
    </cfRule>
  </conditionalFormatting>
  <conditionalFormatting sqref="F462:AA462">
    <cfRule type="expression" dxfId="252" priority="357">
      <formula>F462&lt;&gt;F463+F464+F465+F466</formula>
    </cfRule>
  </conditionalFormatting>
  <conditionalFormatting sqref="F464:AA464">
    <cfRule type="expression" dxfId="251" priority="356">
      <formula>F462&lt;&gt;F463+F464+F465+F466</formula>
    </cfRule>
  </conditionalFormatting>
  <conditionalFormatting sqref="F465:AA465">
    <cfRule type="expression" dxfId="250" priority="355">
      <formula>F462&lt;&gt;F463+F464+F465+F466</formula>
    </cfRule>
  </conditionalFormatting>
  <conditionalFormatting sqref="F466:AA466">
    <cfRule type="expression" dxfId="249" priority="354">
      <formula>F462&lt;&gt;F463+F464+F465+F466</formula>
    </cfRule>
  </conditionalFormatting>
  <conditionalFormatting sqref="K467">
    <cfRule type="cellIs" dxfId="248" priority="353" operator="equal">
      <formula>0</formula>
    </cfRule>
  </conditionalFormatting>
  <conditionalFormatting sqref="K468">
    <cfRule type="expression" dxfId="247" priority="352">
      <formula>K467&lt;&gt;K468+K469+K470+K471</formula>
    </cfRule>
  </conditionalFormatting>
  <conditionalFormatting sqref="K467">
    <cfRule type="expression" dxfId="246" priority="351">
      <formula>K467&lt;&gt;K468+K469+K470+K471</formula>
    </cfRule>
  </conditionalFormatting>
  <conditionalFormatting sqref="K469">
    <cfRule type="expression" dxfId="245" priority="350">
      <formula>K467&lt;&gt;K468+K469+K470+K471</formula>
    </cfRule>
  </conditionalFormatting>
  <conditionalFormatting sqref="K470">
    <cfRule type="expression" dxfId="244" priority="349">
      <formula>K467&lt;&gt;K468+K469+K470+K471</formula>
    </cfRule>
  </conditionalFormatting>
  <conditionalFormatting sqref="K471">
    <cfRule type="expression" dxfId="243" priority="348">
      <formula>K467&lt;&gt;K468+K469+K470+K471</formula>
    </cfRule>
  </conditionalFormatting>
  <conditionalFormatting sqref="M467">
    <cfRule type="cellIs" dxfId="242" priority="347" operator="equal">
      <formula>0</formula>
    </cfRule>
  </conditionalFormatting>
  <conditionalFormatting sqref="M468">
    <cfRule type="expression" dxfId="241" priority="346">
      <formula>M467&lt;&gt;M468+M469+M470+M471</formula>
    </cfRule>
  </conditionalFormatting>
  <conditionalFormatting sqref="M467">
    <cfRule type="expression" dxfId="240" priority="345">
      <formula>M467&lt;&gt;M468+M469+M470+M471</formula>
    </cfRule>
  </conditionalFormatting>
  <conditionalFormatting sqref="M469">
    <cfRule type="expression" dxfId="239" priority="344">
      <formula>M467&lt;&gt;M468+M469+M470+M471</formula>
    </cfRule>
  </conditionalFormatting>
  <conditionalFormatting sqref="M470">
    <cfRule type="expression" dxfId="238" priority="343">
      <formula>M467&lt;&gt;M468+M469+M470+M471</formula>
    </cfRule>
  </conditionalFormatting>
  <conditionalFormatting sqref="M471">
    <cfRule type="expression" dxfId="237" priority="342">
      <formula>M467&lt;&gt;M468+M469+M470+M471</formula>
    </cfRule>
  </conditionalFormatting>
  <conditionalFormatting sqref="O467">
    <cfRule type="cellIs" dxfId="236" priority="341" operator="equal">
      <formula>0</formula>
    </cfRule>
  </conditionalFormatting>
  <conditionalFormatting sqref="O468">
    <cfRule type="expression" dxfId="235" priority="340">
      <formula>O467&lt;&gt;O468+O469+O470+O471</formula>
    </cfRule>
  </conditionalFormatting>
  <conditionalFormatting sqref="O467">
    <cfRule type="expression" dxfId="234" priority="339">
      <formula>O467&lt;&gt;O468+O469+O470+O471</formula>
    </cfRule>
  </conditionalFormatting>
  <conditionalFormatting sqref="O469">
    <cfRule type="expression" dxfId="233" priority="338">
      <formula>O467&lt;&gt;O468+O469+O470+O471</formula>
    </cfRule>
  </conditionalFormatting>
  <conditionalFormatting sqref="O470">
    <cfRule type="expression" dxfId="232" priority="337">
      <formula>O467&lt;&gt;O468+O469+O470+O471</formula>
    </cfRule>
  </conditionalFormatting>
  <conditionalFormatting sqref="O471">
    <cfRule type="expression" dxfId="231" priority="336">
      <formula>O467&lt;&gt;O468+O469+O470+O471</formula>
    </cfRule>
  </conditionalFormatting>
  <conditionalFormatting sqref="Q467">
    <cfRule type="cellIs" dxfId="230" priority="335" operator="equal">
      <formula>0</formula>
    </cfRule>
  </conditionalFormatting>
  <conditionalFormatting sqref="Q468">
    <cfRule type="expression" dxfId="229" priority="334">
      <formula>Q467&lt;&gt;Q468+Q469+Q470+Q471</formula>
    </cfRule>
  </conditionalFormatting>
  <conditionalFormatting sqref="Q467">
    <cfRule type="expression" dxfId="228" priority="333">
      <formula>Q467&lt;&gt;Q468+Q469+Q470+Q471</formula>
    </cfRule>
  </conditionalFormatting>
  <conditionalFormatting sqref="Q469">
    <cfRule type="expression" dxfId="227" priority="332">
      <formula>Q467&lt;&gt;Q468+Q469+Q470+Q471</formula>
    </cfRule>
  </conditionalFormatting>
  <conditionalFormatting sqref="Q470">
    <cfRule type="expression" dxfId="226" priority="331">
      <formula>Q467&lt;&gt;Q468+Q469+Q470+Q471</formula>
    </cfRule>
  </conditionalFormatting>
  <conditionalFormatting sqref="Q471">
    <cfRule type="expression" dxfId="225" priority="330">
      <formula>Q467&lt;&gt;Q468+Q469+Q470+Q471</formula>
    </cfRule>
  </conditionalFormatting>
  <conditionalFormatting sqref="S467">
    <cfRule type="cellIs" dxfId="224" priority="329" operator="equal">
      <formula>0</formula>
    </cfRule>
  </conditionalFormatting>
  <conditionalFormatting sqref="S468">
    <cfRule type="expression" dxfId="223" priority="328">
      <formula>S467&lt;&gt;S468+S469+S470+S471</formula>
    </cfRule>
  </conditionalFormatting>
  <conditionalFormatting sqref="S467">
    <cfRule type="expression" dxfId="222" priority="327">
      <formula>S467&lt;&gt;S468+S469+S470+S471</formula>
    </cfRule>
  </conditionalFormatting>
  <conditionalFormatting sqref="S469">
    <cfRule type="expression" dxfId="221" priority="326">
      <formula>S467&lt;&gt;S468+S469+S470+S471</formula>
    </cfRule>
  </conditionalFormatting>
  <conditionalFormatting sqref="S470">
    <cfRule type="expression" dxfId="220" priority="325">
      <formula>S467&lt;&gt;S468+S469+S470+S471</formula>
    </cfRule>
  </conditionalFormatting>
  <conditionalFormatting sqref="S471">
    <cfRule type="expression" dxfId="219" priority="324">
      <formula>S467&lt;&gt;S468+S469+S470+S471</formula>
    </cfRule>
  </conditionalFormatting>
  <conditionalFormatting sqref="U467">
    <cfRule type="cellIs" dxfId="218" priority="323" operator="equal">
      <formula>0</formula>
    </cfRule>
  </conditionalFormatting>
  <conditionalFormatting sqref="U468">
    <cfRule type="expression" dxfId="217" priority="322">
      <formula>U467&lt;&gt;U468+U469+U470+U471</formula>
    </cfRule>
  </conditionalFormatting>
  <conditionalFormatting sqref="U467">
    <cfRule type="expression" dxfId="216" priority="321">
      <formula>U467&lt;&gt;U468+U469+U470+U471</formula>
    </cfRule>
  </conditionalFormatting>
  <conditionalFormatting sqref="U469">
    <cfRule type="expression" dxfId="215" priority="320">
      <formula>U467&lt;&gt;U468+U469+U470+U471</formula>
    </cfRule>
  </conditionalFormatting>
  <conditionalFormatting sqref="U470">
    <cfRule type="expression" dxfId="214" priority="319">
      <formula>U467&lt;&gt;U468+U469+U470+U471</formula>
    </cfRule>
  </conditionalFormatting>
  <conditionalFormatting sqref="U471">
    <cfRule type="expression" dxfId="213" priority="318">
      <formula>U467&lt;&gt;U468+U469+U470+U471</formula>
    </cfRule>
  </conditionalFormatting>
  <conditionalFormatting sqref="W467">
    <cfRule type="cellIs" dxfId="212" priority="317" operator="equal">
      <formula>0</formula>
    </cfRule>
  </conditionalFormatting>
  <conditionalFormatting sqref="W468">
    <cfRule type="expression" dxfId="211" priority="316">
      <formula>W467&lt;&gt;W468+W469+W470+W471</formula>
    </cfRule>
  </conditionalFormatting>
  <conditionalFormatting sqref="W467">
    <cfRule type="expression" dxfId="210" priority="315">
      <formula>W467&lt;&gt;W468+W469+W470+W471</formula>
    </cfRule>
  </conditionalFormatting>
  <conditionalFormatting sqref="W469">
    <cfRule type="expression" dxfId="209" priority="314">
      <formula>W467&lt;&gt;W468+W469+W470+W471</formula>
    </cfRule>
  </conditionalFormatting>
  <conditionalFormatting sqref="W470">
    <cfRule type="expression" dxfId="208" priority="313">
      <formula>W467&lt;&gt;W468+W469+W470+W471</formula>
    </cfRule>
  </conditionalFormatting>
  <conditionalFormatting sqref="W471">
    <cfRule type="expression" dxfId="207" priority="312">
      <formula>W467&lt;&gt;W468+W469+W470+W471</formula>
    </cfRule>
  </conditionalFormatting>
  <conditionalFormatting sqref="Y467">
    <cfRule type="cellIs" dxfId="206" priority="311" operator="equal">
      <formula>0</formula>
    </cfRule>
  </conditionalFormatting>
  <conditionalFormatting sqref="Y468">
    <cfRule type="expression" dxfId="205" priority="310">
      <formula>Y467&lt;&gt;Y468+Y469+Y470+Y471</formula>
    </cfRule>
  </conditionalFormatting>
  <conditionalFormatting sqref="Y467">
    <cfRule type="expression" dxfId="204" priority="309">
      <formula>Y467&lt;&gt;Y468+Y469+Y470+Y471</formula>
    </cfRule>
  </conditionalFormatting>
  <conditionalFormatting sqref="Y469">
    <cfRule type="expression" dxfId="203" priority="308">
      <formula>Y467&lt;&gt;Y468+Y469+Y470+Y471</formula>
    </cfRule>
  </conditionalFormatting>
  <conditionalFormatting sqref="Y470">
    <cfRule type="expression" dxfId="202" priority="307">
      <formula>Y467&lt;&gt;Y468+Y469+Y470+Y471</formula>
    </cfRule>
  </conditionalFormatting>
  <conditionalFormatting sqref="Y471">
    <cfRule type="expression" dxfId="201" priority="306">
      <formula>Y467&lt;&gt;Y468+Y469+Y470+Y471</formula>
    </cfRule>
  </conditionalFormatting>
  <conditionalFormatting sqref="AA467">
    <cfRule type="cellIs" dxfId="200" priority="305" operator="equal">
      <formula>0</formula>
    </cfRule>
  </conditionalFormatting>
  <conditionalFormatting sqref="AA468">
    <cfRule type="expression" dxfId="199" priority="304">
      <formula>AA467&lt;&gt;AA468+AA469+AA470+AA471</formula>
    </cfRule>
  </conditionalFormatting>
  <conditionalFormatting sqref="AA467">
    <cfRule type="expression" dxfId="198" priority="303">
      <formula>AA467&lt;&gt;AA468+AA469+AA470+AA471</formula>
    </cfRule>
  </conditionalFormatting>
  <conditionalFormatting sqref="AA469">
    <cfRule type="expression" dxfId="197" priority="302">
      <formula>AA467&lt;&gt;AA468+AA469+AA470+AA471</formula>
    </cfRule>
  </conditionalFormatting>
  <conditionalFormatting sqref="AA470">
    <cfRule type="expression" dxfId="196" priority="301">
      <formula>AA467&lt;&gt;AA468+AA469+AA470+AA471</formula>
    </cfRule>
  </conditionalFormatting>
  <conditionalFormatting sqref="AA471">
    <cfRule type="expression" dxfId="195" priority="300">
      <formula>AA467&lt;&gt;AA468+AA469+AA470+AA471</formula>
    </cfRule>
  </conditionalFormatting>
  <conditionalFormatting sqref="I467">
    <cfRule type="cellIs" dxfId="194" priority="299" operator="equal">
      <formula>0</formula>
    </cfRule>
  </conditionalFormatting>
  <conditionalFormatting sqref="I468">
    <cfRule type="expression" dxfId="193" priority="298">
      <formula>I467&lt;&gt;I468+I469+I470+I471</formula>
    </cfRule>
  </conditionalFormatting>
  <conditionalFormatting sqref="I467">
    <cfRule type="expression" dxfId="192" priority="297">
      <formula>I467&lt;&gt;I468+I469+I470+I471</formula>
    </cfRule>
  </conditionalFormatting>
  <conditionalFormatting sqref="I469">
    <cfRule type="expression" dxfId="191" priority="296">
      <formula>I467&lt;&gt;I468+I469+I470+I471</formula>
    </cfRule>
  </conditionalFormatting>
  <conditionalFormatting sqref="I470">
    <cfRule type="expression" dxfId="190" priority="295">
      <formula>I467&lt;&gt;I468+I469+I470+I471</formula>
    </cfRule>
  </conditionalFormatting>
  <conditionalFormatting sqref="I471">
    <cfRule type="expression" dxfId="189" priority="294">
      <formula>I467&lt;&gt;I468+I469+I470+I471</formula>
    </cfRule>
  </conditionalFormatting>
  <conditionalFormatting sqref="G467">
    <cfRule type="cellIs" dxfId="188" priority="293" operator="equal">
      <formula>0</formula>
    </cfRule>
  </conditionalFormatting>
  <conditionalFormatting sqref="G468">
    <cfRule type="expression" dxfId="187" priority="292">
      <formula>G467&lt;&gt;G468+G469+G470+G471</formula>
    </cfRule>
  </conditionalFormatting>
  <conditionalFormatting sqref="G467">
    <cfRule type="expression" dxfId="186" priority="291">
      <formula>G467&lt;&gt;G468+G469+G470+G471</formula>
    </cfRule>
  </conditionalFormatting>
  <conditionalFormatting sqref="G469">
    <cfRule type="expression" dxfId="185" priority="290">
      <formula>G467&lt;&gt;G468+G469+G470+G471</formula>
    </cfRule>
  </conditionalFormatting>
  <conditionalFormatting sqref="G470">
    <cfRule type="expression" dxfId="184" priority="289">
      <formula>G467&lt;&gt;G468+G469+G470+G471</formula>
    </cfRule>
  </conditionalFormatting>
  <conditionalFormatting sqref="G471">
    <cfRule type="expression" dxfId="183" priority="288">
      <formula>G467&lt;&gt;G468+G469+G470+G471</formula>
    </cfRule>
  </conditionalFormatting>
  <conditionalFormatting sqref="G472:AA472">
    <cfRule type="cellIs" dxfId="182" priority="287" operator="equal">
      <formula>0</formula>
    </cfRule>
  </conditionalFormatting>
  <conditionalFormatting sqref="G473">
    <cfRule type="expression" dxfId="181" priority="286">
      <formula>G472&lt;&gt;G473+G474+G475+G476</formula>
    </cfRule>
  </conditionalFormatting>
  <conditionalFormatting sqref="G472:AA472">
    <cfRule type="expression" dxfId="180" priority="285">
      <formula>G472&lt;&gt;G473+G474+G475+G476</formula>
    </cfRule>
  </conditionalFormatting>
  <conditionalFormatting sqref="G474">
    <cfRule type="expression" dxfId="179" priority="284">
      <formula>G472&lt;&gt;G473+G474+G475+G476</formula>
    </cfRule>
  </conditionalFormatting>
  <conditionalFormatting sqref="G475">
    <cfRule type="expression" dxfId="178" priority="283">
      <formula>G472&lt;&gt;G473+G474+G475+G476</formula>
    </cfRule>
  </conditionalFormatting>
  <conditionalFormatting sqref="G476">
    <cfRule type="expression" dxfId="177" priority="282">
      <formula>G472&lt;&gt;G473+G474+G475+G476</formula>
    </cfRule>
  </conditionalFormatting>
  <conditionalFormatting sqref="I473">
    <cfRule type="expression" dxfId="176" priority="280">
      <formula>I472&lt;&gt;I473+I474+I475+I476</formula>
    </cfRule>
  </conditionalFormatting>
  <conditionalFormatting sqref="I474">
    <cfRule type="expression" dxfId="175" priority="278">
      <formula>I472&lt;&gt;I473+I474+I475+I476</formula>
    </cfRule>
  </conditionalFormatting>
  <conditionalFormatting sqref="I475">
    <cfRule type="expression" dxfId="174" priority="277">
      <formula>I472&lt;&gt;I473+I474+I475+I476</formula>
    </cfRule>
  </conditionalFormatting>
  <conditionalFormatting sqref="I476">
    <cfRule type="expression" dxfId="173" priority="276">
      <formula>I472&lt;&gt;I473+I474+I475+I476</formula>
    </cfRule>
  </conditionalFormatting>
  <conditionalFormatting sqref="K473">
    <cfRule type="expression" dxfId="172" priority="274">
      <formula>K472&lt;&gt;K473+K474+K475+K476</formula>
    </cfRule>
  </conditionalFormatting>
  <conditionalFormatting sqref="K474">
    <cfRule type="expression" dxfId="171" priority="272">
      <formula>K472&lt;&gt;K473+K474+K475+K476</formula>
    </cfRule>
  </conditionalFormatting>
  <conditionalFormatting sqref="K475">
    <cfRule type="expression" dxfId="170" priority="271">
      <formula>K472&lt;&gt;K473+K474+K475+K476</formula>
    </cfRule>
  </conditionalFormatting>
  <conditionalFormatting sqref="K476">
    <cfRule type="expression" dxfId="169" priority="270">
      <formula>K472&lt;&gt;K473+K474+K475+K476</formula>
    </cfRule>
  </conditionalFormatting>
  <conditionalFormatting sqref="M473">
    <cfRule type="expression" dxfId="168" priority="268">
      <formula>M472&lt;&gt;M473+M474+M475+M476</formula>
    </cfRule>
  </conditionalFormatting>
  <conditionalFormatting sqref="M474">
    <cfRule type="expression" dxfId="167" priority="266">
      <formula>M472&lt;&gt;M473+M474+M475+M476</formula>
    </cfRule>
  </conditionalFormatting>
  <conditionalFormatting sqref="M475">
    <cfRule type="expression" dxfId="166" priority="265">
      <formula>M472&lt;&gt;M473+M474+M475+M476</formula>
    </cfRule>
  </conditionalFormatting>
  <conditionalFormatting sqref="M476">
    <cfRule type="expression" dxfId="165" priority="264">
      <formula>M472&lt;&gt;M473+M474+M475+M476</formula>
    </cfRule>
  </conditionalFormatting>
  <conditionalFormatting sqref="O473">
    <cfRule type="expression" dxfId="164" priority="262">
      <formula>O472&lt;&gt;O473+O474+O475+O476</formula>
    </cfRule>
  </conditionalFormatting>
  <conditionalFormatting sqref="O474">
    <cfRule type="expression" dxfId="163" priority="260">
      <formula>O472&lt;&gt;O473+O474+O475+O476</formula>
    </cfRule>
  </conditionalFormatting>
  <conditionalFormatting sqref="O475">
    <cfRule type="expression" dxfId="162" priority="259">
      <formula>O472&lt;&gt;O473+O474+O475+O476</formula>
    </cfRule>
  </conditionalFormatting>
  <conditionalFormatting sqref="O476">
    <cfRule type="expression" dxfId="161" priority="258">
      <formula>O472&lt;&gt;O473+O474+O475+O476</formula>
    </cfRule>
  </conditionalFormatting>
  <conditionalFormatting sqref="Q473">
    <cfRule type="expression" dxfId="160" priority="256">
      <formula>Q472&lt;&gt;Q473+Q474+Q475+Q476</formula>
    </cfRule>
  </conditionalFormatting>
  <conditionalFormatting sqref="Q474">
    <cfRule type="expression" dxfId="159" priority="254">
      <formula>Q472&lt;&gt;Q473+Q474+Q475+Q476</formula>
    </cfRule>
  </conditionalFormatting>
  <conditionalFormatting sqref="Q475">
    <cfRule type="expression" dxfId="158" priority="253">
      <formula>Q472&lt;&gt;Q473+Q474+Q475+Q476</formula>
    </cfRule>
  </conditionalFormatting>
  <conditionalFormatting sqref="Q476">
    <cfRule type="expression" dxfId="157" priority="252">
      <formula>Q472&lt;&gt;Q473+Q474+Q475+Q476</formula>
    </cfRule>
  </conditionalFormatting>
  <conditionalFormatting sqref="S473">
    <cfRule type="expression" dxfId="156" priority="250">
      <formula>S472&lt;&gt;S473+S474+S475+S476</formula>
    </cfRule>
  </conditionalFormatting>
  <conditionalFormatting sqref="S474">
    <cfRule type="expression" dxfId="155" priority="248">
      <formula>S472&lt;&gt;S473+S474+S475+S476</formula>
    </cfRule>
  </conditionalFormatting>
  <conditionalFormatting sqref="S475">
    <cfRule type="expression" dxfId="154" priority="247">
      <formula>S472&lt;&gt;S473+S474+S475+S476</formula>
    </cfRule>
  </conditionalFormatting>
  <conditionalFormatting sqref="S476">
    <cfRule type="expression" dxfId="153" priority="246">
      <formula>S472&lt;&gt;S473+S474+S475+S476</formula>
    </cfRule>
  </conditionalFormatting>
  <conditionalFormatting sqref="U473">
    <cfRule type="expression" dxfId="152" priority="244">
      <formula>U472&lt;&gt;U473+U474+U475+U476</formula>
    </cfRule>
  </conditionalFormatting>
  <conditionalFormatting sqref="U474">
    <cfRule type="expression" dxfId="151" priority="242">
      <formula>U472&lt;&gt;U473+U474+U475+U476</formula>
    </cfRule>
  </conditionalFormatting>
  <conditionalFormatting sqref="U475">
    <cfRule type="expression" dxfId="150" priority="241">
      <formula>U472&lt;&gt;U473+U474+U475+U476</formula>
    </cfRule>
  </conditionalFormatting>
  <conditionalFormatting sqref="U476">
    <cfRule type="expression" dxfId="149" priority="240">
      <formula>U472&lt;&gt;U473+U474+U475+U476</formula>
    </cfRule>
  </conditionalFormatting>
  <conditionalFormatting sqref="W473">
    <cfRule type="expression" dxfId="148" priority="238">
      <formula>W472&lt;&gt;W473+W474+W475+W476</formula>
    </cfRule>
  </conditionalFormatting>
  <conditionalFormatting sqref="W474">
    <cfRule type="expression" dxfId="147" priority="236">
      <formula>W472&lt;&gt;W473+W474+W475+W476</formula>
    </cfRule>
  </conditionalFormatting>
  <conditionalFormatting sqref="W475">
    <cfRule type="expression" dxfId="146" priority="235">
      <formula>W472&lt;&gt;W473+W474+W475+W476</formula>
    </cfRule>
  </conditionalFormatting>
  <conditionalFormatting sqref="W476">
    <cfRule type="expression" dxfId="145" priority="234">
      <formula>W472&lt;&gt;W473+W474+W475+W476</formula>
    </cfRule>
  </conditionalFormatting>
  <conditionalFormatting sqref="Y473">
    <cfRule type="expression" dxfId="144" priority="232">
      <formula>Y472&lt;&gt;Y473+Y474+Y475+Y476</formula>
    </cfRule>
  </conditionalFormatting>
  <conditionalFormatting sqref="Y474">
    <cfRule type="expression" dxfId="143" priority="230">
      <formula>Y472&lt;&gt;Y473+Y474+Y475+Y476</formula>
    </cfRule>
  </conditionalFormatting>
  <conditionalFormatting sqref="Y475">
    <cfRule type="expression" dxfId="142" priority="229">
      <formula>Y472&lt;&gt;Y473+Y474+Y475+Y476</formula>
    </cfRule>
  </conditionalFormatting>
  <conditionalFormatting sqref="Y476">
    <cfRule type="expression" dxfId="141" priority="228">
      <formula>Y472&lt;&gt;Y473+Y474+Y475+Y476</formula>
    </cfRule>
  </conditionalFormatting>
  <conditionalFormatting sqref="AA473">
    <cfRule type="expression" dxfId="140" priority="226">
      <formula>AA472&lt;&gt;AA473+AA474+AA475+AA476</formula>
    </cfRule>
  </conditionalFormatting>
  <conditionalFormatting sqref="AA474">
    <cfRule type="expression" dxfId="139" priority="224">
      <formula>AA472&lt;&gt;AA473+AA474+AA475+AA476</formula>
    </cfRule>
  </conditionalFormatting>
  <conditionalFormatting sqref="AA475">
    <cfRule type="expression" dxfId="138" priority="223">
      <formula>AA472&lt;&gt;AA473+AA474+AA475+AA476</formula>
    </cfRule>
  </conditionalFormatting>
  <conditionalFormatting sqref="AA476">
    <cfRule type="expression" dxfId="137" priority="222">
      <formula>AA472&lt;&gt;AA473+AA474+AA475+AA476</formula>
    </cfRule>
  </conditionalFormatting>
  <conditionalFormatting sqref="AK472">
    <cfRule type="notContainsBlanks" dxfId="136" priority="221">
      <formula>LEN(TRIM(AK472))&gt;0</formula>
    </cfRule>
  </conditionalFormatting>
  <conditionalFormatting sqref="AK467">
    <cfRule type="notContainsBlanks" dxfId="135" priority="220">
      <formula>LEN(TRIM(AK467))&gt;0</formula>
    </cfRule>
  </conditionalFormatting>
  <conditionalFormatting sqref="AK462">
    <cfRule type="notContainsBlanks" dxfId="134" priority="219">
      <formula>LEN(TRIM(AK462))&gt;0</formula>
    </cfRule>
  </conditionalFormatting>
  <conditionalFormatting sqref="AK457">
    <cfRule type="notContainsBlanks" dxfId="133" priority="218">
      <formula>LEN(TRIM(AK457))&gt;0</formula>
    </cfRule>
  </conditionalFormatting>
  <conditionalFormatting sqref="AK452">
    <cfRule type="notContainsBlanks" dxfId="132" priority="217">
      <formula>LEN(TRIM(AK452))&gt;0</formula>
    </cfRule>
  </conditionalFormatting>
  <conditionalFormatting sqref="AK447">
    <cfRule type="notContainsBlanks" dxfId="131" priority="216">
      <formula>LEN(TRIM(AK447))&gt;0</formula>
    </cfRule>
  </conditionalFormatting>
  <conditionalFormatting sqref="AK442">
    <cfRule type="notContainsBlanks" dxfId="130" priority="215">
      <formula>LEN(TRIM(AK442))&gt;0</formula>
    </cfRule>
  </conditionalFormatting>
  <conditionalFormatting sqref="AK437">
    <cfRule type="notContainsBlanks" dxfId="129" priority="214">
      <formula>LEN(TRIM(AK437))&gt;0</formula>
    </cfRule>
  </conditionalFormatting>
  <conditionalFormatting sqref="AK432">
    <cfRule type="notContainsBlanks" dxfId="128" priority="213">
      <formula>LEN(TRIM(AK432))&gt;0</formula>
    </cfRule>
  </conditionalFormatting>
  <conditionalFormatting sqref="AK427">
    <cfRule type="notContainsBlanks" dxfId="127" priority="212">
      <formula>LEN(TRIM(AK427))&gt;0</formula>
    </cfRule>
  </conditionalFormatting>
  <conditionalFormatting sqref="AK422">
    <cfRule type="notContainsBlanks" dxfId="126" priority="211">
      <formula>LEN(TRIM(AK422))&gt;0</formula>
    </cfRule>
  </conditionalFormatting>
  <conditionalFormatting sqref="AK417">
    <cfRule type="notContainsBlanks" dxfId="125" priority="210">
      <formula>LEN(TRIM(AK417))&gt;0</formula>
    </cfRule>
  </conditionalFormatting>
  <conditionalFormatting sqref="AK205">
    <cfRule type="notContainsBlanks" dxfId="124" priority="209">
      <formula>LEN(TRIM(AK205))&gt;0</formula>
    </cfRule>
  </conditionalFormatting>
  <conditionalFormatting sqref="AK213">
    <cfRule type="notContainsBlanks" dxfId="123" priority="208">
      <formula>LEN(TRIM(AK213))&gt;0</formula>
    </cfRule>
  </conditionalFormatting>
  <conditionalFormatting sqref="AA196:AA219">
    <cfRule type="cellIs" dxfId="122" priority="196" operator="equal">
      <formula>0</formula>
    </cfRule>
  </conditionalFormatting>
  <conditionalFormatting sqref="Z332:AA337">
    <cfRule type="cellIs" dxfId="121" priority="206" operator="equal">
      <formula>0</formula>
    </cfRule>
  </conditionalFormatting>
  <conditionalFormatting sqref="Z368:AA368">
    <cfRule type="cellIs" dxfId="120" priority="203" operator="equal">
      <formula>0</formula>
    </cfRule>
  </conditionalFormatting>
  <conditionalFormatting sqref="Z367:AA367">
    <cfRule type="cellIs" dxfId="119" priority="202" operator="equal">
      <formula>0</formula>
    </cfRule>
  </conditionalFormatting>
  <conditionalFormatting sqref="AB339:AG339">
    <cfRule type="cellIs" dxfId="118" priority="201" operator="equal">
      <formula>0</formula>
    </cfRule>
  </conditionalFormatting>
  <conditionalFormatting sqref="AB339:AG339">
    <cfRule type="expression" dxfId="117" priority="200">
      <formula>AB339&gt;AB340</formula>
    </cfRule>
  </conditionalFormatting>
  <conditionalFormatting sqref="Z339:AA339">
    <cfRule type="cellIs" dxfId="116" priority="199" operator="equal">
      <formula>0</formula>
    </cfRule>
  </conditionalFormatting>
  <conditionalFormatting sqref="AH339:AI339">
    <cfRule type="cellIs" dxfId="115" priority="198" operator="equal">
      <formula>0</formula>
    </cfRule>
  </conditionalFormatting>
  <conditionalFormatting sqref="AH339:AI339">
    <cfRule type="expression" dxfId="114" priority="197">
      <formula>AH339&gt;AH340</formula>
    </cfRule>
  </conditionalFormatting>
  <conditionalFormatting sqref="AM32">
    <cfRule type="notContainsBlanks" dxfId="113" priority="194">
      <formula>LEN(TRIM(AM32))&gt;0</formula>
    </cfRule>
  </conditionalFormatting>
  <conditionalFormatting sqref="AJ32">
    <cfRule type="cellIs" dxfId="112" priority="193" operator="equal">
      <formula>0</formula>
    </cfRule>
  </conditionalFormatting>
  <conditionalFormatting sqref="F32:AA32">
    <cfRule type="expression" dxfId="111" priority="192">
      <formula>(F32+F31+F30)&lt;&gt;F27</formula>
    </cfRule>
  </conditionalFormatting>
  <conditionalFormatting sqref="F31:AA31">
    <cfRule type="expression" dxfId="110" priority="191">
      <formula>(F32+F31+F30)&lt;&gt;F27</formula>
    </cfRule>
  </conditionalFormatting>
  <conditionalFormatting sqref="F30:AA30">
    <cfRule type="expression" dxfId="109" priority="190">
      <formula>(F32+F31+F30)&lt;&gt;F27</formula>
    </cfRule>
  </conditionalFormatting>
  <conditionalFormatting sqref="F27:AA27">
    <cfRule type="expression" dxfId="108" priority="189">
      <formula>(F32+F31+F30)&lt;&gt;F27</formula>
    </cfRule>
  </conditionalFormatting>
  <conditionalFormatting sqref="F51:AA51">
    <cfRule type="expression" dxfId="107" priority="187">
      <formula>F52&gt;F51</formula>
    </cfRule>
  </conditionalFormatting>
  <conditionalFormatting sqref="F51">
    <cfRule type="expression" dxfId="106" priority="186">
      <formula>F51&lt;F53</formula>
    </cfRule>
  </conditionalFormatting>
  <conditionalFormatting sqref="F52:AA52">
    <cfRule type="expression" dxfId="105" priority="185">
      <formula>F51&lt;F52</formula>
    </cfRule>
  </conditionalFormatting>
  <conditionalFormatting sqref="AM118:AM119">
    <cfRule type="notContainsBlanks" dxfId="104" priority="183">
      <formula>LEN(TRIM(AM118))&gt;0</formula>
    </cfRule>
  </conditionalFormatting>
  <conditionalFormatting sqref="J118:AA118">
    <cfRule type="expression" dxfId="103" priority="181">
      <formula>J119&gt;J118</formula>
    </cfRule>
  </conditionalFormatting>
  <conditionalFormatting sqref="AJ118:AJ119">
    <cfRule type="notContainsBlanks" dxfId="102" priority="177">
      <formula>LEN(TRIM(AJ118))&gt;0</formula>
    </cfRule>
  </conditionalFormatting>
  <conditionalFormatting sqref="AM56:AM57">
    <cfRule type="notContainsBlanks" dxfId="101" priority="176">
      <formula>LEN(TRIM(AM56))&gt;0</formula>
    </cfRule>
  </conditionalFormatting>
  <conditionalFormatting sqref="D56:AA57">
    <cfRule type="cellIs" dxfId="100" priority="175" operator="equal">
      <formula>0</formula>
    </cfRule>
  </conditionalFormatting>
  <conditionalFormatting sqref="AJ56">
    <cfRule type="cellIs" dxfId="99" priority="174" operator="equal">
      <formula>0</formula>
    </cfRule>
  </conditionalFormatting>
  <conditionalFormatting sqref="D56:AA57">
    <cfRule type="cellIs" dxfId="98" priority="173" operator="equal">
      <formula>0</formula>
    </cfRule>
  </conditionalFormatting>
  <conditionalFormatting sqref="AJ57">
    <cfRule type="cellIs" dxfId="97" priority="172" operator="equal">
      <formula>0</formula>
    </cfRule>
  </conditionalFormatting>
  <conditionalFormatting sqref="AJ57">
    <cfRule type="cellIs" dxfId="96" priority="171" operator="equal">
      <formula>0</formula>
    </cfRule>
  </conditionalFormatting>
  <conditionalFormatting sqref="D56:AA56">
    <cfRule type="expression" dxfId="95" priority="170">
      <formula>D56&gt;D16</formula>
    </cfRule>
  </conditionalFormatting>
  <conditionalFormatting sqref="AK298">
    <cfRule type="notContainsBlanks" dxfId="94" priority="165">
      <formula>LEN(TRIM(AK298))&gt;0</formula>
    </cfRule>
  </conditionalFormatting>
  <conditionalFormatting sqref="AM297:AM298">
    <cfRule type="notContainsBlanks" dxfId="93" priority="164">
      <formula>LEN(TRIM(AM297))&gt;0</formula>
    </cfRule>
  </conditionalFormatting>
  <conditionalFormatting sqref="AJ297:AJ298">
    <cfRule type="cellIs" dxfId="92" priority="163" operator="equal">
      <formula>0</formula>
    </cfRule>
  </conditionalFormatting>
  <conditionalFormatting sqref="K297">
    <cfRule type="expression" dxfId="91" priority="166">
      <formula>K326&gt;K297</formula>
    </cfRule>
  </conditionalFormatting>
  <conditionalFormatting sqref="K297">
    <cfRule type="expression" dxfId="90" priority="162">
      <formula>K298&gt;K297</formula>
    </cfRule>
  </conditionalFormatting>
  <conditionalFormatting sqref="M297">
    <cfRule type="expression" dxfId="89" priority="161">
      <formula>M298&gt;M297</formula>
    </cfRule>
  </conditionalFormatting>
  <conditionalFormatting sqref="O297">
    <cfRule type="expression" dxfId="88" priority="160">
      <formula>O298&gt;O297</formula>
    </cfRule>
  </conditionalFormatting>
  <conditionalFormatting sqref="Q297">
    <cfRule type="expression" dxfId="87" priority="159">
      <formula>Q298&gt;Q297</formula>
    </cfRule>
  </conditionalFormatting>
  <conditionalFormatting sqref="Q298">
    <cfRule type="expression" dxfId="86" priority="158">
      <formula>Q298&gt;Q297</formula>
    </cfRule>
  </conditionalFormatting>
  <conditionalFormatting sqref="AK297">
    <cfRule type="notContainsBlanks" dxfId="85" priority="157">
      <formula>LEN(TRIM(AK297))&gt;0</formula>
    </cfRule>
  </conditionalFormatting>
  <conditionalFormatting sqref="Q298">
    <cfRule type="expression" dxfId="84" priority="155">
      <formula>Q325&gt;Q298</formula>
    </cfRule>
  </conditionalFormatting>
  <conditionalFormatting sqref="Q298">
    <cfRule type="expression" dxfId="83" priority="156">
      <formula>Q298&gt;Q297</formula>
    </cfRule>
  </conditionalFormatting>
  <conditionalFormatting sqref="S297">
    <cfRule type="expression" dxfId="82" priority="154">
      <formula>S298&gt;S297</formula>
    </cfRule>
  </conditionalFormatting>
  <conditionalFormatting sqref="U297">
    <cfRule type="expression" dxfId="81" priority="153">
      <formula>U298&gt;U297</formula>
    </cfRule>
  </conditionalFormatting>
  <conditionalFormatting sqref="W297">
    <cfRule type="expression" dxfId="80" priority="152">
      <formula>W298&gt;W297</formula>
    </cfRule>
  </conditionalFormatting>
  <conditionalFormatting sqref="Y297">
    <cfRule type="expression" dxfId="79" priority="151">
      <formula>Y298&gt;Y297</formula>
    </cfRule>
  </conditionalFormatting>
  <conditionalFormatting sqref="O298">
    <cfRule type="expression" dxfId="78" priority="150">
      <formula>O298&gt;O297</formula>
    </cfRule>
  </conditionalFormatting>
  <conditionalFormatting sqref="O298">
    <cfRule type="expression" dxfId="77" priority="148">
      <formula>O325&gt;O298</formula>
    </cfRule>
  </conditionalFormatting>
  <conditionalFormatting sqref="O298">
    <cfRule type="expression" dxfId="76" priority="149">
      <formula>O298&gt;O297</formula>
    </cfRule>
  </conditionalFormatting>
  <conditionalFormatting sqref="M298">
    <cfRule type="expression" dxfId="75" priority="147">
      <formula>M298&gt;M297</formula>
    </cfRule>
  </conditionalFormatting>
  <conditionalFormatting sqref="M298">
    <cfRule type="expression" dxfId="74" priority="145">
      <formula>M325&gt;M298</formula>
    </cfRule>
  </conditionalFormatting>
  <conditionalFormatting sqref="M298">
    <cfRule type="expression" dxfId="73" priority="146">
      <formula>M298&gt;M297</formula>
    </cfRule>
  </conditionalFormatting>
  <conditionalFormatting sqref="K298">
    <cfRule type="expression" dxfId="72" priority="144">
      <formula>K298&gt;K297</formula>
    </cfRule>
  </conditionalFormatting>
  <conditionalFormatting sqref="K298">
    <cfRule type="expression" dxfId="71" priority="142">
      <formula>K325&gt;K298</formula>
    </cfRule>
  </conditionalFormatting>
  <conditionalFormatting sqref="K298">
    <cfRule type="expression" dxfId="70" priority="143">
      <formula>K298&gt;K297</formula>
    </cfRule>
  </conditionalFormatting>
  <conditionalFormatting sqref="S298">
    <cfRule type="expression" dxfId="69" priority="141">
      <formula>S298&gt;S297</formula>
    </cfRule>
  </conditionalFormatting>
  <conditionalFormatting sqref="S298">
    <cfRule type="expression" dxfId="68" priority="139">
      <formula>S325&gt;S298</formula>
    </cfRule>
  </conditionalFormatting>
  <conditionalFormatting sqref="S298">
    <cfRule type="expression" dxfId="67" priority="140">
      <formula>S298&gt;S297</formula>
    </cfRule>
  </conditionalFormatting>
  <conditionalFormatting sqref="U298">
    <cfRule type="expression" dxfId="66" priority="138">
      <formula>U298&gt;U297</formula>
    </cfRule>
  </conditionalFormatting>
  <conditionalFormatting sqref="U298">
    <cfRule type="expression" dxfId="65" priority="136">
      <formula>U325&gt;U298</formula>
    </cfRule>
  </conditionalFormatting>
  <conditionalFormatting sqref="U298">
    <cfRule type="expression" dxfId="64" priority="137">
      <formula>U298&gt;U297</formula>
    </cfRule>
  </conditionalFormatting>
  <conditionalFormatting sqref="W298">
    <cfRule type="expression" dxfId="63" priority="135">
      <formula>W298&gt;W297</formula>
    </cfRule>
  </conditionalFormatting>
  <conditionalFormatting sqref="W298">
    <cfRule type="expression" dxfId="62" priority="133">
      <formula>W325&gt;W298</formula>
    </cfRule>
  </conditionalFormatting>
  <conditionalFormatting sqref="W298">
    <cfRule type="expression" dxfId="61" priority="134">
      <formula>W298&gt;W297</formula>
    </cfRule>
  </conditionalFormatting>
  <conditionalFormatting sqref="Y298">
    <cfRule type="expression" dxfId="60" priority="132">
      <formula>Y298&gt;Y297</formula>
    </cfRule>
  </conditionalFormatting>
  <conditionalFormatting sqref="Y298">
    <cfRule type="expression" dxfId="59" priority="130">
      <formula>Y325&gt;Y298</formula>
    </cfRule>
  </conditionalFormatting>
  <conditionalFormatting sqref="Y298">
    <cfRule type="expression" dxfId="58" priority="131">
      <formula>Y298&gt;Y297</formula>
    </cfRule>
  </conditionalFormatting>
  <conditionalFormatting sqref="AK59:AK60">
    <cfRule type="notContainsBlanks" dxfId="57" priority="107">
      <formula>LEN(TRIM(AK59))&gt;0</formula>
    </cfRule>
  </conditionalFormatting>
  <conditionalFormatting sqref="AM59:AM60">
    <cfRule type="notContainsBlanks" dxfId="56" priority="106">
      <formula>LEN(TRIM(AM59))&gt;0</formula>
    </cfRule>
  </conditionalFormatting>
  <conditionalFormatting sqref="AM59">
    <cfRule type="notContainsBlanks" dxfId="55" priority="105">
      <formula>LEN(TRIM(AM59))&gt;0</formula>
    </cfRule>
  </conditionalFormatting>
  <conditionalFormatting sqref="AL59:AL60">
    <cfRule type="notContainsBlanks" dxfId="54" priority="108">
      <formula>LEN(TRIM(AL59))&gt;0</formula>
    </cfRule>
  </conditionalFormatting>
  <conditionalFormatting sqref="AJ59">
    <cfRule type="cellIs" dxfId="53" priority="104" operator="equal">
      <formula>0</formula>
    </cfRule>
  </conditionalFormatting>
  <conditionalFormatting sqref="AJ60">
    <cfRule type="cellIs" dxfId="52" priority="103" operator="equal">
      <formula>0</formula>
    </cfRule>
  </conditionalFormatting>
  <conditionalFormatting sqref="L59:AA59">
    <cfRule type="expression" dxfId="51" priority="102">
      <formula>L60&gt;L59</formula>
    </cfRule>
  </conditionalFormatting>
  <conditionalFormatting sqref="AK61:AK62">
    <cfRule type="notContainsBlanks" dxfId="50" priority="96">
      <formula>LEN(TRIM(AK61))&gt;0</formula>
    </cfRule>
  </conditionalFormatting>
  <conditionalFormatting sqref="AM61:AM62">
    <cfRule type="notContainsBlanks" dxfId="49" priority="95">
      <formula>LEN(TRIM(AM61))&gt;0</formula>
    </cfRule>
  </conditionalFormatting>
  <conditionalFormatting sqref="AM61">
    <cfRule type="notContainsBlanks" dxfId="48" priority="94">
      <formula>LEN(TRIM(AM61))&gt;0</formula>
    </cfRule>
  </conditionalFormatting>
  <conditionalFormatting sqref="AL61:AL62">
    <cfRule type="notContainsBlanks" dxfId="47" priority="97">
      <formula>LEN(TRIM(AL61))&gt;0</formula>
    </cfRule>
  </conditionalFormatting>
  <conditionalFormatting sqref="AJ61">
    <cfRule type="cellIs" dxfId="46" priority="93" operator="equal">
      <formula>0</formula>
    </cfRule>
  </conditionalFormatting>
  <conditionalFormatting sqref="AJ62">
    <cfRule type="cellIs" dxfId="45" priority="92" operator="equal">
      <formula>0</formula>
    </cfRule>
  </conditionalFormatting>
  <conditionalFormatting sqref="L61:AA61">
    <cfRule type="expression" dxfId="44" priority="91">
      <formula>L62&gt;L61</formula>
    </cfRule>
  </conditionalFormatting>
  <conditionalFormatting sqref="K160 M160 O160 Q160 S160 U160 W160 Y160 AA160">
    <cfRule type="expression" dxfId="43" priority="77">
      <formula>(K157+K158+K160)&gt;K150</formula>
    </cfRule>
  </conditionalFormatting>
  <conditionalFormatting sqref="J161 L161 N161 P161 R161 T161 V161 X161 Z161">
    <cfRule type="expression" dxfId="42" priority="76">
      <formula>(J158+J159+J161)&gt;J151</formula>
    </cfRule>
  </conditionalFormatting>
  <conditionalFormatting sqref="AK166">
    <cfRule type="notContainsBlanks" dxfId="41" priority="72">
      <formula>LEN(TRIM(AK166))&gt;0</formula>
    </cfRule>
  </conditionalFormatting>
  <conditionalFormatting sqref="AM166:AN166">
    <cfRule type="notContainsBlanks" dxfId="40" priority="70">
      <formula>LEN(TRIM(AM166))&gt;0</formula>
    </cfRule>
  </conditionalFormatting>
  <conditionalFormatting sqref="AJ166">
    <cfRule type="cellIs" dxfId="39" priority="69" operator="equal">
      <formula>0</formula>
    </cfRule>
  </conditionalFormatting>
  <conditionalFormatting sqref="AK323">
    <cfRule type="notContainsBlanks" dxfId="38" priority="59">
      <formula>LEN(TRIM(AK323))&gt;0</formula>
    </cfRule>
  </conditionalFormatting>
  <conditionalFormatting sqref="AM323">
    <cfRule type="notContainsBlanks" dxfId="37" priority="58">
      <formula>LEN(TRIM(AM323))&gt;0</formula>
    </cfRule>
  </conditionalFormatting>
  <conditionalFormatting sqref="AL323">
    <cfRule type="notContainsBlanks" dxfId="36" priority="60">
      <formula>LEN(TRIM(AL323))&gt;0</formula>
    </cfRule>
  </conditionalFormatting>
  <conditionalFormatting sqref="AJ323">
    <cfRule type="cellIs" dxfId="35" priority="57" operator="equal">
      <formula>0</formula>
    </cfRule>
  </conditionalFormatting>
  <conditionalFormatting sqref="K323">
    <cfRule type="expression" dxfId="34" priority="56">
      <formula>K323&gt;K297</formula>
    </cfRule>
  </conditionalFormatting>
  <conditionalFormatting sqref="M323">
    <cfRule type="expression" dxfId="33" priority="55">
      <formula>M323&gt;M297</formula>
    </cfRule>
  </conditionalFormatting>
  <conditionalFormatting sqref="O323">
    <cfRule type="expression" dxfId="32" priority="54">
      <formula>O323&gt;O297</formula>
    </cfRule>
  </conditionalFormatting>
  <conditionalFormatting sqref="Q323">
    <cfRule type="expression" dxfId="31" priority="53">
      <formula>Q323&gt;Q297</formula>
    </cfRule>
  </conditionalFormatting>
  <conditionalFormatting sqref="S323">
    <cfRule type="expression" dxfId="30" priority="52">
      <formula>S323&gt;S297</formula>
    </cfRule>
  </conditionalFormatting>
  <conditionalFormatting sqref="U323">
    <cfRule type="expression" dxfId="29" priority="51">
      <formula>U323&gt;U297</formula>
    </cfRule>
  </conditionalFormatting>
  <conditionalFormatting sqref="W323">
    <cfRule type="expression" dxfId="28" priority="50">
      <formula>W323&gt;W297</formula>
    </cfRule>
  </conditionalFormatting>
  <conditionalFormatting sqref="Y323">
    <cfRule type="expression" dxfId="27" priority="49">
      <formula>Y323&gt;Y297</formula>
    </cfRule>
  </conditionalFormatting>
  <conditionalFormatting sqref="AA313:AA323">
    <cfRule type="cellIs" dxfId="26" priority="41" operator="equal">
      <formula>0</formula>
    </cfRule>
  </conditionalFormatting>
  <conditionalFormatting sqref="AB315">
    <cfRule type="cellIs" dxfId="25" priority="40" operator="equal">
      <formula>0</formula>
    </cfRule>
  </conditionalFormatting>
  <conditionalFormatting sqref="AD315">
    <cfRule type="cellIs" dxfId="24" priority="37" operator="equal">
      <formula>0</formula>
    </cfRule>
  </conditionalFormatting>
  <conditionalFormatting sqref="AF315">
    <cfRule type="cellIs" dxfId="23" priority="36" operator="equal">
      <formula>0</formula>
    </cfRule>
  </conditionalFormatting>
  <conditionalFormatting sqref="AH315">
    <cfRule type="cellIs" dxfId="22" priority="35" operator="equal">
      <formula>0</formula>
    </cfRule>
  </conditionalFormatting>
  <conditionalFormatting sqref="D169:AA170">
    <cfRule type="expression" dxfId="21" priority="3284">
      <formula>D171&gt;D169</formula>
    </cfRule>
  </conditionalFormatting>
  <conditionalFormatting sqref="AK181">
    <cfRule type="notContainsBlanks" dxfId="20" priority="16">
      <formula>LEN(TRIM(AK181))&gt;0</formula>
    </cfRule>
  </conditionalFormatting>
  <conditionalFormatting sqref="AK182">
    <cfRule type="notContainsBlanks" dxfId="19" priority="15">
      <formula>LEN(TRIM(AK182))&gt;0</formula>
    </cfRule>
  </conditionalFormatting>
  <conditionalFormatting sqref="AK183">
    <cfRule type="notContainsBlanks" dxfId="18" priority="14">
      <formula>LEN(TRIM(AK183))&gt;0</formula>
    </cfRule>
  </conditionalFormatting>
  <conditionalFormatting sqref="AK184">
    <cfRule type="notContainsBlanks" dxfId="17" priority="13">
      <formula>LEN(TRIM(AK184))&gt;0</formula>
    </cfRule>
  </conditionalFormatting>
  <conditionalFormatting sqref="AM181:AN181 AM182:AM184">
    <cfRule type="notContainsBlanks" dxfId="16" priority="12">
      <formula>LEN(TRIM(AM181))&gt;0</formula>
    </cfRule>
  </conditionalFormatting>
  <conditionalFormatting sqref="AJ181:AJ184">
    <cfRule type="cellIs" dxfId="15" priority="11" operator="equal">
      <formula>0</formula>
    </cfRule>
  </conditionalFormatting>
  <conditionalFormatting sqref="D181:AA181">
    <cfRule type="expression" dxfId="14" priority="10">
      <formula>D183&gt;D181</formula>
    </cfRule>
  </conditionalFormatting>
  <conditionalFormatting sqref="D182:AA182">
    <cfRule type="expression" dxfId="13" priority="9">
      <formula>D184&gt;D182</formula>
    </cfRule>
  </conditionalFormatting>
  <conditionalFormatting sqref="D183:AA183">
    <cfRule type="expression" dxfId="12" priority="8">
      <formula>D183&gt;D181</formula>
    </cfRule>
  </conditionalFormatting>
  <conditionalFormatting sqref="D184:AA184">
    <cfRule type="expression" dxfId="11" priority="7">
      <formula>D184&gt;D182</formula>
    </cfRule>
  </conditionalFormatting>
  <conditionalFormatting sqref="D181:AA181">
    <cfRule type="expression" dxfId="10" priority="17">
      <formula>SUM(D181:D182)&gt;D357</formula>
    </cfRule>
  </conditionalFormatting>
  <conditionalFormatting sqref="D182:E182">
    <cfRule type="expression" dxfId="9" priority="18">
      <formula>SUM(D181:D182)&gt;D357</formula>
    </cfRule>
  </conditionalFormatting>
  <conditionalFormatting sqref="D183:AA184">
    <cfRule type="expression" dxfId="8" priority="19">
      <formula>D197&gt;D183</formula>
    </cfRule>
  </conditionalFormatting>
  <conditionalFormatting sqref="AM185:AM192">
    <cfRule type="notContainsBlanks" dxfId="7" priority="6">
      <formula>LEN(TRIM(AM185))&gt;0</formula>
    </cfRule>
  </conditionalFormatting>
  <conditionalFormatting sqref="AJ185:AJ192">
    <cfRule type="cellIs" dxfId="6" priority="5" operator="equal">
      <formula>0</formula>
    </cfRule>
  </conditionalFormatting>
  <conditionalFormatting sqref="D167:AA167">
    <cfRule type="expression" dxfId="5" priority="3286">
      <formula>SUM(D167:D168)&gt;D341</formula>
    </cfRule>
  </conditionalFormatting>
  <conditionalFormatting sqref="D168:E168">
    <cfRule type="expression" dxfId="4" priority="3287">
      <formula>SUM(D167:D168)&gt;D341</formula>
    </cfRule>
  </conditionalFormatting>
  <conditionalFormatting sqref="AK180">
    <cfRule type="notContainsBlanks" dxfId="3" priority="4">
      <formula>LEN(TRIM(AK180))&gt;0</formula>
    </cfRule>
  </conditionalFormatting>
  <conditionalFormatting sqref="AM180">
    <cfRule type="notContainsBlanks" dxfId="2" priority="3">
      <formula>LEN(TRIM(AM180))&gt;0</formula>
    </cfRule>
  </conditionalFormatting>
  <conditionalFormatting sqref="AJ180">
    <cfRule type="cellIs" dxfId="1" priority="2" operator="equal">
      <formula>0</formula>
    </cfRule>
  </conditionalFormatting>
  <conditionalFormatting sqref="AL180">
    <cfRule type="notContainsBlanks" dxfId="0" priority="1">
      <formula>LEN(TRIM(AL180))&gt;0</formula>
    </cfRule>
  </conditionalFormatting>
  <dataValidations count="3">
    <dataValidation type="whole" allowBlank="1" showInputMessage="1" showErrorMessage="1" errorTitle="Non-Numeric or abnormal value" error="Enter Numbers only between 0 and 99999" sqref="D8:AI18 AJ127 Z331:AA331 D277:AI309 D387:D399 E393:AI399 D417:AI481 E387:AI391 E233:AI273 E223:AI231 AJ18 AJ223 D223:D273 E371:AI377 E331:Y369 D22:AI53 D331:D377 D196:AI219 AJ11 AJ261 D111:AI119 AB331:AI340 D401:AI411 D123:AI161 Z338:AA338 D313:AI327 D413:AI413 D66:AI107 E232:AJ232 AB341:AJ341 E392:AJ392 E370:AJ370 D59:AI62 Z356:AA366 AB342:AI369 Z369:AA369 D180:AI192 D166:AI178">
      <formula1>0</formula1>
      <formula2>99999</formula2>
    </dataValidation>
    <dataValidation type="whole" allowBlank="1" showInputMessage="1" showErrorMessage="1" errorTitle="Numeric Characters Error" error="Enter Numeric Characters only between range 0 and 2000" sqref="D381:AI386">
      <formula1>0</formula1>
      <formula2>2000</formula2>
    </dataValidation>
    <dataValidation allowBlank="1" showInputMessage="1" showErrorMessage="1" errorTitle="Non-Numeric or abnormal value" error="Enter Numbers only between 0 and 99999" sqref="Z339:AA355 Z332:AA337 Z367:AA368"/>
  </dataValidations>
  <pageMargins left="0.511811023622047" right="7.8740157480315001E-2" top="0.196850393700787" bottom="0.196850393700787" header="0.2" footer="0.118110236220472"/>
  <pageSetup scale="31" fitToHeight="0" orientation="portrait" r:id="rId1"/>
  <headerFooter>
    <oddFooter>&amp;R&amp;P</oddFooter>
  </headerFooter>
  <rowBreaks count="1" manualBreakCount="1">
    <brk id="192" max="16383" man="1"/>
  </rowBreaks>
  <ignoredErrors>
    <ignoredError sqref="J20 J109 J121 J163 J221 J329 J379 J311 J275" twoDigitTextYear="1"/>
  </ignoredError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A9366B03F6EC145B189534E5AC3D6E6" ma:contentTypeVersion="14" ma:contentTypeDescription="Create a new document." ma:contentTypeScope="" ma:versionID="ffc27aaa6afa60559960f746ac0a40ab">
  <xsd:schema xmlns:xsd="http://www.w3.org/2001/XMLSchema" xmlns:xs="http://www.w3.org/2001/XMLSchema" xmlns:p="http://schemas.microsoft.com/office/2006/metadata/properties" xmlns:ns1="http://schemas.microsoft.com/sharepoint/v3" xmlns:ns3="dac3fa0a-9923-49c3-b4ba-df6390fa58ea" xmlns:ns4="1ed6e237-7a44-4d6d-bfbc-e270d277b5ad" targetNamespace="http://schemas.microsoft.com/office/2006/metadata/properties" ma:root="true" ma:fieldsID="a6816e770e34b85fcdcbb3032b3d95e9" ns1:_="" ns3:_="" ns4:_="">
    <xsd:import namespace="http://schemas.microsoft.com/sharepoint/v3"/>
    <xsd:import namespace="dac3fa0a-9923-49c3-b4ba-df6390fa58ea"/>
    <xsd:import namespace="1ed6e237-7a44-4d6d-bfbc-e270d277b5ad"/>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4:SharedWithUsers" minOccurs="0"/>
                <xsd:element ref="ns4:SharedWithDetails" minOccurs="0"/>
                <xsd:element ref="ns4:SharingHintHash" minOccurs="0"/>
                <xsd:element ref="ns3:MediaServiceOCR" minOccurs="0"/>
                <xsd:element ref="ns3:MediaServiceEventHashCode" minOccurs="0"/>
                <xsd:element ref="ns3:MediaServiceGenerationTime" minOccurs="0"/>
                <xsd:element ref="ns3:MediaServiceAutoKeyPoints" minOccurs="0"/>
                <xsd:element ref="ns3:MediaServiceKeyPoint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ac3fa0a-9923-49c3-b4ba-df6390fa58ea"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ed6e237-7a44-4d6d-bfbc-e270d277b5ad"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4331761-FFFE-4F11-AA2E-B35F1517E21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ac3fa0a-9923-49c3-b4ba-df6390fa58ea"/>
    <ds:schemaRef ds:uri="1ed6e237-7a44-4d6d-bfbc-e270d277b5a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9757ECA-E322-4B4F-A80B-F429838D8BF7}">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1ed6e237-7a44-4d6d-bfbc-e270d277b5ad"/>
    <ds:schemaRef ds:uri="http://purl.org/dc/elements/1.1/"/>
    <ds:schemaRef ds:uri="http://schemas.microsoft.com/office/2006/metadata/properties"/>
    <ds:schemaRef ds:uri="http://schemas.microsoft.com/sharepoint/v3"/>
    <ds:schemaRef ds:uri="dac3fa0a-9923-49c3-b4ba-df6390fa58ea"/>
    <ds:schemaRef ds:uri="http://www.w3.org/XML/1998/namespace"/>
    <ds:schemaRef ds:uri="http://purl.org/dc/dcmitype/"/>
  </ds:schemaRefs>
</ds:datastoreItem>
</file>

<file path=customXml/itemProps3.xml><?xml version="1.0" encoding="utf-8"?>
<ds:datastoreItem xmlns:ds="http://schemas.openxmlformats.org/officeDocument/2006/customXml" ds:itemID="{8F27D016-ED29-4335-8911-6427F4BFA81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13</vt:i4>
      </vt:variant>
    </vt:vector>
  </HeadingPairs>
  <TitlesOfParts>
    <vt:vector size="15" baseType="lpstr">
      <vt:lpstr>InstructionsForm1A</vt:lpstr>
      <vt:lpstr>Jul</vt:lpstr>
      <vt:lpstr>ART</vt:lpstr>
      <vt:lpstr>CXCA</vt:lpstr>
      <vt:lpstr>GEND_GBV</vt:lpstr>
      <vt:lpstr>HAART</vt:lpstr>
      <vt:lpstr>HIV_TEST</vt:lpstr>
      <vt:lpstr>HTS_SELF</vt:lpstr>
      <vt:lpstr>IPT</vt:lpstr>
      <vt:lpstr>PMTCT_TST</vt:lpstr>
      <vt:lpstr>PREP</vt:lpstr>
      <vt:lpstr>InstructionsForm1A!Print_Area</vt:lpstr>
      <vt:lpstr>Jul!Print_Area</vt:lpstr>
      <vt:lpstr>Jul!Print_Titles</vt:lpstr>
      <vt:lpstr>TB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Njoka</dc:creator>
  <cp:lastModifiedBy>Developers</cp:lastModifiedBy>
  <cp:lastPrinted>2020-06-04T19:13:43Z</cp:lastPrinted>
  <dcterms:created xsi:type="dcterms:W3CDTF">2018-10-31T09:45:26Z</dcterms:created>
  <dcterms:modified xsi:type="dcterms:W3CDTF">2022-11-01T07:40:56Z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97562b29-1870-4619-bda6-f602bd214bc5</vt:lpwstr>
  </property>
  <property fmtid="{D5CDD505-2E9C-101B-9397-08002B2CF9AE}" pid="3" name="ConnectionInfosStorage">
    <vt:lpwstr>WorkbookXmlParts</vt:lpwstr>
  </property>
  <property fmtid="{D5CDD505-2E9C-101B-9397-08002B2CF9AE}" pid="4" name="ContentTypeId">
    <vt:lpwstr>0x010100EA9366B03F6EC145B189534E5AC3D6E6</vt:lpwstr>
  </property>
  <property fmtid="{D5CDD505-2E9C-101B-9397-08002B2CF9AE}" pid="5" name="MSIP_Label_ea60d57e-af5b-4752-ac57-3e4f28ca11dc_Enabled">
    <vt:lpwstr>true</vt:lpwstr>
  </property>
  <property fmtid="{D5CDD505-2E9C-101B-9397-08002B2CF9AE}" pid="6" name="MSIP_Label_ea60d57e-af5b-4752-ac57-3e4f28ca11dc_SetDate">
    <vt:lpwstr>2021-08-26T06:21:48Z</vt:lpwstr>
  </property>
  <property fmtid="{D5CDD505-2E9C-101B-9397-08002B2CF9AE}" pid="7" name="MSIP_Label_ea60d57e-af5b-4752-ac57-3e4f28ca11dc_Method">
    <vt:lpwstr>Standard</vt:lpwstr>
  </property>
  <property fmtid="{D5CDD505-2E9C-101B-9397-08002B2CF9AE}" pid="8" name="MSIP_Label_ea60d57e-af5b-4752-ac57-3e4f28ca11dc_Name">
    <vt:lpwstr>ea60d57e-af5b-4752-ac57-3e4f28ca11dc</vt:lpwstr>
  </property>
  <property fmtid="{D5CDD505-2E9C-101B-9397-08002B2CF9AE}" pid="9" name="MSIP_Label_ea60d57e-af5b-4752-ac57-3e4f28ca11dc_SiteId">
    <vt:lpwstr>36da45f1-dd2c-4d1f-af13-5abe46b99921</vt:lpwstr>
  </property>
  <property fmtid="{D5CDD505-2E9C-101B-9397-08002B2CF9AE}" pid="10" name="MSIP_Label_ea60d57e-af5b-4752-ac57-3e4f28ca11dc_ActionId">
    <vt:lpwstr>53bd1c79-e735-4871-8540-e453fe37e373</vt:lpwstr>
  </property>
  <property fmtid="{D5CDD505-2E9C-101B-9397-08002B2CF9AE}" pid="11" name="MSIP_Label_ea60d57e-af5b-4752-ac57-3e4f28ca11dc_ContentBits">
    <vt:lpwstr>0</vt:lpwstr>
  </property>
</Properties>
</file>